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comments5.xml" ContentType="application/vnd.openxmlformats-officedocument.spreadsheetml.comments+xml"/>
  <Override PartName="/xl/threadedComments/threadedComment4.xml" ContentType="application/vnd.ms-excel.threadedcomments+xml"/>
  <Override PartName="/xl/comments6.xml" ContentType="application/vnd.openxmlformats-officedocument.spreadsheetml.comments+xml"/>
  <Override PartName="/xl/threadedComments/threadedComment5.xml" ContentType="application/vnd.ms-excel.threadedcomments+xml"/>
  <Override PartName="/xl/drawings/drawing4.xml" ContentType="application/vnd.openxmlformats-officedocument.drawing+xml"/>
  <Override PartName="/xl/comments7.xml" ContentType="application/vnd.openxmlformats-officedocument.spreadsheetml.comments+xml"/>
  <Override PartName="/xl/threadedComments/threadedComment6.xml" ContentType="application/vnd.ms-excel.threadedcomments+xml"/>
  <Override PartName="/xl/comments8.xml" ContentType="application/vnd.openxmlformats-officedocument.spreadsheetml.comments+xml"/>
  <Override PartName="/xl/threadedComments/threadedComment7.xml" ContentType="application/vnd.ms-excel.threadedcomments+xml"/>
  <Override PartName="/xl/drawings/drawing5.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9.xml" ContentType="application/vnd.openxmlformats-officedocument.spreadsheetml.comments+xml"/>
  <Override PartName="/xl/threadedComments/threadedComment8.xml" ContentType="application/vnd.ms-excel.threaded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22.xml" ContentType="application/vnd.openxmlformats-officedocument.spreadsheetml.table+xml"/>
  <Override PartName="/xl/comments10.xml" ContentType="application/vnd.openxmlformats-officedocument.spreadsheetml.comments+xml"/>
  <Override PartName="/xl/drawings/drawing9.xml" ContentType="application/vnd.openxmlformats-officedocument.drawing+xml"/>
  <Override PartName="/xl/comments11.xml" ContentType="application/vnd.openxmlformats-officedocument.spreadsheetml.comments+xml"/>
  <Override PartName="/xl/drawings/drawing10.xml" ContentType="application/vnd.openxmlformats-officedocument.drawing+xml"/>
  <Override PartName="/xl/comments1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updateLinks="never" codeName="ThisWorkbook"/>
  <mc:AlternateContent xmlns:mc="http://schemas.openxmlformats.org/markup-compatibility/2006">
    <mc:Choice Requires="x15">
      <x15ac:absPath xmlns:x15ac="http://schemas.microsoft.com/office/spreadsheetml/2010/11/ac" url="\\depot.engr.oregonstate.edu\office\Research and Econ Devel\Grants &amp; Contracts\00-PROPOSALS\Mishra, Virag (RA)\Prop26-10 HCCS Fund 2026 (RK)\"/>
    </mc:Choice>
  </mc:AlternateContent>
  <xr:revisionPtr revIDLastSave="0" documentId="13_ncr:1_{E7780EB0-373E-481E-810E-8648C02B6843}" xr6:coauthVersionLast="47" xr6:coauthVersionMax="47" xr10:uidLastSave="{00000000-0000-0000-0000-000000000000}"/>
  <bookViews>
    <workbookView xWindow="15810" yWindow="4110" windowWidth="26265" windowHeight="19905" tabRatio="917" activeTab="1" xr2:uid="{00000000-000D-0000-FFFF-FFFF00000000}"/>
  </bookViews>
  <sheets>
    <sheet name="DATA INPUT" sheetId="35" r:id="rId1"/>
    <sheet name="Budget" sheetId="7" r:id="rId2"/>
    <sheet name="Hub data entry" sheetId="56" state="hidden" r:id="rId3"/>
    <sheet name="SUMMARY" sheetId="33" r:id="rId4"/>
    <sheet name="SUMMARY - Industry" sheetId="44" state="hidden" r:id="rId5"/>
    <sheet name="OMI Project Budget" sheetId="45" state="hidden" r:id="rId6"/>
    <sheet name="CyndyNotes" sheetId="38" state="hidden" r:id="rId7"/>
    <sheet name="PI Budgets" sheetId="36" r:id="rId8"/>
    <sheet name="Calc - SENIOR PERS" sheetId="21" r:id="rId9"/>
    <sheet name="Calc - OTHER PERS" sheetId="23" r:id="rId10"/>
    <sheet name="Calc - GRAD ASST" sheetId="25" state="hidden" r:id="rId11"/>
    <sheet name="Calc - TRAVEL" sheetId="26" r:id="rId12"/>
    <sheet name="SF RR Budget - Section A" sheetId="51" state="hidden" r:id="rId13"/>
    <sheet name="SF RR Budget - Section B" sheetId="52" state="hidden" r:id="rId14"/>
    <sheet name="SF RR Budget - Secs. C D E" sheetId="53" state="hidden" r:id="rId15"/>
    <sheet name="SF RR Budget - Secs. F - K" sheetId="54" state="hidden" r:id="rId16"/>
    <sheet name="SF RR Budget - Summary" sheetId="55" state="hidden" r:id="rId17"/>
    <sheet name="Reference Sheet" sheetId="22" state="hidden" r:id="rId18"/>
    <sheet name="Macros" sheetId="43" state="hidden" r:id="rId19"/>
    <sheet name="Cost Share Instr" sheetId="42" state="hidden" r:id="rId20"/>
    <sheet name="Cost Share Agr Form" sheetId="39" state="hidden" r:id="rId21"/>
    <sheet name="ORG Cost Share" sheetId="40" state="hidden" r:id="rId22"/>
    <sheet name="Unrec. F&amp;A Cost Share" sheetId="41" state="hidden" r:id="rId23"/>
  </sheets>
  <definedNames>
    <definedName name="_xlnm._FilterDatabase" localSheetId="0" hidden="1">'DATA INPUT'!$V$1:$V$128</definedName>
    <definedName name="_xlnm._FilterDatabase" localSheetId="21" hidden="1">'ORG Cost Share'!$A$40:$I$55</definedName>
    <definedName name="_xlnm._FilterDatabase" localSheetId="22" hidden="1">'Unrec. F&amp;A Cost Share'!$A$40:$I$50</definedName>
    <definedName name="_xleta.AND" hidden="1" xlm="1">#NAME?</definedName>
    <definedName name="_xleta.COUNT" hidden="1" xlm="1">#NAME?</definedName>
    <definedName name="_xleta.COUNTA" hidden="1" xlm="1">#NAME?</definedName>
    <definedName name="_xleta.COUNTIF" hidden="1" xlm="1">#NAME?</definedName>
    <definedName name="_xleta.IF" hidden="1" xlm="1">#NAME?</definedName>
    <definedName name="_xleta.N" hidden="1" xlm="1">#NAME?</definedName>
    <definedName name="_xleta.OFFSET" hidden="1" xlm="1">#NAME?</definedName>
    <definedName name="_xleta.OR" hidden="1" xlm="1">#NAME?</definedName>
    <definedName name="_xleta.PI" hidden="1" xlm="1">#NAME?</definedName>
    <definedName name="_xleta.ROUND" hidden="1" xlm="1">#NAME?</definedName>
    <definedName name="_xleta.SUM" hidden="1" xlm="1">#NAME?</definedName>
    <definedName name="_xleta.SUMIF" hidden="1" xlm="1">#NAME?</definedName>
    <definedName name="_xleta.T" hidden="1" xlm="1">#NAME?</definedName>
    <definedName name="_xlpm.FTE" hidden="1" xlm="1">#NAME?</definedName>
    <definedName name="_xlpm.Item" hidden="1" xlm="1">#NAME?</definedName>
    <definedName name="_xlpm.Period" hidden="1" xlm="1">#NAME?</definedName>
    <definedName name="_xlpm.Person" hidden="1" xlm="1">#NAME?</definedName>
    <definedName name="_xlpm.r" hidden="1" xlm="1">#NAME?</definedName>
    <definedName name="_xlpm.ROWNUM" hidden="1" xlm="1">#NAME?</definedName>
    <definedName name="ApptFTE">Table_ApptFTE[ApptFTE]</definedName>
    <definedName name="ApptMonths">Table_ApptMo[ApptMonths]</definedName>
    <definedName name="CostShare">Table_CostShare[CostShare]</definedName>
    <definedName name="CSworktag">Table_CostShareWorktag[CS Worktag]</definedName>
    <definedName name="Dest">Table_TravelDest[TravelDest]</definedName>
    <definedName name="Destination">Table_Travel[Destination]</definedName>
    <definedName name="EffortType">Table_EffortType[Effort Type]</definedName>
    <definedName name="FA_Base">Table_FA_Base[Base for F&amp;A]</definedName>
    <definedName name="FA_Rate">Table_FA_rate[Rates]</definedName>
    <definedName name="GA_FTE">Table_GA_FTE[GA_FTE]</definedName>
    <definedName name="GA_Level">Table_GALevel[GA_Level]</definedName>
    <definedName name="GA_Salary">Table_Units[GA_Salary
PhD]</definedName>
    <definedName name="GrantCoord">Table_GrantCoord[Grant Coordinators]</definedName>
    <definedName name="HrlyStuTerm">#REF!</definedName>
    <definedName name="OtherTitles">#REF!</definedName>
    <definedName name="PoolRates">TableFringePool[Fringe Pool Rate]</definedName>
    <definedName name="PositionClass">TableFringePool[Position Classification]</definedName>
    <definedName name="_xlnm.Print_Area" localSheetId="20">'Cost Share Agr Form'!$A$1:$I$32</definedName>
    <definedName name="_xlnm.Print_Area" localSheetId="21">'ORG Cost Share'!$A$1:$I$73</definedName>
    <definedName name="_xlnm.Print_Area" localSheetId="22">'Unrec. F&amp;A Cost Share'!$A$1:$J$59</definedName>
    <definedName name="RetRateStart">#REF!</definedName>
    <definedName name="Salary" localSheetId="10">'Calc - GRAD ASST'!$I$7</definedName>
    <definedName name="SP_Titles">Table_Titles[SP_Titles]</definedName>
    <definedName name="Tier">#REF!</definedName>
    <definedName name="Unit">Table_Units[Unit]</definedName>
    <definedName name="YesNo">#REF!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 i="35" l="1"/>
  <c r="L3" i="56" l="1"/>
  <c r="M3" i="56"/>
  <c r="N3" i="56"/>
  <c r="O3" i="56"/>
  <c r="P3" i="56"/>
  <c r="Q3" i="56"/>
  <c r="R3" i="56"/>
  <c r="S3" i="56"/>
  <c r="K4" i="56"/>
  <c r="K5" i="56"/>
  <c r="K6" i="56"/>
  <c r="L6" i="56"/>
  <c r="M6" i="56"/>
  <c r="N6" i="56"/>
  <c r="O6" i="56"/>
  <c r="P6" i="56"/>
  <c r="Q6" i="56"/>
  <c r="K7" i="56"/>
  <c r="K8" i="56"/>
  <c r="K9" i="56"/>
  <c r="L9" i="56"/>
  <c r="M9" i="56"/>
  <c r="N9" i="56"/>
  <c r="O9" i="56"/>
  <c r="P9" i="56"/>
  <c r="Q9" i="56"/>
  <c r="K10" i="56"/>
  <c r="K11" i="56"/>
  <c r="K12" i="56"/>
  <c r="L12" i="56"/>
  <c r="M12" i="56"/>
  <c r="N12" i="56"/>
  <c r="O12" i="56"/>
  <c r="P12" i="56"/>
  <c r="Q12" i="56"/>
  <c r="K13" i="56"/>
  <c r="K14" i="56"/>
  <c r="K15" i="56"/>
  <c r="L15" i="56"/>
  <c r="M15" i="56"/>
  <c r="N15" i="56"/>
  <c r="O15" i="56"/>
  <c r="P15" i="56"/>
  <c r="Q15" i="56"/>
  <c r="K16" i="56"/>
  <c r="K17" i="56"/>
  <c r="K18" i="56"/>
  <c r="L18" i="56"/>
  <c r="M18" i="56"/>
  <c r="N18" i="56"/>
  <c r="O18" i="56"/>
  <c r="P18" i="56"/>
  <c r="Q18" i="56"/>
  <c r="K19" i="56"/>
  <c r="K20" i="56"/>
  <c r="K21" i="56"/>
  <c r="L21" i="56"/>
  <c r="M21" i="56"/>
  <c r="N21" i="56"/>
  <c r="O21" i="56"/>
  <c r="P21" i="56"/>
  <c r="Q21" i="56"/>
  <c r="K22" i="56"/>
  <c r="K23" i="56"/>
  <c r="K24" i="56"/>
  <c r="L24" i="56"/>
  <c r="M24" i="56"/>
  <c r="N24" i="56"/>
  <c r="O24" i="56"/>
  <c r="P24" i="56"/>
  <c r="Q24" i="56"/>
  <c r="K25" i="56"/>
  <c r="K26" i="56"/>
  <c r="K27" i="56"/>
  <c r="L27" i="56"/>
  <c r="M27" i="56"/>
  <c r="N27" i="56"/>
  <c r="O27" i="56"/>
  <c r="P27" i="56"/>
  <c r="Q27" i="56"/>
  <c r="K28" i="56"/>
  <c r="K29" i="56"/>
  <c r="K30" i="56"/>
  <c r="L30" i="56"/>
  <c r="M30" i="56"/>
  <c r="N30" i="56"/>
  <c r="O30" i="56"/>
  <c r="P30" i="56"/>
  <c r="Q30" i="56"/>
  <c r="K31" i="56"/>
  <c r="K32" i="56"/>
  <c r="K33" i="56"/>
  <c r="L33" i="56"/>
  <c r="M33" i="56"/>
  <c r="N33" i="56"/>
  <c r="O33" i="56"/>
  <c r="P33" i="56"/>
  <c r="Q33" i="56"/>
  <c r="J3" i="56"/>
  <c r="E141" i="35" a="1"/>
  <c r="E141" i="35" s="1"/>
  <c r="J10" i="56" s="1"/>
  <c r="E142" i="35" a="1"/>
  <c r="E142" i="35" s="1"/>
  <c r="J11" i="56" s="1"/>
  <c r="E143" i="35" a="1"/>
  <c r="E143" i="35" s="1"/>
  <c r="J12" i="56" s="1"/>
  <c r="E144" i="35" a="1"/>
  <c r="E144" i="35" s="1"/>
  <c r="J13" i="56" s="1"/>
  <c r="E145" i="35" a="1"/>
  <c r="E145" i="35" s="1"/>
  <c r="J14" i="56" s="1"/>
  <c r="E146" i="35" a="1"/>
  <c r="E146" i="35" s="1"/>
  <c r="J15" i="56" s="1"/>
  <c r="E147" i="35" a="1"/>
  <c r="E147" i="35" s="1"/>
  <c r="E148" i="35" a="1"/>
  <c r="E148" i="35" s="1"/>
  <c r="J17" i="56" s="1"/>
  <c r="E149" i="35" a="1"/>
  <c r="E149" i="35" s="1"/>
  <c r="J18" i="56" s="1"/>
  <c r="E150" i="35" a="1"/>
  <c r="E150" i="35" s="1"/>
  <c r="P150" i="35" s="1"/>
  <c r="E151" i="35" a="1"/>
  <c r="E151" i="35" s="1"/>
  <c r="J20" i="56" s="1"/>
  <c r="E152" i="35" a="1"/>
  <c r="E152" i="35" s="1"/>
  <c r="J21" i="56" s="1"/>
  <c r="E153" i="35" a="1"/>
  <c r="E153" i="35" s="1"/>
  <c r="P153" i="35" s="1"/>
  <c r="S22" i="56" s="1"/>
  <c r="E154" i="35" a="1"/>
  <c r="E154" i="35" s="1"/>
  <c r="J23" i="56" s="1"/>
  <c r="E155" i="35" a="1"/>
  <c r="E155" i="35" s="1"/>
  <c r="J24" i="56" s="1"/>
  <c r="E156" i="35" a="1"/>
  <c r="E156" i="35" s="1"/>
  <c r="P156" i="35" s="1"/>
  <c r="E157" i="35" a="1"/>
  <c r="E157" i="35" s="1"/>
  <c r="J26" i="56" s="1"/>
  <c r="E158" i="35" a="1"/>
  <c r="E158" i="35" s="1"/>
  <c r="J27" i="56" s="1"/>
  <c r="E159" i="35" a="1"/>
  <c r="E159" i="35" s="1"/>
  <c r="E160" i="35" a="1"/>
  <c r="E160" i="35" s="1"/>
  <c r="J29" i="56" s="1"/>
  <c r="E161" i="35" a="1"/>
  <c r="E161" i="35" s="1"/>
  <c r="J30" i="56" s="1"/>
  <c r="E162" i="35" a="1"/>
  <c r="E162" i="35" s="1"/>
  <c r="E163" i="35" a="1"/>
  <c r="E163" i="35" s="1"/>
  <c r="J32" i="56" s="1"/>
  <c r="E164" i="35" a="1"/>
  <c r="E164" i="35" s="1"/>
  <c r="J33" i="56" s="1"/>
  <c r="J135" i="35" a="1"/>
  <c r="J135" i="35" s="1"/>
  <c r="J136" i="35" s="1"/>
  <c r="M5" i="56" s="1"/>
  <c r="K135" i="35" a="1"/>
  <c r="K135" i="35" s="1"/>
  <c r="K136" i="35" s="1"/>
  <c r="N5" i="56" s="1"/>
  <c r="L135" i="35" a="1"/>
  <c r="L135" i="35" s="1"/>
  <c r="L136" i="35" s="1"/>
  <c r="O5" i="56" s="1"/>
  <c r="M135" i="35" a="1"/>
  <c r="M135" i="35" s="1"/>
  <c r="N135" i="35" a="1"/>
  <c r="N135" i="35" s="1"/>
  <c r="J138" i="35" a="1"/>
  <c r="J138" i="35" s="1"/>
  <c r="J139" i="35" s="1"/>
  <c r="M8" i="56" s="1"/>
  <c r="K138" i="35" a="1"/>
  <c r="K138" i="35" s="1"/>
  <c r="K139" i="35" s="1"/>
  <c r="N8" i="56" s="1"/>
  <c r="L138" i="35" a="1"/>
  <c r="L138" i="35" s="1"/>
  <c r="L139" i="35" s="1"/>
  <c r="O8" i="56" s="1"/>
  <c r="M138" i="35" a="1"/>
  <c r="M138" i="35" s="1"/>
  <c r="M139" i="35" s="1"/>
  <c r="P8" i="56" s="1"/>
  <c r="N138" i="35" a="1"/>
  <c r="N138" i="35" s="1"/>
  <c r="J141" i="35" a="1"/>
  <c r="J141" i="35" s="1"/>
  <c r="M10" i="56" s="1"/>
  <c r="K141" i="35" a="1"/>
  <c r="K141" i="35" s="1"/>
  <c r="L141" i="35" a="1"/>
  <c r="L141" i="35" s="1"/>
  <c r="O10" i="56" s="1"/>
  <c r="M141" i="35" a="1"/>
  <c r="M141" i="35" s="1"/>
  <c r="M142" i="35" s="1"/>
  <c r="P11" i="56" s="1"/>
  <c r="N141" i="35" a="1"/>
  <c r="N141" i="35" s="1"/>
  <c r="N142" i="35" s="1"/>
  <c r="Q11" i="56" s="1"/>
  <c r="J144" i="35" a="1"/>
  <c r="J144" i="35" s="1"/>
  <c r="J145" i="35" s="1"/>
  <c r="M14" i="56" s="1"/>
  <c r="K144" i="35" a="1"/>
  <c r="K144" i="35" s="1"/>
  <c r="K145" i="35" s="1"/>
  <c r="N14" i="56" s="1"/>
  <c r="L144" i="35" a="1"/>
  <c r="L144" i="35" s="1"/>
  <c r="L145" i="35" s="1"/>
  <c r="O14" i="56" s="1"/>
  <c r="M144" i="35" a="1"/>
  <c r="M144" i="35" s="1"/>
  <c r="N144" i="35" a="1"/>
  <c r="N144" i="35" s="1"/>
  <c r="J147" i="35" a="1"/>
  <c r="J147" i="35" s="1"/>
  <c r="M16" i="56" s="1"/>
  <c r="K147" i="35" a="1"/>
  <c r="K147" i="35" s="1"/>
  <c r="N16" i="56" s="1"/>
  <c r="L147" i="35" a="1"/>
  <c r="L147" i="35" s="1"/>
  <c r="L148" i="35" s="1"/>
  <c r="O17" i="56" s="1"/>
  <c r="M147" i="35" a="1"/>
  <c r="M147" i="35" s="1"/>
  <c r="M148" i="35" s="1"/>
  <c r="P17" i="56" s="1"/>
  <c r="N147" i="35" a="1"/>
  <c r="N147" i="35" s="1"/>
  <c r="N148" i="35" s="1"/>
  <c r="Q17" i="56" s="1"/>
  <c r="J150" i="35" a="1"/>
  <c r="J150" i="35" s="1"/>
  <c r="J151" i="35" s="1"/>
  <c r="M20" i="56" s="1"/>
  <c r="K150" i="35" a="1"/>
  <c r="K150" i="35" s="1"/>
  <c r="L150" i="35" a="1"/>
  <c r="L150" i="35" s="1"/>
  <c r="O19" i="56" s="1"/>
  <c r="M150" i="35" a="1"/>
  <c r="M150" i="35" s="1"/>
  <c r="P19" i="56" s="1"/>
  <c r="N150" i="35" a="1"/>
  <c r="N150" i="35" s="1"/>
  <c r="N151" i="35" s="1"/>
  <c r="Q20" i="56" s="1"/>
  <c r="J153" i="35" a="1"/>
  <c r="J153" i="35" s="1"/>
  <c r="J154" i="35" s="1"/>
  <c r="M23" i="56" s="1"/>
  <c r="K153" i="35" a="1"/>
  <c r="K153" i="35" s="1"/>
  <c r="K154" i="35" s="1"/>
  <c r="N23" i="56" s="1"/>
  <c r="L153" i="35" a="1"/>
  <c r="L153" i="35" s="1"/>
  <c r="L154" i="35" s="1"/>
  <c r="O23" i="56" s="1"/>
  <c r="M153" i="35" a="1"/>
  <c r="M153" i="35" s="1"/>
  <c r="M154" i="35" s="1"/>
  <c r="P23" i="56" s="1"/>
  <c r="N153" i="35" a="1"/>
  <c r="N153" i="35" s="1"/>
  <c r="N154" i="35" s="1"/>
  <c r="Q23" i="56" s="1"/>
  <c r="J156" i="35" a="1"/>
  <c r="J156" i="35" s="1"/>
  <c r="J157" i="35" s="1"/>
  <c r="M26" i="56" s="1"/>
  <c r="K156" i="35" a="1"/>
  <c r="K156" i="35" s="1"/>
  <c r="K157" i="35" s="1"/>
  <c r="N26" i="56" s="1"/>
  <c r="L156" i="35" a="1"/>
  <c r="L156" i="35" s="1"/>
  <c r="L157" i="35" s="1"/>
  <c r="O26" i="56" s="1"/>
  <c r="M156" i="35" a="1"/>
  <c r="M156" i="35" s="1"/>
  <c r="M157" i="35" s="1"/>
  <c r="P26" i="56" s="1"/>
  <c r="N156" i="35" a="1"/>
  <c r="N156" i="35" s="1"/>
  <c r="N157" i="35" s="1"/>
  <c r="Q26" i="56" s="1"/>
  <c r="J159" i="35" a="1"/>
  <c r="J159" i="35" s="1"/>
  <c r="J160" i="35" s="1"/>
  <c r="M29" i="56" s="1"/>
  <c r="K159" i="35" a="1"/>
  <c r="K159" i="35" s="1"/>
  <c r="K160" i="35" s="1"/>
  <c r="N29" i="56" s="1"/>
  <c r="L159" i="35" a="1"/>
  <c r="L159" i="35" s="1"/>
  <c r="L160" i="35" s="1"/>
  <c r="O29" i="56" s="1"/>
  <c r="M159" i="35" a="1"/>
  <c r="M159" i="35" s="1"/>
  <c r="M160" i="35" s="1"/>
  <c r="P29" i="56" s="1"/>
  <c r="N159" i="35" a="1"/>
  <c r="N159" i="35" s="1"/>
  <c r="N160" i="35" s="1"/>
  <c r="Q29" i="56" s="1"/>
  <c r="J162" i="35" a="1"/>
  <c r="J162" i="35" s="1"/>
  <c r="J163" i="35" s="1"/>
  <c r="M32" i="56" s="1"/>
  <c r="K162" i="35" a="1"/>
  <c r="K162" i="35" s="1"/>
  <c r="K163" i="35" s="1"/>
  <c r="N32" i="56" s="1"/>
  <c r="L162" i="35" a="1"/>
  <c r="L162" i="35" s="1"/>
  <c r="L163" i="35" s="1"/>
  <c r="O32" i="56" s="1"/>
  <c r="M162" i="35" a="1"/>
  <c r="M162" i="35" s="1"/>
  <c r="M163" i="35" s="1"/>
  <c r="P32" i="56" s="1"/>
  <c r="N162" i="35" a="1"/>
  <c r="N162" i="35" s="1"/>
  <c r="N163" i="35" s="1"/>
  <c r="Q32" i="56" s="1"/>
  <c r="I162" i="35" a="1"/>
  <c r="I162" i="35" s="1"/>
  <c r="L31" i="56" s="1"/>
  <c r="I159" i="35" a="1"/>
  <c r="I159" i="35" s="1"/>
  <c r="I160" i="35" s="1"/>
  <c r="L29" i="56" s="1"/>
  <c r="I156" i="35" a="1"/>
  <c r="I156" i="35" s="1"/>
  <c r="I157" i="35" s="1"/>
  <c r="L26" i="56" s="1"/>
  <c r="I153" i="35" a="1"/>
  <c r="I153" i="35" s="1"/>
  <c r="I154" i="35" s="1"/>
  <c r="L23" i="56" s="1"/>
  <c r="I150" i="35" a="1"/>
  <c r="I150" i="35" s="1"/>
  <c r="I151" i="35" s="1"/>
  <c r="L20" i="56" s="1"/>
  <c r="I147" i="35" a="1"/>
  <c r="I147" i="35" s="1"/>
  <c r="I148" i="35" s="1"/>
  <c r="L17" i="56" s="1"/>
  <c r="I144" i="35" a="1"/>
  <c r="I144" i="35" s="1"/>
  <c r="I145" i="35" s="1"/>
  <c r="L14" i="56" s="1"/>
  <c r="I141" i="35" a="1"/>
  <c r="I141" i="35" s="1"/>
  <c r="I142" i="35" s="1"/>
  <c r="L11" i="56" s="1"/>
  <c r="I138" i="35" a="1"/>
  <c r="I138" i="35" s="1"/>
  <c r="I139" i="35" s="1"/>
  <c r="L8" i="56" s="1"/>
  <c r="I135" i="35" a="1"/>
  <c r="I135" i="35" s="1"/>
  <c r="I136" i="35" s="1"/>
  <c r="L5" i="56" s="1"/>
  <c r="O140" i="35"/>
  <c r="R9" i="56" s="1"/>
  <c r="O143" i="35"/>
  <c r="R12" i="56" s="1"/>
  <c r="O146" i="35"/>
  <c r="R15" i="56" s="1"/>
  <c r="O149" i="35"/>
  <c r="R18" i="56" s="1"/>
  <c r="O152" i="35"/>
  <c r="R21" i="56" s="1"/>
  <c r="O155" i="35"/>
  <c r="R24" i="56" s="1"/>
  <c r="O158" i="35"/>
  <c r="R27" i="56" s="1"/>
  <c r="O161" i="35"/>
  <c r="R30" i="56" s="1"/>
  <c r="O164" i="35"/>
  <c r="R33" i="56" s="1"/>
  <c r="E136" i="35" a="1"/>
  <c r="E136" i="35" s="1"/>
  <c r="J5" i="56" s="1"/>
  <c r="E137" i="35" a="1"/>
  <c r="E137" i="35" s="1"/>
  <c r="J6" i="56" s="1"/>
  <c r="E138" i="35" a="1"/>
  <c r="E138" i="35" s="1"/>
  <c r="P138" i="35" s="1"/>
  <c r="S7" i="56" s="1"/>
  <c r="E139" i="35" a="1"/>
  <c r="E139" i="35" s="1"/>
  <c r="J8" i="56" s="1"/>
  <c r="E140" i="35" a="1"/>
  <c r="E140" i="35" s="1"/>
  <c r="J9" i="56" s="1"/>
  <c r="E135" i="35" a="1"/>
  <c r="E135" i="35" s="1"/>
  <c r="P135" i="35" s="1"/>
  <c r="S4" i="56" s="1"/>
  <c r="P1" i="25"/>
  <c r="Q1" i="25"/>
  <c r="T2" i="25"/>
  <c r="U3" i="25"/>
  <c r="Y4" i="25"/>
  <c r="AG5" i="25"/>
  <c r="Q6" i="25"/>
  <c r="V6" i="25"/>
  <c r="Z6" i="25"/>
  <c r="V7" i="25"/>
  <c r="U7" i="25" s="1"/>
  <c r="Y7" i="25"/>
  <c r="Z7" i="25"/>
  <c r="AG7" i="25"/>
  <c r="V8" i="25"/>
  <c r="U8" i="25" s="1"/>
  <c r="Y8" i="25"/>
  <c r="Z8" i="25"/>
  <c r="AG8" i="25"/>
  <c r="V9" i="25"/>
  <c r="U9" i="25" s="1"/>
  <c r="Y9" i="25"/>
  <c r="Z9" i="25"/>
  <c r="AG9" i="25"/>
  <c r="V10" i="25"/>
  <c r="U10" i="25" s="1"/>
  <c r="Y10" i="25"/>
  <c r="Z10" i="25"/>
  <c r="AG10" i="25"/>
  <c r="V11" i="25"/>
  <c r="U11" i="25" s="1"/>
  <c r="Y11" i="25"/>
  <c r="V12" i="25"/>
  <c r="U12" i="25" s="1"/>
  <c r="V13" i="25"/>
  <c r="U13" i="25" s="1"/>
  <c r="V14" i="25"/>
  <c r="U14" i="25" s="1"/>
  <c r="V15" i="25"/>
  <c r="U15" i="25" s="1"/>
  <c r="V16" i="25"/>
  <c r="U16" i="25" s="1"/>
  <c r="V17" i="25"/>
  <c r="U17" i="25" s="1"/>
  <c r="V18" i="25"/>
  <c r="U18" i="25" s="1"/>
  <c r="V19" i="25"/>
  <c r="U19" i="25" s="1"/>
  <c r="V20" i="25"/>
  <c r="U20" i="25" s="1"/>
  <c r="Z26" i="25"/>
  <c r="AG26" i="25"/>
  <c r="Z27" i="25"/>
  <c r="AG27" i="25"/>
  <c r="AG32" i="25"/>
  <c r="AG33" i="25"/>
  <c r="Z38" i="25"/>
  <c r="AG38" i="25"/>
  <c r="Z39" i="25"/>
  <c r="AG39" i="25"/>
  <c r="Z44" i="25"/>
  <c r="AG44" i="25"/>
  <c r="Z45" i="25"/>
  <c r="AG45" i="25"/>
  <c r="Z50" i="25"/>
  <c r="AG50" i="25"/>
  <c r="Z51" i="25"/>
  <c r="AG51" i="25"/>
  <c r="W8" i="23"/>
  <c r="W7" i="23"/>
  <c r="V4" i="23"/>
  <c r="U3" i="23"/>
  <c r="O6" i="21"/>
  <c r="Q9" i="21" s="1"/>
  <c r="S9" i="21" s="1"/>
  <c r="D46" i="35"/>
  <c r="C255" i="23"/>
  <c r="D255" i="23" s="1"/>
  <c r="C254" i="23"/>
  <c r="D254" i="23" s="1"/>
  <c r="C253" i="23"/>
  <c r="D253" i="23" s="1"/>
  <c r="C252" i="23"/>
  <c r="E431" i="56" s="1" a="1"/>
  <c r="E431" i="56" s="1"/>
  <c r="C251" i="23"/>
  <c r="D431" i="56" s="1" a="1"/>
  <c r="D431" i="56" s="1"/>
  <c r="C250" i="23"/>
  <c r="C431" i="56" s="1" a="1"/>
  <c r="C431" i="56" s="1"/>
  <c r="C242" i="23"/>
  <c r="D242" i="23" s="1"/>
  <c r="C241" i="23"/>
  <c r="G424" i="56" s="1" a="1"/>
  <c r="G424" i="56" s="1"/>
  <c r="C240" i="23"/>
  <c r="F424" i="56" s="1" a="1"/>
  <c r="F424" i="56" s="1"/>
  <c r="C239" i="23"/>
  <c r="E424" i="56" s="1" a="1"/>
  <c r="E424" i="56" s="1"/>
  <c r="C238" i="23"/>
  <c r="D238" i="23" s="1"/>
  <c r="C237" i="23"/>
  <c r="C424" i="56" s="1" a="1"/>
  <c r="C424" i="56" s="1"/>
  <c r="C229" i="23"/>
  <c r="D229" i="23" s="1"/>
  <c r="C228" i="23"/>
  <c r="G417" i="56" s="1" a="1"/>
  <c r="G417" i="56" s="1"/>
  <c r="C227" i="23"/>
  <c r="F417" i="56" s="1" a="1"/>
  <c r="F417" i="56" s="1"/>
  <c r="C226" i="23"/>
  <c r="D226" i="23" s="1"/>
  <c r="C225" i="23"/>
  <c r="D225" i="23" s="1"/>
  <c r="C224" i="23"/>
  <c r="D224" i="23" s="1"/>
  <c r="A427" i="56" a="1"/>
  <c r="A427" i="56" s="1"/>
  <c r="A420" i="56" a="1"/>
  <c r="A420" i="56" s="1"/>
  <c r="A413" i="56" a="1"/>
  <c r="A413" i="56" s="1"/>
  <c r="A405" i="56" a="1"/>
  <c r="A405" i="56" s="1"/>
  <c r="A397" i="56" a="1"/>
  <c r="A397" i="56" s="1"/>
  <c r="A389" i="56" a="1"/>
  <c r="A389" i="56" s="1"/>
  <c r="A381" i="56" a="1"/>
  <c r="A381" i="56" s="1"/>
  <c r="A373" i="56" a="1"/>
  <c r="A373" i="56" s="1"/>
  <c r="A365" i="56" a="1"/>
  <c r="A365" i="56" s="1"/>
  <c r="A357" i="56" a="1"/>
  <c r="A357" i="56" s="1"/>
  <c r="A349" i="56" a="1"/>
  <c r="A349" i="56" s="1"/>
  <c r="A341" i="56" a="1"/>
  <c r="A341" i="56" s="1"/>
  <c r="A333" i="56" a="1"/>
  <c r="A333" i="56" s="1"/>
  <c r="A325" i="56" a="1"/>
  <c r="A325" i="56" s="1"/>
  <c r="A317" i="56" a="1"/>
  <c r="A317" i="56" s="1"/>
  <c r="A309" i="56" a="1"/>
  <c r="A309" i="56" s="1"/>
  <c r="A301" i="56" a="1"/>
  <c r="A301" i="56" s="1"/>
  <c r="A293" i="56" a="1"/>
  <c r="A293" i="56" s="1"/>
  <c r="A285" i="56" a="1"/>
  <c r="A285" i="56" s="1"/>
  <c r="A277" i="56" a="1"/>
  <c r="A277" i="56" s="1"/>
  <c r="A269" i="56" a="1"/>
  <c r="A269" i="56" s="1"/>
  <c r="A261" i="56" a="1"/>
  <c r="A261" i="56" s="1"/>
  <c r="A253" i="56" a="1"/>
  <c r="A253" i="56" s="1"/>
  <c r="A245" i="56" a="1"/>
  <c r="A245" i="56" s="1"/>
  <c r="A237" i="56" a="1"/>
  <c r="A237" i="56" s="1"/>
  <c r="A229" i="56" a="1"/>
  <c r="A229" i="56" s="1"/>
  <c r="A221" i="56" a="1"/>
  <c r="A221" i="56" s="1"/>
  <c r="A213" i="56" a="1"/>
  <c r="A213" i="56" s="1"/>
  <c r="A205" i="56" a="1"/>
  <c r="A205" i="56" s="1"/>
  <c r="A197" i="56" a="1"/>
  <c r="A197" i="56" s="1"/>
  <c r="A189" i="56" a="1"/>
  <c r="A189" i="56" s="1"/>
  <c r="A181" i="56" a="1"/>
  <c r="A181" i="56" s="1"/>
  <c r="A173" i="56" a="1"/>
  <c r="A173" i="56" s="1"/>
  <c r="A164" i="56" a="1"/>
  <c r="A164" i="56" s="1"/>
  <c r="A155" i="56" a="1"/>
  <c r="A155" i="56" s="1"/>
  <c r="A146" i="56" a="1"/>
  <c r="A146" i="56" s="1"/>
  <c r="A137" i="56" a="1"/>
  <c r="A137" i="56" s="1"/>
  <c r="A128" i="56" a="1"/>
  <c r="A128" i="56" s="1"/>
  <c r="A119" i="56" a="1"/>
  <c r="A119" i="56" s="1"/>
  <c r="A110" i="56" a="1"/>
  <c r="A110" i="56" s="1"/>
  <c r="A101" i="56" a="1"/>
  <c r="A101" i="56" s="1"/>
  <c r="A92" i="56" a="1"/>
  <c r="A92" i="56" s="1"/>
  <c r="A83" i="56" a="1"/>
  <c r="A83" i="56" s="1"/>
  <c r="A74" i="56" a="1"/>
  <c r="A74" i="56" s="1"/>
  <c r="A65" i="56" a="1"/>
  <c r="A65" i="56" s="1"/>
  <c r="A56" i="56" a="1"/>
  <c r="A56" i="56" s="1"/>
  <c r="A47" i="56" a="1"/>
  <c r="A47" i="56" s="1"/>
  <c r="A38" i="56" a="1"/>
  <c r="A38" i="56" s="1"/>
  <c r="A23" i="56"/>
  <c r="A22" i="56"/>
  <c r="B13" i="56"/>
  <c r="B19" i="56" s="1"/>
  <c r="B7" i="56"/>
  <c r="B6" i="33"/>
  <c r="D47" i="35"/>
  <c r="D48" i="35"/>
  <c r="L24" i="22"/>
  <c r="L25" i="22"/>
  <c r="L26" i="22"/>
  <c r="Q25" i="22"/>
  <c r="AA9" i="25" s="1"/>
  <c r="Q26" i="22"/>
  <c r="AA10" i="25" s="1"/>
  <c r="D212" i="7"/>
  <c r="D211" i="7"/>
  <c r="D209" i="7"/>
  <c r="D208" i="7"/>
  <c r="D206" i="7"/>
  <c r="D205" i="7"/>
  <c r="E205" i="7" s="1"/>
  <c r="D203" i="7"/>
  <c r="D202" i="7"/>
  <c r="E202" i="7" s="1"/>
  <c r="D200" i="7"/>
  <c r="D199" i="7"/>
  <c r="E199" i="7" s="1"/>
  <c r="F199" i="7" s="1"/>
  <c r="G199" i="7" s="1"/>
  <c r="D197" i="7"/>
  <c r="D196" i="7"/>
  <c r="D194" i="7"/>
  <c r="D193" i="7"/>
  <c r="D191" i="7"/>
  <c r="D190" i="7"/>
  <c r="D188" i="7"/>
  <c r="D187" i="7"/>
  <c r="D185" i="7"/>
  <c r="D184" i="7"/>
  <c r="N304" i="7" a="1"/>
  <c r="N304" i="7" s="1"/>
  <c r="J25" i="56" l="1"/>
  <c r="N145" i="35"/>
  <c r="Q14" i="56" s="1"/>
  <c r="Q13" i="56"/>
  <c r="N136" i="35"/>
  <c r="Q5" i="56" s="1"/>
  <c r="Q4" i="56"/>
  <c r="L19" i="56"/>
  <c r="J22" i="56"/>
  <c r="Q28" i="56"/>
  <c r="P162" i="35"/>
  <c r="S31" i="56" s="1"/>
  <c r="P13" i="56"/>
  <c r="M145" i="35"/>
  <c r="P14" i="56" s="1"/>
  <c r="J28" i="56"/>
  <c r="P159" i="35"/>
  <c r="S28" i="56" s="1"/>
  <c r="N19" i="56"/>
  <c r="K151" i="35"/>
  <c r="N20" i="56" s="1"/>
  <c r="N139" i="35"/>
  <c r="Q8" i="56" s="1"/>
  <c r="Q7" i="56"/>
  <c r="Q25" i="56"/>
  <c r="P25" i="56"/>
  <c r="L10" i="56"/>
  <c r="Q19" i="56"/>
  <c r="J19" i="56"/>
  <c r="M19" i="56"/>
  <c r="J7" i="56"/>
  <c r="J4" i="56"/>
  <c r="L28" i="56"/>
  <c r="N13" i="56"/>
  <c r="S25" i="56"/>
  <c r="L22" i="56"/>
  <c r="L7" i="56"/>
  <c r="P147" i="35"/>
  <c r="S16" i="56" s="1"/>
  <c r="M13" i="56"/>
  <c r="P144" i="35"/>
  <c r="S13" i="56" s="1"/>
  <c r="L13" i="56"/>
  <c r="M151" i="35"/>
  <c r="P20" i="56" s="1"/>
  <c r="P141" i="35"/>
  <c r="S10" i="56" s="1"/>
  <c r="L151" i="35"/>
  <c r="O20" i="56" s="1"/>
  <c r="S19" i="56"/>
  <c r="N10" i="56"/>
  <c r="K142" i="35"/>
  <c r="N11" i="56" s="1"/>
  <c r="L25" i="56"/>
  <c r="O13" i="56"/>
  <c r="L16" i="56"/>
  <c r="N28" i="56"/>
  <c r="L142" i="35"/>
  <c r="O11" i="56" s="1"/>
  <c r="M28" i="56"/>
  <c r="O28" i="56"/>
  <c r="K148" i="35"/>
  <c r="N17" i="56" s="1"/>
  <c r="J142" i="35"/>
  <c r="M11" i="56" s="1"/>
  <c r="P7" i="56"/>
  <c r="P28" i="56"/>
  <c r="J148" i="35"/>
  <c r="M17" i="56" s="1"/>
  <c r="O7" i="56"/>
  <c r="N7" i="56"/>
  <c r="L4" i="56"/>
  <c r="M7" i="56"/>
  <c r="M136" i="35"/>
  <c r="P5" i="56" s="1"/>
  <c r="P4" i="56"/>
  <c r="Q31" i="56"/>
  <c r="Q22" i="56"/>
  <c r="Q16" i="56"/>
  <c r="Q10" i="56"/>
  <c r="P31" i="56"/>
  <c r="P22" i="56"/>
  <c r="P16" i="56"/>
  <c r="P10" i="56"/>
  <c r="O31" i="56"/>
  <c r="O25" i="56"/>
  <c r="O22" i="56"/>
  <c r="O16" i="56"/>
  <c r="O4" i="56"/>
  <c r="N31" i="56"/>
  <c r="N25" i="56"/>
  <c r="N22" i="56"/>
  <c r="N4" i="56"/>
  <c r="M31" i="56"/>
  <c r="M25" i="56"/>
  <c r="M22" i="56"/>
  <c r="M4" i="56"/>
  <c r="J31" i="56"/>
  <c r="J16" i="56"/>
  <c r="E184" i="7"/>
  <c r="F184" i="7" s="1"/>
  <c r="F202" i="7"/>
  <c r="E187" i="7"/>
  <c r="F187" i="7" s="1"/>
  <c r="F205" i="7"/>
  <c r="E190" i="7"/>
  <c r="E208" i="7"/>
  <c r="F208" i="7"/>
  <c r="E193" i="7"/>
  <c r="F193" i="7" s="1"/>
  <c r="G193" i="7" s="1"/>
  <c r="E211" i="7"/>
  <c r="F211" i="7" s="1"/>
  <c r="E196" i="7"/>
  <c r="H199" i="7"/>
  <c r="I199" i="7" s="1"/>
  <c r="G202" i="7"/>
  <c r="G205" i="7"/>
  <c r="H205" i="7"/>
  <c r="O162" i="35"/>
  <c r="R31" i="56" s="1"/>
  <c r="I163" i="35"/>
  <c r="O156" i="35"/>
  <c r="R25" i="56" s="1"/>
  <c r="O157" i="35"/>
  <c r="R26" i="56" s="1"/>
  <c r="O154" i="35"/>
  <c r="R23" i="56" s="1"/>
  <c r="O160" i="35"/>
  <c r="R29" i="56" s="1"/>
  <c r="O159" i="35"/>
  <c r="R28" i="56" s="1"/>
  <c r="O153" i="35"/>
  <c r="R22" i="56" s="1"/>
  <c r="O150" i="35"/>
  <c r="R19" i="56" s="1"/>
  <c r="O147" i="35"/>
  <c r="R16" i="56" s="1"/>
  <c r="O144" i="35"/>
  <c r="R13" i="56" s="1"/>
  <c r="O141" i="35"/>
  <c r="R10" i="56" s="1"/>
  <c r="O138" i="35"/>
  <c r="R7" i="56" s="1"/>
  <c r="O135" i="35"/>
  <c r="R4" i="56" s="1"/>
  <c r="O137" i="35"/>
  <c r="R6" i="56" s="1"/>
  <c r="G431" i="56" a="1"/>
  <c r="G431" i="56" s="1"/>
  <c r="H431" i="56" a="1"/>
  <c r="H431" i="56" s="1"/>
  <c r="D228" i="23"/>
  <c r="H417" i="56" a="1"/>
  <c r="H417" i="56" s="1"/>
  <c r="H424" i="56" a="1"/>
  <c r="H424" i="56" s="1"/>
  <c r="D241" i="23"/>
  <c r="D240" i="23"/>
  <c r="D424" i="56" a="1"/>
  <c r="D424" i="56" s="1"/>
  <c r="D237" i="23"/>
  <c r="D239" i="23"/>
  <c r="D250" i="23"/>
  <c r="F431" i="56" a="1"/>
  <c r="F431" i="56" s="1"/>
  <c r="D227" i="23"/>
  <c r="C417" i="56" a="1"/>
  <c r="C417" i="56" s="1"/>
  <c r="D251" i="23"/>
  <c r="D252" i="23"/>
  <c r="E417" i="56" a="1"/>
  <c r="E417" i="56" s="1"/>
  <c r="D417" i="56" a="1"/>
  <c r="D417" i="56" s="1"/>
  <c r="N305" i="7" a="1"/>
  <c r="N305" i="7" s="1"/>
  <c r="O145" i="35" l="1"/>
  <c r="R14" i="56" s="1"/>
  <c r="O142" i="35"/>
  <c r="R11" i="56" s="1"/>
  <c r="O151" i="35"/>
  <c r="R20" i="56" s="1"/>
  <c r="O139" i="35"/>
  <c r="R8" i="56" s="1"/>
  <c r="O136" i="35"/>
  <c r="R5" i="56" s="1"/>
  <c r="O148" i="35"/>
  <c r="R17" i="56" s="1"/>
  <c r="O163" i="35"/>
  <c r="R32" i="56" s="1"/>
  <c r="L32" i="56"/>
  <c r="G208" i="7"/>
  <c r="H208" i="7" s="1"/>
  <c r="G211" i="7"/>
  <c r="H211" i="7" s="1"/>
  <c r="G184" i="7"/>
  <c r="H184" i="7"/>
  <c r="I205" i="7"/>
  <c r="I208" i="7"/>
  <c r="G187" i="7"/>
  <c r="F190" i="7"/>
  <c r="G190" i="7"/>
  <c r="F196" i="7"/>
  <c r="H193" i="7"/>
  <c r="I193" i="7" s="1"/>
  <c r="H202" i="7"/>
  <c r="I202" i="7" s="1"/>
  <c r="N306" i="7" a="1"/>
  <c r="N306" i="7" s="1"/>
  <c r="H190" i="7" l="1"/>
  <c r="I184" i="7"/>
  <c r="G196" i="7"/>
  <c r="H196" i="7" s="1"/>
  <c r="I196" i="7" s="1"/>
  <c r="I190" i="7"/>
  <c r="I211" i="7"/>
  <c r="H187" i="7"/>
  <c r="I187" i="7" s="1"/>
  <c r="N307" i="7" a="1"/>
  <c r="N307" i="7" s="1"/>
  <c r="N308" i="7" s="1" a="1"/>
  <c r="N308" i="7" s="1"/>
  <c r="N309" i="7" l="1" a="1"/>
  <c r="N309" i="7" s="1"/>
  <c r="M415" i="25" l="1"/>
  <c r="M386" i="25"/>
  <c r="M357" i="25"/>
  <c r="M328" i="25"/>
  <c r="M299" i="25"/>
  <c r="M270" i="25"/>
  <c r="M241" i="25"/>
  <c r="M212" i="25"/>
  <c r="M183" i="25"/>
  <c r="M154" i="25"/>
  <c r="M125" i="25"/>
  <c r="M96" i="25"/>
  <c r="M67" i="25"/>
  <c r="M38" i="25"/>
  <c r="M9" i="25"/>
  <c r="Q6" i="21"/>
  <c r="I255" i="23"/>
  <c r="H430" i="56" s="1" a="1"/>
  <c r="H430" i="56" s="1"/>
  <c r="I254" i="23"/>
  <c r="G430" i="56" s="1" a="1"/>
  <c r="G430" i="56" s="1"/>
  <c r="I253" i="23"/>
  <c r="F430" i="56" s="1" a="1"/>
  <c r="F430" i="56" s="1"/>
  <c r="I252" i="23"/>
  <c r="E430" i="56" s="1" a="1"/>
  <c r="E430" i="56" s="1"/>
  <c r="I251" i="23"/>
  <c r="D430" i="56" s="1" a="1"/>
  <c r="D430" i="56" s="1"/>
  <c r="I250" i="23"/>
  <c r="C430" i="56" s="1" a="1"/>
  <c r="C430" i="56" s="1"/>
  <c r="I242" i="23"/>
  <c r="H423" i="56" s="1" a="1"/>
  <c r="H423" i="56" s="1"/>
  <c r="I241" i="23"/>
  <c r="G423" i="56" s="1" a="1"/>
  <c r="G423" i="56" s="1"/>
  <c r="I240" i="23"/>
  <c r="F423" i="56" s="1" a="1"/>
  <c r="F423" i="56" s="1"/>
  <c r="I239" i="23"/>
  <c r="E423" i="56" s="1" a="1"/>
  <c r="E423" i="56" s="1"/>
  <c r="I238" i="23"/>
  <c r="D423" i="56" s="1" a="1"/>
  <c r="D423" i="56" s="1"/>
  <c r="I237" i="23"/>
  <c r="C423" i="56" s="1" a="1"/>
  <c r="C423" i="56" s="1"/>
  <c r="I225" i="23"/>
  <c r="D416" i="56" s="1" a="1"/>
  <c r="D416" i="56" s="1"/>
  <c r="I226" i="23"/>
  <c r="E416" i="56" s="1" a="1"/>
  <c r="E416" i="56" s="1"/>
  <c r="I227" i="23"/>
  <c r="F416" i="56" s="1" a="1"/>
  <c r="F416" i="56" s="1"/>
  <c r="I228" i="23"/>
  <c r="G416" i="56" s="1" a="1"/>
  <c r="G416" i="56" s="1"/>
  <c r="I229" i="23"/>
  <c r="H416" i="56" s="1" a="1"/>
  <c r="H416" i="56" s="1"/>
  <c r="I224" i="23"/>
  <c r="C416" i="56" s="1" a="1"/>
  <c r="C416" i="56" s="1"/>
  <c r="J248" i="23"/>
  <c r="J235" i="23"/>
  <c r="J222" i="23"/>
  <c r="B34" i="41"/>
  <c r="L2" i="41"/>
  <c r="L3" i="41"/>
  <c r="L3" i="40"/>
  <c r="A24" i="39"/>
  <c r="C24" i="39"/>
  <c r="D24" i="39"/>
  <c r="E24" i="39"/>
  <c r="F24" i="39"/>
  <c r="G24" i="39"/>
  <c r="H24" i="39"/>
  <c r="I37" i="55"/>
  <c r="G25" i="55"/>
  <c r="B27" i="55"/>
  <c r="B28" i="55"/>
  <c r="B29" i="55"/>
  <c r="B30" i="55"/>
  <c r="B31" i="55"/>
  <c r="B32" i="55"/>
  <c r="G16" i="55"/>
  <c r="G17" i="55"/>
  <c r="G203" i="54"/>
  <c r="B187" i="54"/>
  <c r="B188" i="54"/>
  <c r="B189" i="54"/>
  <c r="B190" i="54"/>
  <c r="B191" i="54"/>
  <c r="B192" i="54"/>
  <c r="B193" i="54"/>
  <c r="G168" i="54"/>
  <c r="B152" i="54"/>
  <c r="B153" i="54"/>
  <c r="B154" i="54"/>
  <c r="B155" i="54"/>
  <c r="B156" i="54"/>
  <c r="B157" i="54"/>
  <c r="B158" i="54"/>
  <c r="G133" i="54"/>
  <c r="B117" i="54"/>
  <c r="B118" i="54"/>
  <c r="B119" i="54"/>
  <c r="B120" i="54"/>
  <c r="B121" i="54"/>
  <c r="B122" i="54"/>
  <c r="B123" i="54"/>
  <c r="G98" i="54"/>
  <c r="B82" i="54"/>
  <c r="B83" i="54"/>
  <c r="B84" i="54"/>
  <c r="B85" i="54"/>
  <c r="B86" i="54"/>
  <c r="B87" i="54"/>
  <c r="B88" i="54"/>
  <c r="G63" i="54"/>
  <c r="B47" i="54"/>
  <c r="B48" i="54"/>
  <c r="B49" i="54"/>
  <c r="B50" i="54"/>
  <c r="B51" i="54"/>
  <c r="B52" i="54"/>
  <c r="B53" i="54"/>
  <c r="G28" i="54"/>
  <c r="B12" i="54"/>
  <c r="B13" i="54"/>
  <c r="B14" i="54"/>
  <c r="B15" i="54"/>
  <c r="B16" i="54"/>
  <c r="B17" i="54"/>
  <c r="B18" i="54"/>
  <c r="I146" i="53"/>
  <c r="I147" i="53"/>
  <c r="I148" i="53"/>
  <c r="I149" i="53"/>
  <c r="I150" i="53"/>
  <c r="I151" i="53"/>
  <c r="B146" i="53"/>
  <c r="B147" i="53"/>
  <c r="B148" i="53"/>
  <c r="B149" i="53"/>
  <c r="B150" i="53"/>
  <c r="B151" i="53"/>
  <c r="I118" i="53"/>
  <c r="I119" i="53"/>
  <c r="I120" i="53"/>
  <c r="I121" i="53"/>
  <c r="I122" i="53"/>
  <c r="I123" i="53"/>
  <c r="B118" i="53"/>
  <c r="B119" i="53"/>
  <c r="B120" i="53"/>
  <c r="B121" i="53"/>
  <c r="B122" i="53"/>
  <c r="B123" i="53"/>
  <c r="I90" i="53"/>
  <c r="I91" i="53"/>
  <c r="I92" i="53"/>
  <c r="I93" i="53"/>
  <c r="I94" i="53"/>
  <c r="I95" i="53"/>
  <c r="B90" i="53"/>
  <c r="B91" i="53"/>
  <c r="B92" i="53"/>
  <c r="B93" i="53"/>
  <c r="B94" i="53"/>
  <c r="B95" i="53"/>
  <c r="I62" i="53"/>
  <c r="I63" i="53"/>
  <c r="I64" i="53"/>
  <c r="I65" i="53"/>
  <c r="I66" i="53"/>
  <c r="I67" i="53"/>
  <c r="B62" i="53"/>
  <c r="B63" i="53"/>
  <c r="B64" i="53"/>
  <c r="B65" i="53"/>
  <c r="B66" i="53"/>
  <c r="B67" i="53"/>
  <c r="I34" i="53"/>
  <c r="I35" i="53"/>
  <c r="I36" i="53"/>
  <c r="I37" i="53"/>
  <c r="I38" i="53"/>
  <c r="I39" i="53"/>
  <c r="B34" i="53"/>
  <c r="B35" i="53"/>
  <c r="B36" i="53"/>
  <c r="B37" i="53"/>
  <c r="B38" i="53"/>
  <c r="B39" i="53"/>
  <c r="I6" i="53"/>
  <c r="I7" i="53"/>
  <c r="I8" i="53"/>
  <c r="I9" i="53"/>
  <c r="I10" i="53"/>
  <c r="I11" i="53"/>
  <c r="B6" i="53"/>
  <c r="B7" i="53"/>
  <c r="B8" i="53"/>
  <c r="B9" i="53"/>
  <c r="B10" i="53"/>
  <c r="B11" i="53"/>
  <c r="H98" i="52"/>
  <c r="H99" i="52"/>
  <c r="A94" i="52"/>
  <c r="B94" i="52"/>
  <c r="C94" i="52"/>
  <c r="A95" i="52"/>
  <c r="B95" i="52"/>
  <c r="C95" i="52"/>
  <c r="A96" i="52"/>
  <c r="B96" i="52"/>
  <c r="C96" i="52"/>
  <c r="A97" i="52"/>
  <c r="B97" i="52"/>
  <c r="C97" i="52"/>
  <c r="C92" i="52"/>
  <c r="C93" i="52"/>
  <c r="A90" i="52"/>
  <c r="A91" i="52"/>
  <c r="A92" i="52"/>
  <c r="A93" i="52"/>
  <c r="H81" i="52"/>
  <c r="H82" i="52"/>
  <c r="A77" i="52"/>
  <c r="B77" i="52"/>
  <c r="C77" i="52"/>
  <c r="A78" i="52"/>
  <c r="B78" i="52"/>
  <c r="C78" i="52"/>
  <c r="A79" i="52"/>
  <c r="B79" i="52"/>
  <c r="C79" i="52"/>
  <c r="A80" i="52"/>
  <c r="B80" i="52"/>
  <c r="C80" i="52"/>
  <c r="C75" i="52"/>
  <c r="C76" i="52"/>
  <c r="A73" i="52"/>
  <c r="A74" i="52"/>
  <c r="A75" i="52"/>
  <c r="A76" i="52"/>
  <c r="H64" i="52"/>
  <c r="H65" i="52"/>
  <c r="A60" i="52"/>
  <c r="B60" i="52"/>
  <c r="C60" i="52"/>
  <c r="A61" i="52"/>
  <c r="B61" i="52"/>
  <c r="C61" i="52"/>
  <c r="A62" i="52"/>
  <c r="B62" i="52"/>
  <c r="C62" i="52"/>
  <c r="A63" i="52"/>
  <c r="B63" i="52"/>
  <c r="C63" i="52"/>
  <c r="C58" i="52"/>
  <c r="C59" i="52"/>
  <c r="A56" i="52"/>
  <c r="A57" i="52"/>
  <c r="A58" i="52"/>
  <c r="A59" i="52"/>
  <c r="H47" i="52"/>
  <c r="H48" i="52"/>
  <c r="A43" i="52"/>
  <c r="B43" i="52"/>
  <c r="C43" i="52"/>
  <c r="A44" i="52"/>
  <c r="B44" i="52"/>
  <c r="C44" i="52"/>
  <c r="A45" i="52"/>
  <c r="B45" i="52"/>
  <c r="C45" i="52"/>
  <c r="A46" i="52"/>
  <c r="B46" i="52"/>
  <c r="C46" i="52"/>
  <c r="C41" i="52"/>
  <c r="C42" i="52"/>
  <c r="A39" i="52"/>
  <c r="A40" i="52"/>
  <c r="A41" i="52"/>
  <c r="A42" i="52"/>
  <c r="H30" i="52"/>
  <c r="H31" i="52"/>
  <c r="A26" i="52"/>
  <c r="B26" i="52"/>
  <c r="C26" i="52"/>
  <c r="A27" i="52"/>
  <c r="B27" i="52"/>
  <c r="C27" i="52"/>
  <c r="A28" i="52"/>
  <c r="B28" i="52"/>
  <c r="C28" i="52"/>
  <c r="A29" i="52"/>
  <c r="B29" i="52"/>
  <c r="C29" i="52"/>
  <c r="C24" i="52"/>
  <c r="C25" i="52"/>
  <c r="A22" i="52"/>
  <c r="A23" i="52"/>
  <c r="A24" i="52"/>
  <c r="A25" i="52"/>
  <c r="H13" i="52"/>
  <c r="H14" i="52"/>
  <c r="A9" i="52"/>
  <c r="B9" i="52"/>
  <c r="C9" i="52"/>
  <c r="A10" i="52"/>
  <c r="B10" i="52"/>
  <c r="C10" i="52"/>
  <c r="A11" i="52"/>
  <c r="B11" i="52"/>
  <c r="C11" i="52"/>
  <c r="A12" i="52"/>
  <c r="B12" i="52"/>
  <c r="C12" i="52"/>
  <c r="C7" i="52"/>
  <c r="C8" i="52"/>
  <c r="A5" i="52"/>
  <c r="A6" i="52"/>
  <c r="A7" i="52"/>
  <c r="A8" i="52"/>
  <c r="R202" i="36"/>
  <c r="R203" i="36"/>
  <c r="K197" i="36"/>
  <c r="L197" i="36"/>
  <c r="M197" i="36"/>
  <c r="N197" i="36"/>
  <c r="O197" i="36"/>
  <c r="P197" i="36"/>
  <c r="K198" i="36"/>
  <c r="L198" i="36"/>
  <c r="M198" i="36"/>
  <c r="N198" i="36"/>
  <c r="O198" i="36"/>
  <c r="P198" i="36"/>
  <c r="B197" i="36"/>
  <c r="C197" i="36"/>
  <c r="D197" i="36"/>
  <c r="E197" i="36"/>
  <c r="F197" i="36"/>
  <c r="G197" i="36"/>
  <c r="B198" i="36"/>
  <c r="C198" i="36"/>
  <c r="D198" i="36"/>
  <c r="E198" i="36"/>
  <c r="F198" i="36"/>
  <c r="G198" i="36"/>
  <c r="Q187" i="36"/>
  <c r="T187" i="36" s="1"/>
  <c r="Q188" i="36"/>
  <c r="T188" i="36" s="1"/>
  <c r="Q189" i="36"/>
  <c r="T189" i="36" s="1"/>
  <c r="Q190" i="36"/>
  <c r="T190" i="36" s="1"/>
  <c r="Q191" i="36"/>
  <c r="T191" i="36" s="1"/>
  <c r="Q192" i="36"/>
  <c r="T192" i="36" s="1"/>
  <c r="Q193" i="36"/>
  <c r="T193" i="36" s="1"/>
  <c r="Q194" i="36"/>
  <c r="T194" i="36" s="1"/>
  <c r="Q195" i="36"/>
  <c r="T195" i="36" s="1"/>
  <c r="Q196" i="36"/>
  <c r="T196" i="36" s="1"/>
  <c r="H187" i="36"/>
  <c r="S187" i="36" s="1"/>
  <c r="H188" i="36"/>
  <c r="S188" i="36" s="1"/>
  <c r="H189" i="36"/>
  <c r="S189" i="36" s="1"/>
  <c r="H190" i="36"/>
  <c r="S190" i="36" s="1"/>
  <c r="H191" i="36"/>
  <c r="S191" i="36" s="1"/>
  <c r="H192" i="36"/>
  <c r="S192" i="36" s="1"/>
  <c r="H193" i="36"/>
  <c r="S193" i="36" s="1"/>
  <c r="H194" i="36"/>
  <c r="S194" i="36" s="1"/>
  <c r="H195" i="36"/>
  <c r="S195" i="36" s="1"/>
  <c r="H196" i="36"/>
  <c r="S196" i="36" s="1"/>
  <c r="R182" i="36"/>
  <c r="R183" i="36"/>
  <c r="K177" i="36"/>
  <c r="L177" i="36"/>
  <c r="M177" i="36"/>
  <c r="N177" i="36"/>
  <c r="O177" i="36"/>
  <c r="P177" i="36"/>
  <c r="K178" i="36"/>
  <c r="L178" i="36"/>
  <c r="M178" i="36"/>
  <c r="N178" i="36"/>
  <c r="O178" i="36"/>
  <c r="P178" i="36"/>
  <c r="B177" i="36"/>
  <c r="C177" i="36"/>
  <c r="D177" i="36"/>
  <c r="E177" i="36"/>
  <c r="F177" i="36"/>
  <c r="G177" i="36"/>
  <c r="B178" i="36"/>
  <c r="C178" i="36"/>
  <c r="D178" i="36"/>
  <c r="E178" i="36"/>
  <c r="F178" i="36"/>
  <c r="G178" i="36"/>
  <c r="Q167" i="36"/>
  <c r="T167" i="36" s="1"/>
  <c r="Q168" i="36"/>
  <c r="T168" i="36" s="1"/>
  <c r="Q169" i="36"/>
  <c r="T169" i="36" s="1"/>
  <c r="Q170" i="36"/>
  <c r="T170" i="36" s="1"/>
  <c r="Q171" i="36"/>
  <c r="T171" i="36" s="1"/>
  <c r="Q172" i="36"/>
  <c r="T172" i="36" s="1"/>
  <c r="Q173" i="36"/>
  <c r="T173" i="36" s="1"/>
  <c r="Q174" i="36"/>
  <c r="T174" i="36" s="1"/>
  <c r="Q175" i="36"/>
  <c r="T175" i="36" s="1"/>
  <c r="Q176" i="36"/>
  <c r="T176" i="36" s="1"/>
  <c r="H167" i="36"/>
  <c r="S167" i="36" s="1"/>
  <c r="H168" i="36"/>
  <c r="S168" i="36" s="1"/>
  <c r="H169" i="36"/>
  <c r="S169" i="36" s="1"/>
  <c r="H170" i="36"/>
  <c r="S170" i="36" s="1"/>
  <c r="H171" i="36"/>
  <c r="S171" i="36" s="1"/>
  <c r="H172" i="36"/>
  <c r="S172" i="36" s="1"/>
  <c r="H173" i="36"/>
  <c r="S173" i="36" s="1"/>
  <c r="H174" i="36"/>
  <c r="S174" i="36" s="1"/>
  <c r="H175" i="36"/>
  <c r="S175" i="36" s="1"/>
  <c r="H176" i="36"/>
  <c r="S176" i="36" s="1"/>
  <c r="R162" i="36"/>
  <c r="R163" i="36"/>
  <c r="K157" i="36"/>
  <c r="L157" i="36"/>
  <c r="M157" i="36"/>
  <c r="N157" i="36"/>
  <c r="O157" i="36"/>
  <c r="P157" i="36"/>
  <c r="K158" i="36"/>
  <c r="L158" i="36"/>
  <c r="M158" i="36"/>
  <c r="N158" i="36"/>
  <c r="O158" i="36"/>
  <c r="P158" i="36"/>
  <c r="B157" i="36"/>
  <c r="C157" i="36"/>
  <c r="D157" i="36"/>
  <c r="E157" i="36"/>
  <c r="F157" i="36"/>
  <c r="G157" i="36"/>
  <c r="B158" i="36"/>
  <c r="C158" i="36"/>
  <c r="D158" i="36"/>
  <c r="E158" i="36"/>
  <c r="F158" i="36"/>
  <c r="G158" i="36"/>
  <c r="Q147" i="36"/>
  <c r="T147" i="36" s="1"/>
  <c r="Q148" i="36"/>
  <c r="T148" i="36" s="1"/>
  <c r="Q149" i="36"/>
  <c r="T149" i="36" s="1"/>
  <c r="Q150" i="36"/>
  <c r="T150" i="36" s="1"/>
  <c r="Q151" i="36"/>
  <c r="T151" i="36" s="1"/>
  <c r="Q152" i="36"/>
  <c r="T152" i="36" s="1"/>
  <c r="Q153" i="36"/>
  <c r="T153" i="36" s="1"/>
  <c r="Q154" i="36"/>
  <c r="T154" i="36" s="1"/>
  <c r="Q155" i="36"/>
  <c r="T155" i="36" s="1"/>
  <c r="Q156" i="36"/>
  <c r="T156" i="36" s="1"/>
  <c r="H147" i="36"/>
  <c r="S147" i="36" s="1"/>
  <c r="H148" i="36"/>
  <c r="S148" i="36" s="1"/>
  <c r="H149" i="36"/>
  <c r="S149" i="36" s="1"/>
  <c r="H150" i="36"/>
  <c r="S150" i="36" s="1"/>
  <c r="H151" i="36"/>
  <c r="S151" i="36" s="1"/>
  <c r="H152" i="36"/>
  <c r="S152" i="36" s="1"/>
  <c r="H153" i="36"/>
  <c r="S153" i="36" s="1"/>
  <c r="H154" i="36"/>
  <c r="S154" i="36" s="1"/>
  <c r="H155" i="36"/>
  <c r="S155" i="36" s="1"/>
  <c r="H156" i="36"/>
  <c r="S156" i="36" s="1"/>
  <c r="R142" i="36"/>
  <c r="R143" i="36"/>
  <c r="K137" i="36"/>
  <c r="L137" i="36"/>
  <c r="M137" i="36"/>
  <c r="N137" i="36"/>
  <c r="O137" i="36"/>
  <c r="P137" i="36"/>
  <c r="K138" i="36"/>
  <c r="L138" i="36"/>
  <c r="M138" i="36"/>
  <c r="N138" i="36"/>
  <c r="O138" i="36"/>
  <c r="P138" i="36"/>
  <c r="B137" i="36"/>
  <c r="C137" i="36"/>
  <c r="D137" i="36"/>
  <c r="E137" i="36"/>
  <c r="F137" i="36"/>
  <c r="G137" i="36"/>
  <c r="B138" i="36"/>
  <c r="C138" i="36"/>
  <c r="D138" i="36"/>
  <c r="E138" i="36"/>
  <c r="F138" i="36"/>
  <c r="G138" i="36"/>
  <c r="Q127" i="36"/>
  <c r="T127" i="36" s="1"/>
  <c r="Q128" i="36"/>
  <c r="T128" i="36" s="1"/>
  <c r="Q129" i="36"/>
  <c r="T129" i="36" s="1"/>
  <c r="Q130" i="36"/>
  <c r="T130" i="36" s="1"/>
  <c r="Q131" i="36"/>
  <c r="T131" i="36" s="1"/>
  <c r="Q132" i="36"/>
  <c r="T132" i="36" s="1"/>
  <c r="Q133" i="36"/>
  <c r="T133" i="36" s="1"/>
  <c r="Q134" i="36"/>
  <c r="T134" i="36" s="1"/>
  <c r="Q135" i="36"/>
  <c r="T135" i="36" s="1"/>
  <c r="Q136" i="36"/>
  <c r="T136" i="36" s="1"/>
  <c r="H127" i="36"/>
  <c r="S127" i="36" s="1"/>
  <c r="H128" i="36"/>
  <c r="S128" i="36" s="1"/>
  <c r="H129" i="36"/>
  <c r="S129" i="36" s="1"/>
  <c r="H130" i="36"/>
  <c r="S130" i="36" s="1"/>
  <c r="H131" i="36"/>
  <c r="S131" i="36" s="1"/>
  <c r="H132" i="36"/>
  <c r="S132" i="36" s="1"/>
  <c r="H133" i="36"/>
  <c r="S133" i="36" s="1"/>
  <c r="H134" i="36"/>
  <c r="S134" i="36" s="1"/>
  <c r="H135" i="36"/>
  <c r="S135" i="36" s="1"/>
  <c r="H136" i="36"/>
  <c r="S136" i="36" s="1"/>
  <c r="R122" i="36"/>
  <c r="R123" i="36"/>
  <c r="K117" i="36"/>
  <c r="L117" i="36"/>
  <c r="M117" i="36"/>
  <c r="N117" i="36"/>
  <c r="O117" i="36"/>
  <c r="P117" i="36"/>
  <c r="K118" i="36"/>
  <c r="L118" i="36"/>
  <c r="M118" i="36"/>
  <c r="N118" i="36"/>
  <c r="O118" i="36"/>
  <c r="P118" i="36"/>
  <c r="B117" i="36"/>
  <c r="C117" i="36"/>
  <c r="D117" i="36"/>
  <c r="E117" i="36"/>
  <c r="F117" i="36"/>
  <c r="G117" i="36"/>
  <c r="B118" i="36"/>
  <c r="C118" i="36"/>
  <c r="D118" i="36"/>
  <c r="E118" i="36"/>
  <c r="F118" i="36"/>
  <c r="G118" i="36"/>
  <c r="Q107" i="36"/>
  <c r="T107" i="36" s="1"/>
  <c r="Q108" i="36"/>
  <c r="T108" i="36" s="1"/>
  <c r="Q109" i="36"/>
  <c r="T109" i="36" s="1"/>
  <c r="Q110" i="36"/>
  <c r="T110" i="36" s="1"/>
  <c r="Q111" i="36"/>
  <c r="T111" i="36" s="1"/>
  <c r="Q112" i="36"/>
  <c r="T112" i="36" s="1"/>
  <c r="Q113" i="36"/>
  <c r="T113" i="36" s="1"/>
  <c r="Q114" i="36"/>
  <c r="T114" i="36" s="1"/>
  <c r="Q115" i="36"/>
  <c r="T115" i="36" s="1"/>
  <c r="Q116" i="36"/>
  <c r="T116" i="36" s="1"/>
  <c r="H107" i="36"/>
  <c r="S107" i="36" s="1"/>
  <c r="H108" i="36"/>
  <c r="S108" i="36" s="1"/>
  <c r="H109" i="36"/>
  <c r="S109" i="36" s="1"/>
  <c r="H110" i="36"/>
  <c r="S110" i="36" s="1"/>
  <c r="H111" i="36"/>
  <c r="S111" i="36" s="1"/>
  <c r="H112" i="36"/>
  <c r="S112" i="36" s="1"/>
  <c r="H113" i="36"/>
  <c r="S113" i="36" s="1"/>
  <c r="H114" i="36"/>
  <c r="S114" i="36" s="1"/>
  <c r="H115" i="36"/>
  <c r="S115" i="36" s="1"/>
  <c r="H116" i="36"/>
  <c r="S116" i="36" s="1"/>
  <c r="R102" i="36"/>
  <c r="R103" i="36"/>
  <c r="K97" i="36"/>
  <c r="L97" i="36"/>
  <c r="M97" i="36"/>
  <c r="N97" i="36"/>
  <c r="O97" i="36"/>
  <c r="P97" i="36"/>
  <c r="K98" i="36"/>
  <c r="L98" i="36"/>
  <c r="M98" i="36"/>
  <c r="N98" i="36"/>
  <c r="O98" i="36"/>
  <c r="P98" i="36"/>
  <c r="B97" i="36"/>
  <c r="C97" i="36"/>
  <c r="D97" i="36"/>
  <c r="E97" i="36"/>
  <c r="F97" i="36"/>
  <c r="G97" i="36"/>
  <c r="B98" i="36"/>
  <c r="C98" i="36"/>
  <c r="D98" i="36"/>
  <c r="E98" i="36"/>
  <c r="F98" i="36"/>
  <c r="G98" i="36"/>
  <c r="Q87" i="36"/>
  <c r="T87" i="36" s="1"/>
  <c r="Q88" i="36"/>
  <c r="T88" i="36" s="1"/>
  <c r="Q89" i="36"/>
  <c r="T89" i="36" s="1"/>
  <c r="Q90" i="36"/>
  <c r="T90" i="36" s="1"/>
  <c r="Q91" i="36"/>
  <c r="T91" i="36" s="1"/>
  <c r="Q92" i="36"/>
  <c r="T92" i="36" s="1"/>
  <c r="Q93" i="36"/>
  <c r="T93" i="36" s="1"/>
  <c r="Q94" i="36"/>
  <c r="T94" i="36" s="1"/>
  <c r="Q95" i="36"/>
  <c r="T95" i="36" s="1"/>
  <c r="Q96" i="36"/>
  <c r="T96" i="36" s="1"/>
  <c r="H87" i="36"/>
  <c r="S87" i="36" s="1"/>
  <c r="H88" i="36"/>
  <c r="S88" i="36" s="1"/>
  <c r="H89" i="36"/>
  <c r="S89" i="36" s="1"/>
  <c r="H90" i="36"/>
  <c r="S90" i="36" s="1"/>
  <c r="H91" i="36"/>
  <c r="S91" i="36" s="1"/>
  <c r="H92" i="36"/>
  <c r="S92" i="36" s="1"/>
  <c r="H93" i="36"/>
  <c r="S93" i="36" s="1"/>
  <c r="H94" i="36"/>
  <c r="S94" i="36" s="1"/>
  <c r="H95" i="36"/>
  <c r="S95" i="36" s="1"/>
  <c r="H96" i="36"/>
  <c r="S96" i="36" s="1"/>
  <c r="R82" i="36"/>
  <c r="R83" i="36"/>
  <c r="K77" i="36"/>
  <c r="L77" i="36"/>
  <c r="M77" i="36"/>
  <c r="N77" i="36"/>
  <c r="O77" i="36"/>
  <c r="P77" i="36"/>
  <c r="K78" i="36"/>
  <c r="L78" i="36"/>
  <c r="M78" i="36"/>
  <c r="N78" i="36"/>
  <c r="O78" i="36"/>
  <c r="P78" i="36"/>
  <c r="B77" i="36"/>
  <c r="C77" i="36"/>
  <c r="D77" i="36"/>
  <c r="E77" i="36"/>
  <c r="F77" i="36"/>
  <c r="G77" i="36"/>
  <c r="B78" i="36"/>
  <c r="C78" i="36"/>
  <c r="D78" i="36"/>
  <c r="E78" i="36"/>
  <c r="F78" i="36"/>
  <c r="G78" i="36"/>
  <c r="Q67" i="36"/>
  <c r="T67" i="36" s="1"/>
  <c r="Q68" i="36"/>
  <c r="T68" i="36" s="1"/>
  <c r="Q69" i="36"/>
  <c r="T69" i="36" s="1"/>
  <c r="Q70" i="36"/>
  <c r="T70" i="36" s="1"/>
  <c r="Q71" i="36"/>
  <c r="T71" i="36" s="1"/>
  <c r="Q72" i="36"/>
  <c r="T72" i="36" s="1"/>
  <c r="Q73" i="36"/>
  <c r="T73" i="36" s="1"/>
  <c r="Q74" i="36"/>
  <c r="T74" i="36" s="1"/>
  <c r="Q75" i="36"/>
  <c r="T75" i="36" s="1"/>
  <c r="Q76" i="36"/>
  <c r="T76" i="36" s="1"/>
  <c r="H67" i="36"/>
  <c r="S67" i="36" s="1"/>
  <c r="H68" i="36"/>
  <c r="S68" i="36" s="1"/>
  <c r="H69" i="36"/>
  <c r="S69" i="36" s="1"/>
  <c r="H70" i="36"/>
  <c r="S70" i="36" s="1"/>
  <c r="H71" i="36"/>
  <c r="S71" i="36" s="1"/>
  <c r="H72" i="36"/>
  <c r="S72" i="36" s="1"/>
  <c r="H73" i="36"/>
  <c r="S73" i="36" s="1"/>
  <c r="H74" i="36"/>
  <c r="S74" i="36" s="1"/>
  <c r="H75" i="36"/>
  <c r="S75" i="36" s="1"/>
  <c r="H76" i="36"/>
  <c r="S76" i="36" s="1"/>
  <c r="R62" i="36"/>
  <c r="R63" i="36"/>
  <c r="K57" i="36"/>
  <c r="L57" i="36"/>
  <c r="M57" i="36"/>
  <c r="N57" i="36"/>
  <c r="O57" i="36"/>
  <c r="P57" i="36"/>
  <c r="K58" i="36"/>
  <c r="L58" i="36"/>
  <c r="M58" i="36"/>
  <c r="N58" i="36"/>
  <c r="O58" i="36"/>
  <c r="P58" i="36"/>
  <c r="B57" i="36"/>
  <c r="C57" i="36"/>
  <c r="D57" i="36"/>
  <c r="E57" i="36"/>
  <c r="F57" i="36"/>
  <c r="G57" i="36"/>
  <c r="B58" i="36"/>
  <c r="C58" i="36"/>
  <c r="D58" i="36"/>
  <c r="E58" i="36"/>
  <c r="F58" i="36"/>
  <c r="G58" i="36"/>
  <c r="Q47" i="36"/>
  <c r="T47" i="36" s="1"/>
  <c r="Q48" i="36"/>
  <c r="T48" i="36" s="1"/>
  <c r="Q49" i="36"/>
  <c r="T49" i="36" s="1"/>
  <c r="Q50" i="36"/>
  <c r="T50" i="36" s="1"/>
  <c r="Q51" i="36"/>
  <c r="T51" i="36" s="1"/>
  <c r="Q52" i="36"/>
  <c r="T52" i="36" s="1"/>
  <c r="Q53" i="36"/>
  <c r="T53" i="36" s="1"/>
  <c r="Q54" i="36"/>
  <c r="T54" i="36" s="1"/>
  <c r="Q55" i="36"/>
  <c r="T55" i="36" s="1"/>
  <c r="Q56" i="36"/>
  <c r="T56" i="36" s="1"/>
  <c r="H47" i="36"/>
  <c r="S47" i="36" s="1"/>
  <c r="H48" i="36"/>
  <c r="S48" i="36" s="1"/>
  <c r="H49" i="36"/>
  <c r="S49" i="36" s="1"/>
  <c r="H50" i="36"/>
  <c r="H51" i="36"/>
  <c r="S51" i="36" s="1"/>
  <c r="H52" i="36"/>
  <c r="S52" i="36" s="1"/>
  <c r="H53" i="36"/>
  <c r="S53" i="36" s="1"/>
  <c r="H54" i="36"/>
  <c r="S54" i="36" s="1"/>
  <c r="H55" i="36"/>
  <c r="S55" i="36" s="1"/>
  <c r="H56" i="36"/>
  <c r="S56" i="36" s="1"/>
  <c r="R42" i="36"/>
  <c r="R43" i="36"/>
  <c r="K37" i="36"/>
  <c r="L37" i="36"/>
  <c r="M37" i="36"/>
  <c r="N37" i="36"/>
  <c r="O37" i="36"/>
  <c r="P37" i="36"/>
  <c r="K38" i="36"/>
  <c r="L38" i="36"/>
  <c r="M38" i="36"/>
  <c r="N38" i="36"/>
  <c r="O38" i="36"/>
  <c r="P38" i="36"/>
  <c r="B37" i="36"/>
  <c r="C37" i="36"/>
  <c r="D37" i="36"/>
  <c r="E37" i="36"/>
  <c r="F37" i="36"/>
  <c r="G37" i="36"/>
  <c r="B38" i="36"/>
  <c r="C38" i="36"/>
  <c r="D38" i="36"/>
  <c r="E38" i="36"/>
  <c r="F38" i="36"/>
  <c r="G38" i="36"/>
  <c r="Q27" i="36"/>
  <c r="T27" i="36" s="1"/>
  <c r="Q28" i="36"/>
  <c r="T28" i="36" s="1"/>
  <c r="Q29" i="36"/>
  <c r="T29" i="36" s="1"/>
  <c r="Q30" i="36"/>
  <c r="T30" i="36" s="1"/>
  <c r="Q31" i="36"/>
  <c r="T31" i="36" s="1"/>
  <c r="Q32" i="36"/>
  <c r="T32" i="36" s="1"/>
  <c r="Q33" i="36"/>
  <c r="T33" i="36" s="1"/>
  <c r="Q34" i="36"/>
  <c r="T34" i="36" s="1"/>
  <c r="Q35" i="36"/>
  <c r="T35" i="36" s="1"/>
  <c r="Q36" i="36"/>
  <c r="T36" i="36" s="1"/>
  <c r="H27" i="36"/>
  <c r="S27" i="36" s="1"/>
  <c r="H28" i="36"/>
  <c r="S28" i="36" s="1"/>
  <c r="H29" i="36"/>
  <c r="H30" i="36"/>
  <c r="S30" i="36" s="1"/>
  <c r="H31" i="36"/>
  <c r="S31" i="36" s="1"/>
  <c r="H32" i="36"/>
  <c r="S32" i="36" s="1"/>
  <c r="H33" i="36"/>
  <c r="S33" i="36" s="1"/>
  <c r="H34" i="36"/>
  <c r="S34" i="36" s="1"/>
  <c r="H35" i="36"/>
  <c r="S35" i="36" s="1"/>
  <c r="H36" i="36"/>
  <c r="S36" i="36" s="1"/>
  <c r="K17" i="36"/>
  <c r="L17" i="36"/>
  <c r="M17" i="36"/>
  <c r="N17" i="36"/>
  <c r="O17" i="36"/>
  <c r="P17" i="36"/>
  <c r="K18" i="36"/>
  <c r="L18" i="36"/>
  <c r="M18" i="36"/>
  <c r="N18" i="36"/>
  <c r="O18" i="36"/>
  <c r="P18" i="36"/>
  <c r="B17" i="36"/>
  <c r="C17" i="36"/>
  <c r="D17" i="36"/>
  <c r="E17" i="36"/>
  <c r="F17" i="36"/>
  <c r="G17" i="36"/>
  <c r="B18" i="36"/>
  <c r="C18" i="36"/>
  <c r="D18" i="36"/>
  <c r="E18" i="36"/>
  <c r="F18" i="36"/>
  <c r="G18" i="36"/>
  <c r="Q7" i="36"/>
  <c r="T7" i="36" s="1"/>
  <c r="Q8" i="36"/>
  <c r="T8" i="36" s="1"/>
  <c r="Q9" i="36"/>
  <c r="T9" i="36" s="1"/>
  <c r="Q10" i="36"/>
  <c r="Q11" i="36"/>
  <c r="Q12" i="36"/>
  <c r="Q13" i="36"/>
  <c r="T13" i="36" s="1"/>
  <c r="Q14" i="36"/>
  <c r="T14" i="36" s="1"/>
  <c r="Q15" i="36"/>
  <c r="T15" i="36" s="1"/>
  <c r="Q16" i="36"/>
  <c r="T16" i="36" s="1"/>
  <c r="H7" i="36"/>
  <c r="H8" i="36"/>
  <c r="S8" i="36" s="1"/>
  <c r="H9" i="36"/>
  <c r="S9" i="36" s="1"/>
  <c r="H10" i="36"/>
  <c r="S10" i="36" s="1"/>
  <c r="H11" i="36"/>
  <c r="H12" i="36"/>
  <c r="H13" i="36"/>
  <c r="H14" i="36"/>
  <c r="S14" i="36" s="1"/>
  <c r="H15" i="36"/>
  <c r="S15" i="36" s="1"/>
  <c r="H16" i="36"/>
  <c r="S16" i="36" s="1"/>
  <c r="E295" i="45"/>
  <c r="F7" i="45" s="1"/>
  <c r="H7" i="45" s="1"/>
  <c r="C294" i="45"/>
  <c r="D294" i="45" s="1"/>
  <c r="E294" i="45" s="1"/>
  <c r="J180" i="45"/>
  <c r="J181" i="45"/>
  <c r="J182" i="45"/>
  <c r="J183" i="45"/>
  <c r="J184" i="45"/>
  <c r="J185" i="45"/>
  <c r="J187" i="45"/>
  <c r="J188" i="45"/>
  <c r="J190" i="45"/>
  <c r="J191" i="45"/>
  <c r="J193" i="45"/>
  <c r="J194" i="45"/>
  <c r="J196" i="45"/>
  <c r="J197" i="45"/>
  <c r="J199" i="45"/>
  <c r="J200" i="45"/>
  <c r="J202" i="45"/>
  <c r="J203" i="45"/>
  <c r="J205" i="45"/>
  <c r="J206" i="45"/>
  <c r="J208" i="45"/>
  <c r="J209" i="45"/>
  <c r="J211" i="45"/>
  <c r="J212" i="45"/>
  <c r="J215" i="45"/>
  <c r="J216" i="45"/>
  <c r="J217" i="45"/>
  <c r="J218" i="45"/>
  <c r="J219" i="45"/>
  <c r="J220" i="45"/>
  <c r="J221" i="45"/>
  <c r="J222" i="45"/>
  <c r="J223" i="45"/>
  <c r="C215" i="45"/>
  <c r="C216" i="45"/>
  <c r="C217" i="45"/>
  <c r="C218" i="45"/>
  <c r="C219" i="45"/>
  <c r="C220" i="45"/>
  <c r="C221" i="45"/>
  <c r="C222" i="45"/>
  <c r="C223" i="45"/>
  <c r="D215" i="45"/>
  <c r="E215" i="45" s="1"/>
  <c r="D216" i="45"/>
  <c r="E216" i="45" s="1"/>
  <c r="D217" i="45"/>
  <c r="E217" i="45" s="1"/>
  <c r="D218" i="45"/>
  <c r="E218" i="45" s="1"/>
  <c r="D219" i="45"/>
  <c r="E219" i="45" s="1"/>
  <c r="D220" i="45"/>
  <c r="E220" i="45" s="1"/>
  <c r="D221" i="45"/>
  <c r="E221" i="45" s="1"/>
  <c r="D222" i="45"/>
  <c r="E222" i="45" s="1"/>
  <c r="D223" i="45"/>
  <c r="E223" i="45" s="1"/>
  <c r="I213" i="45"/>
  <c r="J213" i="45" s="1"/>
  <c r="D211" i="45"/>
  <c r="E211" i="45" s="1"/>
  <c r="D212" i="45"/>
  <c r="E212" i="45" s="1"/>
  <c r="B184" i="45"/>
  <c r="B187" i="45"/>
  <c r="B190" i="45"/>
  <c r="B193" i="45"/>
  <c r="B196" i="45"/>
  <c r="B199" i="45"/>
  <c r="B202" i="45"/>
  <c r="B205" i="45"/>
  <c r="B208" i="45"/>
  <c r="B211" i="45"/>
  <c r="I210" i="45"/>
  <c r="J210" i="45" s="1"/>
  <c r="D208" i="45"/>
  <c r="E208" i="45" s="1"/>
  <c r="I207" i="45"/>
  <c r="J207" i="45" s="1"/>
  <c r="D205" i="45"/>
  <c r="E205" i="45" s="1"/>
  <c r="D206" i="45"/>
  <c r="E206" i="45" s="1"/>
  <c r="I204" i="45"/>
  <c r="J204" i="45" s="1"/>
  <c r="D202" i="45"/>
  <c r="D203" i="45" s="1"/>
  <c r="E203" i="45" s="1"/>
  <c r="I201" i="45"/>
  <c r="D199" i="45"/>
  <c r="D200" i="45"/>
  <c r="E200" i="45" s="1"/>
  <c r="I198" i="45"/>
  <c r="J198" i="45" s="1"/>
  <c r="D196" i="45"/>
  <c r="D197" i="45"/>
  <c r="E197" i="45" s="1"/>
  <c r="I195" i="45"/>
  <c r="J195" i="45" s="1"/>
  <c r="D193" i="45"/>
  <c r="D194" i="45"/>
  <c r="E194" i="45" s="1"/>
  <c r="I192" i="45"/>
  <c r="J192" i="45" s="1"/>
  <c r="D190" i="45"/>
  <c r="E190" i="45" s="1"/>
  <c r="I189" i="45"/>
  <c r="J189" i="45" s="1"/>
  <c r="D187" i="45"/>
  <c r="E187" i="45" s="1"/>
  <c r="D188" i="45"/>
  <c r="I186" i="45"/>
  <c r="C180" i="45"/>
  <c r="C181" i="45"/>
  <c r="C182" i="45"/>
  <c r="D180" i="45"/>
  <c r="E180" i="45" s="1"/>
  <c r="D181" i="45"/>
  <c r="D182" i="45"/>
  <c r="E182" i="45" s="1"/>
  <c r="D183" i="45"/>
  <c r="E183" i="45" s="1"/>
  <c r="D184" i="45"/>
  <c r="D185" i="45"/>
  <c r="E185" i="45" s="1"/>
  <c r="I177" i="45"/>
  <c r="J173" i="45"/>
  <c r="J174" i="45"/>
  <c r="J175" i="45"/>
  <c r="J176" i="45"/>
  <c r="D173" i="45"/>
  <c r="D174" i="45"/>
  <c r="E174" i="45" s="1"/>
  <c r="D175" i="45"/>
  <c r="E175" i="45" s="1"/>
  <c r="D176" i="45"/>
  <c r="E176" i="45" s="1"/>
  <c r="J160" i="45"/>
  <c r="J161" i="45"/>
  <c r="J162" i="45"/>
  <c r="J163" i="45"/>
  <c r="J164" i="45"/>
  <c r="I159" i="45"/>
  <c r="J159" i="45" s="1"/>
  <c r="C159" i="45"/>
  <c r="D159" i="45"/>
  <c r="E159" i="45" s="1"/>
  <c r="C160" i="45"/>
  <c r="D160" i="45"/>
  <c r="E160" i="45" s="1"/>
  <c r="C161" i="45"/>
  <c r="D161" i="45"/>
  <c r="E161" i="45" s="1"/>
  <c r="C162" i="45"/>
  <c r="D162" i="45"/>
  <c r="E162" i="45" s="1"/>
  <c r="C163" i="45"/>
  <c r="D163" i="45"/>
  <c r="E163" i="45" s="1"/>
  <c r="C164" i="45"/>
  <c r="D164" i="45"/>
  <c r="E164" i="45" s="1"/>
  <c r="C134" i="45"/>
  <c r="C135" i="45"/>
  <c r="C136" i="45"/>
  <c r="C137" i="45"/>
  <c r="C138" i="45"/>
  <c r="C139" i="45"/>
  <c r="C140" i="45"/>
  <c r="C141" i="45"/>
  <c r="C142" i="45"/>
  <c r="C143" i="45"/>
  <c r="C144" i="45"/>
  <c r="C145" i="45"/>
  <c r="C146" i="45"/>
  <c r="C147" i="45"/>
  <c r="C148" i="45"/>
  <c r="I151" i="45"/>
  <c r="J151" i="45" s="1"/>
  <c r="I152" i="45"/>
  <c r="J152" i="45" s="1"/>
  <c r="B87" i="45"/>
  <c r="B102" i="45"/>
  <c r="C63" i="45"/>
  <c r="C64" i="45"/>
  <c r="C65" i="45"/>
  <c r="C66" i="45"/>
  <c r="C67" i="45"/>
  <c r="C68" i="45"/>
  <c r="C69" i="45"/>
  <c r="C70" i="45"/>
  <c r="C71" i="45"/>
  <c r="C72" i="45"/>
  <c r="C73" i="45"/>
  <c r="C74" i="45"/>
  <c r="C75" i="45"/>
  <c r="C76" i="45"/>
  <c r="C77" i="45"/>
  <c r="I48" i="45"/>
  <c r="J48" i="45" s="1"/>
  <c r="I49" i="45"/>
  <c r="J49" i="45" s="1"/>
  <c r="I50" i="45"/>
  <c r="J50" i="45" s="1"/>
  <c r="I51" i="45"/>
  <c r="J51" i="45" s="1"/>
  <c r="I52" i="45"/>
  <c r="J52" i="45" s="1"/>
  <c r="I80" i="45"/>
  <c r="J80" i="45" s="1"/>
  <c r="I81" i="45"/>
  <c r="J81" i="45" s="1"/>
  <c r="C2" i="45"/>
  <c r="C3" i="45"/>
  <c r="C4" i="45"/>
  <c r="C6" i="45"/>
  <c r="C7" i="45"/>
  <c r="C8" i="45"/>
  <c r="C9" i="45"/>
  <c r="B38" i="44"/>
  <c r="C38" i="44"/>
  <c r="D38" i="44"/>
  <c r="E38" i="44"/>
  <c r="F38" i="44"/>
  <c r="G38" i="44"/>
  <c r="L32" i="44"/>
  <c r="O32" i="44"/>
  <c r="R32" i="44"/>
  <c r="R33" i="44" s="1"/>
  <c r="U32" i="44"/>
  <c r="U33" i="44" s="1"/>
  <c r="X32" i="44"/>
  <c r="AA32" i="44"/>
  <c r="AA33" i="44" s="1"/>
  <c r="L34" i="44"/>
  <c r="M34" i="44"/>
  <c r="O34" i="44"/>
  <c r="P34" i="44"/>
  <c r="R34" i="44"/>
  <c r="S34" i="44"/>
  <c r="U34" i="44"/>
  <c r="V34" i="44"/>
  <c r="X34" i="44"/>
  <c r="Y34" i="44"/>
  <c r="AA34" i="44"/>
  <c r="AB34" i="44"/>
  <c r="B25" i="44"/>
  <c r="C25" i="44"/>
  <c r="D25" i="44"/>
  <c r="E25" i="44"/>
  <c r="F25" i="44"/>
  <c r="G25" i="44"/>
  <c r="B9" i="44"/>
  <c r="C9" i="44"/>
  <c r="D9" i="44"/>
  <c r="E9" i="44"/>
  <c r="F9" i="44"/>
  <c r="G9" i="44"/>
  <c r="C68" i="33"/>
  <c r="P15" i="33" s="1"/>
  <c r="D68" i="33"/>
  <c r="S15" i="33" s="1"/>
  <c r="E68" i="33"/>
  <c r="V15" i="33" s="1"/>
  <c r="F68" i="33"/>
  <c r="Y15" i="33" s="1"/>
  <c r="G68" i="33"/>
  <c r="AB15" i="33" s="1"/>
  <c r="B57" i="33"/>
  <c r="C57" i="33"/>
  <c r="D57" i="33"/>
  <c r="E57" i="33"/>
  <c r="F57" i="33"/>
  <c r="G57" i="33"/>
  <c r="B41" i="33"/>
  <c r="C41" i="33"/>
  <c r="D41" i="33"/>
  <c r="E41" i="33"/>
  <c r="F41" i="33"/>
  <c r="G41" i="33"/>
  <c r="B25" i="33"/>
  <c r="C25" i="33"/>
  <c r="D25" i="33"/>
  <c r="E25" i="33"/>
  <c r="F25" i="33"/>
  <c r="G25" i="33"/>
  <c r="B9" i="33"/>
  <c r="C9" i="33"/>
  <c r="D9" i="33"/>
  <c r="E9" i="33"/>
  <c r="F9" i="33"/>
  <c r="G9" i="33"/>
  <c r="CY369" i="7"/>
  <c r="CZ369" i="7"/>
  <c r="DA357" i="7"/>
  <c r="DA358" i="7"/>
  <c r="DA359" i="7"/>
  <c r="DA360" i="7"/>
  <c r="DA361" i="7"/>
  <c r="DA362" i="7"/>
  <c r="DA363" i="7"/>
  <c r="DA365" i="7"/>
  <c r="DA366" i="7"/>
  <c r="DA367" i="7"/>
  <c r="DA368" i="7"/>
  <c r="CY364" i="7"/>
  <c r="CZ364" i="7"/>
  <c r="CX353" i="7"/>
  <c r="CY353" i="7"/>
  <c r="CZ353" i="7"/>
  <c r="DA353" i="7"/>
  <c r="DB341" i="7"/>
  <c r="DB342" i="7"/>
  <c r="DB343" i="7"/>
  <c r="DB344" i="7"/>
  <c r="DB345" i="7"/>
  <c r="DB346" i="7"/>
  <c r="DB347" i="7"/>
  <c r="DB349" i="7"/>
  <c r="DB350" i="7"/>
  <c r="DB351" i="7"/>
  <c r="DB352" i="7"/>
  <c r="CX348" i="7"/>
  <c r="CY348" i="7"/>
  <c r="CZ348" i="7"/>
  <c r="DA348" i="7"/>
  <c r="CY335" i="7"/>
  <c r="DC335" i="7"/>
  <c r="DG335" i="7"/>
  <c r="CC330" i="7"/>
  <c r="CD330" i="7"/>
  <c r="CE330" i="7"/>
  <c r="CF330" i="7"/>
  <c r="CG330" i="7"/>
  <c r="CH330" i="7"/>
  <c r="CI330" i="7"/>
  <c r="CJ330" i="7"/>
  <c r="CK330" i="7"/>
  <c r="CL330" i="7"/>
  <c r="CM330" i="7"/>
  <c r="CN330" i="7"/>
  <c r="CO330" i="7"/>
  <c r="CC327" i="7"/>
  <c r="CD327" i="7"/>
  <c r="CE327" i="7"/>
  <c r="CF327" i="7"/>
  <c r="CG327" i="7"/>
  <c r="CH327" i="7"/>
  <c r="CI327" i="7"/>
  <c r="CJ327" i="7"/>
  <c r="CK327" i="7"/>
  <c r="CL327" i="7"/>
  <c r="CM327" i="7"/>
  <c r="CN327" i="7"/>
  <c r="CO327" i="7"/>
  <c r="CC323" i="7"/>
  <c r="CD323" i="7"/>
  <c r="CE323" i="7"/>
  <c r="CF323" i="7"/>
  <c r="CG323" i="7"/>
  <c r="CH323" i="7"/>
  <c r="CI323" i="7"/>
  <c r="CJ323" i="7"/>
  <c r="CK323" i="7"/>
  <c r="CL323" i="7"/>
  <c r="CM323" i="7"/>
  <c r="CN323" i="7"/>
  <c r="CO323" i="7"/>
  <c r="CC317" i="7"/>
  <c r="CD317" i="7"/>
  <c r="CE317" i="7"/>
  <c r="CF317" i="7"/>
  <c r="CG317" i="7"/>
  <c r="CH317" i="7"/>
  <c r="CI317" i="7"/>
  <c r="CJ317" i="7"/>
  <c r="CK317" i="7"/>
  <c r="CL317" i="7"/>
  <c r="CM317" i="7"/>
  <c r="CN317" i="7"/>
  <c r="CO317" i="7"/>
  <c r="CC312" i="7"/>
  <c r="CD312" i="7"/>
  <c r="CE312" i="7"/>
  <c r="CF312" i="7"/>
  <c r="CG312" i="7"/>
  <c r="CH312" i="7"/>
  <c r="CI312" i="7"/>
  <c r="CJ312" i="7"/>
  <c r="CK312" i="7"/>
  <c r="CL312" i="7"/>
  <c r="CM312" i="7"/>
  <c r="CN312" i="7"/>
  <c r="CO312" i="7"/>
  <c r="ER310" i="7"/>
  <c r="EW310" i="7" s="1"/>
  <c r="J310" i="7"/>
  <c r="O310" i="7" s="1"/>
  <c r="BY305" i="7"/>
  <c r="CC304" i="7"/>
  <c r="GQ301" i="7"/>
  <c r="GQ302" i="7"/>
  <c r="GQ303" i="7"/>
  <c r="BI301" i="7"/>
  <c r="BI302" i="7"/>
  <c r="BI303" i="7"/>
  <c r="GR299" i="7"/>
  <c r="GS299" i="7"/>
  <c r="GT299" i="7"/>
  <c r="GU299" i="7"/>
  <c r="GV299" i="7"/>
  <c r="GW299" i="7"/>
  <c r="BJ299" i="7"/>
  <c r="BK299" i="7"/>
  <c r="D34" i="41" s="1"/>
  <c r="BL299" i="7"/>
  <c r="E34" i="41" s="1"/>
  <c r="BM299" i="7"/>
  <c r="F34" i="41" s="1"/>
  <c r="BN299" i="7"/>
  <c r="BO299" i="7"/>
  <c r="D299" i="7"/>
  <c r="BJ303" i="7" s="1"/>
  <c r="E299" i="7"/>
  <c r="BK303" i="7" s="1"/>
  <c r="D35" i="41" s="1"/>
  <c r="F299" i="7"/>
  <c r="BL303" i="7" s="1"/>
  <c r="G299" i="7"/>
  <c r="BM303" i="7" s="1"/>
  <c r="F35" i="41" s="1"/>
  <c r="H299" i="7"/>
  <c r="BN303" i="7" s="1"/>
  <c r="G35" i="41" s="1"/>
  <c r="I299" i="7"/>
  <c r="BO303" i="7" s="1"/>
  <c r="H35" i="41" s="1"/>
  <c r="BJ294" i="7"/>
  <c r="BK294" i="7" s="1"/>
  <c r="BL294" i="7" s="1"/>
  <c r="BM294" i="7" s="1"/>
  <c r="BN294" i="7" s="1"/>
  <c r="BO294" i="7" s="1"/>
  <c r="GR284" i="7"/>
  <c r="GS284" i="7"/>
  <c r="GT284" i="7"/>
  <c r="GU284" i="7"/>
  <c r="GV284" i="7"/>
  <c r="GW284" i="7"/>
  <c r="GJ284" i="7"/>
  <c r="GK284" i="7"/>
  <c r="GL284" i="7"/>
  <c r="GM284" i="7"/>
  <c r="GN284" i="7"/>
  <c r="GO284" i="7"/>
  <c r="GB284" i="7"/>
  <c r="GC284" i="7"/>
  <c r="GD284" i="7"/>
  <c r="GE284" i="7"/>
  <c r="GF284" i="7"/>
  <c r="GG284" i="7"/>
  <c r="FT284" i="7"/>
  <c r="FU284" i="7"/>
  <c r="FV284" i="7"/>
  <c r="FW284" i="7"/>
  <c r="FX284" i="7"/>
  <c r="FY284" i="7"/>
  <c r="FL284" i="7"/>
  <c r="FM284" i="7"/>
  <c r="FN284" i="7"/>
  <c r="FO284" i="7"/>
  <c r="FP284" i="7"/>
  <c r="FQ284" i="7"/>
  <c r="FD284" i="7"/>
  <c r="FE284" i="7"/>
  <c r="FF284" i="7"/>
  <c r="FG284" i="7"/>
  <c r="FH284" i="7"/>
  <c r="FI284" i="7"/>
  <c r="DU284" i="7"/>
  <c r="DV284" i="7"/>
  <c r="DW284" i="7"/>
  <c r="DX284" i="7"/>
  <c r="DY284" i="7"/>
  <c r="DZ284" i="7"/>
  <c r="EA284" i="7"/>
  <c r="EB284" i="7"/>
  <c r="EC284" i="7"/>
  <c r="ED284" i="7"/>
  <c r="EE284" i="7"/>
  <c r="EF284" i="7"/>
  <c r="DG284" i="7"/>
  <c r="DH284" i="7"/>
  <c r="DI284" i="7"/>
  <c r="DJ284" i="7"/>
  <c r="DK284" i="7"/>
  <c r="DL284" i="7"/>
  <c r="DM284" i="7"/>
  <c r="DN284" i="7"/>
  <c r="DO284" i="7"/>
  <c r="DP284" i="7"/>
  <c r="DQ284" i="7"/>
  <c r="DR284" i="7"/>
  <c r="CS284" i="7"/>
  <c r="CT284" i="7"/>
  <c r="CU284" i="7"/>
  <c r="CV284" i="7"/>
  <c r="CW284" i="7"/>
  <c r="CX284" i="7"/>
  <c r="CY284" i="7"/>
  <c r="CZ284" i="7"/>
  <c r="DA284" i="7"/>
  <c r="DB284" i="7"/>
  <c r="DC284" i="7"/>
  <c r="DD284" i="7"/>
  <c r="CF284" i="7"/>
  <c r="CK284" i="7"/>
  <c r="BJ284" i="7"/>
  <c r="BK284" i="7"/>
  <c r="BL284" i="7"/>
  <c r="BM284" i="7"/>
  <c r="BN284" i="7"/>
  <c r="BO284" i="7"/>
  <c r="BB284" i="7"/>
  <c r="BC284" i="7"/>
  <c r="BD284" i="7"/>
  <c r="BE284" i="7"/>
  <c r="BF284" i="7"/>
  <c r="BG284" i="7"/>
  <c r="AT284" i="7"/>
  <c r="AU284" i="7"/>
  <c r="AV284" i="7"/>
  <c r="AW284" i="7"/>
  <c r="AX284" i="7"/>
  <c r="AY284" i="7"/>
  <c r="AL284" i="7"/>
  <c r="AM284" i="7"/>
  <c r="AN284" i="7"/>
  <c r="AO284" i="7"/>
  <c r="AP284" i="7"/>
  <c r="AQ284" i="7"/>
  <c r="AD284" i="7"/>
  <c r="AE284" i="7"/>
  <c r="AF284" i="7"/>
  <c r="AG284" i="7"/>
  <c r="AH284" i="7"/>
  <c r="AI284" i="7"/>
  <c r="V284" i="7"/>
  <c r="W284" i="7"/>
  <c r="X284" i="7"/>
  <c r="Y284" i="7"/>
  <c r="Z284" i="7"/>
  <c r="AA284" i="7"/>
  <c r="N284" i="7"/>
  <c r="O284" i="7"/>
  <c r="P284" i="7"/>
  <c r="Q284" i="7"/>
  <c r="R284" i="7"/>
  <c r="S284" i="7"/>
  <c r="GX245" i="7"/>
  <c r="GX246" i="7"/>
  <c r="GX247" i="7"/>
  <c r="GX249" i="7"/>
  <c r="GX250" i="7"/>
  <c r="GX251" i="7"/>
  <c r="GX253" i="7"/>
  <c r="GX254" i="7"/>
  <c r="GX255" i="7"/>
  <c r="GX257" i="7"/>
  <c r="GX258" i="7"/>
  <c r="GX259" i="7"/>
  <c r="GX261" i="7"/>
  <c r="GX262" i="7"/>
  <c r="GX263" i="7"/>
  <c r="GX265" i="7"/>
  <c r="GX266" i="7"/>
  <c r="GX267" i="7"/>
  <c r="GX269" i="7"/>
  <c r="GX270" i="7"/>
  <c r="GX271" i="7"/>
  <c r="GX273" i="7"/>
  <c r="GX274" i="7"/>
  <c r="GX275" i="7"/>
  <c r="GX277" i="7"/>
  <c r="GX278" i="7"/>
  <c r="GX279" i="7"/>
  <c r="GX281" i="7"/>
  <c r="GX282" i="7"/>
  <c r="GX283" i="7"/>
  <c r="GP245" i="7"/>
  <c r="GP246" i="7"/>
  <c r="GP247" i="7"/>
  <c r="GP249" i="7"/>
  <c r="GP250" i="7"/>
  <c r="GP251" i="7"/>
  <c r="GP253" i="7"/>
  <c r="GP254" i="7"/>
  <c r="GP255" i="7"/>
  <c r="GP257" i="7"/>
  <c r="GP258" i="7"/>
  <c r="GP259" i="7"/>
  <c r="GP261" i="7"/>
  <c r="GP262" i="7"/>
  <c r="GP263" i="7"/>
  <c r="GP265" i="7"/>
  <c r="GP266" i="7"/>
  <c r="GP267" i="7"/>
  <c r="GP269" i="7"/>
  <c r="GP270" i="7"/>
  <c r="GP271" i="7"/>
  <c r="GP273" i="7"/>
  <c r="GP274" i="7"/>
  <c r="GP275" i="7"/>
  <c r="GP277" i="7"/>
  <c r="GP278" i="7"/>
  <c r="GP279" i="7"/>
  <c r="GP281" i="7"/>
  <c r="GP282" i="7"/>
  <c r="GP283" i="7"/>
  <c r="GH245" i="7"/>
  <c r="GH246" i="7"/>
  <c r="GH247" i="7"/>
  <c r="GH249" i="7"/>
  <c r="GH250" i="7"/>
  <c r="GH251" i="7"/>
  <c r="GH253" i="7"/>
  <c r="GH254" i="7"/>
  <c r="GH255" i="7"/>
  <c r="GH257" i="7"/>
  <c r="GH258" i="7"/>
  <c r="GH259" i="7"/>
  <c r="GH261" i="7"/>
  <c r="GH262" i="7"/>
  <c r="GH263" i="7"/>
  <c r="GH265" i="7"/>
  <c r="GH266" i="7"/>
  <c r="GH267" i="7"/>
  <c r="GH269" i="7"/>
  <c r="GH270" i="7"/>
  <c r="GH271" i="7"/>
  <c r="GH273" i="7"/>
  <c r="GH274" i="7"/>
  <c r="GH275" i="7"/>
  <c r="GH277" i="7"/>
  <c r="GH278" i="7"/>
  <c r="GH279" i="7"/>
  <c r="GH281" i="7"/>
  <c r="GH282" i="7"/>
  <c r="GH283" i="7"/>
  <c r="FZ245" i="7"/>
  <c r="FZ246" i="7"/>
  <c r="FZ247" i="7"/>
  <c r="FZ249" i="7"/>
  <c r="FZ250" i="7"/>
  <c r="FZ251" i="7"/>
  <c r="FZ253" i="7"/>
  <c r="FZ254" i="7"/>
  <c r="FZ255" i="7"/>
  <c r="FZ257" i="7"/>
  <c r="FZ258" i="7"/>
  <c r="FZ259" i="7"/>
  <c r="FZ261" i="7"/>
  <c r="FZ262" i="7"/>
  <c r="FZ263" i="7"/>
  <c r="FZ265" i="7"/>
  <c r="FZ266" i="7"/>
  <c r="FZ267" i="7"/>
  <c r="FZ269" i="7"/>
  <c r="FZ270" i="7"/>
  <c r="FZ271" i="7"/>
  <c r="FZ273" i="7"/>
  <c r="FZ274" i="7"/>
  <c r="FZ275" i="7"/>
  <c r="FZ277" i="7"/>
  <c r="FZ278" i="7"/>
  <c r="FZ279" i="7"/>
  <c r="FZ281" i="7"/>
  <c r="FZ282" i="7"/>
  <c r="FZ283" i="7"/>
  <c r="FR245" i="7"/>
  <c r="FR246" i="7"/>
  <c r="FR247" i="7"/>
  <c r="FR249" i="7"/>
  <c r="FR250" i="7"/>
  <c r="FR251" i="7"/>
  <c r="FR253" i="7"/>
  <c r="FR254" i="7"/>
  <c r="FR255" i="7"/>
  <c r="FR257" i="7"/>
  <c r="FR258" i="7"/>
  <c r="FR259" i="7"/>
  <c r="FR261" i="7"/>
  <c r="FR262" i="7"/>
  <c r="FR263" i="7"/>
  <c r="FR265" i="7"/>
  <c r="FR266" i="7"/>
  <c r="FR267" i="7"/>
  <c r="FR269" i="7"/>
  <c r="FR270" i="7"/>
  <c r="FR271" i="7"/>
  <c r="FR273" i="7"/>
  <c r="FR274" i="7"/>
  <c r="FR275" i="7"/>
  <c r="FR277" i="7"/>
  <c r="FR278" i="7"/>
  <c r="FR279" i="7"/>
  <c r="FR281" i="7"/>
  <c r="FR282" i="7"/>
  <c r="FR283" i="7"/>
  <c r="FJ245" i="7"/>
  <c r="FJ246" i="7"/>
  <c r="FJ247" i="7"/>
  <c r="FJ249" i="7"/>
  <c r="FJ250" i="7"/>
  <c r="FJ251" i="7"/>
  <c r="FJ253" i="7"/>
  <c r="FJ254" i="7"/>
  <c r="FJ255" i="7"/>
  <c r="FJ257" i="7"/>
  <c r="FJ258" i="7"/>
  <c r="FJ259" i="7"/>
  <c r="FJ261" i="7"/>
  <c r="FJ262" i="7"/>
  <c r="FJ263" i="7"/>
  <c r="FJ265" i="7"/>
  <c r="FJ266" i="7"/>
  <c r="FJ267" i="7"/>
  <c r="FJ269" i="7"/>
  <c r="FJ270" i="7"/>
  <c r="FJ271" i="7"/>
  <c r="FJ273" i="7"/>
  <c r="FJ274" i="7"/>
  <c r="FJ275" i="7"/>
  <c r="FJ277" i="7"/>
  <c r="FJ278" i="7"/>
  <c r="FJ279" i="7"/>
  <c r="FJ281" i="7"/>
  <c r="FJ282" i="7"/>
  <c r="FJ283" i="7"/>
  <c r="EG245" i="7"/>
  <c r="EG246" i="7"/>
  <c r="EG247" i="7"/>
  <c r="EG249" i="7"/>
  <c r="EG250" i="7"/>
  <c r="EG251" i="7"/>
  <c r="EG253" i="7"/>
  <c r="EG254" i="7"/>
  <c r="EG255" i="7"/>
  <c r="EG257" i="7"/>
  <c r="EG258" i="7"/>
  <c r="EG259" i="7"/>
  <c r="EG261" i="7"/>
  <c r="EG262" i="7"/>
  <c r="EG263" i="7"/>
  <c r="EG265" i="7"/>
  <c r="EG266" i="7"/>
  <c r="EG267" i="7"/>
  <c r="EG269" i="7"/>
  <c r="EG270" i="7"/>
  <c r="EG271" i="7"/>
  <c r="EG273" i="7"/>
  <c r="EG274" i="7"/>
  <c r="EG275" i="7"/>
  <c r="EG277" i="7"/>
  <c r="EG278" i="7"/>
  <c r="EG279" i="7"/>
  <c r="EG281" i="7"/>
  <c r="EG282" i="7"/>
  <c r="EG283" i="7"/>
  <c r="DS245" i="7"/>
  <c r="DS246" i="7"/>
  <c r="DS247" i="7"/>
  <c r="DS249" i="7"/>
  <c r="DS250" i="7"/>
  <c r="DS251" i="7"/>
  <c r="DS253" i="7"/>
  <c r="DS254" i="7"/>
  <c r="DS255" i="7"/>
  <c r="DS257" i="7"/>
  <c r="DS258" i="7"/>
  <c r="DS259" i="7"/>
  <c r="DS261" i="7"/>
  <c r="DS262" i="7"/>
  <c r="DS263" i="7"/>
  <c r="DS265" i="7"/>
  <c r="DS266" i="7"/>
  <c r="DS267" i="7"/>
  <c r="DS269" i="7"/>
  <c r="DS270" i="7"/>
  <c r="DS271" i="7"/>
  <c r="DS273" i="7"/>
  <c r="DS274" i="7"/>
  <c r="DS275" i="7"/>
  <c r="DS277" i="7"/>
  <c r="DS278" i="7"/>
  <c r="DS279" i="7"/>
  <c r="DS281" i="7"/>
  <c r="DS282" i="7"/>
  <c r="DS283" i="7"/>
  <c r="DE245" i="7"/>
  <c r="DE246" i="7"/>
  <c r="DE247" i="7"/>
  <c r="DE249" i="7"/>
  <c r="DE250" i="7"/>
  <c r="DE251" i="7"/>
  <c r="DE253" i="7"/>
  <c r="DE254" i="7"/>
  <c r="DE255" i="7"/>
  <c r="DE257" i="7"/>
  <c r="DE258" i="7"/>
  <c r="DE259" i="7"/>
  <c r="DE261" i="7"/>
  <c r="DE262" i="7"/>
  <c r="DE263" i="7"/>
  <c r="DE265" i="7"/>
  <c r="DE266" i="7"/>
  <c r="DE267" i="7"/>
  <c r="DE269" i="7"/>
  <c r="DE270" i="7"/>
  <c r="DE271" i="7"/>
  <c r="DE273" i="7"/>
  <c r="DE274" i="7"/>
  <c r="DE275" i="7"/>
  <c r="DE277" i="7"/>
  <c r="DE278" i="7"/>
  <c r="DE279" i="7"/>
  <c r="DE281" i="7"/>
  <c r="DE282" i="7"/>
  <c r="DE283" i="7"/>
  <c r="BP245" i="7"/>
  <c r="BP246" i="7"/>
  <c r="BP247" i="7"/>
  <c r="BP249" i="7"/>
  <c r="BP250" i="7"/>
  <c r="BP251" i="7"/>
  <c r="BP253" i="7"/>
  <c r="BP254" i="7"/>
  <c r="BP255" i="7"/>
  <c r="BP257" i="7"/>
  <c r="BP258" i="7"/>
  <c r="BP259" i="7"/>
  <c r="BP261" i="7"/>
  <c r="BP262" i="7"/>
  <c r="BP263" i="7"/>
  <c r="BP265" i="7"/>
  <c r="BP266" i="7"/>
  <c r="BP267" i="7"/>
  <c r="BP269" i="7"/>
  <c r="BP270" i="7"/>
  <c r="BP271" i="7"/>
  <c r="BP273" i="7"/>
  <c r="BP274" i="7"/>
  <c r="BP275" i="7"/>
  <c r="BP277" i="7"/>
  <c r="BP278" i="7"/>
  <c r="BP279" i="7"/>
  <c r="BP281" i="7"/>
  <c r="BP282" i="7"/>
  <c r="BP283" i="7"/>
  <c r="BH245" i="7"/>
  <c r="BH246" i="7"/>
  <c r="BH247" i="7"/>
  <c r="BH249" i="7"/>
  <c r="BH250" i="7"/>
  <c r="BH251" i="7"/>
  <c r="BH253" i="7"/>
  <c r="BH254" i="7"/>
  <c r="BH255" i="7"/>
  <c r="BH257" i="7"/>
  <c r="BH258" i="7"/>
  <c r="BH259" i="7"/>
  <c r="BH261" i="7"/>
  <c r="BH262" i="7"/>
  <c r="BH263" i="7"/>
  <c r="BH265" i="7"/>
  <c r="BH266" i="7"/>
  <c r="BH267" i="7"/>
  <c r="BH269" i="7"/>
  <c r="BH270" i="7"/>
  <c r="BH271" i="7"/>
  <c r="BH273" i="7"/>
  <c r="BH274" i="7"/>
  <c r="BH275" i="7"/>
  <c r="BH277" i="7"/>
  <c r="BH278" i="7"/>
  <c r="BH279" i="7"/>
  <c r="BH281" i="7"/>
  <c r="BH282" i="7"/>
  <c r="BH283" i="7"/>
  <c r="AZ245" i="7"/>
  <c r="AZ246" i="7"/>
  <c r="AZ247" i="7"/>
  <c r="AZ249" i="7"/>
  <c r="AZ250" i="7"/>
  <c r="AZ251" i="7"/>
  <c r="AZ253" i="7"/>
  <c r="AZ254" i="7"/>
  <c r="AZ255" i="7"/>
  <c r="AZ257" i="7"/>
  <c r="AZ258" i="7"/>
  <c r="AZ259" i="7"/>
  <c r="AZ261" i="7"/>
  <c r="AZ262" i="7"/>
  <c r="AZ263" i="7"/>
  <c r="AZ265" i="7"/>
  <c r="AZ266" i="7"/>
  <c r="AZ267" i="7"/>
  <c r="AZ269" i="7"/>
  <c r="AZ270" i="7"/>
  <c r="AZ271" i="7"/>
  <c r="AZ273" i="7"/>
  <c r="AZ274" i="7"/>
  <c r="AZ275" i="7"/>
  <c r="AZ277" i="7"/>
  <c r="AZ278" i="7"/>
  <c r="AZ279" i="7"/>
  <c r="AZ281" i="7"/>
  <c r="AZ282" i="7"/>
  <c r="AZ283" i="7"/>
  <c r="AR245" i="7"/>
  <c r="AR246" i="7"/>
  <c r="AR247" i="7"/>
  <c r="AR249" i="7"/>
  <c r="AR250" i="7"/>
  <c r="AR251" i="7"/>
  <c r="AR253" i="7"/>
  <c r="AR254" i="7"/>
  <c r="AR255" i="7"/>
  <c r="AR257" i="7"/>
  <c r="AR258" i="7"/>
  <c r="AR259" i="7"/>
  <c r="AR261" i="7"/>
  <c r="AR262" i="7"/>
  <c r="AR263" i="7"/>
  <c r="AR265" i="7"/>
  <c r="AR266" i="7"/>
  <c r="AR267" i="7"/>
  <c r="AR269" i="7"/>
  <c r="AR270" i="7"/>
  <c r="AR271" i="7"/>
  <c r="AR273" i="7"/>
  <c r="AR274" i="7"/>
  <c r="AR275" i="7"/>
  <c r="AR277" i="7"/>
  <c r="AR278" i="7"/>
  <c r="AR279" i="7"/>
  <c r="AR281" i="7"/>
  <c r="AR282" i="7"/>
  <c r="AR283" i="7"/>
  <c r="AJ245" i="7"/>
  <c r="AJ246" i="7"/>
  <c r="AJ247" i="7"/>
  <c r="AJ249" i="7"/>
  <c r="AJ250" i="7"/>
  <c r="AJ251" i="7"/>
  <c r="AJ253" i="7"/>
  <c r="AJ254" i="7"/>
  <c r="AJ255" i="7"/>
  <c r="AJ257" i="7"/>
  <c r="AJ258" i="7"/>
  <c r="AJ259" i="7"/>
  <c r="AJ261" i="7"/>
  <c r="AJ262" i="7"/>
  <c r="AJ263" i="7"/>
  <c r="AJ265" i="7"/>
  <c r="AJ266" i="7"/>
  <c r="AJ267" i="7"/>
  <c r="AJ269" i="7"/>
  <c r="AJ270" i="7"/>
  <c r="AJ271" i="7"/>
  <c r="AJ273" i="7"/>
  <c r="AJ274" i="7"/>
  <c r="AJ275" i="7"/>
  <c r="AJ277" i="7"/>
  <c r="AJ278" i="7"/>
  <c r="AJ279" i="7"/>
  <c r="AJ281" i="7"/>
  <c r="AJ282" i="7"/>
  <c r="AJ283" i="7"/>
  <c r="AB245" i="7"/>
  <c r="AB246" i="7"/>
  <c r="AB247" i="7"/>
  <c r="AB249" i="7"/>
  <c r="AB250" i="7"/>
  <c r="AB251" i="7"/>
  <c r="AB253" i="7"/>
  <c r="AB254" i="7"/>
  <c r="AB255" i="7"/>
  <c r="AB257" i="7"/>
  <c r="AB258" i="7"/>
  <c r="AB259" i="7"/>
  <c r="AB261" i="7"/>
  <c r="AB262" i="7"/>
  <c r="AB263" i="7"/>
  <c r="AB265" i="7"/>
  <c r="AB266" i="7"/>
  <c r="AB267" i="7"/>
  <c r="AB269" i="7"/>
  <c r="AB270" i="7"/>
  <c r="AB271" i="7"/>
  <c r="AB273" i="7"/>
  <c r="AB274" i="7"/>
  <c r="AB275" i="7"/>
  <c r="AB277" i="7"/>
  <c r="AB278" i="7"/>
  <c r="AB279" i="7"/>
  <c r="AB281" i="7"/>
  <c r="AB282" i="7"/>
  <c r="AB283" i="7"/>
  <c r="T245" i="7"/>
  <c r="T246" i="7"/>
  <c r="T247" i="7"/>
  <c r="T249" i="7"/>
  <c r="T250" i="7"/>
  <c r="T251" i="7"/>
  <c r="T253" i="7"/>
  <c r="T254" i="7"/>
  <c r="T255" i="7"/>
  <c r="T257" i="7"/>
  <c r="T258" i="7"/>
  <c r="T259" i="7"/>
  <c r="T261" i="7"/>
  <c r="T262" i="7"/>
  <c r="T263" i="7"/>
  <c r="T265" i="7"/>
  <c r="T266" i="7"/>
  <c r="T267" i="7"/>
  <c r="T269" i="7"/>
  <c r="T270" i="7"/>
  <c r="T271" i="7"/>
  <c r="T273" i="7"/>
  <c r="T274" i="7"/>
  <c r="T275" i="7"/>
  <c r="T277" i="7"/>
  <c r="T278" i="7"/>
  <c r="T279" i="7"/>
  <c r="T281" i="7"/>
  <c r="T282" i="7"/>
  <c r="T283" i="7"/>
  <c r="GR280" i="7"/>
  <c r="GS280" i="7"/>
  <c r="GT280" i="7"/>
  <c r="GU280" i="7"/>
  <c r="GV280" i="7"/>
  <c r="GW280" i="7"/>
  <c r="GJ280" i="7"/>
  <c r="GK280" i="7"/>
  <c r="GL280" i="7"/>
  <c r="GM280" i="7"/>
  <c r="GN280" i="7"/>
  <c r="GO280" i="7"/>
  <c r="GB280" i="7"/>
  <c r="GC280" i="7"/>
  <c r="GD280" i="7"/>
  <c r="GE280" i="7"/>
  <c r="GF280" i="7"/>
  <c r="GG280" i="7"/>
  <c r="FT280" i="7"/>
  <c r="FU280" i="7"/>
  <c r="FV280" i="7"/>
  <c r="FW280" i="7"/>
  <c r="FX280" i="7"/>
  <c r="FY280" i="7"/>
  <c r="FL280" i="7"/>
  <c r="FM280" i="7"/>
  <c r="FN280" i="7"/>
  <c r="FO280" i="7"/>
  <c r="FP280" i="7"/>
  <c r="FQ280" i="7"/>
  <c r="FD280" i="7"/>
  <c r="FE280" i="7"/>
  <c r="FF280" i="7"/>
  <c r="FG280" i="7"/>
  <c r="FH280" i="7"/>
  <c r="FI280" i="7"/>
  <c r="DU280" i="7"/>
  <c r="DV280" i="7"/>
  <c r="DW280" i="7"/>
  <c r="DX280" i="7"/>
  <c r="DY280" i="7"/>
  <c r="DZ280" i="7"/>
  <c r="EA280" i="7"/>
  <c r="EB280" i="7"/>
  <c r="EC280" i="7"/>
  <c r="ED280" i="7"/>
  <c r="EE280" i="7"/>
  <c r="EF280" i="7"/>
  <c r="DG280" i="7"/>
  <c r="DH280" i="7"/>
  <c r="DI280" i="7"/>
  <c r="DJ280" i="7"/>
  <c r="DK280" i="7"/>
  <c r="DL280" i="7"/>
  <c r="DM280" i="7"/>
  <c r="DN280" i="7"/>
  <c r="DO280" i="7"/>
  <c r="DP280" i="7"/>
  <c r="DQ280" i="7"/>
  <c r="DR280" i="7"/>
  <c r="CS280" i="7"/>
  <c r="CT280" i="7"/>
  <c r="CU280" i="7"/>
  <c r="CV280" i="7"/>
  <c r="CW280" i="7"/>
  <c r="CX280" i="7"/>
  <c r="CY280" i="7"/>
  <c r="CZ280" i="7"/>
  <c r="DA280" i="7"/>
  <c r="DB280" i="7"/>
  <c r="DC280" i="7"/>
  <c r="DD280" i="7"/>
  <c r="CF280" i="7"/>
  <c r="CK280" i="7"/>
  <c r="BJ280" i="7"/>
  <c r="BK280" i="7"/>
  <c r="BL280" i="7"/>
  <c r="BM280" i="7"/>
  <c r="BN280" i="7"/>
  <c r="BO280" i="7"/>
  <c r="BB280" i="7"/>
  <c r="BC280" i="7"/>
  <c r="BD280" i="7"/>
  <c r="BE280" i="7"/>
  <c r="BF280" i="7"/>
  <c r="BG280" i="7"/>
  <c r="AT280" i="7"/>
  <c r="AU280" i="7"/>
  <c r="AV280" i="7"/>
  <c r="AW280" i="7"/>
  <c r="AX280" i="7"/>
  <c r="AY280" i="7"/>
  <c r="AL280" i="7"/>
  <c r="AM280" i="7"/>
  <c r="AN280" i="7"/>
  <c r="AO280" i="7"/>
  <c r="AP280" i="7"/>
  <c r="AQ280" i="7"/>
  <c r="AD280" i="7"/>
  <c r="AE280" i="7"/>
  <c r="AF280" i="7"/>
  <c r="AG280" i="7"/>
  <c r="AH280" i="7"/>
  <c r="AI280" i="7"/>
  <c r="V280" i="7"/>
  <c r="W280" i="7"/>
  <c r="X280" i="7"/>
  <c r="Y280" i="7"/>
  <c r="Z280" i="7"/>
  <c r="AA280" i="7"/>
  <c r="N280" i="7"/>
  <c r="O280" i="7"/>
  <c r="P280" i="7"/>
  <c r="Q280" i="7"/>
  <c r="R280" i="7"/>
  <c r="S280" i="7"/>
  <c r="GR276" i="7"/>
  <c r="GS276" i="7"/>
  <c r="GT276" i="7"/>
  <c r="GU276" i="7"/>
  <c r="GV276" i="7"/>
  <c r="GW276" i="7"/>
  <c r="GJ276" i="7"/>
  <c r="GK276" i="7"/>
  <c r="GL276" i="7"/>
  <c r="GM276" i="7"/>
  <c r="GN276" i="7"/>
  <c r="GO276" i="7"/>
  <c r="GB276" i="7"/>
  <c r="GC276" i="7"/>
  <c r="GD276" i="7"/>
  <c r="GE276" i="7"/>
  <c r="GF276" i="7"/>
  <c r="GG276" i="7"/>
  <c r="FT276" i="7"/>
  <c r="FU276" i="7"/>
  <c r="FV276" i="7"/>
  <c r="FW276" i="7"/>
  <c r="FX276" i="7"/>
  <c r="FY276" i="7"/>
  <c r="FL276" i="7"/>
  <c r="FM276" i="7"/>
  <c r="FN276" i="7"/>
  <c r="FO276" i="7"/>
  <c r="FP276" i="7"/>
  <c r="FQ276" i="7"/>
  <c r="FD276" i="7"/>
  <c r="FE276" i="7"/>
  <c r="FF276" i="7"/>
  <c r="FG276" i="7"/>
  <c r="FH276" i="7"/>
  <c r="FI276" i="7"/>
  <c r="DU276" i="7"/>
  <c r="DV276" i="7"/>
  <c r="DW276" i="7"/>
  <c r="DX276" i="7"/>
  <c r="DY276" i="7"/>
  <c r="DZ276" i="7"/>
  <c r="EA276" i="7"/>
  <c r="EB276" i="7"/>
  <c r="EC276" i="7"/>
  <c r="ED276" i="7"/>
  <c r="EE276" i="7"/>
  <c r="EF276" i="7"/>
  <c r="DG276" i="7"/>
  <c r="DH276" i="7"/>
  <c r="DI276" i="7"/>
  <c r="DJ276" i="7"/>
  <c r="DK276" i="7"/>
  <c r="DL276" i="7"/>
  <c r="DM276" i="7"/>
  <c r="DN276" i="7"/>
  <c r="DO276" i="7"/>
  <c r="DP276" i="7"/>
  <c r="DQ276" i="7"/>
  <c r="DR276" i="7"/>
  <c r="CS276" i="7"/>
  <c r="CT276" i="7"/>
  <c r="CU276" i="7"/>
  <c r="CV276" i="7"/>
  <c r="CW276" i="7"/>
  <c r="CX276" i="7"/>
  <c r="CY276" i="7"/>
  <c r="CZ276" i="7"/>
  <c r="DA276" i="7"/>
  <c r="DB276" i="7"/>
  <c r="DC276" i="7"/>
  <c r="DD276" i="7"/>
  <c r="CF276" i="7"/>
  <c r="CK276" i="7"/>
  <c r="BJ276" i="7"/>
  <c r="BK276" i="7"/>
  <c r="BL276" i="7"/>
  <c r="BM276" i="7"/>
  <c r="BN276" i="7"/>
  <c r="BO276" i="7"/>
  <c r="BB276" i="7"/>
  <c r="BC276" i="7"/>
  <c r="BD276" i="7"/>
  <c r="BE276" i="7"/>
  <c r="BF276" i="7"/>
  <c r="BG276" i="7"/>
  <c r="AT276" i="7"/>
  <c r="AU276" i="7"/>
  <c r="AV276" i="7"/>
  <c r="AW276" i="7"/>
  <c r="AX276" i="7"/>
  <c r="AY276" i="7"/>
  <c r="AL276" i="7"/>
  <c r="AM276" i="7"/>
  <c r="AN276" i="7"/>
  <c r="AO276" i="7"/>
  <c r="AP276" i="7"/>
  <c r="AQ276" i="7"/>
  <c r="AD276" i="7"/>
  <c r="AE276" i="7"/>
  <c r="AF276" i="7"/>
  <c r="AG276" i="7"/>
  <c r="AH276" i="7"/>
  <c r="AI276" i="7"/>
  <c r="V276" i="7"/>
  <c r="W276" i="7"/>
  <c r="X276" i="7"/>
  <c r="Y276" i="7"/>
  <c r="Z276" i="7"/>
  <c r="AA276" i="7"/>
  <c r="N276" i="7"/>
  <c r="O276" i="7"/>
  <c r="P276" i="7"/>
  <c r="Q276" i="7"/>
  <c r="R276" i="7"/>
  <c r="S276" i="7"/>
  <c r="GR272" i="7"/>
  <c r="GS272" i="7"/>
  <c r="GT272" i="7"/>
  <c r="GU272" i="7"/>
  <c r="GV272" i="7"/>
  <c r="GW272" i="7"/>
  <c r="GJ272" i="7"/>
  <c r="GK272" i="7"/>
  <c r="GL272" i="7"/>
  <c r="GM272" i="7"/>
  <c r="GN272" i="7"/>
  <c r="GO272" i="7"/>
  <c r="GB272" i="7"/>
  <c r="GC272" i="7"/>
  <c r="GD272" i="7"/>
  <c r="GE272" i="7"/>
  <c r="GF272" i="7"/>
  <c r="GG272" i="7"/>
  <c r="FT272" i="7"/>
  <c r="FU272" i="7"/>
  <c r="FV272" i="7"/>
  <c r="FW272" i="7"/>
  <c r="FX272" i="7"/>
  <c r="FY272" i="7"/>
  <c r="FL272" i="7"/>
  <c r="FM272" i="7"/>
  <c r="FN272" i="7"/>
  <c r="FO272" i="7"/>
  <c r="FP272" i="7"/>
  <c r="FQ272" i="7"/>
  <c r="FD272" i="7"/>
  <c r="FE272" i="7"/>
  <c r="FF272" i="7"/>
  <c r="FG272" i="7"/>
  <c r="FH272" i="7"/>
  <c r="FI272" i="7"/>
  <c r="DU272" i="7"/>
  <c r="DV272" i="7"/>
  <c r="DW272" i="7"/>
  <c r="DX272" i="7"/>
  <c r="DY272" i="7"/>
  <c r="DZ272" i="7"/>
  <c r="EA272" i="7"/>
  <c r="EB272" i="7"/>
  <c r="EC272" i="7"/>
  <c r="ED272" i="7"/>
  <c r="EE272" i="7"/>
  <c r="EF272" i="7"/>
  <c r="DG272" i="7"/>
  <c r="DH272" i="7"/>
  <c r="DI272" i="7"/>
  <c r="DJ272" i="7"/>
  <c r="DK272" i="7"/>
  <c r="DL272" i="7"/>
  <c r="DM272" i="7"/>
  <c r="DN272" i="7"/>
  <c r="DO272" i="7"/>
  <c r="DP272" i="7"/>
  <c r="DQ272" i="7"/>
  <c r="DR272" i="7"/>
  <c r="CS272" i="7"/>
  <c r="CT272" i="7"/>
  <c r="CU272" i="7"/>
  <c r="CV272" i="7"/>
  <c r="CW272" i="7"/>
  <c r="CX272" i="7"/>
  <c r="CY272" i="7"/>
  <c r="CZ272" i="7"/>
  <c r="DA272" i="7"/>
  <c r="DB272" i="7"/>
  <c r="DC272" i="7"/>
  <c r="DD272" i="7"/>
  <c r="CF272" i="7"/>
  <c r="CK272" i="7"/>
  <c r="BJ272" i="7"/>
  <c r="BK272" i="7"/>
  <c r="BL272" i="7"/>
  <c r="BM272" i="7"/>
  <c r="BN272" i="7"/>
  <c r="BO272" i="7"/>
  <c r="BB272" i="7"/>
  <c r="BC272" i="7"/>
  <c r="BD272" i="7"/>
  <c r="BE272" i="7"/>
  <c r="BF272" i="7"/>
  <c r="BG272" i="7"/>
  <c r="AT272" i="7"/>
  <c r="AU272" i="7"/>
  <c r="AV272" i="7"/>
  <c r="AW272" i="7"/>
  <c r="AX272" i="7"/>
  <c r="AY272" i="7"/>
  <c r="AL272" i="7"/>
  <c r="AM272" i="7"/>
  <c r="AN272" i="7"/>
  <c r="AO272" i="7"/>
  <c r="AP272" i="7"/>
  <c r="AQ272" i="7"/>
  <c r="AD272" i="7"/>
  <c r="AE272" i="7"/>
  <c r="AF272" i="7"/>
  <c r="AG272" i="7"/>
  <c r="AH272" i="7"/>
  <c r="AI272" i="7"/>
  <c r="V272" i="7"/>
  <c r="W272" i="7"/>
  <c r="X272" i="7"/>
  <c r="Y272" i="7"/>
  <c r="Z272" i="7"/>
  <c r="AA272" i="7"/>
  <c r="N272" i="7"/>
  <c r="O272" i="7"/>
  <c r="P272" i="7"/>
  <c r="Q272" i="7"/>
  <c r="R272" i="7"/>
  <c r="S272" i="7"/>
  <c r="GR268" i="7"/>
  <c r="GS268" i="7"/>
  <c r="GT268" i="7"/>
  <c r="GU268" i="7"/>
  <c r="GV268" i="7"/>
  <c r="GW268" i="7"/>
  <c r="GJ268" i="7"/>
  <c r="GK268" i="7"/>
  <c r="GL268" i="7"/>
  <c r="GM268" i="7"/>
  <c r="GN268" i="7"/>
  <c r="GO268" i="7"/>
  <c r="GB268" i="7"/>
  <c r="GC268" i="7"/>
  <c r="GD268" i="7"/>
  <c r="GE268" i="7"/>
  <c r="GF268" i="7"/>
  <c r="GG268" i="7"/>
  <c r="FT268" i="7"/>
  <c r="FU268" i="7"/>
  <c r="FV268" i="7"/>
  <c r="FW268" i="7"/>
  <c r="FX268" i="7"/>
  <c r="FY268" i="7"/>
  <c r="FL268" i="7"/>
  <c r="FM268" i="7"/>
  <c r="FN268" i="7"/>
  <c r="FO268" i="7"/>
  <c r="FP268" i="7"/>
  <c r="FQ268" i="7"/>
  <c r="FD268" i="7"/>
  <c r="FE268" i="7"/>
  <c r="FF268" i="7"/>
  <c r="FG268" i="7"/>
  <c r="FH268" i="7"/>
  <c r="FI268" i="7"/>
  <c r="DU268" i="7"/>
  <c r="DV268" i="7"/>
  <c r="DW268" i="7"/>
  <c r="DX268" i="7"/>
  <c r="DY268" i="7"/>
  <c r="DZ268" i="7"/>
  <c r="EA268" i="7"/>
  <c r="EB268" i="7"/>
  <c r="EC268" i="7"/>
  <c r="ED268" i="7"/>
  <c r="EE268" i="7"/>
  <c r="EF268" i="7"/>
  <c r="DG268" i="7"/>
  <c r="DH268" i="7"/>
  <c r="DI268" i="7"/>
  <c r="DJ268" i="7"/>
  <c r="DK268" i="7"/>
  <c r="DL268" i="7"/>
  <c r="DM268" i="7"/>
  <c r="DN268" i="7"/>
  <c r="DO268" i="7"/>
  <c r="DP268" i="7"/>
  <c r="DQ268" i="7"/>
  <c r="DR268" i="7"/>
  <c r="CS268" i="7"/>
  <c r="CT268" i="7"/>
  <c r="CU268" i="7"/>
  <c r="CV268" i="7"/>
  <c r="CW268" i="7"/>
  <c r="CX268" i="7"/>
  <c r="CY268" i="7"/>
  <c r="CZ268" i="7"/>
  <c r="DA268" i="7"/>
  <c r="DB268" i="7"/>
  <c r="DC268" i="7"/>
  <c r="DD268" i="7"/>
  <c r="CF268" i="7"/>
  <c r="CK268" i="7"/>
  <c r="BJ268" i="7"/>
  <c r="BK268" i="7"/>
  <c r="BL268" i="7"/>
  <c r="BM268" i="7"/>
  <c r="BN268" i="7"/>
  <c r="BO268" i="7"/>
  <c r="BB268" i="7"/>
  <c r="BC268" i="7"/>
  <c r="BD268" i="7"/>
  <c r="BE268" i="7"/>
  <c r="BF268" i="7"/>
  <c r="BG268" i="7"/>
  <c r="AT268" i="7"/>
  <c r="AU268" i="7"/>
  <c r="AV268" i="7"/>
  <c r="AW268" i="7"/>
  <c r="AX268" i="7"/>
  <c r="AY268" i="7"/>
  <c r="AL268" i="7"/>
  <c r="AM268" i="7"/>
  <c r="AN268" i="7"/>
  <c r="AO268" i="7"/>
  <c r="AP268" i="7"/>
  <c r="AQ268" i="7"/>
  <c r="AD268" i="7"/>
  <c r="AE268" i="7"/>
  <c r="AF268" i="7"/>
  <c r="AG268" i="7"/>
  <c r="AH268" i="7"/>
  <c r="AI268" i="7"/>
  <c r="V268" i="7"/>
  <c r="W268" i="7"/>
  <c r="X268" i="7"/>
  <c r="Y268" i="7"/>
  <c r="Z268" i="7"/>
  <c r="AA268" i="7"/>
  <c r="N268" i="7"/>
  <c r="O268" i="7"/>
  <c r="P268" i="7"/>
  <c r="Q268" i="7"/>
  <c r="R268" i="7"/>
  <c r="S268" i="7"/>
  <c r="GR264" i="7"/>
  <c r="GS264" i="7"/>
  <c r="GT264" i="7"/>
  <c r="GU264" i="7"/>
  <c r="GV264" i="7"/>
  <c r="GW264" i="7"/>
  <c r="GJ264" i="7"/>
  <c r="GK264" i="7"/>
  <c r="GL264" i="7"/>
  <c r="GM264" i="7"/>
  <c r="GN264" i="7"/>
  <c r="GO264" i="7"/>
  <c r="GB264" i="7"/>
  <c r="GC264" i="7"/>
  <c r="GD264" i="7"/>
  <c r="GE264" i="7"/>
  <c r="GF264" i="7"/>
  <c r="GG264" i="7"/>
  <c r="FT264" i="7"/>
  <c r="FU264" i="7"/>
  <c r="FV264" i="7"/>
  <c r="FW264" i="7"/>
  <c r="FX264" i="7"/>
  <c r="FY264" i="7"/>
  <c r="FL264" i="7"/>
  <c r="FM264" i="7"/>
  <c r="FN264" i="7"/>
  <c r="FO264" i="7"/>
  <c r="FP264" i="7"/>
  <c r="FQ264" i="7"/>
  <c r="FD264" i="7"/>
  <c r="FE264" i="7"/>
  <c r="FF264" i="7"/>
  <c r="FG264" i="7"/>
  <c r="FH264" i="7"/>
  <c r="FI264" i="7"/>
  <c r="DU264" i="7"/>
  <c r="DV264" i="7"/>
  <c r="DW264" i="7"/>
  <c r="DX264" i="7"/>
  <c r="DY264" i="7"/>
  <c r="DZ264" i="7"/>
  <c r="EA264" i="7"/>
  <c r="EB264" i="7"/>
  <c r="EC264" i="7"/>
  <c r="ED264" i="7"/>
  <c r="EE264" i="7"/>
  <c r="EF264" i="7"/>
  <c r="DG264" i="7"/>
  <c r="DH264" i="7"/>
  <c r="DI264" i="7"/>
  <c r="DJ264" i="7"/>
  <c r="DK264" i="7"/>
  <c r="DL264" i="7"/>
  <c r="DM264" i="7"/>
  <c r="DN264" i="7"/>
  <c r="DO264" i="7"/>
  <c r="DP264" i="7"/>
  <c r="DQ264" i="7"/>
  <c r="DR264" i="7"/>
  <c r="CS264" i="7"/>
  <c r="CT264" i="7"/>
  <c r="CU264" i="7"/>
  <c r="CV264" i="7"/>
  <c r="CW264" i="7"/>
  <c r="CX264" i="7"/>
  <c r="CY264" i="7"/>
  <c r="CZ264" i="7"/>
  <c r="DA264" i="7"/>
  <c r="DB264" i="7"/>
  <c r="DC264" i="7"/>
  <c r="DD264" i="7"/>
  <c r="CF264" i="7"/>
  <c r="CK264" i="7"/>
  <c r="BJ264" i="7"/>
  <c r="BK264" i="7"/>
  <c r="BL264" i="7"/>
  <c r="BM264" i="7"/>
  <c r="BN264" i="7"/>
  <c r="BO264" i="7"/>
  <c r="BB264" i="7"/>
  <c r="BC264" i="7"/>
  <c r="BD264" i="7"/>
  <c r="BE264" i="7"/>
  <c r="BF264" i="7"/>
  <c r="BG264" i="7"/>
  <c r="AT264" i="7"/>
  <c r="AU264" i="7"/>
  <c r="AV264" i="7"/>
  <c r="AW264" i="7"/>
  <c r="AX264" i="7"/>
  <c r="AY264" i="7"/>
  <c r="AL264" i="7"/>
  <c r="AM264" i="7"/>
  <c r="AN264" i="7"/>
  <c r="AO264" i="7"/>
  <c r="AP264" i="7"/>
  <c r="AQ264" i="7"/>
  <c r="AD264" i="7"/>
  <c r="AE264" i="7"/>
  <c r="AF264" i="7"/>
  <c r="AG264" i="7"/>
  <c r="AH264" i="7"/>
  <c r="AI264" i="7"/>
  <c r="V264" i="7"/>
  <c r="W264" i="7"/>
  <c r="X264" i="7"/>
  <c r="Y264" i="7"/>
  <c r="Z264" i="7"/>
  <c r="AA264" i="7"/>
  <c r="N264" i="7"/>
  <c r="O264" i="7"/>
  <c r="P264" i="7"/>
  <c r="Q264" i="7"/>
  <c r="R264" i="7"/>
  <c r="S264" i="7"/>
  <c r="GR260" i="7"/>
  <c r="GS260" i="7"/>
  <c r="GT260" i="7"/>
  <c r="GU260" i="7"/>
  <c r="GV260" i="7"/>
  <c r="GW260" i="7"/>
  <c r="GJ260" i="7"/>
  <c r="GK260" i="7"/>
  <c r="GL260" i="7"/>
  <c r="GM260" i="7"/>
  <c r="GN260" i="7"/>
  <c r="GO260" i="7"/>
  <c r="GB260" i="7"/>
  <c r="GC260" i="7"/>
  <c r="GD260" i="7"/>
  <c r="GE260" i="7"/>
  <c r="GF260" i="7"/>
  <c r="GG260" i="7"/>
  <c r="FT260" i="7"/>
  <c r="FU260" i="7"/>
  <c r="FV260" i="7"/>
  <c r="FW260" i="7"/>
  <c r="FX260" i="7"/>
  <c r="FY260" i="7"/>
  <c r="FL260" i="7"/>
  <c r="FM260" i="7"/>
  <c r="FN260" i="7"/>
  <c r="FO260" i="7"/>
  <c r="FP260" i="7"/>
  <c r="FQ260" i="7"/>
  <c r="FD260" i="7"/>
  <c r="FE260" i="7"/>
  <c r="FF260" i="7"/>
  <c r="FG260" i="7"/>
  <c r="FH260" i="7"/>
  <c r="FI260" i="7"/>
  <c r="DU260" i="7"/>
  <c r="DV260" i="7"/>
  <c r="DW260" i="7"/>
  <c r="DX260" i="7"/>
  <c r="DY260" i="7"/>
  <c r="DZ260" i="7"/>
  <c r="EA260" i="7"/>
  <c r="EB260" i="7"/>
  <c r="EC260" i="7"/>
  <c r="ED260" i="7"/>
  <c r="EE260" i="7"/>
  <c r="EF260" i="7"/>
  <c r="DG260" i="7"/>
  <c r="DH260" i="7"/>
  <c r="DI260" i="7"/>
  <c r="DJ260" i="7"/>
  <c r="DK260" i="7"/>
  <c r="DL260" i="7"/>
  <c r="DM260" i="7"/>
  <c r="DN260" i="7"/>
  <c r="DO260" i="7"/>
  <c r="DP260" i="7"/>
  <c r="DQ260" i="7"/>
  <c r="DR260" i="7"/>
  <c r="CS260" i="7"/>
  <c r="CT260" i="7"/>
  <c r="CU260" i="7"/>
  <c r="CV260" i="7"/>
  <c r="CW260" i="7"/>
  <c r="CX260" i="7"/>
  <c r="CY260" i="7"/>
  <c r="CZ260" i="7"/>
  <c r="DA260" i="7"/>
  <c r="DB260" i="7"/>
  <c r="DC260" i="7"/>
  <c r="DD260" i="7"/>
  <c r="CF260" i="7"/>
  <c r="CK260" i="7"/>
  <c r="BJ260" i="7"/>
  <c r="BK260" i="7"/>
  <c r="BL260" i="7"/>
  <c r="BM260" i="7"/>
  <c r="BN260" i="7"/>
  <c r="BO260" i="7"/>
  <c r="BB260" i="7"/>
  <c r="BC260" i="7"/>
  <c r="BD260" i="7"/>
  <c r="BE260" i="7"/>
  <c r="BF260" i="7"/>
  <c r="BG260" i="7"/>
  <c r="AT260" i="7"/>
  <c r="AU260" i="7"/>
  <c r="AV260" i="7"/>
  <c r="AW260" i="7"/>
  <c r="AX260" i="7"/>
  <c r="AY260" i="7"/>
  <c r="AL260" i="7"/>
  <c r="AM260" i="7"/>
  <c r="AN260" i="7"/>
  <c r="AO260" i="7"/>
  <c r="AP260" i="7"/>
  <c r="AQ260" i="7"/>
  <c r="AD260" i="7"/>
  <c r="AE260" i="7"/>
  <c r="AF260" i="7"/>
  <c r="AG260" i="7"/>
  <c r="AH260" i="7"/>
  <c r="AI260" i="7"/>
  <c r="V260" i="7"/>
  <c r="W260" i="7"/>
  <c r="X260" i="7"/>
  <c r="Y260" i="7"/>
  <c r="Z260" i="7"/>
  <c r="AA260" i="7"/>
  <c r="N260" i="7"/>
  <c r="O260" i="7"/>
  <c r="P260" i="7"/>
  <c r="Q260" i="7"/>
  <c r="R260" i="7"/>
  <c r="S260" i="7"/>
  <c r="GR256" i="7"/>
  <c r="GS256" i="7"/>
  <c r="GT256" i="7"/>
  <c r="GU256" i="7"/>
  <c r="GV256" i="7"/>
  <c r="GW256" i="7"/>
  <c r="GJ256" i="7"/>
  <c r="GK256" i="7"/>
  <c r="GL256" i="7"/>
  <c r="GM256" i="7"/>
  <c r="GN256" i="7"/>
  <c r="GO256" i="7"/>
  <c r="GB256" i="7"/>
  <c r="GC256" i="7"/>
  <c r="GD256" i="7"/>
  <c r="GE256" i="7"/>
  <c r="GF256" i="7"/>
  <c r="GG256" i="7"/>
  <c r="FT256" i="7"/>
  <c r="FU256" i="7"/>
  <c r="FV256" i="7"/>
  <c r="FW256" i="7"/>
  <c r="FX256" i="7"/>
  <c r="FY256" i="7"/>
  <c r="FL256" i="7"/>
  <c r="FM256" i="7"/>
  <c r="FN256" i="7"/>
  <c r="FO256" i="7"/>
  <c r="FP256" i="7"/>
  <c r="FQ256" i="7"/>
  <c r="FD256" i="7"/>
  <c r="FE256" i="7"/>
  <c r="FF256" i="7"/>
  <c r="FG256" i="7"/>
  <c r="FH256" i="7"/>
  <c r="FI256" i="7"/>
  <c r="DU256" i="7"/>
  <c r="DV256" i="7"/>
  <c r="DW256" i="7"/>
  <c r="DX256" i="7"/>
  <c r="DY256" i="7"/>
  <c r="DZ256" i="7"/>
  <c r="EA256" i="7"/>
  <c r="EB256" i="7"/>
  <c r="EC256" i="7"/>
  <c r="ED256" i="7"/>
  <c r="EE256" i="7"/>
  <c r="EF256" i="7"/>
  <c r="DG256" i="7"/>
  <c r="DH256" i="7"/>
  <c r="DI256" i="7"/>
  <c r="DJ256" i="7"/>
  <c r="DK256" i="7"/>
  <c r="DL256" i="7"/>
  <c r="DM256" i="7"/>
  <c r="DN256" i="7"/>
  <c r="DO256" i="7"/>
  <c r="DP256" i="7"/>
  <c r="DQ256" i="7"/>
  <c r="DR256" i="7"/>
  <c r="CS256" i="7"/>
  <c r="CT256" i="7"/>
  <c r="CU256" i="7"/>
  <c r="CV256" i="7"/>
  <c r="CW256" i="7"/>
  <c r="CX256" i="7"/>
  <c r="CY256" i="7"/>
  <c r="CZ256" i="7"/>
  <c r="DA256" i="7"/>
  <c r="DB256" i="7"/>
  <c r="DC256" i="7"/>
  <c r="DD256" i="7"/>
  <c r="CF256" i="7"/>
  <c r="CK256" i="7"/>
  <c r="BJ256" i="7"/>
  <c r="BK256" i="7"/>
  <c r="BL256" i="7"/>
  <c r="BM256" i="7"/>
  <c r="BN256" i="7"/>
  <c r="BO256" i="7"/>
  <c r="BB256" i="7"/>
  <c r="BC256" i="7"/>
  <c r="BD256" i="7"/>
  <c r="BE256" i="7"/>
  <c r="BF256" i="7"/>
  <c r="BG256" i="7"/>
  <c r="AT256" i="7"/>
  <c r="AU256" i="7"/>
  <c r="AV256" i="7"/>
  <c r="AW256" i="7"/>
  <c r="AX256" i="7"/>
  <c r="AY256" i="7"/>
  <c r="AL256" i="7"/>
  <c r="AM256" i="7"/>
  <c r="AN256" i="7"/>
  <c r="AO256" i="7"/>
  <c r="AP256" i="7"/>
  <c r="AQ256" i="7"/>
  <c r="AD256" i="7"/>
  <c r="AE256" i="7"/>
  <c r="AF256" i="7"/>
  <c r="AG256" i="7"/>
  <c r="AH256" i="7"/>
  <c r="AI256" i="7"/>
  <c r="V256" i="7"/>
  <c r="W256" i="7"/>
  <c r="X256" i="7"/>
  <c r="Y256" i="7"/>
  <c r="Z256" i="7"/>
  <c r="AA256" i="7"/>
  <c r="N256" i="7"/>
  <c r="O256" i="7"/>
  <c r="P256" i="7"/>
  <c r="Q256" i="7"/>
  <c r="R256" i="7"/>
  <c r="S256" i="7"/>
  <c r="GR252" i="7"/>
  <c r="GS252" i="7"/>
  <c r="GT252" i="7"/>
  <c r="GU252" i="7"/>
  <c r="GV252" i="7"/>
  <c r="GW252" i="7"/>
  <c r="GJ252" i="7"/>
  <c r="GK252" i="7"/>
  <c r="GL252" i="7"/>
  <c r="GM252" i="7"/>
  <c r="GN252" i="7"/>
  <c r="GO252" i="7"/>
  <c r="GB252" i="7"/>
  <c r="GC252" i="7"/>
  <c r="GD252" i="7"/>
  <c r="GE252" i="7"/>
  <c r="GF252" i="7"/>
  <c r="GG252" i="7"/>
  <c r="FT252" i="7"/>
  <c r="FU252" i="7"/>
  <c r="FV252" i="7"/>
  <c r="FW252" i="7"/>
  <c r="FX252" i="7"/>
  <c r="FY252" i="7"/>
  <c r="FL252" i="7"/>
  <c r="FM252" i="7"/>
  <c r="FN252" i="7"/>
  <c r="FO252" i="7"/>
  <c r="FP252" i="7"/>
  <c r="FQ252" i="7"/>
  <c r="FD252" i="7"/>
  <c r="FE252" i="7"/>
  <c r="FF252" i="7"/>
  <c r="FG252" i="7"/>
  <c r="FH252" i="7"/>
  <c r="FI252" i="7"/>
  <c r="DU252" i="7"/>
  <c r="DV252" i="7"/>
  <c r="DW252" i="7"/>
  <c r="DX252" i="7"/>
  <c r="DY252" i="7"/>
  <c r="DZ252" i="7"/>
  <c r="EA252" i="7"/>
  <c r="EB252" i="7"/>
  <c r="EC252" i="7"/>
  <c r="ED252" i="7"/>
  <c r="EE252" i="7"/>
  <c r="EF252" i="7"/>
  <c r="DG252" i="7"/>
  <c r="DH252" i="7"/>
  <c r="DI252" i="7"/>
  <c r="DJ252" i="7"/>
  <c r="DK252" i="7"/>
  <c r="DL252" i="7"/>
  <c r="DM252" i="7"/>
  <c r="DN252" i="7"/>
  <c r="DO252" i="7"/>
  <c r="DP252" i="7"/>
  <c r="DQ252" i="7"/>
  <c r="DR252" i="7"/>
  <c r="CS252" i="7"/>
  <c r="CT252" i="7"/>
  <c r="CU252" i="7"/>
  <c r="CV252" i="7"/>
  <c r="CW252" i="7"/>
  <c r="CX252" i="7"/>
  <c r="CY252" i="7"/>
  <c r="CZ252" i="7"/>
  <c r="DA252" i="7"/>
  <c r="DB252" i="7"/>
  <c r="DC252" i="7"/>
  <c r="DD252" i="7"/>
  <c r="CF252" i="7"/>
  <c r="CK252" i="7"/>
  <c r="BJ252" i="7"/>
  <c r="BK252" i="7"/>
  <c r="BL252" i="7"/>
  <c r="BM252" i="7"/>
  <c r="BN252" i="7"/>
  <c r="BO252" i="7"/>
  <c r="BB252" i="7"/>
  <c r="BC252" i="7"/>
  <c r="BD252" i="7"/>
  <c r="BE252" i="7"/>
  <c r="BF252" i="7"/>
  <c r="BG252" i="7"/>
  <c r="AT252" i="7"/>
  <c r="AU252" i="7"/>
  <c r="AV252" i="7"/>
  <c r="AW252" i="7"/>
  <c r="AX252" i="7"/>
  <c r="AY252" i="7"/>
  <c r="AL252" i="7"/>
  <c r="AM252" i="7"/>
  <c r="AN252" i="7"/>
  <c r="AO252" i="7"/>
  <c r="AP252" i="7"/>
  <c r="AQ252" i="7"/>
  <c r="AD252" i="7"/>
  <c r="AE252" i="7"/>
  <c r="AF252" i="7"/>
  <c r="AG252" i="7"/>
  <c r="AH252" i="7"/>
  <c r="AI252" i="7"/>
  <c r="V252" i="7"/>
  <c r="W252" i="7"/>
  <c r="X252" i="7"/>
  <c r="Y252" i="7"/>
  <c r="Z252" i="7"/>
  <c r="AA252" i="7"/>
  <c r="N252" i="7"/>
  <c r="O252" i="7"/>
  <c r="P252" i="7"/>
  <c r="Q252" i="7"/>
  <c r="R252" i="7"/>
  <c r="S252" i="7"/>
  <c r="GR248" i="7"/>
  <c r="GS248" i="7"/>
  <c r="GT248" i="7"/>
  <c r="GU248" i="7"/>
  <c r="GV248" i="7"/>
  <c r="GW248" i="7"/>
  <c r="GJ248" i="7"/>
  <c r="GK248" i="7"/>
  <c r="GL248" i="7"/>
  <c r="GM248" i="7"/>
  <c r="GN248" i="7"/>
  <c r="GO248" i="7"/>
  <c r="GB248" i="7"/>
  <c r="GC248" i="7"/>
  <c r="GD248" i="7"/>
  <c r="GE248" i="7"/>
  <c r="GF248" i="7"/>
  <c r="GG248" i="7"/>
  <c r="FT248" i="7"/>
  <c r="FU248" i="7"/>
  <c r="FV248" i="7"/>
  <c r="FW248" i="7"/>
  <c r="FX248" i="7"/>
  <c r="FY248" i="7"/>
  <c r="FL248" i="7"/>
  <c r="FM248" i="7"/>
  <c r="FN248" i="7"/>
  <c r="FO248" i="7"/>
  <c r="FP248" i="7"/>
  <c r="FQ248" i="7"/>
  <c r="FD248" i="7"/>
  <c r="FE248" i="7"/>
  <c r="FF248" i="7"/>
  <c r="FG248" i="7"/>
  <c r="FH248" i="7"/>
  <c r="FI248" i="7"/>
  <c r="DU248" i="7"/>
  <c r="DV248" i="7"/>
  <c r="DW248" i="7"/>
  <c r="DX248" i="7"/>
  <c r="DY248" i="7"/>
  <c r="DZ248" i="7"/>
  <c r="EA248" i="7"/>
  <c r="EB248" i="7"/>
  <c r="EC248" i="7"/>
  <c r="ED248" i="7"/>
  <c r="EE248" i="7"/>
  <c r="EF248" i="7"/>
  <c r="DG248" i="7"/>
  <c r="DH248" i="7"/>
  <c r="DI248" i="7"/>
  <c r="DJ248" i="7"/>
  <c r="DK248" i="7"/>
  <c r="DL248" i="7"/>
  <c r="DM248" i="7"/>
  <c r="DN248" i="7"/>
  <c r="DO248" i="7"/>
  <c r="DP248" i="7"/>
  <c r="DQ248" i="7"/>
  <c r="DR248" i="7"/>
  <c r="CS248" i="7"/>
  <c r="CT248" i="7"/>
  <c r="CU248" i="7"/>
  <c r="CV248" i="7"/>
  <c r="CW248" i="7"/>
  <c r="CX248" i="7"/>
  <c r="CY248" i="7"/>
  <c r="CZ248" i="7"/>
  <c r="DA248" i="7"/>
  <c r="DB248" i="7"/>
  <c r="DC248" i="7"/>
  <c r="DD248" i="7"/>
  <c r="CF248" i="7"/>
  <c r="CK248" i="7"/>
  <c r="BJ248" i="7"/>
  <c r="BK248" i="7"/>
  <c r="BL248" i="7"/>
  <c r="BM248" i="7"/>
  <c r="BN248" i="7"/>
  <c r="BO248" i="7"/>
  <c r="BB248" i="7"/>
  <c r="BC248" i="7"/>
  <c r="BD248" i="7"/>
  <c r="BE248" i="7"/>
  <c r="BF248" i="7"/>
  <c r="BG248" i="7"/>
  <c r="AT248" i="7"/>
  <c r="AU248" i="7"/>
  <c r="AV248" i="7"/>
  <c r="AW248" i="7"/>
  <c r="AX248" i="7"/>
  <c r="AY248" i="7"/>
  <c r="AL248" i="7"/>
  <c r="AM248" i="7"/>
  <c r="AN248" i="7"/>
  <c r="AO248" i="7"/>
  <c r="AP248" i="7"/>
  <c r="AQ248" i="7"/>
  <c r="AD248" i="7"/>
  <c r="AE248" i="7"/>
  <c r="AF248" i="7"/>
  <c r="AG248" i="7"/>
  <c r="AH248" i="7"/>
  <c r="AI248" i="7"/>
  <c r="V248" i="7"/>
  <c r="W248" i="7"/>
  <c r="X248" i="7"/>
  <c r="Y248" i="7"/>
  <c r="Z248" i="7"/>
  <c r="AA248" i="7"/>
  <c r="N248" i="7"/>
  <c r="O248" i="7"/>
  <c r="P248" i="7"/>
  <c r="Q248" i="7"/>
  <c r="R248" i="7"/>
  <c r="S248" i="7"/>
  <c r="EV180" i="7"/>
  <c r="EW180" i="7"/>
  <c r="HA180" i="7" s="1"/>
  <c r="EX180" i="7"/>
  <c r="HB180" i="7" s="1"/>
  <c r="EY180" i="7"/>
  <c r="HC180" i="7" s="1"/>
  <c r="EZ180" i="7"/>
  <c r="HD180" i="7" s="1"/>
  <c r="FA180" i="7"/>
  <c r="HE180" i="7" s="1"/>
  <c r="EV181" i="7"/>
  <c r="GZ181" i="7" s="1"/>
  <c r="EW181" i="7"/>
  <c r="HA181" i="7" s="1"/>
  <c r="EX181" i="7"/>
  <c r="HB181" i="7" s="1"/>
  <c r="EY181" i="7"/>
  <c r="HC181" i="7" s="1"/>
  <c r="EZ181" i="7"/>
  <c r="HD181" i="7" s="1"/>
  <c r="FA181" i="7"/>
  <c r="HE181" i="7" s="1"/>
  <c r="EV182" i="7"/>
  <c r="GZ182" i="7" s="1"/>
  <c r="EW182" i="7"/>
  <c r="HA182" i="7" s="1"/>
  <c r="EX182" i="7"/>
  <c r="HB182" i="7" s="1"/>
  <c r="EY182" i="7"/>
  <c r="HC182" i="7" s="1"/>
  <c r="EZ182" i="7"/>
  <c r="HD182" i="7" s="1"/>
  <c r="FA182" i="7"/>
  <c r="HE182" i="7" s="1"/>
  <c r="EV183" i="7"/>
  <c r="EW183" i="7"/>
  <c r="HA183" i="7" s="1"/>
  <c r="EX183" i="7"/>
  <c r="HB183" i="7" s="1"/>
  <c r="EY183" i="7"/>
  <c r="HC183" i="7" s="1"/>
  <c r="EZ183" i="7"/>
  <c r="HD183" i="7" s="1"/>
  <c r="FA183" i="7"/>
  <c r="HE183" i="7" s="1"/>
  <c r="EV184" i="7"/>
  <c r="GZ184" i="7" s="1"/>
  <c r="EW184" i="7"/>
  <c r="EX184" i="7"/>
  <c r="HB184" i="7" s="1"/>
  <c r="EY184" i="7"/>
  <c r="EZ184" i="7"/>
  <c r="HD184" i="7" s="1"/>
  <c r="FA184" i="7"/>
  <c r="HE184" i="7" s="1"/>
  <c r="EV185" i="7"/>
  <c r="EW185" i="7"/>
  <c r="EX185" i="7"/>
  <c r="EY185" i="7"/>
  <c r="EZ185" i="7"/>
  <c r="FA185" i="7"/>
  <c r="EV187" i="7"/>
  <c r="GZ187" i="7" s="1"/>
  <c r="EW187" i="7"/>
  <c r="HA187" i="7" s="1"/>
  <c r="EX187" i="7"/>
  <c r="HB187" i="7" s="1"/>
  <c r="EY187" i="7"/>
  <c r="EZ187" i="7"/>
  <c r="HD187" i="7" s="1"/>
  <c r="FA187" i="7"/>
  <c r="EV188" i="7"/>
  <c r="EW188" i="7"/>
  <c r="HA188" i="7" s="1"/>
  <c r="EX188" i="7"/>
  <c r="EY188" i="7"/>
  <c r="HC188" i="7" s="1"/>
  <c r="EZ188" i="7"/>
  <c r="FA188" i="7"/>
  <c r="HE188" i="7" s="1"/>
  <c r="EV190" i="7"/>
  <c r="GZ190" i="7" s="1"/>
  <c r="EW190" i="7"/>
  <c r="HA190" i="7" s="1"/>
  <c r="EX190" i="7"/>
  <c r="HB190" i="7" s="1"/>
  <c r="EY190" i="7"/>
  <c r="EZ190" i="7"/>
  <c r="FA190" i="7"/>
  <c r="EV191" i="7"/>
  <c r="GZ191" i="7" s="1"/>
  <c r="EW191" i="7"/>
  <c r="EX191" i="7"/>
  <c r="HB191" i="7" s="1"/>
  <c r="EY191" i="7"/>
  <c r="HC191" i="7" s="1"/>
  <c r="EZ191" i="7"/>
  <c r="HD191" i="7" s="1"/>
  <c r="FA191" i="7"/>
  <c r="HE191" i="7" s="1"/>
  <c r="EV193" i="7"/>
  <c r="EW193" i="7"/>
  <c r="EX193" i="7"/>
  <c r="EY193" i="7"/>
  <c r="EZ193" i="7"/>
  <c r="HD193" i="7" s="1"/>
  <c r="FA193" i="7"/>
  <c r="EV194" i="7"/>
  <c r="GZ194" i="7" s="1"/>
  <c r="EW194" i="7"/>
  <c r="HA194" i="7" s="1"/>
  <c r="EX194" i="7"/>
  <c r="HB194" i="7" s="1"/>
  <c r="EY194" i="7"/>
  <c r="HC194" i="7" s="1"/>
  <c r="EZ194" i="7"/>
  <c r="HD194" i="7" s="1"/>
  <c r="FA194" i="7"/>
  <c r="HE194" i="7" s="1"/>
  <c r="EV196" i="7"/>
  <c r="EW196" i="7"/>
  <c r="HA196" i="7" s="1"/>
  <c r="EX196" i="7"/>
  <c r="HB196" i="7" s="1"/>
  <c r="EY196" i="7"/>
  <c r="EZ196" i="7"/>
  <c r="FA196" i="7"/>
  <c r="HE196" i="7" s="1"/>
  <c r="EV197" i="7"/>
  <c r="GZ197" i="7" s="1"/>
  <c r="EW197" i="7"/>
  <c r="HA197" i="7" s="1"/>
  <c r="EX197" i="7"/>
  <c r="EY197" i="7"/>
  <c r="HC197" i="7" s="1"/>
  <c r="EZ197" i="7"/>
  <c r="HD197" i="7" s="1"/>
  <c r="FA197" i="7"/>
  <c r="HE197" i="7" s="1"/>
  <c r="EV199" i="7"/>
  <c r="EW199" i="7"/>
  <c r="EX199" i="7"/>
  <c r="HB199" i="7" s="1"/>
  <c r="EY199" i="7"/>
  <c r="HC199" i="7" s="1"/>
  <c r="EZ199" i="7"/>
  <c r="HD199" i="7" s="1"/>
  <c r="FA199" i="7"/>
  <c r="HE199" i="7" s="1"/>
  <c r="EV200" i="7"/>
  <c r="GZ200" i="7" s="1"/>
  <c r="EW200" i="7"/>
  <c r="HA200" i="7" s="1"/>
  <c r="EX200" i="7"/>
  <c r="EY200" i="7"/>
  <c r="HC200" i="7" s="1"/>
  <c r="EZ200" i="7"/>
  <c r="FA200" i="7"/>
  <c r="EV202" i="7"/>
  <c r="EW202" i="7"/>
  <c r="EX202" i="7"/>
  <c r="EY202" i="7"/>
  <c r="EZ202" i="7"/>
  <c r="HD202" i="7" s="1"/>
  <c r="FA202" i="7"/>
  <c r="HE202" i="7" s="1"/>
  <c r="EV203" i="7"/>
  <c r="GZ203" i="7" s="1"/>
  <c r="EW203" i="7"/>
  <c r="HA203" i="7" s="1"/>
  <c r="EX203" i="7"/>
  <c r="HB203" i="7" s="1"/>
  <c r="EY203" i="7"/>
  <c r="HC203" i="7" s="1"/>
  <c r="EZ203" i="7"/>
  <c r="FA203" i="7"/>
  <c r="EV205" i="7"/>
  <c r="EW205" i="7"/>
  <c r="HA205" i="7" s="1"/>
  <c r="EX205" i="7"/>
  <c r="EY205" i="7"/>
  <c r="EZ205" i="7"/>
  <c r="FA205" i="7"/>
  <c r="EV206" i="7"/>
  <c r="EW206" i="7"/>
  <c r="EX206" i="7"/>
  <c r="HB206" i="7" s="1"/>
  <c r="EY206" i="7"/>
  <c r="HC206" i="7" s="1"/>
  <c r="EZ206" i="7"/>
  <c r="HD206" i="7" s="1"/>
  <c r="FA206" i="7"/>
  <c r="HE206" i="7" s="1"/>
  <c r="EV208" i="7"/>
  <c r="GZ208" i="7" s="1"/>
  <c r="EW208" i="7"/>
  <c r="HA208" i="7" s="1"/>
  <c r="EX208" i="7"/>
  <c r="HB208" i="7" s="1"/>
  <c r="EY208" i="7"/>
  <c r="HC208" i="7" s="1"/>
  <c r="EZ208" i="7"/>
  <c r="FA208" i="7"/>
  <c r="EV209" i="7"/>
  <c r="EW209" i="7"/>
  <c r="HA209" i="7" s="1"/>
  <c r="EX209" i="7"/>
  <c r="EY209" i="7"/>
  <c r="EZ209" i="7"/>
  <c r="HD209" i="7" s="1"/>
  <c r="FA209" i="7"/>
  <c r="HE209" i="7" s="1"/>
  <c r="EV211" i="7"/>
  <c r="GZ211" i="7" s="1"/>
  <c r="EW211" i="7"/>
  <c r="EX211" i="7"/>
  <c r="HB211" i="7" s="1"/>
  <c r="EY211" i="7"/>
  <c r="EZ211" i="7"/>
  <c r="HD211" i="7" s="1"/>
  <c r="FA211" i="7"/>
  <c r="HE211" i="7" s="1"/>
  <c r="EV212" i="7"/>
  <c r="GZ212" i="7" s="1"/>
  <c r="EW212" i="7"/>
  <c r="HA212" i="7" s="1"/>
  <c r="EX212" i="7"/>
  <c r="EY212" i="7"/>
  <c r="EZ212" i="7"/>
  <c r="HD212" i="7" s="1"/>
  <c r="FA212" i="7"/>
  <c r="HE212" i="7" s="1"/>
  <c r="EV215" i="7"/>
  <c r="EW215" i="7"/>
  <c r="HA215" i="7" s="1"/>
  <c r="EX215" i="7"/>
  <c r="HB215" i="7" s="1"/>
  <c r="EY215" i="7"/>
  <c r="HC215" i="7" s="1"/>
  <c r="EZ215" i="7"/>
  <c r="HD215" i="7" s="1"/>
  <c r="FA215" i="7"/>
  <c r="HE215" i="7" s="1"/>
  <c r="EV216" i="7"/>
  <c r="GZ216" i="7" s="1"/>
  <c r="EW216" i="7"/>
  <c r="HA216" i="7" s="1"/>
  <c r="EX216" i="7"/>
  <c r="HB216" i="7" s="1"/>
  <c r="EY216" i="7"/>
  <c r="HC216" i="7" s="1"/>
  <c r="EZ216" i="7"/>
  <c r="HD216" i="7" s="1"/>
  <c r="FA216" i="7"/>
  <c r="HE216" i="7" s="1"/>
  <c r="EV217" i="7"/>
  <c r="GZ217" i="7" s="1"/>
  <c r="EW217" i="7"/>
  <c r="HA217" i="7" s="1"/>
  <c r="EX217" i="7"/>
  <c r="HB217" i="7" s="1"/>
  <c r="EY217" i="7"/>
  <c r="HC217" i="7" s="1"/>
  <c r="EZ217" i="7"/>
  <c r="HD217" i="7" s="1"/>
  <c r="FA217" i="7"/>
  <c r="HE217" i="7" s="1"/>
  <c r="EV218" i="7"/>
  <c r="GZ218" i="7" s="1"/>
  <c r="EW218" i="7"/>
  <c r="HA218" i="7" s="1"/>
  <c r="EX218" i="7"/>
  <c r="HB218" i="7" s="1"/>
  <c r="EY218" i="7"/>
  <c r="HC218" i="7" s="1"/>
  <c r="EZ218" i="7"/>
  <c r="HD218" i="7" s="1"/>
  <c r="FA218" i="7"/>
  <c r="HE218" i="7" s="1"/>
  <c r="EV219" i="7"/>
  <c r="EW219" i="7"/>
  <c r="HA219" i="7" s="1"/>
  <c r="EX219" i="7"/>
  <c r="HB219" i="7" s="1"/>
  <c r="EY219" i="7"/>
  <c r="HC219" i="7" s="1"/>
  <c r="EZ219" i="7"/>
  <c r="HD219" i="7" s="1"/>
  <c r="FA219" i="7"/>
  <c r="HE219" i="7" s="1"/>
  <c r="EV220" i="7"/>
  <c r="GZ220" i="7" s="1"/>
  <c r="EW220" i="7"/>
  <c r="EX220" i="7"/>
  <c r="HB220" i="7" s="1"/>
  <c r="EY220" i="7"/>
  <c r="HC220" i="7" s="1"/>
  <c r="EZ220" i="7"/>
  <c r="HD220" i="7" s="1"/>
  <c r="FA220" i="7"/>
  <c r="HE220" i="7" s="1"/>
  <c r="EV221" i="7"/>
  <c r="EW221" i="7"/>
  <c r="HA221" i="7" s="1"/>
  <c r="EX221" i="7"/>
  <c r="HB221" i="7" s="1"/>
  <c r="EY221" i="7"/>
  <c r="HC221" i="7" s="1"/>
  <c r="EZ221" i="7"/>
  <c r="HD221" i="7" s="1"/>
  <c r="FA221" i="7"/>
  <c r="HE221" i="7" s="1"/>
  <c r="EV222" i="7"/>
  <c r="EW222" i="7"/>
  <c r="HA222" i="7" s="1"/>
  <c r="EX222" i="7"/>
  <c r="HB222" i="7" s="1"/>
  <c r="EY222" i="7"/>
  <c r="HC222" i="7" s="1"/>
  <c r="EZ222" i="7"/>
  <c r="HD222" i="7" s="1"/>
  <c r="FA222" i="7"/>
  <c r="HE222" i="7" s="1"/>
  <c r="EV223" i="7"/>
  <c r="GZ223" i="7" s="1"/>
  <c r="EW223" i="7"/>
  <c r="HA223" i="7" s="1"/>
  <c r="EX223" i="7"/>
  <c r="HB223" i="7" s="1"/>
  <c r="EY223" i="7"/>
  <c r="HC223" i="7" s="1"/>
  <c r="EZ223" i="7"/>
  <c r="HD223" i="7" s="1"/>
  <c r="FA223" i="7"/>
  <c r="EV224" i="7"/>
  <c r="EW224" i="7"/>
  <c r="HA224" i="7" s="1"/>
  <c r="EX224" i="7"/>
  <c r="HB224" i="7" s="1"/>
  <c r="EY224" i="7"/>
  <c r="HC224" i="7" s="1"/>
  <c r="EZ224" i="7"/>
  <c r="HD224" i="7" s="1"/>
  <c r="FA224" i="7"/>
  <c r="HE224" i="7" s="1"/>
  <c r="EV225" i="7"/>
  <c r="EW225" i="7"/>
  <c r="HA225" i="7" s="1"/>
  <c r="EX225" i="7"/>
  <c r="HB225" i="7" s="1"/>
  <c r="EY225" i="7"/>
  <c r="EZ225" i="7"/>
  <c r="HD225" i="7" s="1"/>
  <c r="FA225" i="7"/>
  <c r="HE225" i="7" s="1"/>
  <c r="EV226" i="7"/>
  <c r="EW226" i="7"/>
  <c r="HA226" i="7" s="1"/>
  <c r="EX226" i="7"/>
  <c r="HB226" i="7" s="1"/>
  <c r="EY226" i="7"/>
  <c r="HC226" i="7" s="1"/>
  <c r="EZ226" i="7"/>
  <c r="HD226" i="7" s="1"/>
  <c r="FA226" i="7"/>
  <c r="HE226" i="7" s="1"/>
  <c r="EV227" i="7"/>
  <c r="GZ227" i="7" s="1"/>
  <c r="EW227" i="7"/>
  <c r="HA227" i="7" s="1"/>
  <c r="EX227" i="7"/>
  <c r="EY227" i="7"/>
  <c r="EZ227" i="7"/>
  <c r="HD227" i="7" s="1"/>
  <c r="FA227" i="7"/>
  <c r="HE227" i="7" s="1"/>
  <c r="EV229" i="7"/>
  <c r="EW229" i="7"/>
  <c r="EX229" i="7"/>
  <c r="EY229" i="7"/>
  <c r="EZ229" i="7"/>
  <c r="HD229" i="7" s="1"/>
  <c r="FA229" i="7"/>
  <c r="HE229" i="7" s="1"/>
  <c r="EV230" i="7"/>
  <c r="EW230" i="7"/>
  <c r="HA230" i="7" s="1"/>
  <c r="EX230" i="7"/>
  <c r="HB230" i="7" s="1"/>
  <c r="EY230" i="7"/>
  <c r="HC230" i="7" s="1"/>
  <c r="EZ230" i="7"/>
  <c r="HD230" i="7" s="1"/>
  <c r="FA230" i="7"/>
  <c r="HE230" i="7" s="1"/>
  <c r="EV231" i="7"/>
  <c r="EW231" i="7"/>
  <c r="HA231" i="7" s="1"/>
  <c r="EX231" i="7"/>
  <c r="HB231" i="7" s="1"/>
  <c r="EY231" i="7"/>
  <c r="HC231" i="7" s="1"/>
  <c r="EZ231" i="7"/>
  <c r="FA231" i="7"/>
  <c r="HE231" i="7" s="1"/>
  <c r="EV233" i="7"/>
  <c r="GZ233" i="7" s="1"/>
  <c r="EW233" i="7"/>
  <c r="HA233" i="7" s="1"/>
  <c r="EX233" i="7"/>
  <c r="HB233" i="7" s="1"/>
  <c r="EY233" i="7"/>
  <c r="HC233" i="7" s="1"/>
  <c r="EZ233" i="7"/>
  <c r="HD233" i="7" s="1"/>
  <c r="FA233" i="7"/>
  <c r="HE233" i="7" s="1"/>
  <c r="EV234" i="7"/>
  <c r="GZ234" i="7" s="1"/>
  <c r="EW234" i="7"/>
  <c r="HA234" i="7" s="1"/>
  <c r="EX234" i="7"/>
  <c r="HB234" i="7" s="1"/>
  <c r="EY234" i="7"/>
  <c r="HC234" i="7" s="1"/>
  <c r="EZ234" i="7"/>
  <c r="FA234" i="7"/>
  <c r="HE234" i="7" s="1"/>
  <c r="EV235" i="7"/>
  <c r="EW235" i="7"/>
  <c r="EX235" i="7"/>
  <c r="EY235" i="7"/>
  <c r="HC235" i="7" s="1"/>
  <c r="EZ235" i="7"/>
  <c r="HD235" i="7" s="1"/>
  <c r="FA235" i="7"/>
  <c r="HE235" i="7" s="1"/>
  <c r="EV237" i="7"/>
  <c r="EW237" i="7"/>
  <c r="HA237" i="7" s="1"/>
  <c r="EX237" i="7"/>
  <c r="EY237" i="7"/>
  <c r="EZ237" i="7"/>
  <c r="HD237" i="7" s="1"/>
  <c r="FA237" i="7"/>
  <c r="HE237" i="7" s="1"/>
  <c r="EV238" i="7"/>
  <c r="GZ238" i="7" s="1"/>
  <c r="EW238" i="7"/>
  <c r="EX238" i="7"/>
  <c r="HB238" i="7" s="1"/>
  <c r="EY238" i="7"/>
  <c r="HC238" i="7" s="1"/>
  <c r="EZ238" i="7"/>
  <c r="HD238" i="7" s="1"/>
  <c r="FA238" i="7"/>
  <c r="EV239" i="7"/>
  <c r="GZ239" i="7" s="1"/>
  <c r="EW239" i="7"/>
  <c r="HA239" i="7" s="1"/>
  <c r="EX239" i="7"/>
  <c r="HB239" i="7" s="1"/>
  <c r="EY239" i="7"/>
  <c r="EZ239" i="7"/>
  <c r="HD239" i="7" s="1"/>
  <c r="FA239" i="7"/>
  <c r="HE239" i="7" s="1"/>
  <c r="EV241" i="7"/>
  <c r="EW241" i="7"/>
  <c r="EX241" i="7"/>
  <c r="EY241" i="7"/>
  <c r="EZ241" i="7"/>
  <c r="FA241" i="7"/>
  <c r="EV242" i="7"/>
  <c r="GZ242" i="7" s="1"/>
  <c r="EW242" i="7"/>
  <c r="HA242" i="7" s="1"/>
  <c r="EX242" i="7"/>
  <c r="HB242" i="7" s="1"/>
  <c r="EY242" i="7"/>
  <c r="HC242" i="7" s="1"/>
  <c r="EZ242" i="7"/>
  <c r="HD242" i="7" s="1"/>
  <c r="FA242" i="7"/>
  <c r="HE242" i="7" s="1"/>
  <c r="EV243" i="7"/>
  <c r="GZ243" i="7" s="1"/>
  <c r="EW243" i="7"/>
  <c r="HA243" i="7" s="1"/>
  <c r="EX243" i="7"/>
  <c r="HB243" i="7" s="1"/>
  <c r="EY243" i="7"/>
  <c r="HC243" i="7" s="1"/>
  <c r="EZ243" i="7"/>
  <c r="HD243" i="7" s="1"/>
  <c r="FA243" i="7"/>
  <c r="HE243" i="7" s="1"/>
  <c r="EV245" i="7"/>
  <c r="GZ245" i="7" s="1"/>
  <c r="EW245" i="7"/>
  <c r="HA245" i="7" s="1"/>
  <c r="EX245" i="7"/>
  <c r="HB245" i="7" s="1"/>
  <c r="EY245" i="7"/>
  <c r="EZ245" i="7"/>
  <c r="FA245" i="7"/>
  <c r="EV246" i="7"/>
  <c r="GZ246" i="7" s="1"/>
  <c r="EW246" i="7"/>
  <c r="EX246" i="7"/>
  <c r="EY246" i="7"/>
  <c r="HC246" i="7" s="1"/>
  <c r="EZ246" i="7"/>
  <c r="HD246" i="7" s="1"/>
  <c r="FA246" i="7"/>
  <c r="HE246" i="7" s="1"/>
  <c r="EV247" i="7"/>
  <c r="GZ247" i="7" s="1"/>
  <c r="EW247" i="7"/>
  <c r="HA247" i="7" s="1"/>
  <c r="EX247" i="7"/>
  <c r="HB247" i="7" s="1"/>
  <c r="EY247" i="7"/>
  <c r="HC247" i="7" s="1"/>
  <c r="EZ247" i="7"/>
  <c r="HD247" i="7" s="1"/>
  <c r="FA247" i="7"/>
  <c r="HE247" i="7" s="1"/>
  <c r="EV249" i="7"/>
  <c r="GZ249" i="7" s="1"/>
  <c r="EW249" i="7"/>
  <c r="HA249" i="7" s="1"/>
  <c r="EX249" i="7"/>
  <c r="EY249" i="7"/>
  <c r="EZ249" i="7"/>
  <c r="HD249" i="7" s="1"/>
  <c r="FA249" i="7"/>
  <c r="EV250" i="7"/>
  <c r="EW250" i="7"/>
  <c r="HA250" i="7" s="1"/>
  <c r="EX250" i="7"/>
  <c r="HB250" i="7" s="1"/>
  <c r="EY250" i="7"/>
  <c r="HC250" i="7" s="1"/>
  <c r="EZ250" i="7"/>
  <c r="FA250" i="7"/>
  <c r="HE250" i="7" s="1"/>
  <c r="EV251" i="7"/>
  <c r="EW251" i="7"/>
  <c r="HA251" i="7" s="1"/>
  <c r="EX251" i="7"/>
  <c r="HB251" i="7" s="1"/>
  <c r="EY251" i="7"/>
  <c r="HC251" i="7" s="1"/>
  <c r="EZ251" i="7"/>
  <c r="HD251" i="7" s="1"/>
  <c r="FA251" i="7"/>
  <c r="HE251" i="7" s="1"/>
  <c r="EV253" i="7"/>
  <c r="EW253" i="7"/>
  <c r="HA253" i="7" s="1"/>
  <c r="EX253" i="7"/>
  <c r="EY253" i="7"/>
  <c r="HC253" i="7" s="1"/>
  <c r="EZ253" i="7"/>
  <c r="HD253" i="7" s="1"/>
  <c r="FA253" i="7"/>
  <c r="EV254" i="7"/>
  <c r="EW254" i="7"/>
  <c r="HA254" i="7" s="1"/>
  <c r="EX254" i="7"/>
  <c r="HB254" i="7" s="1"/>
  <c r="EY254" i="7"/>
  <c r="EZ254" i="7"/>
  <c r="FA254" i="7"/>
  <c r="HE254" i="7" s="1"/>
  <c r="EV255" i="7"/>
  <c r="EW255" i="7"/>
  <c r="HA255" i="7" s="1"/>
  <c r="EX255" i="7"/>
  <c r="HB255" i="7" s="1"/>
  <c r="EY255" i="7"/>
  <c r="HC255" i="7" s="1"/>
  <c r="EZ255" i="7"/>
  <c r="HD255" i="7" s="1"/>
  <c r="FA255" i="7"/>
  <c r="HE255" i="7" s="1"/>
  <c r="EV257" i="7"/>
  <c r="EW257" i="7"/>
  <c r="HA257" i="7" s="1"/>
  <c r="EX257" i="7"/>
  <c r="HB257" i="7" s="1"/>
  <c r="EY257" i="7"/>
  <c r="HC257" i="7" s="1"/>
  <c r="EZ257" i="7"/>
  <c r="HD257" i="7" s="1"/>
  <c r="FA257" i="7"/>
  <c r="HE257" i="7" s="1"/>
  <c r="EV258" i="7"/>
  <c r="GZ258" i="7" s="1"/>
  <c r="EW258" i="7"/>
  <c r="HA258" i="7" s="1"/>
  <c r="EX258" i="7"/>
  <c r="HB258" i="7" s="1"/>
  <c r="EY258" i="7"/>
  <c r="EZ258" i="7"/>
  <c r="FA258" i="7"/>
  <c r="EV259" i="7"/>
  <c r="EW259" i="7"/>
  <c r="HA259" i="7" s="1"/>
  <c r="EX259" i="7"/>
  <c r="HB259" i="7" s="1"/>
  <c r="EY259" i="7"/>
  <c r="HC259" i="7" s="1"/>
  <c r="EZ259" i="7"/>
  <c r="HD259" i="7" s="1"/>
  <c r="FA259" i="7"/>
  <c r="HE259" i="7" s="1"/>
  <c r="EV261" i="7"/>
  <c r="EW261" i="7"/>
  <c r="HA261" i="7" s="1"/>
  <c r="EX261" i="7"/>
  <c r="HB261" i="7" s="1"/>
  <c r="EY261" i="7"/>
  <c r="EZ261" i="7"/>
  <c r="HD261" i="7" s="1"/>
  <c r="FA261" i="7"/>
  <c r="HE261" i="7" s="1"/>
  <c r="EV262" i="7"/>
  <c r="EW262" i="7"/>
  <c r="EX262" i="7"/>
  <c r="EY262" i="7"/>
  <c r="HC262" i="7" s="1"/>
  <c r="EZ262" i="7"/>
  <c r="HD262" i="7" s="1"/>
  <c r="FA262" i="7"/>
  <c r="HE262" i="7" s="1"/>
  <c r="EV263" i="7"/>
  <c r="GZ263" i="7" s="1"/>
  <c r="EW263" i="7"/>
  <c r="HA263" i="7" s="1"/>
  <c r="EX263" i="7"/>
  <c r="HB263" i="7" s="1"/>
  <c r="EY263" i="7"/>
  <c r="EZ263" i="7"/>
  <c r="HD263" i="7" s="1"/>
  <c r="FA263" i="7"/>
  <c r="HE263" i="7" s="1"/>
  <c r="EV265" i="7"/>
  <c r="EW265" i="7"/>
  <c r="HA265" i="7" s="1"/>
  <c r="EX265" i="7"/>
  <c r="HB265" i="7" s="1"/>
  <c r="EY265" i="7"/>
  <c r="EZ265" i="7"/>
  <c r="FA265" i="7"/>
  <c r="HE265" i="7" s="1"/>
  <c r="EV266" i="7"/>
  <c r="EW266" i="7"/>
  <c r="HA266" i="7" s="1"/>
  <c r="EX266" i="7"/>
  <c r="HB266" i="7" s="1"/>
  <c r="EY266" i="7"/>
  <c r="HC266" i="7" s="1"/>
  <c r="EZ266" i="7"/>
  <c r="HD266" i="7" s="1"/>
  <c r="FA266" i="7"/>
  <c r="HE266" i="7" s="1"/>
  <c r="EV267" i="7"/>
  <c r="GZ267" i="7" s="1"/>
  <c r="EW267" i="7"/>
  <c r="HA267" i="7" s="1"/>
  <c r="EX267" i="7"/>
  <c r="HB267" i="7" s="1"/>
  <c r="EY267" i="7"/>
  <c r="HC267" i="7" s="1"/>
  <c r="EZ267" i="7"/>
  <c r="HD267" i="7" s="1"/>
  <c r="FA267" i="7"/>
  <c r="HE267" i="7" s="1"/>
  <c r="EV269" i="7"/>
  <c r="GZ269" i="7" s="1"/>
  <c r="EW269" i="7"/>
  <c r="EX269" i="7"/>
  <c r="EY269" i="7"/>
  <c r="EZ269" i="7"/>
  <c r="FA269" i="7"/>
  <c r="EV270" i="7"/>
  <c r="EW270" i="7"/>
  <c r="HA270" i="7" s="1"/>
  <c r="EX270" i="7"/>
  <c r="HB270" i="7" s="1"/>
  <c r="EY270" i="7"/>
  <c r="HC270" i="7" s="1"/>
  <c r="EZ270" i="7"/>
  <c r="HD270" i="7" s="1"/>
  <c r="FA270" i="7"/>
  <c r="HE270" i="7" s="1"/>
  <c r="EV271" i="7"/>
  <c r="EW271" i="7"/>
  <c r="HA271" i="7" s="1"/>
  <c r="EX271" i="7"/>
  <c r="HB271" i="7" s="1"/>
  <c r="EY271" i="7"/>
  <c r="HC271" i="7" s="1"/>
  <c r="EZ271" i="7"/>
  <c r="HD271" i="7" s="1"/>
  <c r="FA271" i="7"/>
  <c r="HE271" i="7" s="1"/>
  <c r="EV273" i="7"/>
  <c r="EW273" i="7"/>
  <c r="EX273" i="7"/>
  <c r="EY273" i="7"/>
  <c r="EZ273" i="7"/>
  <c r="FA273" i="7"/>
  <c r="EV274" i="7"/>
  <c r="GZ274" i="7" s="1"/>
  <c r="EW274" i="7"/>
  <c r="HA274" i="7" s="1"/>
  <c r="EX274" i="7"/>
  <c r="HB274" i="7" s="1"/>
  <c r="EY274" i="7"/>
  <c r="HC274" i="7" s="1"/>
  <c r="EZ274" i="7"/>
  <c r="HD274" i="7" s="1"/>
  <c r="FA274" i="7"/>
  <c r="HE274" i="7" s="1"/>
  <c r="EV275" i="7"/>
  <c r="EW275" i="7"/>
  <c r="HA275" i="7" s="1"/>
  <c r="EX275" i="7"/>
  <c r="HB275" i="7" s="1"/>
  <c r="EY275" i="7"/>
  <c r="HC275" i="7" s="1"/>
  <c r="EZ275" i="7"/>
  <c r="HD275" i="7" s="1"/>
  <c r="FA275" i="7"/>
  <c r="HE275" i="7" s="1"/>
  <c r="EV277" i="7"/>
  <c r="EW277" i="7"/>
  <c r="EX277" i="7"/>
  <c r="EY277" i="7"/>
  <c r="HC277" i="7" s="1"/>
  <c r="EZ277" i="7"/>
  <c r="HD277" i="7" s="1"/>
  <c r="FA277" i="7"/>
  <c r="HE277" i="7" s="1"/>
  <c r="EV278" i="7"/>
  <c r="GZ278" i="7" s="1"/>
  <c r="EW278" i="7"/>
  <c r="HA278" i="7" s="1"/>
  <c r="EX278" i="7"/>
  <c r="HB278" i="7" s="1"/>
  <c r="EY278" i="7"/>
  <c r="EZ278" i="7"/>
  <c r="FA278" i="7"/>
  <c r="HE278" i="7" s="1"/>
  <c r="EV279" i="7"/>
  <c r="EW279" i="7"/>
  <c r="HA279" i="7" s="1"/>
  <c r="EX279" i="7"/>
  <c r="HB279" i="7" s="1"/>
  <c r="EY279" i="7"/>
  <c r="HC279" i="7" s="1"/>
  <c r="EZ279" i="7"/>
  <c r="HD279" i="7" s="1"/>
  <c r="FA279" i="7"/>
  <c r="HE279" i="7" s="1"/>
  <c r="EV281" i="7"/>
  <c r="EW281" i="7"/>
  <c r="EX281" i="7"/>
  <c r="EY281" i="7"/>
  <c r="HC281" i="7" s="1"/>
  <c r="EZ281" i="7"/>
  <c r="HD281" i="7" s="1"/>
  <c r="FA281" i="7"/>
  <c r="HE281" i="7" s="1"/>
  <c r="EV282" i="7"/>
  <c r="EW282" i="7"/>
  <c r="HA282" i="7" s="1"/>
  <c r="EX282" i="7"/>
  <c r="HB282" i="7" s="1"/>
  <c r="EY282" i="7"/>
  <c r="EZ282" i="7"/>
  <c r="FA282" i="7"/>
  <c r="EV283" i="7"/>
  <c r="GZ283" i="7" s="1"/>
  <c r="EW283" i="7"/>
  <c r="HA283" i="7" s="1"/>
  <c r="EX283" i="7"/>
  <c r="HB283" i="7" s="1"/>
  <c r="EY283" i="7"/>
  <c r="HC283" i="7" s="1"/>
  <c r="EZ283" i="7"/>
  <c r="HD283" i="7" s="1"/>
  <c r="FA283" i="7"/>
  <c r="HE283" i="7" s="1"/>
  <c r="BR180" i="7"/>
  <c r="BS180" i="7"/>
  <c r="BT180" i="7"/>
  <c r="BU180" i="7"/>
  <c r="BV180" i="7"/>
  <c r="BW180" i="7"/>
  <c r="BR181" i="7"/>
  <c r="BS181" i="7"/>
  <c r="P29" i="44" s="1"/>
  <c r="BT181" i="7"/>
  <c r="BU181" i="7"/>
  <c r="BV181" i="7"/>
  <c r="BW181" i="7"/>
  <c r="AB29" i="44" s="1"/>
  <c r="BR182" i="7"/>
  <c r="BS182" i="7"/>
  <c r="BT182" i="7"/>
  <c r="BU182" i="7"/>
  <c r="BV182" i="7"/>
  <c r="BW182" i="7"/>
  <c r="BR183" i="7"/>
  <c r="BS183" i="7"/>
  <c r="BT183" i="7"/>
  <c r="BU183" i="7"/>
  <c r="BV183" i="7"/>
  <c r="BW183" i="7"/>
  <c r="BR184" i="7"/>
  <c r="BS184" i="7"/>
  <c r="BT184" i="7"/>
  <c r="BU184" i="7"/>
  <c r="BV184" i="7"/>
  <c r="BW184" i="7"/>
  <c r="BR185" i="7"/>
  <c r="BS185" i="7"/>
  <c r="BT185" i="7"/>
  <c r="BU185" i="7"/>
  <c r="BV185" i="7"/>
  <c r="BW185" i="7"/>
  <c r="BR187" i="7"/>
  <c r="BS187" i="7"/>
  <c r="BT187" i="7"/>
  <c r="BU187" i="7"/>
  <c r="BV187" i="7"/>
  <c r="BW187" i="7"/>
  <c r="BR188" i="7"/>
  <c r="BS188" i="7"/>
  <c r="BT188" i="7"/>
  <c r="BU188" i="7"/>
  <c r="BV188" i="7"/>
  <c r="BW188" i="7"/>
  <c r="BR190" i="7"/>
  <c r="BS190" i="7"/>
  <c r="BT190" i="7"/>
  <c r="BU190" i="7"/>
  <c r="BV190" i="7"/>
  <c r="BW190" i="7"/>
  <c r="BR191" i="7"/>
  <c r="BS191" i="7"/>
  <c r="BT191" i="7"/>
  <c r="BU191" i="7"/>
  <c r="BV191" i="7"/>
  <c r="BW191" i="7"/>
  <c r="BR193" i="7"/>
  <c r="BS193" i="7"/>
  <c r="BT193" i="7"/>
  <c r="BU193" i="7"/>
  <c r="BV193" i="7"/>
  <c r="BW193" i="7"/>
  <c r="BR194" i="7"/>
  <c r="BS194" i="7"/>
  <c r="BT194" i="7"/>
  <c r="BU194" i="7"/>
  <c r="BV194" i="7"/>
  <c r="BW194" i="7"/>
  <c r="BR196" i="7"/>
  <c r="BS196" i="7"/>
  <c r="BT196" i="7"/>
  <c r="BU196" i="7"/>
  <c r="BV196" i="7"/>
  <c r="BW196" i="7"/>
  <c r="BR197" i="7"/>
  <c r="BS197" i="7"/>
  <c r="BT197" i="7"/>
  <c r="BU197" i="7"/>
  <c r="BV197" i="7"/>
  <c r="BW197" i="7"/>
  <c r="BR199" i="7"/>
  <c r="BS199" i="7"/>
  <c r="BT199" i="7"/>
  <c r="BU199" i="7"/>
  <c r="BV199" i="7"/>
  <c r="BW199" i="7"/>
  <c r="BR200" i="7"/>
  <c r="BS200" i="7"/>
  <c r="BT200" i="7"/>
  <c r="BU200" i="7"/>
  <c r="BV200" i="7"/>
  <c r="BW200" i="7"/>
  <c r="BR202" i="7"/>
  <c r="BS202" i="7"/>
  <c r="BT202" i="7"/>
  <c r="BU202" i="7"/>
  <c r="BV202" i="7"/>
  <c r="BW202" i="7"/>
  <c r="BR203" i="7"/>
  <c r="BS203" i="7"/>
  <c r="BT203" i="7"/>
  <c r="BU203" i="7"/>
  <c r="BV203" i="7"/>
  <c r="BW203" i="7"/>
  <c r="BR205" i="7"/>
  <c r="BS205" i="7"/>
  <c r="BT205" i="7"/>
  <c r="BU205" i="7"/>
  <c r="BV205" i="7"/>
  <c r="BW205" i="7"/>
  <c r="BR206" i="7"/>
  <c r="BS206" i="7"/>
  <c r="BT206" i="7"/>
  <c r="BU206" i="7"/>
  <c r="BV206" i="7"/>
  <c r="BW206" i="7"/>
  <c r="BR208" i="7"/>
  <c r="BS208" i="7"/>
  <c r="BT208" i="7"/>
  <c r="BU208" i="7"/>
  <c r="BV208" i="7"/>
  <c r="BW208" i="7"/>
  <c r="BR209" i="7"/>
  <c r="BS209" i="7"/>
  <c r="BT209" i="7"/>
  <c r="BU209" i="7"/>
  <c r="BV209" i="7"/>
  <c r="BW209" i="7"/>
  <c r="BR211" i="7"/>
  <c r="BS211" i="7"/>
  <c r="BT211" i="7"/>
  <c r="BU211" i="7"/>
  <c r="BV211" i="7"/>
  <c r="BW211" i="7"/>
  <c r="BR212" i="7"/>
  <c r="BS212" i="7"/>
  <c r="BT212" i="7"/>
  <c r="BU212" i="7"/>
  <c r="BV212" i="7"/>
  <c r="BW212" i="7"/>
  <c r="BR215" i="7"/>
  <c r="BS215" i="7"/>
  <c r="BT215" i="7"/>
  <c r="BU215" i="7"/>
  <c r="BV215" i="7"/>
  <c r="BW215" i="7"/>
  <c r="BR216" i="7"/>
  <c r="BS216" i="7"/>
  <c r="BT216" i="7"/>
  <c r="BU216" i="7"/>
  <c r="BV216" i="7"/>
  <c r="BW216" i="7"/>
  <c r="BR217" i="7"/>
  <c r="BS217" i="7"/>
  <c r="BT217" i="7"/>
  <c r="BU217" i="7"/>
  <c r="BV217" i="7"/>
  <c r="BW217" i="7"/>
  <c r="BR218" i="7"/>
  <c r="BS218" i="7"/>
  <c r="BT218" i="7"/>
  <c r="BU218" i="7"/>
  <c r="BV218" i="7"/>
  <c r="BW218" i="7"/>
  <c r="BR219" i="7"/>
  <c r="BS219" i="7"/>
  <c r="BT219" i="7"/>
  <c r="BU219" i="7"/>
  <c r="BV219" i="7"/>
  <c r="BW219" i="7"/>
  <c r="BR220" i="7"/>
  <c r="BS220" i="7"/>
  <c r="BT220" i="7"/>
  <c r="BU220" i="7"/>
  <c r="BV220" i="7"/>
  <c r="BW220" i="7"/>
  <c r="BR221" i="7"/>
  <c r="BS221" i="7"/>
  <c r="BT221" i="7"/>
  <c r="BU221" i="7"/>
  <c r="BV221" i="7"/>
  <c r="BW221" i="7"/>
  <c r="BR222" i="7"/>
  <c r="BS222" i="7"/>
  <c r="BT222" i="7"/>
  <c r="BU222" i="7"/>
  <c r="BV222" i="7"/>
  <c r="BW222" i="7"/>
  <c r="BR223" i="7"/>
  <c r="BS223" i="7"/>
  <c r="BT223" i="7"/>
  <c r="BU223" i="7"/>
  <c r="BV223" i="7"/>
  <c r="BW223" i="7"/>
  <c r="BR224" i="7"/>
  <c r="BS224" i="7"/>
  <c r="BT224" i="7"/>
  <c r="BU224" i="7"/>
  <c r="BV224" i="7"/>
  <c r="BW224" i="7"/>
  <c r="BR225" i="7"/>
  <c r="BS225" i="7"/>
  <c r="BT225" i="7"/>
  <c r="BU225" i="7"/>
  <c r="BV225" i="7"/>
  <c r="BW225" i="7"/>
  <c r="BR226" i="7"/>
  <c r="BS226" i="7"/>
  <c r="BT226" i="7"/>
  <c r="BU226" i="7"/>
  <c r="BV226" i="7"/>
  <c r="BW226" i="7"/>
  <c r="BR227" i="7"/>
  <c r="BS227" i="7"/>
  <c r="BT227" i="7"/>
  <c r="BU227" i="7"/>
  <c r="BV227" i="7"/>
  <c r="BW227" i="7"/>
  <c r="BR229" i="7"/>
  <c r="BS229" i="7"/>
  <c r="BT229" i="7"/>
  <c r="BU229" i="7"/>
  <c r="BV229" i="7"/>
  <c r="BW229" i="7"/>
  <c r="BR230" i="7"/>
  <c r="BS230" i="7"/>
  <c r="BT230" i="7"/>
  <c r="BU230" i="7"/>
  <c r="BV230" i="7"/>
  <c r="BW230" i="7"/>
  <c r="BR231" i="7"/>
  <c r="BS231" i="7"/>
  <c r="BT231" i="7"/>
  <c r="BU231" i="7"/>
  <c r="BV231" i="7"/>
  <c r="BW231" i="7"/>
  <c r="BR233" i="7"/>
  <c r="BS233" i="7"/>
  <c r="BT233" i="7"/>
  <c r="BU233" i="7"/>
  <c r="BV233" i="7"/>
  <c r="BW233" i="7"/>
  <c r="BR234" i="7"/>
  <c r="BS234" i="7"/>
  <c r="BT234" i="7"/>
  <c r="BU234" i="7"/>
  <c r="BV234" i="7"/>
  <c r="BW234" i="7"/>
  <c r="BR235" i="7"/>
  <c r="BS235" i="7"/>
  <c r="BT235" i="7"/>
  <c r="BU235" i="7"/>
  <c r="BV235" i="7"/>
  <c r="BW235" i="7"/>
  <c r="BR237" i="7"/>
  <c r="BS237" i="7"/>
  <c r="BT237" i="7"/>
  <c r="BU237" i="7"/>
  <c r="BV237" i="7"/>
  <c r="BW237" i="7"/>
  <c r="BR238" i="7"/>
  <c r="BS238" i="7"/>
  <c r="BT238" i="7"/>
  <c r="BU238" i="7"/>
  <c r="BV238" i="7"/>
  <c r="BW238" i="7"/>
  <c r="BR239" i="7"/>
  <c r="BS239" i="7"/>
  <c r="BT239" i="7"/>
  <c r="BU239" i="7"/>
  <c r="BV239" i="7"/>
  <c r="BW239" i="7"/>
  <c r="BR241" i="7"/>
  <c r="BS241" i="7"/>
  <c r="BT241" i="7"/>
  <c r="BU241" i="7"/>
  <c r="BV241" i="7"/>
  <c r="BW241" i="7"/>
  <c r="BR242" i="7"/>
  <c r="BS242" i="7"/>
  <c r="BT242" i="7"/>
  <c r="BU242" i="7"/>
  <c r="BV242" i="7"/>
  <c r="BW242" i="7"/>
  <c r="BR243" i="7"/>
  <c r="BS243" i="7"/>
  <c r="BT243" i="7"/>
  <c r="BU243" i="7"/>
  <c r="BV243" i="7"/>
  <c r="BW243" i="7"/>
  <c r="BR245" i="7"/>
  <c r="BS245" i="7"/>
  <c r="BT245" i="7"/>
  <c r="BU245" i="7"/>
  <c r="BV245" i="7"/>
  <c r="BW245" i="7"/>
  <c r="BR246" i="7"/>
  <c r="BS246" i="7"/>
  <c r="BT246" i="7"/>
  <c r="BU246" i="7"/>
  <c r="BV246" i="7"/>
  <c r="BW246" i="7"/>
  <c r="BR247" i="7"/>
  <c r="BS247" i="7"/>
  <c r="BT247" i="7"/>
  <c r="BU247" i="7"/>
  <c r="BV247" i="7"/>
  <c r="BW247" i="7"/>
  <c r="BR249" i="7"/>
  <c r="BS249" i="7"/>
  <c r="BT249" i="7"/>
  <c r="BU249" i="7"/>
  <c r="BV249" i="7"/>
  <c r="BW249" i="7"/>
  <c r="BR250" i="7"/>
  <c r="BS250" i="7"/>
  <c r="BT250" i="7"/>
  <c r="BU250" i="7"/>
  <c r="BV250" i="7"/>
  <c r="BW250" i="7"/>
  <c r="BR251" i="7"/>
  <c r="BS251" i="7"/>
  <c r="BT251" i="7"/>
  <c r="BU251" i="7"/>
  <c r="BV251" i="7"/>
  <c r="BW251" i="7"/>
  <c r="BR253" i="7"/>
  <c r="BS253" i="7"/>
  <c r="BT253" i="7"/>
  <c r="BU253" i="7"/>
  <c r="BV253" i="7"/>
  <c r="BW253" i="7"/>
  <c r="BR254" i="7"/>
  <c r="BS254" i="7"/>
  <c r="BT254" i="7"/>
  <c r="BU254" i="7"/>
  <c r="BV254" i="7"/>
  <c r="BW254" i="7"/>
  <c r="BR255" i="7"/>
  <c r="BS255" i="7"/>
  <c r="BT255" i="7"/>
  <c r="BU255" i="7"/>
  <c r="BV255" i="7"/>
  <c r="BW255" i="7"/>
  <c r="BR257" i="7"/>
  <c r="BS257" i="7"/>
  <c r="BT257" i="7"/>
  <c r="BU257" i="7"/>
  <c r="BV257" i="7"/>
  <c r="BW257" i="7"/>
  <c r="BR258" i="7"/>
  <c r="BS258" i="7"/>
  <c r="BT258" i="7"/>
  <c r="BU258" i="7"/>
  <c r="BV258" i="7"/>
  <c r="BW258" i="7"/>
  <c r="BR259" i="7"/>
  <c r="BS259" i="7"/>
  <c r="BT259" i="7"/>
  <c r="BU259" i="7"/>
  <c r="BV259" i="7"/>
  <c r="BW259" i="7"/>
  <c r="BR261" i="7"/>
  <c r="BS261" i="7"/>
  <c r="BT261" i="7"/>
  <c r="BU261" i="7"/>
  <c r="BV261" i="7"/>
  <c r="BW261" i="7"/>
  <c r="BR262" i="7"/>
  <c r="BS262" i="7"/>
  <c r="BT262" i="7"/>
  <c r="BU262" i="7"/>
  <c r="BV262" i="7"/>
  <c r="BW262" i="7"/>
  <c r="BR263" i="7"/>
  <c r="BS263" i="7"/>
  <c r="BT263" i="7"/>
  <c r="BU263" i="7"/>
  <c r="BV263" i="7"/>
  <c r="BW263" i="7"/>
  <c r="BR265" i="7"/>
  <c r="BS265" i="7"/>
  <c r="BT265" i="7"/>
  <c r="BU265" i="7"/>
  <c r="BV265" i="7"/>
  <c r="BW265" i="7"/>
  <c r="BR266" i="7"/>
  <c r="BS266" i="7"/>
  <c r="BT266" i="7"/>
  <c r="BU266" i="7"/>
  <c r="BV266" i="7"/>
  <c r="BW266" i="7"/>
  <c r="BR267" i="7"/>
  <c r="BS267" i="7"/>
  <c r="BT267" i="7"/>
  <c r="BU267" i="7"/>
  <c r="BV267" i="7"/>
  <c r="BW267" i="7"/>
  <c r="BR269" i="7"/>
  <c r="BS269" i="7"/>
  <c r="BT269" i="7"/>
  <c r="BU269" i="7"/>
  <c r="BV269" i="7"/>
  <c r="BW269" i="7"/>
  <c r="BR270" i="7"/>
  <c r="BS270" i="7"/>
  <c r="BT270" i="7"/>
  <c r="BU270" i="7"/>
  <c r="BV270" i="7"/>
  <c r="BW270" i="7"/>
  <c r="BR271" i="7"/>
  <c r="BS271" i="7"/>
  <c r="BT271" i="7"/>
  <c r="BU271" i="7"/>
  <c r="BV271" i="7"/>
  <c r="BW271" i="7"/>
  <c r="BR273" i="7"/>
  <c r="BS273" i="7"/>
  <c r="BT273" i="7"/>
  <c r="BU273" i="7"/>
  <c r="BV273" i="7"/>
  <c r="BW273" i="7"/>
  <c r="BR274" i="7"/>
  <c r="BS274" i="7"/>
  <c r="BT274" i="7"/>
  <c r="BU274" i="7"/>
  <c r="BV274" i="7"/>
  <c r="BW274" i="7"/>
  <c r="BR275" i="7"/>
  <c r="BS275" i="7"/>
  <c r="BT275" i="7"/>
  <c r="BU275" i="7"/>
  <c r="BV275" i="7"/>
  <c r="BW275" i="7"/>
  <c r="BR277" i="7"/>
  <c r="BS277" i="7"/>
  <c r="BT277" i="7"/>
  <c r="BU277" i="7"/>
  <c r="BV277" i="7"/>
  <c r="BW277" i="7"/>
  <c r="BR278" i="7"/>
  <c r="BS278" i="7"/>
  <c r="BT278" i="7"/>
  <c r="BU278" i="7"/>
  <c r="BV278" i="7"/>
  <c r="BW278" i="7"/>
  <c r="BR279" i="7"/>
  <c r="BS279" i="7"/>
  <c r="BT279" i="7"/>
  <c r="BU279" i="7"/>
  <c r="BV279" i="7"/>
  <c r="BW279" i="7"/>
  <c r="BR281" i="7"/>
  <c r="BS281" i="7"/>
  <c r="BT281" i="7"/>
  <c r="BU281" i="7"/>
  <c r="BV281" i="7"/>
  <c r="BW281" i="7"/>
  <c r="BR282" i="7"/>
  <c r="BS282" i="7"/>
  <c r="BT282" i="7"/>
  <c r="BU282" i="7"/>
  <c r="BV282" i="7"/>
  <c r="BW282" i="7"/>
  <c r="BR283" i="7"/>
  <c r="BS283" i="7"/>
  <c r="BT283" i="7"/>
  <c r="BU283" i="7"/>
  <c r="BV283" i="7"/>
  <c r="BW283" i="7"/>
  <c r="GZ205" i="7"/>
  <c r="GR244" i="7"/>
  <c r="GS244" i="7"/>
  <c r="GT244" i="7"/>
  <c r="GU244" i="7"/>
  <c r="GV244" i="7"/>
  <c r="GW244" i="7"/>
  <c r="GJ244" i="7"/>
  <c r="GK244" i="7"/>
  <c r="GL244" i="7"/>
  <c r="GM244" i="7"/>
  <c r="GN244" i="7"/>
  <c r="GO244" i="7"/>
  <c r="GB244" i="7"/>
  <c r="GC244" i="7"/>
  <c r="GD244" i="7"/>
  <c r="GE244" i="7"/>
  <c r="GF244" i="7"/>
  <c r="GG244" i="7"/>
  <c r="FT244" i="7"/>
  <c r="FU244" i="7"/>
  <c r="FV244" i="7"/>
  <c r="FW244" i="7"/>
  <c r="FX244" i="7"/>
  <c r="FY244" i="7"/>
  <c r="FL244" i="7"/>
  <c r="FM244" i="7"/>
  <c r="FN244" i="7"/>
  <c r="FO244" i="7"/>
  <c r="FP244" i="7"/>
  <c r="FQ244" i="7"/>
  <c r="FD244" i="7"/>
  <c r="FE244" i="7"/>
  <c r="FF244" i="7"/>
  <c r="FG244" i="7"/>
  <c r="FH244" i="7"/>
  <c r="FI244" i="7"/>
  <c r="DU244" i="7"/>
  <c r="DV244" i="7"/>
  <c r="DW244" i="7"/>
  <c r="DX244" i="7"/>
  <c r="DY244" i="7"/>
  <c r="DZ244" i="7"/>
  <c r="EA244" i="7"/>
  <c r="EB244" i="7"/>
  <c r="EC244" i="7"/>
  <c r="ED244" i="7"/>
  <c r="EE244" i="7"/>
  <c r="EF244" i="7"/>
  <c r="DG244" i="7"/>
  <c r="DH244" i="7"/>
  <c r="DI244" i="7"/>
  <c r="DJ244" i="7"/>
  <c r="DK244" i="7"/>
  <c r="DL244" i="7"/>
  <c r="DM244" i="7"/>
  <c r="DN244" i="7"/>
  <c r="DO244" i="7"/>
  <c r="DP244" i="7"/>
  <c r="DQ244" i="7"/>
  <c r="DR244" i="7"/>
  <c r="CS244" i="7"/>
  <c r="CT244" i="7"/>
  <c r="CU244" i="7"/>
  <c r="CV244" i="7"/>
  <c r="CW244" i="7"/>
  <c r="CX244" i="7"/>
  <c r="CY244" i="7"/>
  <c r="CZ244" i="7"/>
  <c r="DA244" i="7"/>
  <c r="DB244" i="7"/>
  <c r="DC244" i="7"/>
  <c r="DD244" i="7"/>
  <c r="CF244" i="7"/>
  <c r="CK244" i="7"/>
  <c r="BJ244" i="7"/>
  <c r="BK244" i="7"/>
  <c r="BL244" i="7"/>
  <c r="BM244" i="7"/>
  <c r="BN244" i="7"/>
  <c r="BO244" i="7"/>
  <c r="BB244" i="7"/>
  <c r="BC244" i="7"/>
  <c r="BD244" i="7"/>
  <c r="BE244" i="7"/>
  <c r="BF244" i="7"/>
  <c r="BG244" i="7"/>
  <c r="AT244" i="7"/>
  <c r="AU244" i="7"/>
  <c r="AV244" i="7"/>
  <c r="AW244" i="7"/>
  <c r="AX244" i="7"/>
  <c r="AY244" i="7"/>
  <c r="AL244" i="7"/>
  <c r="AM244" i="7"/>
  <c r="AN244" i="7"/>
  <c r="AO244" i="7"/>
  <c r="AP244" i="7"/>
  <c r="AQ244" i="7"/>
  <c r="AD244" i="7"/>
  <c r="AE244" i="7"/>
  <c r="AF244" i="7"/>
  <c r="AG244" i="7"/>
  <c r="AH244" i="7"/>
  <c r="AI244" i="7"/>
  <c r="V244" i="7"/>
  <c r="W244" i="7"/>
  <c r="X244" i="7"/>
  <c r="Y244" i="7"/>
  <c r="Z244" i="7"/>
  <c r="AA244" i="7"/>
  <c r="N244" i="7"/>
  <c r="O244" i="7"/>
  <c r="P244" i="7"/>
  <c r="Q244" i="7"/>
  <c r="R244" i="7"/>
  <c r="S244" i="7"/>
  <c r="GX180" i="7"/>
  <c r="GX181" i="7"/>
  <c r="GX182" i="7"/>
  <c r="GX183" i="7"/>
  <c r="GX184" i="7"/>
  <c r="GX185" i="7"/>
  <c r="GX187" i="7"/>
  <c r="GX188" i="7"/>
  <c r="GX190" i="7"/>
  <c r="GX191" i="7"/>
  <c r="GX193" i="7"/>
  <c r="GX194" i="7"/>
  <c r="GX196" i="7"/>
  <c r="GX197" i="7"/>
  <c r="GX199" i="7"/>
  <c r="GX200" i="7"/>
  <c r="GX202" i="7"/>
  <c r="GX203" i="7"/>
  <c r="GX205" i="7"/>
  <c r="GX206" i="7"/>
  <c r="GX208" i="7"/>
  <c r="GX209" i="7"/>
  <c r="GX211" i="7"/>
  <c r="GX212" i="7"/>
  <c r="GX215" i="7"/>
  <c r="GX216" i="7"/>
  <c r="GX217" i="7"/>
  <c r="GX218" i="7"/>
  <c r="GX219" i="7"/>
  <c r="GX220" i="7"/>
  <c r="GX221" i="7"/>
  <c r="GX222" i="7"/>
  <c r="GX223" i="7"/>
  <c r="GX224" i="7"/>
  <c r="GX225" i="7"/>
  <c r="GX226" i="7"/>
  <c r="GX227" i="7"/>
  <c r="GX229" i="7"/>
  <c r="GX230" i="7"/>
  <c r="GX231" i="7"/>
  <c r="GX233" i="7"/>
  <c r="GX234" i="7"/>
  <c r="GX235" i="7"/>
  <c r="GX237" i="7"/>
  <c r="GX238" i="7"/>
  <c r="GX239" i="7"/>
  <c r="GX241" i="7"/>
  <c r="GX242" i="7"/>
  <c r="GX243" i="7"/>
  <c r="GP180" i="7"/>
  <c r="GP181" i="7"/>
  <c r="GP182" i="7"/>
  <c r="GP183" i="7"/>
  <c r="GP184" i="7"/>
  <c r="GP185" i="7"/>
  <c r="GP187" i="7"/>
  <c r="GP188" i="7"/>
  <c r="GP190" i="7"/>
  <c r="GP191" i="7"/>
  <c r="GP193" i="7"/>
  <c r="GP194" i="7"/>
  <c r="GP196" i="7"/>
  <c r="GP197" i="7"/>
  <c r="GP199" i="7"/>
  <c r="GP200" i="7"/>
  <c r="GP202" i="7"/>
  <c r="GP203" i="7"/>
  <c r="GP205" i="7"/>
  <c r="GP206" i="7"/>
  <c r="GP208" i="7"/>
  <c r="GP209" i="7"/>
  <c r="GP211" i="7"/>
  <c r="GP212" i="7"/>
  <c r="GP215" i="7"/>
  <c r="GP216" i="7"/>
  <c r="GP217" i="7"/>
  <c r="GP218" i="7"/>
  <c r="GP219" i="7"/>
  <c r="GP220" i="7"/>
  <c r="GP221" i="7"/>
  <c r="GP222" i="7"/>
  <c r="GP223" i="7"/>
  <c r="GP224" i="7"/>
  <c r="GP225" i="7"/>
  <c r="GP226" i="7"/>
  <c r="GP227" i="7"/>
  <c r="GP229" i="7"/>
  <c r="GP230" i="7"/>
  <c r="GP231" i="7"/>
  <c r="GP233" i="7"/>
  <c r="GP234" i="7"/>
  <c r="GP235" i="7"/>
  <c r="GP237" i="7"/>
  <c r="GP238" i="7"/>
  <c r="GP239" i="7"/>
  <c r="GP241" i="7"/>
  <c r="GP242" i="7"/>
  <c r="GP243" i="7"/>
  <c r="GH180" i="7"/>
  <c r="GH181" i="7"/>
  <c r="GH182" i="7"/>
  <c r="GH183" i="7"/>
  <c r="GH184" i="7"/>
  <c r="GH185" i="7"/>
  <c r="GH187" i="7"/>
  <c r="GH188" i="7"/>
  <c r="GH190" i="7"/>
  <c r="GH191" i="7"/>
  <c r="GH193" i="7"/>
  <c r="GH194" i="7"/>
  <c r="GH196" i="7"/>
  <c r="GH197" i="7"/>
  <c r="GH199" i="7"/>
  <c r="GH200" i="7"/>
  <c r="GH202" i="7"/>
  <c r="GH203" i="7"/>
  <c r="GH205" i="7"/>
  <c r="GH206" i="7"/>
  <c r="GH208" i="7"/>
  <c r="GH209" i="7"/>
  <c r="GH211" i="7"/>
  <c r="GH212" i="7"/>
  <c r="GH215" i="7"/>
  <c r="GH216" i="7"/>
  <c r="GH217" i="7"/>
  <c r="GH218" i="7"/>
  <c r="GH219" i="7"/>
  <c r="GH220" i="7"/>
  <c r="GH221" i="7"/>
  <c r="GH222" i="7"/>
  <c r="GH223" i="7"/>
  <c r="GH224" i="7"/>
  <c r="GH225" i="7"/>
  <c r="GH226" i="7"/>
  <c r="GH227" i="7"/>
  <c r="GH229" i="7"/>
  <c r="GH230" i="7"/>
  <c r="GH231" i="7"/>
  <c r="GH233" i="7"/>
  <c r="GH234" i="7"/>
  <c r="GH235" i="7"/>
  <c r="GH237" i="7"/>
  <c r="GH238" i="7"/>
  <c r="GH239" i="7"/>
  <c r="GH241" i="7"/>
  <c r="GH242" i="7"/>
  <c r="GH243" i="7"/>
  <c r="FZ180" i="7"/>
  <c r="FZ181" i="7"/>
  <c r="FZ182" i="7"/>
  <c r="FZ183" i="7"/>
  <c r="FZ184" i="7"/>
  <c r="FZ185" i="7"/>
  <c r="FZ187" i="7"/>
  <c r="FZ188" i="7"/>
  <c r="FZ190" i="7"/>
  <c r="FZ191" i="7"/>
  <c r="FZ193" i="7"/>
  <c r="FZ194" i="7"/>
  <c r="FZ196" i="7"/>
  <c r="FZ197" i="7"/>
  <c r="FZ199" i="7"/>
  <c r="FZ200" i="7"/>
  <c r="FZ202" i="7"/>
  <c r="FZ203" i="7"/>
  <c r="FZ205" i="7"/>
  <c r="FZ206" i="7"/>
  <c r="FZ208" i="7"/>
  <c r="FZ209" i="7"/>
  <c r="FZ211" i="7"/>
  <c r="FZ212" i="7"/>
  <c r="FZ215" i="7"/>
  <c r="FZ216" i="7"/>
  <c r="FZ217" i="7"/>
  <c r="FZ218" i="7"/>
  <c r="FZ219" i="7"/>
  <c r="FZ220" i="7"/>
  <c r="FZ221" i="7"/>
  <c r="FZ222" i="7"/>
  <c r="FZ223" i="7"/>
  <c r="FZ224" i="7"/>
  <c r="FZ225" i="7"/>
  <c r="FZ226" i="7"/>
  <c r="FZ227" i="7"/>
  <c r="FZ229" i="7"/>
  <c r="FZ230" i="7"/>
  <c r="FZ231" i="7"/>
  <c r="FZ233" i="7"/>
  <c r="FZ234" i="7"/>
  <c r="FZ235" i="7"/>
  <c r="FZ237" i="7"/>
  <c r="FZ238" i="7"/>
  <c r="FZ239" i="7"/>
  <c r="FZ241" i="7"/>
  <c r="FZ242" i="7"/>
  <c r="FZ243" i="7"/>
  <c r="FR180" i="7"/>
  <c r="FR181" i="7"/>
  <c r="FR182" i="7"/>
  <c r="FR183" i="7"/>
  <c r="FR184" i="7"/>
  <c r="FR185" i="7"/>
  <c r="FR187" i="7"/>
  <c r="FR188" i="7"/>
  <c r="FR190" i="7"/>
  <c r="FR191" i="7"/>
  <c r="FR193" i="7"/>
  <c r="FR194" i="7"/>
  <c r="FR196" i="7"/>
  <c r="FR197" i="7"/>
  <c r="FR199" i="7"/>
  <c r="FR200" i="7"/>
  <c r="FR202" i="7"/>
  <c r="FR203" i="7"/>
  <c r="FR205" i="7"/>
  <c r="FR206" i="7"/>
  <c r="FR208" i="7"/>
  <c r="FR209" i="7"/>
  <c r="FR211" i="7"/>
  <c r="FR212" i="7"/>
  <c r="FR215" i="7"/>
  <c r="FR216" i="7"/>
  <c r="FR217" i="7"/>
  <c r="FR218" i="7"/>
  <c r="FR219" i="7"/>
  <c r="FR220" i="7"/>
  <c r="FR221" i="7"/>
  <c r="FR222" i="7"/>
  <c r="FR223" i="7"/>
  <c r="FR224" i="7"/>
  <c r="FR225" i="7"/>
  <c r="FR226" i="7"/>
  <c r="FR227" i="7"/>
  <c r="FR229" i="7"/>
  <c r="FR230" i="7"/>
  <c r="FR231" i="7"/>
  <c r="FR233" i="7"/>
  <c r="FR234" i="7"/>
  <c r="FR235" i="7"/>
  <c r="FR237" i="7"/>
  <c r="FR238" i="7"/>
  <c r="FR239" i="7"/>
  <c r="FR241" i="7"/>
  <c r="FR242" i="7"/>
  <c r="FR243" i="7"/>
  <c r="FJ180" i="7"/>
  <c r="FJ181" i="7"/>
  <c r="FJ182" i="7"/>
  <c r="FJ183" i="7"/>
  <c r="FJ184" i="7"/>
  <c r="FJ185" i="7"/>
  <c r="FJ187" i="7"/>
  <c r="FJ188" i="7"/>
  <c r="FJ190" i="7"/>
  <c r="FJ191" i="7"/>
  <c r="FJ193" i="7"/>
  <c r="FJ194" i="7"/>
  <c r="FJ196" i="7"/>
  <c r="FJ197" i="7"/>
  <c r="FJ199" i="7"/>
  <c r="FJ200" i="7"/>
  <c r="FJ202" i="7"/>
  <c r="FJ203" i="7"/>
  <c r="FJ205" i="7"/>
  <c r="FJ206" i="7"/>
  <c r="FJ208" i="7"/>
  <c r="FJ209" i="7"/>
  <c r="FJ211" i="7"/>
  <c r="FJ212" i="7"/>
  <c r="FJ215" i="7"/>
  <c r="FJ216" i="7"/>
  <c r="FJ217" i="7"/>
  <c r="FJ218" i="7"/>
  <c r="FJ219" i="7"/>
  <c r="FJ220" i="7"/>
  <c r="FJ221" i="7"/>
  <c r="FJ222" i="7"/>
  <c r="FJ223" i="7"/>
  <c r="FJ224" i="7"/>
  <c r="FJ225" i="7"/>
  <c r="FJ226" i="7"/>
  <c r="FJ227" i="7"/>
  <c r="FJ229" i="7"/>
  <c r="FJ230" i="7"/>
  <c r="FJ231" i="7"/>
  <c r="FJ233" i="7"/>
  <c r="FJ234" i="7"/>
  <c r="FJ235" i="7"/>
  <c r="FJ237" i="7"/>
  <c r="FJ238" i="7"/>
  <c r="FJ239" i="7"/>
  <c r="FJ241" i="7"/>
  <c r="FJ242" i="7"/>
  <c r="FJ243" i="7"/>
  <c r="EG180" i="7"/>
  <c r="EG181" i="7"/>
  <c r="EG182" i="7"/>
  <c r="EG183" i="7"/>
  <c r="EG184" i="7"/>
  <c r="EG185" i="7"/>
  <c r="EG187" i="7"/>
  <c r="EG188" i="7"/>
  <c r="EG190" i="7"/>
  <c r="EG191" i="7"/>
  <c r="EG193" i="7"/>
  <c r="EG194" i="7"/>
  <c r="EG196" i="7"/>
  <c r="EG197" i="7"/>
  <c r="EG199" i="7"/>
  <c r="EG200" i="7"/>
  <c r="EG202" i="7"/>
  <c r="EG203" i="7"/>
  <c r="EG205" i="7"/>
  <c r="EG206" i="7"/>
  <c r="EG208" i="7"/>
  <c r="EG209" i="7"/>
  <c r="EG211" i="7"/>
  <c r="EG212" i="7"/>
  <c r="EG215" i="7"/>
  <c r="EG216" i="7"/>
  <c r="EG217" i="7"/>
  <c r="EG218" i="7"/>
  <c r="EG219" i="7"/>
  <c r="EG220" i="7"/>
  <c r="EG221" i="7"/>
  <c r="EG222" i="7"/>
  <c r="EG223" i="7"/>
  <c r="EG224" i="7"/>
  <c r="EG225" i="7"/>
  <c r="EG226" i="7"/>
  <c r="EG227" i="7"/>
  <c r="EG229" i="7"/>
  <c r="EG230" i="7"/>
  <c r="EG231" i="7"/>
  <c r="EG233" i="7"/>
  <c r="EG234" i="7"/>
  <c r="EG235" i="7"/>
  <c r="EG237" i="7"/>
  <c r="EG238" i="7"/>
  <c r="EG239" i="7"/>
  <c r="EG241" i="7"/>
  <c r="EG242" i="7"/>
  <c r="EG243" i="7"/>
  <c r="DS180" i="7"/>
  <c r="DS181" i="7"/>
  <c r="DS182" i="7"/>
  <c r="DS183" i="7"/>
  <c r="DS184" i="7"/>
  <c r="DS185" i="7"/>
  <c r="DS187" i="7"/>
  <c r="DS188" i="7"/>
  <c r="DS190" i="7"/>
  <c r="DS191" i="7"/>
  <c r="DS193" i="7"/>
  <c r="DS194" i="7"/>
  <c r="DS196" i="7"/>
  <c r="DS197" i="7"/>
  <c r="DS199" i="7"/>
  <c r="DS200" i="7"/>
  <c r="DS202" i="7"/>
  <c r="DS203" i="7"/>
  <c r="DS205" i="7"/>
  <c r="DS206" i="7"/>
  <c r="DS208" i="7"/>
  <c r="DS209" i="7"/>
  <c r="DS211" i="7"/>
  <c r="DS212" i="7"/>
  <c r="DS215" i="7"/>
  <c r="DS216" i="7"/>
  <c r="DS217" i="7"/>
  <c r="DS218" i="7"/>
  <c r="DS219" i="7"/>
  <c r="DS220" i="7"/>
  <c r="DS221" i="7"/>
  <c r="DS222" i="7"/>
  <c r="DS223" i="7"/>
  <c r="DS224" i="7"/>
  <c r="DS225" i="7"/>
  <c r="DS226" i="7"/>
  <c r="DS227" i="7"/>
  <c r="DS229" i="7"/>
  <c r="DS230" i="7"/>
  <c r="DS231" i="7"/>
  <c r="DS233" i="7"/>
  <c r="DS234" i="7"/>
  <c r="DS235" i="7"/>
  <c r="DS237" i="7"/>
  <c r="DS238" i="7"/>
  <c r="DS239" i="7"/>
  <c r="DS241" i="7"/>
  <c r="DS242" i="7"/>
  <c r="DS243" i="7"/>
  <c r="DE180" i="7"/>
  <c r="DE181" i="7"/>
  <c r="DE182" i="7"/>
  <c r="DE183" i="7"/>
  <c r="DE184" i="7"/>
  <c r="DE185" i="7"/>
  <c r="DE187" i="7"/>
  <c r="DE188" i="7"/>
  <c r="DE190" i="7"/>
  <c r="DE191" i="7"/>
  <c r="DE193" i="7"/>
  <c r="DE194" i="7"/>
  <c r="DE196" i="7"/>
  <c r="DE197" i="7"/>
  <c r="DE199" i="7"/>
  <c r="DE200" i="7"/>
  <c r="DE202" i="7"/>
  <c r="DE203" i="7"/>
  <c r="DE205" i="7"/>
  <c r="DE206" i="7"/>
  <c r="DE208" i="7"/>
  <c r="DE209" i="7"/>
  <c r="DE211" i="7"/>
  <c r="DE212" i="7"/>
  <c r="DE215" i="7"/>
  <c r="DE216" i="7"/>
  <c r="DE217" i="7"/>
  <c r="DE218" i="7"/>
  <c r="DE219" i="7"/>
  <c r="DE220" i="7"/>
  <c r="DE221" i="7"/>
  <c r="DE222" i="7"/>
  <c r="DE223" i="7"/>
  <c r="DE224" i="7"/>
  <c r="DE225" i="7"/>
  <c r="DE226" i="7"/>
  <c r="DE227" i="7"/>
  <c r="DE229" i="7"/>
  <c r="DE230" i="7"/>
  <c r="DE231" i="7"/>
  <c r="DE233" i="7"/>
  <c r="DE234" i="7"/>
  <c r="DE235" i="7"/>
  <c r="DE237" i="7"/>
  <c r="DE238" i="7"/>
  <c r="DE239" i="7"/>
  <c r="DE241" i="7"/>
  <c r="DE242" i="7"/>
  <c r="DE243" i="7"/>
  <c r="BP180" i="7"/>
  <c r="BP181" i="7"/>
  <c r="BP182" i="7"/>
  <c r="BP183" i="7"/>
  <c r="BP184" i="7"/>
  <c r="BP185" i="7"/>
  <c r="BP187" i="7"/>
  <c r="BP188" i="7"/>
  <c r="BP190" i="7"/>
  <c r="BP191" i="7"/>
  <c r="BP193" i="7"/>
  <c r="BP194" i="7"/>
  <c r="BP196" i="7"/>
  <c r="BP197" i="7"/>
  <c r="BP199" i="7"/>
  <c r="BP200" i="7"/>
  <c r="BP202" i="7"/>
  <c r="BP203" i="7"/>
  <c r="BP205" i="7"/>
  <c r="BP206" i="7"/>
  <c r="BP208" i="7"/>
  <c r="BP209" i="7"/>
  <c r="BP211" i="7"/>
  <c r="BP212" i="7"/>
  <c r="BP215" i="7"/>
  <c r="BP216" i="7"/>
  <c r="BP217" i="7"/>
  <c r="BP218" i="7"/>
  <c r="BP219" i="7"/>
  <c r="BP220" i="7"/>
  <c r="BP221" i="7"/>
  <c r="BP222" i="7"/>
  <c r="BP223" i="7"/>
  <c r="BP224" i="7"/>
  <c r="BP225" i="7"/>
  <c r="BP226" i="7"/>
  <c r="BP227" i="7"/>
  <c r="BP229" i="7"/>
  <c r="BP230" i="7"/>
  <c r="BP231" i="7"/>
  <c r="BP233" i="7"/>
  <c r="BP234" i="7"/>
  <c r="BP235" i="7"/>
  <c r="BP237" i="7"/>
  <c r="BP238" i="7"/>
  <c r="BP239" i="7"/>
  <c r="BP241" i="7"/>
  <c r="BP242" i="7"/>
  <c r="BP243" i="7"/>
  <c r="BH180" i="7"/>
  <c r="BH181" i="7"/>
  <c r="BH182" i="7"/>
  <c r="BH183" i="7"/>
  <c r="BH184" i="7"/>
  <c r="BH185" i="7"/>
  <c r="BH187" i="7"/>
  <c r="BH188" i="7"/>
  <c r="BH190" i="7"/>
  <c r="BH191" i="7"/>
  <c r="BH193" i="7"/>
  <c r="BH194" i="7"/>
  <c r="BH196" i="7"/>
  <c r="BH197" i="7"/>
  <c r="BH199" i="7"/>
  <c r="BH200" i="7"/>
  <c r="BH202" i="7"/>
  <c r="BH203" i="7"/>
  <c r="BH205" i="7"/>
  <c r="BH206" i="7"/>
  <c r="BH208" i="7"/>
  <c r="BH209" i="7"/>
  <c r="BH211" i="7"/>
  <c r="BH212" i="7"/>
  <c r="BH215" i="7"/>
  <c r="BH216" i="7"/>
  <c r="BH217" i="7"/>
  <c r="BH218" i="7"/>
  <c r="BH219" i="7"/>
  <c r="BH220" i="7"/>
  <c r="BH221" i="7"/>
  <c r="BH222" i="7"/>
  <c r="BH223" i="7"/>
  <c r="BH224" i="7"/>
  <c r="BH225" i="7"/>
  <c r="BH226" i="7"/>
  <c r="BH227" i="7"/>
  <c r="BH229" i="7"/>
  <c r="BH230" i="7"/>
  <c r="BH231" i="7"/>
  <c r="BH233" i="7"/>
  <c r="BH234" i="7"/>
  <c r="BH235" i="7"/>
  <c r="BH237" i="7"/>
  <c r="BH238" i="7"/>
  <c r="BH239" i="7"/>
  <c r="BH241" i="7"/>
  <c r="BH242" i="7"/>
  <c r="BH243" i="7"/>
  <c r="AZ180" i="7"/>
  <c r="AZ181" i="7"/>
  <c r="AZ182" i="7"/>
  <c r="AZ183" i="7"/>
  <c r="AZ184" i="7"/>
  <c r="AZ185" i="7"/>
  <c r="AZ187" i="7"/>
  <c r="AZ188" i="7"/>
  <c r="AZ190" i="7"/>
  <c r="AZ191" i="7"/>
  <c r="AZ193" i="7"/>
  <c r="AZ194" i="7"/>
  <c r="AZ196" i="7"/>
  <c r="AZ197" i="7"/>
  <c r="AZ199" i="7"/>
  <c r="AZ200" i="7"/>
  <c r="AZ202" i="7"/>
  <c r="AZ203" i="7"/>
  <c r="AZ205" i="7"/>
  <c r="AZ206" i="7"/>
  <c r="AZ208" i="7"/>
  <c r="AZ209" i="7"/>
  <c r="AZ211" i="7"/>
  <c r="AZ212" i="7"/>
  <c r="AZ215" i="7"/>
  <c r="AZ216" i="7"/>
  <c r="AZ217" i="7"/>
  <c r="AZ218" i="7"/>
  <c r="AZ219" i="7"/>
  <c r="AZ220" i="7"/>
  <c r="AZ221" i="7"/>
  <c r="AZ222" i="7"/>
  <c r="AZ223" i="7"/>
  <c r="AZ224" i="7"/>
  <c r="AZ225" i="7"/>
  <c r="AZ226" i="7"/>
  <c r="AZ227" i="7"/>
  <c r="AZ229" i="7"/>
  <c r="AZ230" i="7"/>
  <c r="AZ231" i="7"/>
  <c r="AZ233" i="7"/>
  <c r="AZ234" i="7"/>
  <c r="AZ235" i="7"/>
  <c r="AZ237" i="7"/>
  <c r="AZ238" i="7"/>
  <c r="AZ239" i="7"/>
  <c r="AZ241" i="7"/>
  <c r="AZ242" i="7"/>
  <c r="AZ243" i="7"/>
  <c r="AR180" i="7"/>
  <c r="AR181" i="7"/>
  <c r="AR182" i="7"/>
  <c r="AR183" i="7"/>
  <c r="AR184" i="7"/>
  <c r="AR185" i="7"/>
  <c r="AR187" i="7"/>
  <c r="AR188" i="7"/>
  <c r="AR190" i="7"/>
  <c r="AR191" i="7"/>
  <c r="AR193" i="7"/>
  <c r="AR194" i="7"/>
  <c r="AR196" i="7"/>
  <c r="AR197" i="7"/>
  <c r="AR199" i="7"/>
  <c r="AR200" i="7"/>
  <c r="AR202" i="7"/>
  <c r="AR203" i="7"/>
  <c r="AR205" i="7"/>
  <c r="AR206" i="7"/>
  <c r="AR208" i="7"/>
  <c r="AR209" i="7"/>
  <c r="AR211" i="7"/>
  <c r="AR212" i="7"/>
  <c r="AR215" i="7"/>
  <c r="AR216" i="7"/>
  <c r="AR217" i="7"/>
  <c r="AR218" i="7"/>
  <c r="AR219" i="7"/>
  <c r="AR220" i="7"/>
  <c r="AR221" i="7"/>
  <c r="AR222" i="7"/>
  <c r="AR223" i="7"/>
  <c r="AR224" i="7"/>
  <c r="AR225" i="7"/>
  <c r="AR226" i="7"/>
  <c r="AR227" i="7"/>
  <c r="AR229" i="7"/>
  <c r="AR230" i="7"/>
  <c r="AR231" i="7"/>
  <c r="AR233" i="7"/>
  <c r="AR234" i="7"/>
  <c r="AR235" i="7"/>
  <c r="AR237" i="7"/>
  <c r="AR238" i="7"/>
  <c r="AR239" i="7"/>
  <c r="AR241" i="7"/>
  <c r="AR242" i="7"/>
  <c r="AR243" i="7"/>
  <c r="AJ180" i="7"/>
  <c r="AJ181" i="7"/>
  <c r="AJ182" i="7"/>
  <c r="AJ183" i="7"/>
  <c r="AJ184" i="7"/>
  <c r="AJ185" i="7"/>
  <c r="AJ187" i="7"/>
  <c r="AJ188" i="7"/>
  <c r="AJ190" i="7"/>
  <c r="AJ191" i="7"/>
  <c r="AJ193" i="7"/>
  <c r="AJ194" i="7"/>
  <c r="AJ196" i="7"/>
  <c r="AJ197" i="7"/>
  <c r="AJ199" i="7"/>
  <c r="AJ200" i="7"/>
  <c r="AJ202" i="7"/>
  <c r="AJ203" i="7"/>
  <c r="AJ205" i="7"/>
  <c r="AJ206" i="7"/>
  <c r="AJ208" i="7"/>
  <c r="AJ209" i="7"/>
  <c r="AJ211" i="7"/>
  <c r="AJ212" i="7"/>
  <c r="AJ215" i="7"/>
  <c r="AJ216" i="7"/>
  <c r="AJ217" i="7"/>
  <c r="AJ218" i="7"/>
  <c r="AJ219" i="7"/>
  <c r="AJ220" i="7"/>
  <c r="AJ221" i="7"/>
  <c r="AJ222" i="7"/>
  <c r="AJ223" i="7"/>
  <c r="AJ224" i="7"/>
  <c r="AJ225" i="7"/>
  <c r="AJ226" i="7"/>
  <c r="AJ227" i="7"/>
  <c r="AJ229" i="7"/>
  <c r="AJ230" i="7"/>
  <c r="AJ231" i="7"/>
  <c r="AJ233" i="7"/>
  <c r="AJ234" i="7"/>
  <c r="AJ235" i="7"/>
  <c r="AJ237" i="7"/>
  <c r="AJ238" i="7"/>
  <c r="AJ239" i="7"/>
  <c r="AJ241" i="7"/>
  <c r="AJ242" i="7"/>
  <c r="AJ243" i="7"/>
  <c r="AB180" i="7"/>
  <c r="AB181" i="7"/>
  <c r="AB182" i="7"/>
  <c r="AB183" i="7"/>
  <c r="AB184" i="7"/>
  <c r="AB185" i="7"/>
  <c r="AB187" i="7"/>
  <c r="AB188" i="7"/>
  <c r="AB190" i="7"/>
  <c r="AB191" i="7"/>
  <c r="AB193" i="7"/>
  <c r="AB194" i="7"/>
  <c r="AB196" i="7"/>
  <c r="AB197" i="7"/>
  <c r="AB199" i="7"/>
  <c r="AB200" i="7"/>
  <c r="AB202" i="7"/>
  <c r="AB203" i="7"/>
  <c r="AB205" i="7"/>
  <c r="AB206" i="7"/>
  <c r="AB208" i="7"/>
  <c r="AB209" i="7"/>
  <c r="AB211" i="7"/>
  <c r="AB212" i="7"/>
  <c r="AB215" i="7"/>
  <c r="AB216" i="7"/>
  <c r="AB217" i="7"/>
  <c r="AB218" i="7"/>
  <c r="AB219" i="7"/>
  <c r="AB220" i="7"/>
  <c r="AB221" i="7"/>
  <c r="AB222" i="7"/>
  <c r="AB223" i="7"/>
  <c r="AB224" i="7"/>
  <c r="AB225" i="7"/>
  <c r="AB226" i="7"/>
  <c r="AB227" i="7"/>
  <c r="AB229" i="7"/>
  <c r="AB230" i="7"/>
  <c r="AB231" i="7"/>
  <c r="AB233" i="7"/>
  <c r="AB234" i="7"/>
  <c r="AB235" i="7"/>
  <c r="AB237" i="7"/>
  <c r="AB238" i="7"/>
  <c r="AB239" i="7"/>
  <c r="AB241" i="7"/>
  <c r="AB242" i="7"/>
  <c r="AB243" i="7"/>
  <c r="T180" i="7"/>
  <c r="T181" i="7"/>
  <c r="T182" i="7"/>
  <c r="T183" i="7"/>
  <c r="T184" i="7"/>
  <c r="T185" i="7"/>
  <c r="T187" i="7"/>
  <c r="T188" i="7"/>
  <c r="T190" i="7"/>
  <c r="T191" i="7"/>
  <c r="T193" i="7"/>
  <c r="T194" i="7"/>
  <c r="T196" i="7"/>
  <c r="T197" i="7"/>
  <c r="T199" i="7"/>
  <c r="T200" i="7"/>
  <c r="T202" i="7"/>
  <c r="T203" i="7"/>
  <c r="T205" i="7"/>
  <c r="T206" i="7"/>
  <c r="T208" i="7"/>
  <c r="T209" i="7"/>
  <c r="T211" i="7"/>
  <c r="T212" i="7"/>
  <c r="T215" i="7"/>
  <c r="T216" i="7"/>
  <c r="T217" i="7"/>
  <c r="T218" i="7"/>
  <c r="T219" i="7"/>
  <c r="T220" i="7"/>
  <c r="T221" i="7"/>
  <c r="T222" i="7"/>
  <c r="T223" i="7"/>
  <c r="T224" i="7"/>
  <c r="T225" i="7"/>
  <c r="T226" i="7"/>
  <c r="T227" i="7"/>
  <c r="T229" i="7"/>
  <c r="T230" i="7"/>
  <c r="T231" i="7"/>
  <c r="T233" i="7"/>
  <c r="T234" i="7"/>
  <c r="T235" i="7"/>
  <c r="T237" i="7"/>
  <c r="T238" i="7"/>
  <c r="T239" i="7"/>
  <c r="T241" i="7"/>
  <c r="T242" i="7"/>
  <c r="T243" i="7"/>
  <c r="GR240" i="7"/>
  <c r="GS240" i="7"/>
  <c r="GT240" i="7"/>
  <c r="GU240" i="7"/>
  <c r="GV240" i="7"/>
  <c r="GW240" i="7"/>
  <c r="GJ240" i="7"/>
  <c r="GK240" i="7"/>
  <c r="GL240" i="7"/>
  <c r="GM240" i="7"/>
  <c r="GN240" i="7"/>
  <c r="GO240" i="7"/>
  <c r="GB240" i="7"/>
  <c r="GC240" i="7"/>
  <c r="GD240" i="7"/>
  <c r="GE240" i="7"/>
  <c r="GF240" i="7"/>
  <c r="GG240" i="7"/>
  <c r="FT240" i="7"/>
  <c r="FU240" i="7"/>
  <c r="FV240" i="7"/>
  <c r="FW240" i="7"/>
  <c r="FX240" i="7"/>
  <c r="FY240" i="7"/>
  <c r="FL240" i="7"/>
  <c r="FM240" i="7"/>
  <c r="FN240" i="7"/>
  <c r="FO240" i="7"/>
  <c r="FP240" i="7"/>
  <c r="FQ240" i="7"/>
  <c r="FD240" i="7"/>
  <c r="FE240" i="7"/>
  <c r="FF240" i="7"/>
  <c r="FG240" i="7"/>
  <c r="FH240" i="7"/>
  <c r="FI240" i="7"/>
  <c r="DU240" i="7"/>
  <c r="DV240" i="7"/>
  <c r="DW240" i="7"/>
  <c r="DX240" i="7"/>
  <c r="DY240" i="7"/>
  <c r="DZ240" i="7"/>
  <c r="EA240" i="7"/>
  <c r="EB240" i="7"/>
  <c r="EC240" i="7"/>
  <c r="ED240" i="7"/>
  <c r="EE240" i="7"/>
  <c r="EF240" i="7"/>
  <c r="DG240" i="7"/>
  <c r="DH240" i="7"/>
  <c r="DI240" i="7"/>
  <c r="DJ240" i="7"/>
  <c r="DK240" i="7"/>
  <c r="DL240" i="7"/>
  <c r="DM240" i="7"/>
  <c r="DN240" i="7"/>
  <c r="DO240" i="7"/>
  <c r="DP240" i="7"/>
  <c r="DQ240" i="7"/>
  <c r="DR240" i="7"/>
  <c r="CS240" i="7"/>
  <c r="CT240" i="7"/>
  <c r="CU240" i="7"/>
  <c r="CV240" i="7"/>
  <c r="CW240" i="7"/>
  <c r="CX240" i="7"/>
  <c r="CY240" i="7"/>
  <c r="CZ240" i="7"/>
  <c r="DA240" i="7"/>
  <c r="DB240" i="7"/>
  <c r="DC240" i="7"/>
  <c r="DD240" i="7"/>
  <c r="CF240" i="7"/>
  <c r="CK240" i="7"/>
  <c r="BJ240" i="7"/>
  <c r="BK240" i="7"/>
  <c r="BL240" i="7"/>
  <c r="BM240" i="7"/>
  <c r="BN240" i="7"/>
  <c r="BO240" i="7"/>
  <c r="BB240" i="7"/>
  <c r="BC240" i="7"/>
  <c r="BD240" i="7"/>
  <c r="BE240" i="7"/>
  <c r="BF240" i="7"/>
  <c r="BG240" i="7"/>
  <c r="AT240" i="7"/>
  <c r="AU240" i="7"/>
  <c r="AV240" i="7"/>
  <c r="AW240" i="7"/>
  <c r="AX240" i="7"/>
  <c r="AY240" i="7"/>
  <c r="AL240" i="7"/>
  <c r="AM240" i="7"/>
  <c r="AN240" i="7"/>
  <c r="AO240" i="7"/>
  <c r="AP240" i="7"/>
  <c r="AQ240" i="7"/>
  <c r="AD240" i="7"/>
  <c r="AE240" i="7"/>
  <c r="AF240" i="7"/>
  <c r="AG240" i="7"/>
  <c r="AH240" i="7"/>
  <c r="AI240" i="7"/>
  <c r="V240" i="7"/>
  <c r="W240" i="7"/>
  <c r="X240" i="7"/>
  <c r="Y240" i="7"/>
  <c r="Z240" i="7"/>
  <c r="AA240" i="7"/>
  <c r="N240" i="7"/>
  <c r="O240" i="7"/>
  <c r="P240" i="7"/>
  <c r="Q240" i="7"/>
  <c r="R240" i="7"/>
  <c r="S240" i="7"/>
  <c r="GR236" i="7"/>
  <c r="GS236" i="7"/>
  <c r="GT236" i="7"/>
  <c r="GU236" i="7"/>
  <c r="GV236" i="7"/>
  <c r="GW236" i="7"/>
  <c r="GJ236" i="7"/>
  <c r="GK236" i="7"/>
  <c r="GL236" i="7"/>
  <c r="GM236" i="7"/>
  <c r="GN236" i="7"/>
  <c r="GO236" i="7"/>
  <c r="GB236" i="7"/>
  <c r="GC236" i="7"/>
  <c r="GD236" i="7"/>
  <c r="GE236" i="7"/>
  <c r="GF236" i="7"/>
  <c r="GG236" i="7"/>
  <c r="FT236" i="7"/>
  <c r="FU236" i="7"/>
  <c r="FV236" i="7"/>
  <c r="FW236" i="7"/>
  <c r="FX236" i="7"/>
  <c r="FY236" i="7"/>
  <c r="FL236" i="7"/>
  <c r="FM236" i="7"/>
  <c r="FN236" i="7"/>
  <c r="FO236" i="7"/>
  <c r="FP236" i="7"/>
  <c r="FQ236" i="7"/>
  <c r="FD236" i="7"/>
  <c r="FE236" i="7"/>
  <c r="FF236" i="7"/>
  <c r="FG236" i="7"/>
  <c r="FH236" i="7"/>
  <c r="FI236" i="7"/>
  <c r="DU236" i="7"/>
  <c r="DV236" i="7"/>
  <c r="DW236" i="7"/>
  <c r="DX236" i="7"/>
  <c r="DY236" i="7"/>
  <c r="DZ236" i="7"/>
  <c r="EA236" i="7"/>
  <c r="EB236" i="7"/>
  <c r="EC236" i="7"/>
  <c r="ED236" i="7"/>
  <c r="EE236" i="7"/>
  <c r="EF236" i="7"/>
  <c r="DG236" i="7"/>
  <c r="DH236" i="7"/>
  <c r="DI236" i="7"/>
  <c r="DJ236" i="7"/>
  <c r="DK236" i="7"/>
  <c r="DL236" i="7"/>
  <c r="DM236" i="7"/>
  <c r="DN236" i="7"/>
  <c r="DO236" i="7"/>
  <c r="DP236" i="7"/>
  <c r="DQ236" i="7"/>
  <c r="DR236" i="7"/>
  <c r="CS236" i="7"/>
  <c r="CT236" i="7"/>
  <c r="CU236" i="7"/>
  <c r="CV236" i="7"/>
  <c r="CW236" i="7"/>
  <c r="CX236" i="7"/>
  <c r="CY236" i="7"/>
  <c r="CZ236" i="7"/>
  <c r="DA236" i="7"/>
  <c r="DB236" i="7"/>
  <c r="DC236" i="7"/>
  <c r="DD236" i="7"/>
  <c r="CF236" i="7"/>
  <c r="CK236" i="7"/>
  <c r="BJ236" i="7"/>
  <c r="BK236" i="7"/>
  <c r="BL236" i="7"/>
  <c r="BM236" i="7"/>
  <c r="BN236" i="7"/>
  <c r="BO236" i="7"/>
  <c r="BB236" i="7"/>
  <c r="BC236" i="7"/>
  <c r="BD236" i="7"/>
  <c r="BE236" i="7"/>
  <c r="BF236" i="7"/>
  <c r="BG236" i="7"/>
  <c r="AT236" i="7"/>
  <c r="AU236" i="7"/>
  <c r="AV236" i="7"/>
  <c r="AW236" i="7"/>
  <c r="AX236" i="7"/>
  <c r="AY236" i="7"/>
  <c r="AL236" i="7"/>
  <c r="AM236" i="7"/>
  <c r="AN236" i="7"/>
  <c r="AO236" i="7"/>
  <c r="AP236" i="7"/>
  <c r="AQ236" i="7"/>
  <c r="AD236" i="7"/>
  <c r="AE236" i="7"/>
  <c r="AF236" i="7"/>
  <c r="AG236" i="7"/>
  <c r="AH236" i="7"/>
  <c r="AI236" i="7"/>
  <c r="V236" i="7"/>
  <c r="W236" i="7"/>
  <c r="X236" i="7"/>
  <c r="Y236" i="7"/>
  <c r="Z236" i="7"/>
  <c r="AA236" i="7"/>
  <c r="N236" i="7"/>
  <c r="O236" i="7"/>
  <c r="P236" i="7"/>
  <c r="Q236" i="7"/>
  <c r="R236" i="7"/>
  <c r="S236" i="7"/>
  <c r="GR232" i="7"/>
  <c r="GS232" i="7"/>
  <c r="GT232" i="7"/>
  <c r="GU232" i="7"/>
  <c r="GV232" i="7"/>
  <c r="GW232" i="7"/>
  <c r="GJ232" i="7"/>
  <c r="GK232" i="7"/>
  <c r="GL232" i="7"/>
  <c r="GM232" i="7"/>
  <c r="GN232" i="7"/>
  <c r="GO232" i="7"/>
  <c r="GB232" i="7"/>
  <c r="GC232" i="7"/>
  <c r="GD232" i="7"/>
  <c r="GE232" i="7"/>
  <c r="GF232" i="7"/>
  <c r="GG232" i="7"/>
  <c r="FT232" i="7"/>
  <c r="FU232" i="7"/>
  <c r="FV232" i="7"/>
  <c r="FW232" i="7"/>
  <c r="FX232" i="7"/>
  <c r="FY232" i="7"/>
  <c r="FL232" i="7"/>
  <c r="FM232" i="7"/>
  <c r="FN232" i="7"/>
  <c r="FO232" i="7"/>
  <c r="FP232" i="7"/>
  <c r="FQ232" i="7"/>
  <c r="FD232" i="7"/>
  <c r="FE232" i="7"/>
  <c r="FF232" i="7"/>
  <c r="FG232" i="7"/>
  <c r="FH232" i="7"/>
  <c r="FI232" i="7"/>
  <c r="DU232" i="7"/>
  <c r="DV232" i="7"/>
  <c r="DW232" i="7"/>
  <c r="DX232" i="7"/>
  <c r="DY232" i="7"/>
  <c r="DZ232" i="7"/>
  <c r="EA232" i="7"/>
  <c r="EB232" i="7"/>
  <c r="EC232" i="7"/>
  <c r="ED232" i="7"/>
  <c r="EE232" i="7"/>
  <c r="EF232" i="7"/>
  <c r="DG232" i="7"/>
  <c r="DH232" i="7"/>
  <c r="DI232" i="7"/>
  <c r="DJ232" i="7"/>
  <c r="DK232" i="7"/>
  <c r="DL232" i="7"/>
  <c r="DM232" i="7"/>
  <c r="DN232" i="7"/>
  <c r="DO232" i="7"/>
  <c r="DP232" i="7"/>
  <c r="DQ232" i="7"/>
  <c r="DR232" i="7"/>
  <c r="CS232" i="7"/>
  <c r="CT232" i="7"/>
  <c r="CU232" i="7"/>
  <c r="CV232" i="7"/>
  <c r="CW232" i="7"/>
  <c r="CX232" i="7"/>
  <c r="CY232" i="7"/>
  <c r="CZ232" i="7"/>
  <c r="DA232" i="7"/>
  <c r="DB232" i="7"/>
  <c r="DC232" i="7"/>
  <c r="DD232" i="7"/>
  <c r="CF232" i="7"/>
  <c r="CK232" i="7"/>
  <c r="BJ232" i="7"/>
  <c r="BK232" i="7"/>
  <c r="BL232" i="7"/>
  <c r="BM232" i="7"/>
  <c r="BN232" i="7"/>
  <c r="BO232" i="7"/>
  <c r="BB232" i="7"/>
  <c r="BC232" i="7"/>
  <c r="BD232" i="7"/>
  <c r="BE232" i="7"/>
  <c r="BF232" i="7"/>
  <c r="BG232" i="7"/>
  <c r="AT232" i="7"/>
  <c r="AU232" i="7"/>
  <c r="AV232" i="7"/>
  <c r="AW232" i="7"/>
  <c r="AX232" i="7"/>
  <c r="AY232" i="7"/>
  <c r="AL232" i="7"/>
  <c r="AM232" i="7"/>
  <c r="AN232" i="7"/>
  <c r="AO232" i="7"/>
  <c r="AP232" i="7"/>
  <c r="AQ232" i="7"/>
  <c r="AD232" i="7"/>
  <c r="AE232" i="7"/>
  <c r="AF232" i="7"/>
  <c r="AG232" i="7"/>
  <c r="AH232" i="7"/>
  <c r="AI232" i="7"/>
  <c r="V232" i="7"/>
  <c r="W232" i="7"/>
  <c r="X232" i="7"/>
  <c r="Y232" i="7"/>
  <c r="Z232" i="7"/>
  <c r="AA232" i="7"/>
  <c r="N232" i="7"/>
  <c r="O232" i="7"/>
  <c r="P232" i="7"/>
  <c r="Q232" i="7"/>
  <c r="R232" i="7"/>
  <c r="S232" i="7"/>
  <c r="GR228" i="7"/>
  <c r="GS228" i="7"/>
  <c r="GT228" i="7"/>
  <c r="GU228" i="7"/>
  <c r="GV228" i="7"/>
  <c r="GW228" i="7"/>
  <c r="GJ228" i="7"/>
  <c r="GK228" i="7"/>
  <c r="GL228" i="7"/>
  <c r="GM228" i="7"/>
  <c r="GN228" i="7"/>
  <c r="GO228" i="7"/>
  <c r="GB228" i="7"/>
  <c r="GC228" i="7"/>
  <c r="GD228" i="7"/>
  <c r="GE228" i="7"/>
  <c r="GF228" i="7"/>
  <c r="GG228" i="7"/>
  <c r="FT228" i="7"/>
  <c r="FU228" i="7"/>
  <c r="FV228" i="7"/>
  <c r="FW228" i="7"/>
  <c r="FX228" i="7"/>
  <c r="FY228" i="7"/>
  <c r="FL228" i="7"/>
  <c r="FM228" i="7"/>
  <c r="FN228" i="7"/>
  <c r="FO228" i="7"/>
  <c r="FP228" i="7"/>
  <c r="FQ228" i="7"/>
  <c r="FD228" i="7"/>
  <c r="FE228" i="7"/>
  <c r="FF228" i="7"/>
  <c r="FG228" i="7"/>
  <c r="FH228" i="7"/>
  <c r="FI228" i="7"/>
  <c r="DU228" i="7"/>
  <c r="DV228" i="7"/>
  <c r="DW228" i="7"/>
  <c r="DX228" i="7"/>
  <c r="DY228" i="7"/>
  <c r="DZ228" i="7"/>
  <c r="EA228" i="7"/>
  <c r="EB228" i="7"/>
  <c r="EC228" i="7"/>
  <c r="ED228" i="7"/>
  <c r="EE228" i="7"/>
  <c r="EF228" i="7"/>
  <c r="DG228" i="7"/>
  <c r="DH228" i="7"/>
  <c r="DI228" i="7"/>
  <c r="DJ228" i="7"/>
  <c r="DK228" i="7"/>
  <c r="DL228" i="7"/>
  <c r="DM228" i="7"/>
  <c r="DN228" i="7"/>
  <c r="DO228" i="7"/>
  <c r="DP228" i="7"/>
  <c r="DQ228" i="7"/>
  <c r="DR228" i="7"/>
  <c r="CS228" i="7"/>
  <c r="CT228" i="7"/>
  <c r="CU228" i="7"/>
  <c r="CV228" i="7"/>
  <c r="CW228" i="7"/>
  <c r="CX228" i="7"/>
  <c r="CY228" i="7"/>
  <c r="CZ228" i="7"/>
  <c r="DA228" i="7"/>
  <c r="DB228" i="7"/>
  <c r="DC228" i="7"/>
  <c r="DD228" i="7"/>
  <c r="CF228" i="7"/>
  <c r="CK228" i="7"/>
  <c r="BJ228" i="7"/>
  <c r="BK228" i="7"/>
  <c r="BL228" i="7"/>
  <c r="BM228" i="7"/>
  <c r="BN228" i="7"/>
  <c r="BO228" i="7"/>
  <c r="BB228" i="7"/>
  <c r="BC228" i="7"/>
  <c r="BD228" i="7"/>
  <c r="BE228" i="7"/>
  <c r="BF228" i="7"/>
  <c r="BG228" i="7"/>
  <c r="AT228" i="7"/>
  <c r="AU228" i="7"/>
  <c r="AV228" i="7"/>
  <c r="AW228" i="7"/>
  <c r="AX228" i="7"/>
  <c r="AY228" i="7"/>
  <c r="AL228" i="7"/>
  <c r="AM228" i="7"/>
  <c r="AN228" i="7"/>
  <c r="AO228" i="7"/>
  <c r="AP228" i="7"/>
  <c r="AQ228" i="7"/>
  <c r="AD228" i="7"/>
  <c r="AE228" i="7"/>
  <c r="AF228" i="7"/>
  <c r="AG228" i="7"/>
  <c r="AH228" i="7"/>
  <c r="AI228" i="7"/>
  <c r="V228" i="7"/>
  <c r="W228" i="7"/>
  <c r="X228" i="7"/>
  <c r="Y228" i="7"/>
  <c r="Z228" i="7"/>
  <c r="AA228" i="7"/>
  <c r="N228" i="7"/>
  <c r="O228" i="7"/>
  <c r="P228" i="7"/>
  <c r="Q228" i="7"/>
  <c r="R228" i="7"/>
  <c r="S228" i="7"/>
  <c r="C215" i="7"/>
  <c r="C216" i="7"/>
  <c r="EK216" i="7" s="1"/>
  <c r="C217" i="7"/>
  <c r="EK217" i="7" s="1"/>
  <c r="C218" i="7"/>
  <c r="C219" i="7"/>
  <c r="C220" i="7"/>
  <c r="C221" i="7"/>
  <c r="EK221" i="7" s="1"/>
  <c r="C222" i="7"/>
  <c r="EK222" i="7" s="1"/>
  <c r="C223" i="7"/>
  <c r="EK223" i="7" s="1"/>
  <c r="D215" i="7"/>
  <c r="E215" i="7"/>
  <c r="F215" i="7"/>
  <c r="G215" i="7"/>
  <c r="F27" i="56" s="1"/>
  <c r="H215" i="7"/>
  <c r="I215" i="7"/>
  <c r="H27" i="56" s="1"/>
  <c r="D216" i="7"/>
  <c r="E216" i="7"/>
  <c r="F216" i="7"/>
  <c r="G216" i="7"/>
  <c r="CM216" i="7" s="1"/>
  <c r="H216" i="7"/>
  <c r="EP216" i="7" s="1"/>
  <c r="I216" i="7"/>
  <c r="EQ216" i="7" s="1"/>
  <c r="D217" i="7"/>
  <c r="E217" i="7"/>
  <c r="F217" i="7"/>
  <c r="G217" i="7"/>
  <c r="H217" i="7"/>
  <c r="EP217" i="7" s="1"/>
  <c r="I217" i="7"/>
  <c r="EQ217" i="7" s="1"/>
  <c r="D218" i="7"/>
  <c r="E218" i="7"/>
  <c r="D28" i="56" s="1"/>
  <c r="F218" i="7"/>
  <c r="E28" i="56" s="1"/>
  <c r="G218" i="7"/>
  <c r="F28" i="56" s="1"/>
  <c r="H218" i="7"/>
  <c r="G28" i="56" s="1"/>
  <c r="I218" i="7"/>
  <c r="H28" i="56" s="1"/>
  <c r="D219" i="7"/>
  <c r="E219" i="7"/>
  <c r="F219" i="7"/>
  <c r="G219" i="7"/>
  <c r="F29" i="56" s="1"/>
  <c r="H219" i="7"/>
  <c r="I219" i="7"/>
  <c r="D220" i="7"/>
  <c r="C30" i="56" s="1"/>
  <c r="E220" i="7"/>
  <c r="F220" i="7"/>
  <c r="E30" i="56" s="1"/>
  <c r="G220" i="7"/>
  <c r="H220" i="7"/>
  <c r="G30" i="56" s="1"/>
  <c r="I220" i="7"/>
  <c r="H30" i="56" s="1"/>
  <c r="D221" i="7"/>
  <c r="E221" i="7"/>
  <c r="F221" i="7"/>
  <c r="G221" i="7"/>
  <c r="H221" i="7"/>
  <c r="I221" i="7"/>
  <c r="I190" i="54" s="1"/>
  <c r="D222" i="7"/>
  <c r="CB222" i="7" s="1"/>
  <c r="E222" i="7"/>
  <c r="F222" i="7"/>
  <c r="G222" i="7"/>
  <c r="H222" i="7"/>
  <c r="I222" i="7"/>
  <c r="D223" i="7"/>
  <c r="E223" i="7"/>
  <c r="EM223" i="7" s="1"/>
  <c r="F223" i="7"/>
  <c r="G223" i="7"/>
  <c r="EO223" i="7" s="1"/>
  <c r="H223" i="7"/>
  <c r="I157" i="54" s="1"/>
  <c r="I223" i="7"/>
  <c r="GR213" i="7"/>
  <c r="GS213" i="7"/>
  <c r="GT213" i="7"/>
  <c r="GU213" i="7"/>
  <c r="GV213" i="7"/>
  <c r="GW213" i="7"/>
  <c r="GJ213" i="7"/>
  <c r="GK213" i="7"/>
  <c r="GL213" i="7"/>
  <c r="GM213" i="7"/>
  <c r="GN213" i="7"/>
  <c r="GO213" i="7"/>
  <c r="GB213" i="7"/>
  <c r="GC213" i="7"/>
  <c r="GD213" i="7"/>
  <c r="GE213" i="7"/>
  <c r="GF213" i="7"/>
  <c r="GG213" i="7"/>
  <c r="FT213" i="7"/>
  <c r="FU213" i="7"/>
  <c r="FV213" i="7"/>
  <c r="FW213" i="7"/>
  <c r="FX213" i="7"/>
  <c r="FY213" i="7"/>
  <c r="FL213" i="7"/>
  <c r="FM213" i="7"/>
  <c r="FN213" i="7"/>
  <c r="FO213" i="7"/>
  <c r="FP213" i="7"/>
  <c r="FQ213" i="7"/>
  <c r="FD213" i="7"/>
  <c r="FE213" i="7"/>
  <c r="FF213" i="7"/>
  <c r="FG213" i="7"/>
  <c r="FH213" i="7"/>
  <c r="FI213" i="7"/>
  <c r="DU213" i="7"/>
  <c r="DV213" i="7"/>
  <c r="DW213" i="7"/>
  <c r="DX213" i="7"/>
  <c r="DY213" i="7"/>
  <c r="DZ213" i="7"/>
  <c r="EA213" i="7"/>
  <c r="EB213" i="7"/>
  <c r="EC213" i="7"/>
  <c r="ED213" i="7"/>
  <c r="EE213" i="7"/>
  <c r="EF213" i="7"/>
  <c r="DG213" i="7"/>
  <c r="DH213" i="7"/>
  <c r="DI213" i="7"/>
  <c r="DJ213" i="7"/>
  <c r="DK213" i="7"/>
  <c r="DL213" i="7"/>
  <c r="DM213" i="7"/>
  <c r="DN213" i="7"/>
  <c r="DO213" i="7"/>
  <c r="DP213" i="7"/>
  <c r="DQ213" i="7"/>
  <c r="DR213" i="7"/>
  <c r="CS213" i="7"/>
  <c r="CT213" i="7"/>
  <c r="CU213" i="7"/>
  <c r="CV213" i="7"/>
  <c r="CW213" i="7"/>
  <c r="CX213" i="7"/>
  <c r="CY213" i="7"/>
  <c r="CZ213" i="7"/>
  <c r="DA213" i="7"/>
  <c r="DB213" i="7"/>
  <c r="DC213" i="7"/>
  <c r="DD213" i="7"/>
  <c r="CN213" i="7"/>
  <c r="CO213" i="7"/>
  <c r="CI213" i="7"/>
  <c r="CJ213" i="7"/>
  <c r="CK213" i="7"/>
  <c r="CL213" i="7"/>
  <c r="CD213" i="7"/>
  <c r="CE213" i="7"/>
  <c r="CF213" i="7"/>
  <c r="CG213" i="7"/>
  <c r="BJ213" i="7"/>
  <c r="BK213" i="7"/>
  <c r="BL213" i="7"/>
  <c r="BM213" i="7"/>
  <c r="BN213" i="7"/>
  <c r="BO213" i="7"/>
  <c r="BB213" i="7"/>
  <c r="BC213" i="7"/>
  <c r="BD213" i="7"/>
  <c r="BE213" i="7"/>
  <c r="BF213" i="7"/>
  <c r="BG213" i="7"/>
  <c r="AT213" i="7"/>
  <c r="AU213" i="7"/>
  <c r="AV213" i="7"/>
  <c r="AW213" i="7"/>
  <c r="AX213" i="7"/>
  <c r="AY213" i="7"/>
  <c r="AL213" i="7"/>
  <c r="AM213" i="7"/>
  <c r="AN213" i="7"/>
  <c r="AO213" i="7"/>
  <c r="AP213" i="7"/>
  <c r="AQ213" i="7"/>
  <c r="AD213" i="7"/>
  <c r="AE213" i="7"/>
  <c r="AF213" i="7"/>
  <c r="AG213" i="7"/>
  <c r="AH213" i="7"/>
  <c r="AI213" i="7"/>
  <c r="V213" i="7"/>
  <c r="W213" i="7"/>
  <c r="X213" i="7"/>
  <c r="Y213" i="7"/>
  <c r="Z213" i="7"/>
  <c r="AA213" i="7"/>
  <c r="N213" i="7"/>
  <c r="O213" i="7"/>
  <c r="P213" i="7"/>
  <c r="Q213" i="7"/>
  <c r="R213" i="7"/>
  <c r="S213" i="7"/>
  <c r="EL211" i="7"/>
  <c r="CC211" i="7"/>
  <c r="CH211" i="7"/>
  <c r="CB212" i="7"/>
  <c r="B184" i="7"/>
  <c r="B187" i="7"/>
  <c r="B190" i="7"/>
  <c r="B193" i="7"/>
  <c r="B196" i="7"/>
  <c r="B199" i="7"/>
  <c r="B202" i="7"/>
  <c r="B205" i="7"/>
  <c r="EJ205" i="7" s="1"/>
  <c r="B208" i="7"/>
  <c r="B211" i="7"/>
  <c r="GR210" i="7"/>
  <c r="GS210" i="7"/>
  <c r="GT210" i="7"/>
  <c r="GU210" i="7"/>
  <c r="GV210" i="7"/>
  <c r="GW210" i="7"/>
  <c r="GJ210" i="7"/>
  <c r="GK210" i="7"/>
  <c r="GL210" i="7"/>
  <c r="GM210" i="7"/>
  <c r="GN210" i="7"/>
  <c r="GO210" i="7"/>
  <c r="GB210" i="7"/>
  <c r="GC210" i="7"/>
  <c r="GD210" i="7"/>
  <c r="GE210" i="7"/>
  <c r="GF210" i="7"/>
  <c r="GG210" i="7"/>
  <c r="FT210" i="7"/>
  <c r="FU210" i="7"/>
  <c r="FV210" i="7"/>
  <c r="FW210" i="7"/>
  <c r="FX210" i="7"/>
  <c r="FY210" i="7"/>
  <c r="FL210" i="7"/>
  <c r="FM210" i="7"/>
  <c r="FN210" i="7"/>
  <c r="FO210" i="7"/>
  <c r="FP210" i="7"/>
  <c r="FQ210" i="7"/>
  <c r="FD210" i="7"/>
  <c r="FE210" i="7"/>
  <c r="FF210" i="7"/>
  <c r="FG210" i="7"/>
  <c r="FH210" i="7"/>
  <c r="FI210" i="7"/>
  <c r="DU210" i="7"/>
  <c r="DV210" i="7"/>
  <c r="DW210" i="7"/>
  <c r="DX210" i="7"/>
  <c r="DY210" i="7"/>
  <c r="DZ210" i="7"/>
  <c r="EA210" i="7"/>
  <c r="EB210" i="7"/>
  <c r="EC210" i="7"/>
  <c r="ED210" i="7"/>
  <c r="EE210" i="7"/>
  <c r="EF210" i="7"/>
  <c r="DG210" i="7"/>
  <c r="DH210" i="7"/>
  <c r="DI210" i="7"/>
  <c r="DJ210" i="7"/>
  <c r="DK210" i="7"/>
  <c r="DL210" i="7"/>
  <c r="DM210" i="7"/>
  <c r="DN210" i="7"/>
  <c r="DO210" i="7"/>
  <c r="DP210" i="7"/>
  <c r="DQ210" i="7"/>
  <c r="DR210" i="7"/>
  <c r="CS210" i="7"/>
  <c r="CT210" i="7"/>
  <c r="CU210" i="7"/>
  <c r="CV210" i="7"/>
  <c r="CW210" i="7"/>
  <c r="CX210" i="7"/>
  <c r="CY210" i="7"/>
  <c r="CZ210" i="7"/>
  <c r="DA210" i="7"/>
  <c r="DB210" i="7"/>
  <c r="DC210" i="7"/>
  <c r="DD210" i="7"/>
  <c r="CN210" i="7"/>
  <c r="CO210" i="7"/>
  <c r="CI210" i="7"/>
  <c r="CJ210" i="7"/>
  <c r="CK210" i="7"/>
  <c r="CL210" i="7"/>
  <c r="CD210" i="7"/>
  <c r="CE210" i="7"/>
  <c r="CF210" i="7"/>
  <c r="CG210" i="7"/>
  <c r="BJ210" i="7"/>
  <c r="BK210" i="7"/>
  <c r="BL210" i="7"/>
  <c r="BM210" i="7"/>
  <c r="BN210" i="7"/>
  <c r="BO210" i="7"/>
  <c r="BB210" i="7"/>
  <c r="BC210" i="7"/>
  <c r="BD210" i="7"/>
  <c r="BE210" i="7"/>
  <c r="BF210" i="7"/>
  <c r="BG210" i="7"/>
  <c r="AT210" i="7"/>
  <c r="AU210" i="7"/>
  <c r="AV210" i="7"/>
  <c r="AW210" i="7"/>
  <c r="AX210" i="7"/>
  <c r="AY210" i="7"/>
  <c r="AL210" i="7"/>
  <c r="AM210" i="7"/>
  <c r="AN210" i="7"/>
  <c r="AO210" i="7"/>
  <c r="AP210" i="7"/>
  <c r="AQ210" i="7"/>
  <c r="AD210" i="7"/>
  <c r="AE210" i="7"/>
  <c r="AF210" i="7"/>
  <c r="AG210" i="7"/>
  <c r="AH210" i="7"/>
  <c r="AI210" i="7"/>
  <c r="V210" i="7"/>
  <c r="W210" i="7"/>
  <c r="X210" i="7"/>
  <c r="Y210" i="7"/>
  <c r="Z210" i="7"/>
  <c r="AA210" i="7"/>
  <c r="N210" i="7"/>
  <c r="B66" i="33" s="1"/>
  <c r="H66" i="33" s="1"/>
  <c r="O210" i="7"/>
  <c r="P210" i="7"/>
  <c r="Q210" i="7"/>
  <c r="R210" i="7"/>
  <c r="S210" i="7"/>
  <c r="EL208" i="7"/>
  <c r="EM208" i="7"/>
  <c r="EN208" i="7"/>
  <c r="EP208" i="7"/>
  <c r="GR207" i="7"/>
  <c r="GS207" i="7"/>
  <c r="GT207" i="7"/>
  <c r="GU207" i="7"/>
  <c r="GV207" i="7"/>
  <c r="GW207" i="7"/>
  <c r="GJ207" i="7"/>
  <c r="GK207" i="7"/>
  <c r="GL207" i="7"/>
  <c r="GM207" i="7"/>
  <c r="GN207" i="7"/>
  <c r="GO207" i="7"/>
  <c r="GB207" i="7"/>
  <c r="GC207" i="7"/>
  <c r="GD207" i="7"/>
  <c r="GE207" i="7"/>
  <c r="GF207" i="7"/>
  <c r="GG207" i="7"/>
  <c r="FT207" i="7"/>
  <c r="FU207" i="7"/>
  <c r="FV207" i="7"/>
  <c r="FW207" i="7"/>
  <c r="FX207" i="7"/>
  <c r="FY207" i="7"/>
  <c r="FL207" i="7"/>
  <c r="FM207" i="7"/>
  <c r="FN207" i="7"/>
  <c r="FO207" i="7"/>
  <c r="FP207" i="7"/>
  <c r="FQ207" i="7"/>
  <c r="FD207" i="7"/>
  <c r="FE207" i="7"/>
  <c r="FF207" i="7"/>
  <c r="FG207" i="7"/>
  <c r="FH207" i="7"/>
  <c r="FI207" i="7"/>
  <c r="DU207" i="7"/>
  <c r="DV207" i="7"/>
  <c r="DW207" i="7"/>
  <c r="DX207" i="7"/>
  <c r="DY207" i="7"/>
  <c r="DZ207" i="7"/>
  <c r="EA207" i="7"/>
  <c r="EB207" i="7"/>
  <c r="EC207" i="7"/>
  <c r="ED207" i="7"/>
  <c r="EE207" i="7"/>
  <c r="EF207" i="7"/>
  <c r="DG207" i="7"/>
  <c r="DH207" i="7"/>
  <c r="DI207" i="7"/>
  <c r="DJ207" i="7"/>
  <c r="DK207" i="7"/>
  <c r="DL207" i="7"/>
  <c r="DM207" i="7"/>
  <c r="DN207" i="7"/>
  <c r="DO207" i="7"/>
  <c r="DP207" i="7"/>
  <c r="DQ207" i="7"/>
  <c r="DR207" i="7"/>
  <c r="CS207" i="7"/>
  <c r="CT207" i="7"/>
  <c r="CU207" i="7"/>
  <c r="CV207" i="7"/>
  <c r="CW207" i="7"/>
  <c r="CX207" i="7"/>
  <c r="CY207" i="7"/>
  <c r="CZ207" i="7"/>
  <c r="DA207" i="7"/>
  <c r="DB207" i="7"/>
  <c r="DC207" i="7"/>
  <c r="DD207" i="7"/>
  <c r="CN207" i="7"/>
  <c r="CO207" i="7"/>
  <c r="CI207" i="7"/>
  <c r="CJ207" i="7"/>
  <c r="CK207" i="7"/>
  <c r="CL207" i="7"/>
  <c r="CD207" i="7"/>
  <c r="CE207" i="7"/>
  <c r="CF207" i="7"/>
  <c r="CG207" i="7"/>
  <c r="BJ207" i="7"/>
  <c r="BK207" i="7"/>
  <c r="BL207" i="7"/>
  <c r="BM207" i="7"/>
  <c r="BN207" i="7"/>
  <c r="BO207" i="7"/>
  <c r="BB207" i="7"/>
  <c r="BC207" i="7"/>
  <c r="BD207" i="7"/>
  <c r="BE207" i="7"/>
  <c r="BF207" i="7"/>
  <c r="BG207" i="7"/>
  <c r="AT207" i="7"/>
  <c r="AU207" i="7"/>
  <c r="AV207" i="7"/>
  <c r="AW207" i="7"/>
  <c r="AX207" i="7"/>
  <c r="AY207" i="7"/>
  <c r="AL207" i="7"/>
  <c r="AM207" i="7"/>
  <c r="AN207" i="7"/>
  <c r="AO207" i="7"/>
  <c r="AP207" i="7"/>
  <c r="AQ207" i="7"/>
  <c r="AD207" i="7"/>
  <c r="AE207" i="7"/>
  <c r="AF207" i="7"/>
  <c r="AG207" i="7"/>
  <c r="AH207" i="7"/>
  <c r="AI207" i="7"/>
  <c r="V207" i="7"/>
  <c r="W207" i="7"/>
  <c r="X207" i="7"/>
  <c r="Y207" i="7"/>
  <c r="Z207" i="7"/>
  <c r="AA207" i="7"/>
  <c r="N207" i="7"/>
  <c r="B65" i="33" s="1"/>
  <c r="H65" i="33" s="1"/>
  <c r="O207" i="7"/>
  <c r="P207" i="7"/>
  <c r="Q207" i="7"/>
  <c r="R207" i="7"/>
  <c r="S207" i="7"/>
  <c r="GR204" i="7"/>
  <c r="GS204" i="7"/>
  <c r="GT204" i="7"/>
  <c r="GU204" i="7"/>
  <c r="GV204" i="7"/>
  <c r="GW204" i="7"/>
  <c r="GJ204" i="7"/>
  <c r="GK204" i="7"/>
  <c r="GL204" i="7"/>
  <c r="GM204" i="7"/>
  <c r="GN204" i="7"/>
  <c r="GO204" i="7"/>
  <c r="GB204" i="7"/>
  <c r="GC204" i="7"/>
  <c r="GD204" i="7"/>
  <c r="GE204" i="7"/>
  <c r="GF204" i="7"/>
  <c r="GG204" i="7"/>
  <c r="FT204" i="7"/>
  <c r="FU204" i="7"/>
  <c r="FV204" i="7"/>
  <c r="FW204" i="7"/>
  <c r="FX204" i="7"/>
  <c r="FY204" i="7"/>
  <c r="FL204" i="7"/>
  <c r="FM204" i="7"/>
  <c r="FN204" i="7"/>
  <c r="FO204" i="7"/>
  <c r="FP204" i="7"/>
  <c r="FQ204" i="7"/>
  <c r="FD204" i="7"/>
  <c r="FE204" i="7"/>
  <c r="FF204" i="7"/>
  <c r="FG204" i="7"/>
  <c r="FH204" i="7"/>
  <c r="FI204" i="7"/>
  <c r="DU204" i="7"/>
  <c r="DV204" i="7"/>
  <c r="DW204" i="7"/>
  <c r="DX204" i="7"/>
  <c r="DY204" i="7"/>
  <c r="DZ204" i="7"/>
  <c r="EA204" i="7"/>
  <c r="EB204" i="7"/>
  <c r="EC204" i="7"/>
  <c r="ED204" i="7"/>
  <c r="EE204" i="7"/>
  <c r="EF204" i="7"/>
  <c r="DG204" i="7"/>
  <c r="DH204" i="7"/>
  <c r="DI204" i="7"/>
  <c r="DJ204" i="7"/>
  <c r="DK204" i="7"/>
  <c r="DL204" i="7"/>
  <c r="DM204" i="7"/>
  <c r="DN204" i="7"/>
  <c r="DO204" i="7"/>
  <c r="DP204" i="7"/>
  <c r="DQ204" i="7"/>
  <c r="DR204" i="7"/>
  <c r="CS204" i="7"/>
  <c r="CT204" i="7"/>
  <c r="CU204" i="7"/>
  <c r="CV204" i="7"/>
  <c r="CW204" i="7"/>
  <c r="CX204" i="7"/>
  <c r="CY204" i="7"/>
  <c r="CZ204" i="7"/>
  <c r="DA204" i="7"/>
  <c r="DB204" i="7"/>
  <c r="DC204" i="7"/>
  <c r="DD204" i="7"/>
  <c r="CN204" i="7"/>
  <c r="CO204" i="7"/>
  <c r="CI204" i="7"/>
  <c r="CJ204" i="7"/>
  <c r="CK204" i="7"/>
  <c r="CL204" i="7"/>
  <c r="CD204" i="7"/>
  <c r="CE204" i="7"/>
  <c r="CF204" i="7"/>
  <c r="CG204" i="7"/>
  <c r="BJ204" i="7"/>
  <c r="BK204" i="7"/>
  <c r="BL204" i="7"/>
  <c r="BM204" i="7"/>
  <c r="BN204" i="7"/>
  <c r="BO204" i="7"/>
  <c r="BB204" i="7"/>
  <c r="BC204" i="7"/>
  <c r="BD204" i="7"/>
  <c r="BE204" i="7"/>
  <c r="BF204" i="7"/>
  <c r="BG204" i="7"/>
  <c r="AT204" i="7"/>
  <c r="AU204" i="7"/>
  <c r="AV204" i="7"/>
  <c r="AW204" i="7"/>
  <c r="AX204" i="7"/>
  <c r="AY204" i="7"/>
  <c r="AL204" i="7"/>
  <c r="AM204" i="7"/>
  <c r="AN204" i="7"/>
  <c r="AO204" i="7"/>
  <c r="AP204" i="7"/>
  <c r="AQ204" i="7"/>
  <c r="AD204" i="7"/>
  <c r="AE204" i="7"/>
  <c r="AF204" i="7"/>
  <c r="AG204" i="7"/>
  <c r="AH204" i="7"/>
  <c r="AI204" i="7"/>
  <c r="V204" i="7"/>
  <c r="W204" i="7"/>
  <c r="X204" i="7"/>
  <c r="Y204" i="7"/>
  <c r="Z204" i="7"/>
  <c r="AA204" i="7"/>
  <c r="N204" i="7"/>
  <c r="O204" i="7"/>
  <c r="P204" i="7"/>
  <c r="Q204" i="7"/>
  <c r="R204" i="7"/>
  <c r="S204" i="7"/>
  <c r="EM202" i="7"/>
  <c r="EN202" i="7"/>
  <c r="CM202" i="7"/>
  <c r="EP202" i="7"/>
  <c r="I203" i="7"/>
  <c r="EQ203" i="7" s="1"/>
  <c r="GR201" i="7"/>
  <c r="GS201" i="7"/>
  <c r="GT201" i="7"/>
  <c r="GU201" i="7"/>
  <c r="GV201" i="7"/>
  <c r="GW201" i="7"/>
  <c r="GJ201" i="7"/>
  <c r="GK201" i="7"/>
  <c r="GL201" i="7"/>
  <c r="GM201" i="7"/>
  <c r="GN201" i="7"/>
  <c r="GO201" i="7"/>
  <c r="GB201" i="7"/>
  <c r="GC201" i="7"/>
  <c r="GD201" i="7"/>
  <c r="GE201" i="7"/>
  <c r="GF201" i="7"/>
  <c r="GG201" i="7"/>
  <c r="FT201" i="7"/>
  <c r="FU201" i="7"/>
  <c r="FV201" i="7"/>
  <c r="FW201" i="7"/>
  <c r="FX201" i="7"/>
  <c r="FY201" i="7"/>
  <c r="FL201" i="7"/>
  <c r="FM201" i="7"/>
  <c r="FN201" i="7"/>
  <c r="FO201" i="7"/>
  <c r="FP201" i="7"/>
  <c r="FQ201" i="7"/>
  <c r="FD201" i="7"/>
  <c r="FE201" i="7"/>
  <c r="FF201" i="7"/>
  <c r="FG201" i="7"/>
  <c r="FH201" i="7"/>
  <c r="FI201" i="7"/>
  <c r="DU201" i="7"/>
  <c r="DV201" i="7"/>
  <c r="DW201" i="7"/>
  <c r="DX201" i="7"/>
  <c r="DY201" i="7"/>
  <c r="DZ201" i="7"/>
  <c r="EA201" i="7"/>
  <c r="EB201" i="7"/>
  <c r="EC201" i="7"/>
  <c r="ED201" i="7"/>
  <c r="EE201" i="7"/>
  <c r="EF201" i="7"/>
  <c r="DG201" i="7"/>
  <c r="DH201" i="7"/>
  <c r="DI201" i="7"/>
  <c r="DJ201" i="7"/>
  <c r="DK201" i="7"/>
  <c r="DL201" i="7"/>
  <c r="DM201" i="7"/>
  <c r="DN201" i="7"/>
  <c r="DO201" i="7"/>
  <c r="DP201" i="7"/>
  <c r="DQ201" i="7"/>
  <c r="DR201" i="7"/>
  <c r="CS201" i="7"/>
  <c r="CT201" i="7"/>
  <c r="CU201" i="7"/>
  <c r="CV201" i="7"/>
  <c r="CW201" i="7"/>
  <c r="CX201" i="7"/>
  <c r="CY201" i="7"/>
  <c r="CZ201" i="7"/>
  <c r="DA201" i="7"/>
  <c r="DB201" i="7"/>
  <c r="DC201" i="7"/>
  <c r="DD201" i="7"/>
  <c r="CN201" i="7"/>
  <c r="CO201" i="7"/>
  <c r="CI201" i="7"/>
  <c r="CJ201" i="7"/>
  <c r="CK201" i="7"/>
  <c r="CL201" i="7"/>
  <c r="CD201" i="7"/>
  <c r="CE201" i="7"/>
  <c r="CF201" i="7"/>
  <c r="CG201" i="7"/>
  <c r="BJ201" i="7"/>
  <c r="BK201" i="7"/>
  <c r="BL201" i="7"/>
  <c r="BM201" i="7"/>
  <c r="BN201" i="7"/>
  <c r="BO201" i="7"/>
  <c r="BB201" i="7"/>
  <c r="BC201" i="7"/>
  <c r="BD201" i="7"/>
  <c r="BE201" i="7"/>
  <c r="BF201" i="7"/>
  <c r="BG201" i="7"/>
  <c r="AT201" i="7"/>
  <c r="AU201" i="7"/>
  <c r="AV201" i="7"/>
  <c r="AW201" i="7"/>
  <c r="AX201" i="7"/>
  <c r="AY201" i="7"/>
  <c r="AL201" i="7"/>
  <c r="AM201" i="7"/>
  <c r="AN201" i="7"/>
  <c r="AO201" i="7"/>
  <c r="AP201" i="7"/>
  <c r="AQ201" i="7"/>
  <c r="AD201" i="7"/>
  <c r="AE201" i="7"/>
  <c r="AF201" i="7"/>
  <c r="AG201" i="7"/>
  <c r="AH201" i="7"/>
  <c r="AI201" i="7"/>
  <c r="V201" i="7"/>
  <c r="W201" i="7"/>
  <c r="X201" i="7"/>
  <c r="Y201" i="7"/>
  <c r="Z201" i="7"/>
  <c r="AA201" i="7"/>
  <c r="N201" i="7"/>
  <c r="O201" i="7"/>
  <c r="P201" i="7"/>
  <c r="Q201" i="7"/>
  <c r="R201" i="7"/>
  <c r="S201" i="7"/>
  <c r="EL199" i="7"/>
  <c r="CC199" i="7"/>
  <c r="G200" i="7"/>
  <c r="EO200" i="7" s="1"/>
  <c r="EQ199" i="7"/>
  <c r="GR198" i="7"/>
  <c r="GS198" i="7"/>
  <c r="GT198" i="7"/>
  <c r="GU198" i="7"/>
  <c r="GV198" i="7"/>
  <c r="GW198" i="7"/>
  <c r="GJ198" i="7"/>
  <c r="GK198" i="7"/>
  <c r="GL198" i="7"/>
  <c r="GM198" i="7"/>
  <c r="GN198" i="7"/>
  <c r="GO198" i="7"/>
  <c r="GB198" i="7"/>
  <c r="GC198" i="7"/>
  <c r="GD198" i="7"/>
  <c r="GE198" i="7"/>
  <c r="GF198" i="7"/>
  <c r="GG198" i="7"/>
  <c r="FT198" i="7"/>
  <c r="FU198" i="7"/>
  <c r="FV198" i="7"/>
  <c r="FW198" i="7"/>
  <c r="FX198" i="7"/>
  <c r="FY198" i="7"/>
  <c r="FL198" i="7"/>
  <c r="FM198" i="7"/>
  <c r="FN198" i="7"/>
  <c r="FO198" i="7"/>
  <c r="FP198" i="7"/>
  <c r="FQ198" i="7"/>
  <c r="FD198" i="7"/>
  <c r="FE198" i="7"/>
  <c r="FF198" i="7"/>
  <c r="FG198" i="7"/>
  <c r="FH198" i="7"/>
  <c r="FI198" i="7"/>
  <c r="DU198" i="7"/>
  <c r="DV198" i="7"/>
  <c r="DW198" i="7"/>
  <c r="DX198" i="7"/>
  <c r="DY198" i="7"/>
  <c r="DZ198" i="7"/>
  <c r="EA198" i="7"/>
  <c r="EB198" i="7"/>
  <c r="EC198" i="7"/>
  <c r="ED198" i="7"/>
  <c r="EE198" i="7"/>
  <c r="EF198" i="7"/>
  <c r="DG198" i="7"/>
  <c r="DH198" i="7"/>
  <c r="DI198" i="7"/>
  <c r="DJ198" i="7"/>
  <c r="DK198" i="7"/>
  <c r="DL198" i="7"/>
  <c r="DM198" i="7"/>
  <c r="DN198" i="7"/>
  <c r="DO198" i="7"/>
  <c r="DP198" i="7"/>
  <c r="DQ198" i="7"/>
  <c r="DR198" i="7"/>
  <c r="CS198" i="7"/>
  <c r="CT198" i="7"/>
  <c r="CU198" i="7"/>
  <c r="CV198" i="7"/>
  <c r="CW198" i="7"/>
  <c r="CX198" i="7"/>
  <c r="CY198" i="7"/>
  <c r="CZ198" i="7"/>
  <c r="DA198" i="7"/>
  <c r="DB198" i="7"/>
  <c r="DC198" i="7"/>
  <c r="DD198" i="7"/>
  <c r="CN198" i="7"/>
  <c r="CO198" i="7"/>
  <c r="CI198" i="7"/>
  <c r="CJ198" i="7"/>
  <c r="CK198" i="7"/>
  <c r="CL198" i="7"/>
  <c r="CD198" i="7"/>
  <c r="CE198" i="7"/>
  <c r="CF198" i="7"/>
  <c r="CG198" i="7"/>
  <c r="BJ198" i="7"/>
  <c r="BK198" i="7"/>
  <c r="BL198" i="7"/>
  <c r="BM198" i="7"/>
  <c r="BN198" i="7"/>
  <c r="BO198" i="7"/>
  <c r="BB198" i="7"/>
  <c r="BC198" i="7"/>
  <c r="BD198" i="7"/>
  <c r="BE198" i="7"/>
  <c r="BF198" i="7"/>
  <c r="BG198" i="7"/>
  <c r="AT198" i="7"/>
  <c r="AU198" i="7"/>
  <c r="AV198" i="7"/>
  <c r="AW198" i="7"/>
  <c r="AX198" i="7"/>
  <c r="AY198" i="7"/>
  <c r="AL198" i="7"/>
  <c r="AM198" i="7"/>
  <c r="AN198" i="7"/>
  <c r="AO198" i="7"/>
  <c r="AP198" i="7"/>
  <c r="AQ198" i="7"/>
  <c r="AD198" i="7"/>
  <c r="AE198" i="7"/>
  <c r="AF198" i="7"/>
  <c r="AG198" i="7"/>
  <c r="AH198" i="7"/>
  <c r="AI198" i="7"/>
  <c r="V198" i="7"/>
  <c r="W198" i="7"/>
  <c r="X198" i="7"/>
  <c r="Y198" i="7"/>
  <c r="Z198" i="7"/>
  <c r="AA198" i="7"/>
  <c r="N198" i="7"/>
  <c r="O198" i="7"/>
  <c r="P198" i="7"/>
  <c r="Q198" i="7"/>
  <c r="R198" i="7"/>
  <c r="S198" i="7"/>
  <c r="F197" i="7"/>
  <c r="EN197" i="7" s="1"/>
  <c r="GR195" i="7"/>
  <c r="GS195" i="7"/>
  <c r="GT195" i="7"/>
  <c r="GU195" i="7"/>
  <c r="GV195" i="7"/>
  <c r="GW195" i="7"/>
  <c r="GJ195" i="7"/>
  <c r="GK195" i="7"/>
  <c r="GL195" i="7"/>
  <c r="GM195" i="7"/>
  <c r="GN195" i="7"/>
  <c r="GO195" i="7"/>
  <c r="GB195" i="7"/>
  <c r="GC195" i="7"/>
  <c r="GD195" i="7"/>
  <c r="GE195" i="7"/>
  <c r="GF195" i="7"/>
  <c r="GG195" i="7"/>
  <c r="FT195" i="7"/>
  <c r="FU195" i="7"/>
  <c r="FV195" i="7"/>
  <c r="FW195" i="7"/>
  <c r="FX195" i="7"/>
  <c r="FY195" i="7"/>
  <c r="FL195" i="7"/>
  <c r="FM195" i="7"/>
  <c r="FN195" i="7"/>
  <c r="FO195" i="7"/>
  <c r="FP195" i="7"/>
  <c r="FQ195" i="7"/>
  <c r="FD195" i="7"/>
  <c r="FE195" i="7"/>
  <c r="FF195" i="7"/>
  <c r="FG195" i="7"/>
  <c r="FH195" i="7"/>
  <c r="FI195" i="7"/>
  <c r="DU195" i="7"/>
  <c r="DV195" i="7"/>
  <c r="DW195" i="7"/>
  <c r="DX195" i="7"/>
  <c r="DY195" i="7"/>
  <c r="DZ195" i="7"/>
  <c r="EA195" i="7"/>
  <c r="EB195" i="7"/>
  <c r="EC195" i="7"/>
  <c r="ED195" i="7"/>
  <c r="EE195" i="7"/>
  <c r="EF195" i="7"/>
  <c r="DG195" i="7"/>
  <c r="DH195" i="7"/>
  <c r="DI195" i="7"/>
  <c r="DJ195" i="7"/>
  <c r="DK195" i="7"/>
  <c r="DL195" i="7"/>
  <c r="DM195" i="7"/>
  <c r="DN195" i="7"/>
  <c r="DO195" i="7"/>
  <c r="DP195" i="7"/>
  <c r="DQ195" i="7"/>
  <c r="DR195" i="7"/>
  <c r="CS195" i="7"/>
  <c r="CT195" i="7"/>
  <c r="CU195" i="7"/>
  <c r="CV195" i="7"/>
  <c r="CW195" i="7"/>
  <c r="CX195" i="7"/>
  <c r="CY195" i="7"/>
  <c r="CZ195" i="7"/>
  <c r="DA195" i="7"/>
  <c r="DB195" i="7"/>
  <c r="DC195" i="7"/>
  <c r="DD195" i="7"/>
  <c r="CN195" i="7"/>
  <c r="CO195" i="7"/>
  <c r="CI195" i="7"/>
  <c r="CJ195" i="7"/>
  <c r="CK195" i="7"/>
  <c r="CL195" i="7"/>
  <c r="CD195" i="7"/>
  <c r="CE195" i="7"/>
  <c r="CF195" i="7"/>
  <c r="CG195" i="7"/>
  <c r="BJ195" i="7"/>
  <c r="BK195" i="7"/>
  <c r="BL195" i="7"/>
  <c r="BM195" i="7"/>
  <c r="BN195" i="7"/>
  <c r="BO195" i="7"/>
  <c r="BB195" i="7"/>
  <c r="BC195" i="7"/>
  <c r="BD195" i="7"/>
  <c r="BE195" i="7"/>
  <c r="BF195" i="7"/>
  <c r="BG195" i="7"/>
  <c r="AT195" i="7"/>
  <c r="AU195" i="7"/>
  <c r="AV195" i="7"/>
  <c r="AW195" i="7"/>
  <c r="AX195" i="7"/>
  <c r="AY195" i="7"/>
  <c r="AL195" i="7"/>
  <c r="AM195" i="7"/>
  <c r="AN195" i="7"/>
  <c r="AO195" i="7"/>
  <c r="AP195" i="7"/>
  <c r="AQ195" i="7"/>
  <c r="AD195" i="7"/>
  <c r="AE195" i="7"/>
  <c r="AF195" i="7"/>
  <c r="AG195" i="7"/>
  <c r="AH195" i="7"/>
  <c r="AI195" i="7"/>
  <c r="V195" i="7"/>
  <c r="W195" i="7"/>
  <c r="X195" i="7"/>
  <c r="Y195" i="7"/>
  <c r="Z195" i="7"/>
  <c r="AA195" i="7"/>
  <c r="N195" i="7"/>
  <c r="O195" i="7"/>
  <c r="P195" i="7"/>
  <c r="Q195" i="7"/>
  <c r="R195" i="7"/>
  <c r="S195" i="7"/>
  <c r="EL193" i="7"/>
  <c r="G194" i="7"/>
  <c r="GR192" i="7"/>
  <c r="GS192" i="7"/>
  <c r="GT192" i="7"/>
  <c r="GU192" i="7"/>
  <c r="GV192" i="7"/>
  <c r="GW192" i="7"/>
  <c r="GJ192" i="7"/>
  <c r="GK192" i="7"/>
  <c r="GL192" i="7"/>
  <c r="GM192" i="7"/>
  <c r="GN192" i="7"/>
  <c r="GO192" i="7"/>
  <c r="GB192" i="7"/>
  <c r="GC192" i="7"/>
  <c r="GD192" i="7"/>
  <c r="GE192" i="7"/>
  <c r="GF192" i="7"/>
  <c r="GG192" i="7"/>
  <c r="FT192" i="7"/>
  <c r="FU192" i="7"/>
  <c r="FV192" i="7"/>
  <c r="FW192" i="7"/>
  <c r="FX192" i="7"/>
  <c r="FY192" i="7"/>
  <c r="FL192" i="7"/>
  <c r="FM192" i="7"/>
  <c r="FN192" i="7"/>
  <c r="FO192" i="7"/>
  <c r="FP192" i="7"/>
  <c r="FQ192" i="7"/>
  <c r="FD192" i="7"/>
  <c r="FE192" i="7"/>
  <c r="FF192" i="7"/>
  <c r="FG192" i="7"/>
  <c r="FH192" i="7"/>
  <c r="FI192" i="7"/>
  <c r="DU192" i="7"/>
  <c r="DV192" i="7"/>
  <c r="DW192" i="7"/>
  <c r="DX192" i="7"/>
  <c r="DY192" i="7"/>
  <c r="DZ192" i="7"/>
  <c r="EA192" i="7"/>
  <c r="EB192" i="7"/>
  <c r="EC192" i="7"/>
  <c r="ED192" i="7"/>
  <c r="EE192" i="7"/>
  <c r="EF192" i="7"/>
  <c r="DG192" i="7"/>
  <c r="DH192" i="7"/>
  <c r="DI192" i="7"/>
  <c r="DJ192" i="7"/>
  <c r="DK192" i="7"/>
  <c r="DL192" i="7"/>
  <c r="DM192" i="7"/>
  <c r="DN192" i="7"/>
  <c r="DO192" i="7"/>
  <c r="DP192" i="7"/>
  <c r="DQ192" i="7"/>
  <c r="DR192" i="7"/>
  <c r="CS192" i="7"/>
  <c r="CT192" i="7"/>
  <c r="CU192" i="7"/>
  <c r="CV192" i="7"/>
  <c r="CW192" i="7"/>
  <c r="CX192" i="7"/>
  <c r="CY192" i="7"/>
  <c r="CZ192" i="7"/>
  <c r="DA192" i="7"/>
  <c r="DB192" i="7"/>
  <c r="DC192" i="7"/>
  <c r="DD192" i="7"/>
  <c r="CN192" i="7"/>
  <c r="CO192" i="7"/>
  <c r="CI192" i="7"/>
  <c r="CJ192" i="7"/>
  <c r="CK192" i="7"/>
  <c r="CL192" i="7"/>
  <c r="CD192" i="7"/>
  <c r="CE192" i="7"/>
  <c r="CF192" i="7"/>
  <c r="CG192" i="7"/>
  <c r="BJ192" i="7"/>
  <c r="BK192" i="7"/>
  <c r="BL192" i="7"/>
  <c r="BM192" i="7"/>
  <c r="BN192" i="7"/>
  <c r="BO192" i="7"/>
  <c r="BB192" i="7"/>
  <c r="BC192" i="7"/>
  <c r="BD192" i="7"/>
  <c r="BE192" i="7"/>
  <c r="BF192" i="7"/>
  <c r="BG192" i="7"/>
  <c r="AT192" i="7"/>
  <c r="AU192" i="7"/>
  <c r="AV192" i="7"/>
  <c r="AW192" i="7"/>
  <c r="AX192" i="7"/>
  <c r="AY192" i="7"/>
  <c r="AL192" i="7"/>
  <c r="AM192" i="7"/>
  <c r="AN192" i="7"/>
  <c r="AO192" i="7"/>
  <c r="AP192" i="7"/>
  <c r="AQ192" i="7"/>
  <c r="AD192" i="7"/>
  <c r="AE192" i="7"/>
  <c r="AF192" i="7"/>
  <c r="AG192" i="7"/>
  <c r="AH192" i="7"/>
  <c r="AI192" i="7"/>
  <c r="V192" i="7"/>
  <c r="W192" i="7"/>
  <c r="X192" i="7"/>
  <c r="Y192" i="7"/>
  <c r="Z192" i="7"/>
  <c r="AA192" i="7"/>
  <c r="N192" i="7"/>
  <c r="B60" i="33" s="1"/>
  <c r="H60" i="33" s="1"/>
  <c r="O192" i="7"/>
  <c r="P192" i="7"/>
  <c r="Q192" i="7"/>
  <c r="R192" i="7"/>
  <c r="S192" i="7"/>
  <c r="EL190" i="7"/>
  <c r="EM190" i="7"/>
  <c r="EN190" i="7"/>
  <c r="EQ190" i="7"/>
  <c r="CB191" i="7"/>
  <c r="GR189" i="7"/>
  <c r="GS189" i="7"/>
  <c r="GT189" i="7"/>
  <c r="GU189" i="7"/>
  <c r="GV189" i="7"/>
  <c r="GW189" i="7"/>
  <c r="GJ189" i="7"/>
  <c r="GK189" i="7"/>
  <c r="GL189" i="7"/>
  <c r="GM189" i="7"/>
  <c r="GN189" i="7"/>
  <c r="GO189" i="7"/>
  <c r="GB189" i="7"/>
  <c r="GC189" i="7"/>
  <c r="GD189" i="7"/>
  <c r="GE189" i="7"/>
  <c r="GF189" i="7"/>
  <c r="GG189" i="7"/>
  <c r="FT189" i="7"/>
  <c r="FU189" i="7"/>
  <c r="FV189" i="7"/>
  <c r="FW189" i="7"/>
  <c r="FX189" i="7"/>
  <c r="FY189" i="7"/>
  <c r="FL189" i="7"/>
  <c r="FM189" i="7"/>
  <c r="FN189" i="7"/>
  <c r="FO189" i="7"/>
  <c r="FP189" i="7"/>
  <c r="FQ189" i="7"/>
  <c r="FD189" i="7"/>
  <c r="FE189" i="7"/>
  <c r="FF189" i="7"/>
  <c r="FG189" i="7"/>
  <c r="FH189" i="7"/>
  <c r="FI189" i="7"/>
  <c r="DU189" i="7"/>
  <c r="DV189" i="7"/>
  <c r="DW189" i="7"/>
  <c r="DX189" i="7"/>
  <c r="DY189" i="7"/>
  <c r="DZ189" i="7"/>
  <c r="EA189" i="7"/>
  <c r="EB189" i="7"/>
  <c r="EC189" i="7"/>
  <c r="ED189" i="7"/>
  <c r="EE189" i="7"/>
  <c r="EF189" i="7"/>
  <c r="DG189" i="7"/>
  <c r="DH189" i="7"/>
  <c r="DI189" i="7"/>
  <c r="DJ189" i="7"/>
  <c r="DK189" i="7"/>
  <c r="DL189" i="7"/>
  <c r="DM189" i="7"/>
  <c r="DN189" i="7"/>
  <c r="DO189" i="7"/>
  <c r="DP189" i="7"/>
  <c r="DQ189" i="7"/>
  <c r="DR189" i="7"/>
  <c r="CS189" i="7"/>
  <c r="CT189" i="7"/>
  <c r="CU189" i="7"/>
  <c r="CV189" i="7"/>
  <c r="CW189" i="7"/>
  <c r="CX189" i="7"/>
  <c r="CY189" i="7"/>
  <c r="CZ189" i="7"/>
  <c r="DA189" i="7"/>
  <c r="DB189" i="7"/>
  <c r="DC189" i="7"/>
  <c r="DD189" i="7"/>
  <c r="CN189" i="7"/>
  <c r="CO189" i="7"/>
  <c r="CI189" i="7"/>
  <c r="CJ189" i="7"/>
  <c r="CK189" i="7"/>
  <c r="CL189" i="7"/>
  <c r="CD189" i="7"/>
  <c r="CE189" i="7"/>
  <c r="CF189" i="7"/>
  <c r="CG189" i="7"/>
  <c r="BJ189" i="7"/>
  <c r="BK189" i="7"/>
  <c r="BL189" i="7"/>
  <c r="BM189" i="7"/>
  <c r="BN189" i="7"/>
  <c r="BO189" i="7"/>
  <c r="BB189" i="7"/>
  <c r="BC189" i="7"/>
  <c r="BD189" i="7"/>
  <c r="BE189" i="7"/>
  <c r="BF189" i="7"/>
  <c r="BG189" i="7"/>
  <c r="AT189" i="7"/>
  <c r="AU189" i="7"/>
  <c r="AV189" i="7"/>
  <c r="AW189" i="7"/>
  <c r="AX189" i="7"/>
  <c r="AY189" i="7"/>
  <c r="AL189" i="7"/>
  <c r="AM189" i="7"/>
  <c r="AN189" i="7"/>
  <c r="AO189" i="7"/>
  <c r="AP189" i="7"/>
  <c r="AQ189" i="7"/>
  <c r="AD189" i="7"/>
  <c r="AE189" i="7"/>
  <c r="AF189" i="7"/>
  <c r="AG189" i="7"/>
  <c r="AH189" i="7"/>
  <c r="AI189" i="7"/>
  <c r="V189" i="7"/>
  <c r="W189" i="7"/>
  <c r="X189" i="7"/>
  <c r="Y189" i="7"/>
  <c r="Z189" i="7"/>
  <c r="AA189" i="7"/>
  <c r="N189" i="7"/>
  <c r="O189" i="7"/>
  <c r="P189" i="7"/>
  <c r="Q189" i="7"/>
  <c r="R189" i="7"/>
  <c r="S189" i="7"/>
  <c r="CB187" i="7"/>
  <c r="CH187" i="7"/>
  <c r="H188" i="7"/>
  <c r="GR186" i="7"/>
  <c r="GS186" i="7"/>
  <c r="GT186" i="7"/>
  <c r="GU186" i="7"/>
  <c r="GV186" i="7"/>
  <c r="GW186" i="7"/>
  <c r="GJ186" i="7"/>
  <c r="GK186" i="7"/>
  <c r="GL186" i="7"/>
  <c r="GM186" i="7"/>
  <c r="GN186" i="7"/>
  <c r="GO186" i="7"/>
  <c r="GB186" i="7"/>
  <c r="GC186" i="7"/>
  <c r="GD186" i="7"/>
  <c r="GE186" i="7"/>
  <c r="GF186" i="7"/>
  <c r="GG186" i="7"/>
  <c r="FT186" i="7"/>
  <c r="FU186" i="7"/>
  <c r="FV186" i="7"/>
  <c r="FW186" i="7"/>
  <c r="FX186" i="7"/>
  <c r="FY186" i="7"/>
  <c r="FL186" i="7"/>
  <c r="FM186" i="7"/>
  <c r="FN186" i="7"/>
  <c r="FO186" i="7"/>
  <c r="FP186" i="7"/>
  <c r="FQ186" i="7"/>
  <c r="FD186" i="7"/>
  <c r="FE186" i="7"/>
  <c r="FF186" i="7"/>
  <c r="FG186" i="7"/>
  <c r="FH186" i="7"/>
  <c r="FI186" i="7"/>
  <c r="DU186" i="7"/>
  <c r="DV186" i="7"/>
  <c r="DW186" i="7"/>
  <c r="DX186" i="7"/>
  <c r="DY186" i="7"/>
  <c r="DZ186" i="7"/>
  <c r="EA186" i="7"/>
  <c r="EB186" i="7"/>
  <c r="EC186" i="7"/>
  <c r="ED186" i="7"/>
  <c r="EE186" i="7"/>
  <c r="EF186" i="7"/>
  <c r="DG186" i="7"/>
  <c r="DH186" i="7"/>
  <c r="DI186" i="7"/>
  <c r="DJ186" i="7"/>
  <c r="DK186" i="7"/>
  <c r="DL186" i="7"/>
  <c r="DM186" i="7"/>
  <c r="DN186" i="7"/>
  <c r="DO186" i="7"/>
  <c r="DP186" i="7"/>
  <c r="DQ186" i="7"/>
  <c r="DR186" i="7"/>
  <c r="CS186" i="7"/>
  <c r="CT186" i="7"/>
  <c r="CU186" i="7"/>
  <c r="CV186" i="7"/>
  <c r="CW186" i="7"/>
  <c r="CX186" i="7"/>
  <c r="CY186" i="7"/>
  <c r="CZ186" i="7"/>
  <c r="DA186" i="7"/>
  <c r="DB186" i="7"/>
  <c r="DC186" i="7"/>
  <c r="DD186" i="7"/>
  <c r="CN186" i="7"/>
  <c r="CO186" i="7"/>
  <c r="CI186" i="7"/>
  <c r="CJ186" i="7"/>
  <c r="CK186" i="7"/>
  <c r="CL186" i="7"/>
  <c r="CD186" i="7"/>
  <c r="CE186" i="7"/>
  <c r="CF186" i="7"/>
  <c r="CG186" i="7"/>
  <c r="BJ186" i="7"/>
  <c r="BK186" i="7"/>
  <c r="BL186" i="7"/>
  <c r="BM186" i="7"/>
  <c r="BN186" i="7"/>
  <c r="BO186" i="7"/>
  <c r="BB186" i="7"/>
  <c r="BC186" i="7"/>
  <c r="BD186" i="7"/>
  <c r="BE186" i="7"/>
  <c r="BF186" i="7"/>
  <c r="BG186" i="7"/>
  <c r="AT186" i="7"/>
  <c r="AU186" i="7"/>
  <c r="AV186" i="7"/>
  <c r="AW186" i="7"/>
  <c r="AX186" i="7"/>
  <c r="AY186" i="7"/>
  <c r="AL186" i="7"/>
  <c r="AM186" i="7"/>
  <c r="AN186" i="7"/>
  <c r="AO186" i="7"/>
  <c r="AP186" i="7"/>
  <c r="AQ186" i="7"/>
  <c r="AD186" i="7"/>
  <c r="AE186" i="7"/>
  <c r="AF186" i="7"/>
  <c r="AG186" i="7"/>
  <c r="AH186" i="7"/>
  <c r="AI186" i="7"/>
  <c r="V186" i="7"/>
  <c r="W186" i="7"/>
  <c r="X186" i="7"/>
  <c r="Y186" i="7"/>
  <c r="Z186" i="7"/>
  <c r="AA186" i="7"/>
  <c r="N186" i="7"/>
  <c r="O186" i="7"/>
  <c r="P186" i="7"/>
  <c r="Q186" i="7"/>
  <c r="R186" i="7"/>
  <c r="S186" i="7"/>
  <c r="EK183" i="7"/>
  <c r="C180" i="7"/>
  <c r="C181" i="7"/>
  <c r="C182" i="7"/>
  <c r="D180" i="7"/>
  <c r="E180" i="7"/>
  <c r="D24" i="56" s="1"/>
  <c r="F180" i="7"/>
  <c r="E24" i="56" s="1"/>
  <c r="G180" i="7"/>
  <c r="F24" i="56" s="1"/>
  <c r="H180" i="7"/>
  <c r="G24" i="56" s="1"/>
  <c r="I180" i="7"/>
  <c r="H24" i="56" s="1"/>
  <c r="D181" i="7"/>
  <c r="C25" i="56" s="1"/>
  <c r="E181" i="7"/>
  <c r="F181" i="7"/>
  <c r="G181" i="7"/>
  <c r="F25" i="56" s="1"/>
  <c r="H181" i="7"/>
  <c r="I181" i="7"/>
  <c r="D182" i="7"/>
  <c r="E182" i="7"/>
  <c r="F182" i="7"/>
  <c r="G182" i="7"/>
  <c r="H182" i="7"/>
  <c r="G26" i="56" s="1"/>
  <c r="I182" i="7"/>
  <c r="H26" i="56" s="1"/>
  <c r="D183" i="7"/>
  <c r="E183" i="7"/>
  <c r="F183" i="7"/>
  <c r="I76" i="54" s="1"/>
  <c r="G183" i="7"/>
  <c r="CM183" i="7" s="1"/>
  <c r="H183" i="7"/>
  <c r="I146" i="54" s="1"/>
  <c r="I183" i="7"/>
  <c r="CH184" i="7"/>
  <c r="EO184" i="7"/>
  <c r="GR177" i="7"/>
  <c r="GS177" i="7"/>
  <c r="GT177" i="7"/>
  <c r="GU177" i="7"/>
  <c r="GV177" i="7"/>
  <c r="GW177" i="7"/>
  <c r="DU177" i="7"/>
  <c r="DV177" i="7"/>
  <c r="DW177" i="7"/>
  <c r="DX177" i="7"/>
  <c r="DY177" i="7"/>
  <c r="DZ177" i="7"/>
  <c r="EA177" i="7"/>
  <c r="EB177" i="7"/>
  <c r="EC177" i="7"/>
  <c r="ED177" i="7"/>
  <c r="EE177" i="7"/>
  <c r="EF177" i="7"/>
  <c r="DG177" i="7"/>
  <c r="DH177" i="7"/>
  <c r="DI177" i="7"/>
  <c r="DJ177" i="7"/>
  <c r="DK177" i="7"/>
  <c r="DL177" i="7"/>
  <c r="DM177" i="7"/>
  <c r="DN177" i="7"/>
  <c r="DO177" i="7"/>
  <c r="DP177" i="7"/>
  <c r="DQ177" i="7"/>
  <c r="DR177" i="7"/>
  <c r="CS177" i="7"/>
  <c r="CT177" i="7"/>
  <c r="CU177" i="7"/>
  <c r="CV177" i="7"/>
  <c r="CW177" i="7"/>
  <c r="CX177" i="7"/>
  <c r="CY177" i="7"/>
  <c r="CZ177" i="7"/>
  <c r="DA177" i="7"/>
  <c r="DB177" i="7"/>
  <c r="DC177" i="7"/>
  <c r="DD177" i="7"/>
  <c r="CD177" i="7"/>
  <c r="CE177" i="7"/>
  <c r="CF177" i="7"/>
  <c r="CG177" i="7"/>
  <c r="CI177" i="7"/>
  <c r="CJ177" i="7"/>
  <c r="CK177" i="7"/>
  <c r="CL177" i="7"/>
  <c r="CN177" i="7"/>
  <c r="CO177" i="7"/>
  <c r="BJ177" i="7"/>
  <c r="BK177" i="7"/>
  <c r="BL177" i="7"/>
  <c r="BM177" i="7"/>
  <c r="BN177" i="7"/>
  <c r="BO177" i="7"/>
  <c r="BB177" i="7"/>
  <c r="BC177" i="7"/>
  <c r="BD177" i="7"/>
  <c r="BE177" i="7"/>
  <c r="BF177" i="7"/>
  <c r="BG177" i="7"/>
  <c r="AT177" i="7"/>
  <c r="AU177" i="7"/>
  <c r="AV177" i="7"/>
  <c r="AW177" i="7"/>
  <c r="AX177" i="7"/>
  <c r="AY177" i="7"/>
  <c r="AL177" i="7"/>
  <c r="AM177" i="7"/>
  <c r="AN177" i="7"/>
  <c r="AO177" i="7"/>
  <c r="AP177" i="7"/>
  <c r="AQ177" i="7"/>
  <c r="AD177" i="7"/>
  <c r="AE177" i="7"/>
  <c r="AF177" i="7"/>
  <c r="AG177" i="7"/>
  <c r="AH177" i="7"/>
  <c r="AI177" i="7"/>
  <c r="V177" i="7"/>
  <c r="W177" i="7"/>
  <c r="X177" i="7"/>
  <c r="Y177" i="7"/>
  <c r="Z177" i="7"/>
  <c r="AA177" i="7"/>
  <c r="N177" i="7"/>
  <c r="O177" i="7"/>
  <c r="P177" i="7"/>
  <c r="Q177" i="7"/>
  <c r="R177" i="7"/>
  <c r="S177" i="7"/>
  <c r="GX173" i="7"/>
  <c r="GX174" i="7"/>
  <c r="GX175" i="7"/>
  <c r="GX176" i="7"/>
  <c r="EG173" i="7"/>
  <c r="EG174" i="7"/>
  <c r="EG175" i="7"/>
  <c r="EG176" i="7"/>
  <c r="DS173" i="7"/>
  <c r="DS174" i="7"/>
  <c r="DS175" i="7"/>
  <c r="DS176" i="7"/>
  <c r="DE173" i="7"/>
  <c r="DE174" i="7"/>
  <c r="DE175" i="7"/>
  <c r="DE176" i="7"/>
  <c r="BP173" i="7"/>
  <c r="BP174" i="7"/>
  <c r="BP175" i="7"/>
  <c r="BP176" i="7"/>
  <c r="BH173" i="7"/>
  <c r="BH174" i="7"/>
  <c r="BH175" i="7"/>
  <c r="BH176" i="7"/>
  <c r="AZ173" i="7"/>
  <c r="AZ174" i="7"/>
  <c r="AZ175" i="7"/>
  <c r="AZ176" i="7"/>
  <c r="AR173" i="7"/>
  <c r="AR174" i="7"/>
  <c r="AR175" i="7"/>
  <c r="AR176" i="7"/>
  <c r="AJ173" i="7"/>
  <c r="AJ174" i="7"/>
  <c r="AJ175" i="7"/>
  <c r="AJ176" i="7"/>
  <c r="AB173" i="7"/>
  <c r="AB174" i="7"/>
  <c r="AB175" i="7"/>
  <c r="AB176" i="7"/>
  <c r="T173" i="7"/>
  <c r="T174" i="7"/>
  <c r="T175" i="7"/>
  <c r="T176" i="7"/>
  <c r="GJ173" i="7"/>
  <c r="GK173" i="7"/>
  <c r="GL173" i="7"/>
  <c r="GM173" i="7"/>
  <c r="GN173" i="7"/>
  <c r="GO173" i="7"/>
  <c r="GJ174" i="7"/>
  <c r="GK174" i="7"/>
  <c r="GL174" i="7"/>
  <c r="GM174" i="7"/>
  <c r="GN174" i="7"/>
  <c r="GO174" i="7"/>
  <c r="GJ175" i="7"/>
  <c r="GK175" i="7"/>
  <c r="GL175" i="7"/>
  <c r="GM175" i="7"/>
  <c r="GN175" i="7"/>
  <c r="GO175" i="7"/>
  <c r="GJ176" i="7"/>
  <c r="GK176" i="7"/>
  <c r="GL176" i="7"/>
  <c r="GM176" i="7"/>
  <c r="GN176" i="7"/>
  <c r="GO176" i="7"/>
  <c r="GB173" i="7"/>
  <c r="GC173" i="7"/>
  <c r="GD173" i="7"/>
  <c r="GE173" i="7"/>
  <c r="GF173" i="7"/>
  <c r="GG173" i="7"/>
  <c r="GB174" i="7"/>
  <c r="GC174" i="7"/>
  <c r="GD174" i="7"/>
  <c r="GE174" i="7"/>
  <c r="GF174" i="7"/>
  <c r="GG174" i="7"/>
  <c r="GB175" i="7"/>
  <c r="GC175" i="7"/>
  <c r="GD175" i="7"/>
  <c r="GE175" i="7"/>
  <c r="GF175" i="7"/>
  <c r="GG175" i="7"/>
  <c r="GB176" i="7"/>
  <c r="GC176" i="7"/>
  <c r="GD176" i="7"/>
  <c r="GE176" i="7"/>
  <c r="GF176" i="7"/>
  <c r="GG176" i="7"/>
  <c r="FT173" i="7"/>
  <c r="FU173" i="7"/>
  <c r="FV173" i="7"/>
  <c r="FW173" i="7"/>
  <c r="FX173" i="7"/>
  <c r="FY173" i="7"/>
  <c r="FT174" i="7"/>
  <c r="FU174" i="7"/>
  <c r="FV174" i="7"/>
  <c r="FW174" i="7"/>
  <c r="FX174" i="7"/>
  <c r="FY174" i="7"/>
  <c r="FT175" i="7"/>
  <c r="FU175" i="7"/>
  <c r="FV175" i="7"/>
  <c r="FW175" i="7"/>
  <c r="FX175" i="7"/>
  <c r="FY175" i="7"/>
  <c r="FT176" i="7"/>
  <c r="FU176" i="7"/>
  <c r="FV176" i="7"/>
  <c r="FW176" i="7"/>
  <c r="FX176" i="7"/>
  <c r="FY176" i="7"/>
  <c r="FL173" i="7"/>
  <c r="FM173" i="7"/>
  <c r="FN173" i="7"/>
  <c r="FO173" i="7"/>
  <c r="FP173" i="7"/>
  <c r="FQ173" i="7"/>
  <c r="FL174" i="7"/>
  <c r="FM174" i="7"/>
  <c r="FN174" i="7"/>
  <c r="FO174" i="7"/>
  <c r="FP174" i="7"/>
  <c r="FQ174" i="7"/>
  <c r="FL175" i="7"/>
  <c r="FM175" i="7"/>
  <c r="FN175" i="7"/>
  <c r="FO175" i="7"/>
  <c r="FP175" i="7"/>
  <c r="FQ175" i="7"/>
  <c r="FL176" i="7"/>
  <c r="FM176" i="7"/>
  <c r="FN176" i="7"/>
  <c r="FO176" i="7"/>
  <c r="FP176" i="7"/>
  <c r="FQ176" i="7"/>
  <c r="FD173" i="7"/>
  <c r="FE173" i="7"/>
  <c r="FF173" i="7"/>
  <c r="FG173" i="7"/>
  <c r="FH173" i="7"/>
  <c r="FI173" i="7"/>
  <c r="FD174" i="7"/>
  <c r="FE174" i="7"/>
  <c r="FF174" i="7"/>
  <c r="FG174" i="7"/>
  <c r="FH174" i="7"/>
  <c r="FI174" i="7"/>
  <c r="FD175" i="7"/>
  <c r="FE175" i="7"/>
  <c r="FF175" i="7"/>
  <c r="FG175" i="7"/>
  <c r="FH175" i="7"/>
  <c r="FI175" i="7"/>
  <c r="FD176" i="7"/>
  <c r="FE176" i="7"/>
  <c r="FF176" i="7"/>
  <c r="FG176" i="7"/>
  <c r="FH176" i="7"/>
  <c r="FI176" i="7"/>
  <c r="EV173" i="7"/>
  <c r="EW173" i="7"/>
  <c r="EX173" i="7"/>
  <c r="EY173" i="7"/>
  <c r="EZ173" i="7"/>
  <c r="FA173" i="7"/>
  <c r="EV174" i="7"/>
  <c r="EW174" i="7"/>
  <c r="EX174" i="7"/>
  <c r="EY174" i="7"/>
  <c r="EZ174" i="7"/>
  <c r="FA174" i="7"/>
  <c r="EV175" i="7"/>
  <c r="EW175" i="7"/>
  <c r="EX175" i="7"/>
  <c r="EY175" i="7"/>
  <c r="EZ175" i="7"/>
  <c r="FA175" i="7"/>
  <c r="EV176" i="7"/>
  <c r="EW176" i="7"/>
  <c r="EX176" i="7"/>
  <c r="EY176" i="7"/>
  <c r="EZ176" i="7"/>
  <c r="FA176" i="7"/>
  <c r="BR173" i="7"/>
  <c r="BS173" i="7"/>
  <c r="BT173" i="7"/>
  <c r="BU173" i="7"/>
  <c r="BV173" i="7"/>
  <c r="BW173" i="7"/>
  <c r="BR174" i="7"/>
  <c r="BS174" i="7"/>
  <c r="P28" i="44" s="1"/>
  <c r="BT174" i="7"/>
  <c r="S28" i="44" s="1"/>
  <c r="BU174" i="7"/>
  <c r="V28" i="44" s="1"/>
  <c r="BV174" i="7"/>
  <c r="Y28" i="44" s="1"/>
  <c r="BW174" i="7"/>
  <c r="AB28" i="44" s="1"/>
  <c r="BR175" i="7"/>
  <c r="BS175" i="7"/>
  <c r="BT175" i="7"/>
  <c r="BU175" i="7"/>
  <c r="BV175" i="7"/>
  <c r="BW175" i="7"/>
  <c r="BR176" i="7"/>
  <c r="BS176" i="7"/>
  <c r="BT176" i="7"/>
  <c r="BU176" i="7"/>
  <c r="BV176" i="7"/>
  <c r="BW176" i="7"/>
  <c r="D173" i="7"/>
  <c r="E173" i="7"/>
  <c r="F173" i="7"/>
  <c r="CH173" i="7" s="1"/>
  <c r="G173" i="7"/>
  <c r="H173" i="7"/>
  <c r="I173" i="7"/>
  <c r="D174" i="7"/>
  <c r="CB174" i="7" s="1"/>
  <c r="E174" i="7"/>
  <c r="F174" i="7"/>
  <c r="G174" i="7"/>
  <c r="U28" i="44" s="1"/>
  <c r="H174" i="7"/>
  <c r="X28" i="44" s="1"/>
  <c r="I174" i="7"/>
  <c r="D175" i="7"/>
  <c r="E175" i="7"/>
  <c r="F175" i="7"/>
  <c r="EN175" i="7" s="1"/>
  <c r="G175" i="7"/>
  <c r="H175" i="7"/>
  <c r="I137" i="53" s="1"/>
  <c r="I175" i="7"/>
  <c r="D176" i="7"/>
  <c r="E176" i="7"/>
  <c r="I50" i="53" s="1"/>
  <c r="F176" i="7"/>
  <c r="I78" i="53" s="1"/>
  <c r="G176" i="7"/>
  <c r="H176" i="7"/>
  <c r="I134" i="53" s="1"/>
  <c r="I176" i="7"/>
  <c r="I162" i="53" s="1"/>
  <c r="GR170" i="7"/>
  <c r="GS170" i="7"/>
  <c r="GT170" i="7"/>
  <c r="GU170" i="7"/>
  <c r="GV170" i="7"/>
  <c r="GW170" i="7"/>
  <c r="DU170" i="7"/>
  <c r="DV170" i="7"/>
  <c r="DW170" i="7"/>
  <c r="DX170" i="7"/>
  <c r="DY170" i="7"/>
  <c r="DZ170" i="7"/>
  <c r="EA170" i="7"/>
  <c r="EB170" i="7"/>
  <c r="EC170" i="7"/>
  <c r="ED170" i="7"/>
  <c r="EE170" i="7"/>
  <c r="EF170" i="7"/>
  <c r="DG170" i="7"/>
  <c r="DH170" i="7"/>
  <c r="DI170" i="7"/>
  <c r="DJ170" i="7"/>
  <c r="DK170" i="7"/>
  <c r="DL170" i="7"/>
  <c r="DM170" i="7"/>
  <c r="DN170" i="7"/>
  <c r="DO170" i="7"/>
  <c r="DP170" i="7"/>
  <c r="DQ170" i="7"/>
  <c r="DR170" i="7"/>
  <c r="CS170" i="7"/>
  <c r="CT170" i="7"/>
  <c r="CU170" i="7"/>
  <c r="CV170" i="7"/>
  <c r="CW170" i="7"/>
  <c r="CX170" i="7"/>
  <c r="CY170" i="7"/>
  <c r="CZ170" i="7"/>
  <c r="DA170" i="7"/>
  <c r="DB170" i="7"/>
  <c r="DC170" i="7"/>
  <c r="DD170" i="7"/>
  <c r="CD170" i="7"/>
  <c r="CE170" i="7"/>
  <c r="CF170" i="7"/>
  <c r="CG170" i="7"/>
  <c r="CI170" i="7"/>
  <c r="CJ170" i="7"/>
  <c r="CK170" i="7"/>
  <c r="CL170" i="7"/>
  <c r="CN170" i="7"/>
  <c r="CO170" i="7"/>
  <c r="BJ170" i="7"/>
  <c r="BK170" i="7"/>
  <c r="BL170" i="7"/>
  <c r="BM170" i="7"/>
  <c r="BN170" i="7"/>
  <c r="BO170" i="7"/>
  <c r="BB170" i="7"/>
  <c r="BC170" i="7"/>
  <c r="BD170" i="7"/>
  <c r="BE170" i="7"/>
  <c r="BF170" i="7"/>
  <c r="BG170" i="7"/>
  <c r="AT170" i="7"/>
  <c r="AU170" i="7"/>
  <c r="AV170" i="7"/>
  <c r="AW170" i="7"/>
  <c r="AX170" i="7"/>
  <c r="AY170" i="7"/>
  <c r="AL170" i="7"/>
  <c r="AM170" i="7"/>
  <c r="AN170" i="7"/>
  <c r="AO170" i="7"/>
  <c r="AP170" i="7"/>
  <c r="AQ170" i="7"/>
  <c r="AD170" i="7"/>
  <c r="AE170" i="7"/>
  <c r="AF170" i="7"/>
  <c r="AG170" i="7"/>
  <c r="AH170" i="7"/>
  <c r="AI170" i="7"/>
  <c r="V170" i="7"/>
  <c r="W170" i="7"/>
  <c r="X170" i="7"/>
  <c r="Y170" i="7"/>
  <c r="Z170" i="7"/>
  <c r="AA170" i="7"/>
  <c r="N170" i="7"/>
  <c r="O170" i="7"/>
  <c r="P170" i="7"/>
  <c r="Q170" i="7"/>
  <c r="R170" i="7"/>
  <c r="S170" i="7"/>
  <c r="GX168" i="7"/>
  <c r="GX169" i="7"/>
  <c r="EG168" i="7"/>
  <c r="EG169" i="7"/>
  <c r="DS168" i="7"/>
  <c r="DS169" i="7"/>
  <c r="DE168" i="7"/>
  <c r="DE169" i="7"/>
  <c r="BP168" i="7"/>
  <c r="BP169" i="7"/>
  <c r="BH168" i="7"/>
  <c r="BH169" i="7"/>
  <c r="AZ168" i="7"/>
  <c r="AZ169" i="7"/>
  <c r="AR168" i="7"/>
  <c r="AR169" i="7"/>
  <c r="AJ168" i="7"/>
  <c r="AJ169" i="7"/>
  <c r="AB168" i="7"/>
  <c r="AB169" i="7"/>
  <c r="T168" i="7"/>
  <c r="T169" i="7"/>
  <c r="GJ168" i="7"/>
  <c r="GK168" i="7"/>
  <c r="GL168" i="7"/>
  <c r="GM168" i="7"/>
  <c r="GN168" i="7"/>
  <c r="GO168" i="7"/>
  <c r="GJ169" i="7"/>
  <c r="GK169" i="7"/>
  <c r="GL169" i="7"/>
  <c r="GM169" i="7"/>
  <c r="GN169" i="7"/>
  <c r="GO169" i="7"/>
  <c r="GB168" i="7"/>
  <c r="GC168" i="7"/>
  <c r="GD168" i="7"/>
  <c r="GE168" i="7"/>
  <c r="GF168" i="7"/>
  <c r="GG168" i="7"/>
  <c r="GB169" i="7"/>
  <c r="GC169" i="7"/>
  <c r="GD169" i="7"/>
  <c r="GE169" i="7"/>
  <c r="GF169" i="7"/>
  <c r="GG169" i="7"/>
  <c r="FT168" i="7"/>
  <c r="FU168" i="7"/>
  <c r="FV168" i="7"/>
  <c r="FW168" i="7"/>
  <c r="FX168" i="7"/>
  <c r="FY168" i="7"/>
  <c r="FT169" i="7"/>
  <c r="FU169" i="7"/>
  <c r="FV169" i="7"/>
  <c r="FW169" i="7"/>
  <c r="FX169" i="7"/>
  <c r="FY169" i="7"/>
  <c r="FL168" i="7"/>
  <c r="FM168" i="7"/>
  <c r="FN168" i="7"/>
  <c r="FO168" i="7"/>
  <c r="FP168" i="7"/>
  <c r="FQ168" i="7"/>
  <c r="FL169" i="7"/>
  <c r="FM169" i="7"/>
  <c r="FN169" i="7"/>
  <c r="FO169" i="7"/>
  <c r="FP169" i="7"/>
  <c r="FQ169" i="7"/>
  <c r="FD168" i="7"/>
  <c r="FE168" i="7"/>
  <c r="FF168" i="7"/>
  <c r="FG168" i="7"/>
  <c r="FH168" i="7"/>
  <c r="FI168" i="7"/>
  <c r="FD169" i="7"/>
  <c r="FE169" i="7"/>
  <c r="FF169" i="7"/>
  <c r="FG169" i="7"/>
  <c r="FH169" i="7"/>
  <c r="FI169" i="7"/>
  <c r="EV168" i="7"/>
  <c r="EW168" i="7"/>
  <c r="EX168" i="7"/>
  <c r="EY168" i="7"/>
  <c r="EZ168" i="7"/>
  <c r="FA168" i="7"/>
  <c r="EV169" i="7"/>
  <c r="EW169" i="7"/>
  <c r="EX169" i="7"/>
  <c r="EY169" i="7"/>
  <c r="EZ169" i="7"/>
  <c r="FA169" i="7"/>
  <c r="BR168" i="7"/>
  <c r="BS168" i="7"/>
  <c r="BT168" i="7"/>
  <c r="BU168" i="7"/>
  <c r="BV168" i="7"/>
  <c r="BW168" i="7"/>
  <c r="BR169" i="7"/>
  <c r="BS169" i="7"/>
  <c r="BT169" i="7"/>
  <c r="BU169" i="7"/>
  <c r="BV169" i="7"/>
  <c r="BW169" i="7"/>
  <c r="GR165" i="7"/>
  <c r="GS165" i="7"/>
  <c r="GT165" i="7"/>
  <c r="GU165" i="7"/>
  <c r="GV165" i="7"/>
  <c r="GW165" i="7"/>
  <c r="DU165" i="7"/>
  <c r="DV165" i="7"/>
  <c r="DW165" i="7"/>
  <c r="DX165" i="7"/>
  <c r="DY165" i="7"/>
  <c r="DZ165" i="7"/>
  <c r="EA165" i="7"/>
  <c r="EB165" i="7"/>
  <c r="EC165" i="7"/>
  <c r="ED165" i="7"/>
  <c r="EE165" i="7"/>
  <c r="EF165" i="7"/>
  <c r="DG165" i="7"/>
  <c r="DH165" i="7"/>
  <c r="DI165" i="7"/>
  <c r="DJ165" i="7"/>
  <c r="DK165" i="7"/>
  <c r="DL165" i="7"/>
  <c r="DM165" i="7"/>
  <c r="DN165" i="7"/>
  <c r="DO165" i="7"/>
  <c r="DP165" i="7"/>
  <c r="DQ165" i="7"/>
  <c r="DR165" i="7"/>
  <c r="CS165" i="7"/>
  <c r="CT165" i="7"/>
  <c r="CU165" i="7"/>
  <c r="CV165" i="7"/>
  <c r="CW165" i="7"/>
  <c r="CX165" i="7"/>
  <c r="CY165" i="7"/>
  <c r="CZ165" i="7"/>
  <c r="DA165" i="7"/>
  <c r="DB165" i="7"/>
  <c r="DC165" i="7"/>
  <c r="DD165" i="7"/>
  <c r="CD165" i="7"/>
  <c r="CE165" i="7"/>
  <c r="CF165" i="7"/>
  <c r="CG165" i="7"/>
  <c r="CI165" i="7"/>
  <c r="CJ165" i="7"/>
  <c r="CK165" i="7"/>
  <c r="CL165" i="7"/>
  <c r="CN165" i="7"/>
  <c r="CO165" i="7"/>
  <c r="BJ165" i="7"/>
  <c r="BK165" i="7"/>
  <c r="BL165" i="7"/>
  <c r="BM165" i="7"/>
  <c r="BN165" i="7"/>
  <c r="BO165" i="7"/>
  <c r="BB165" i="7"/>
  <c r="BC165" i="7"/>
  <c r="BD165" i="7"/>
  <c r="BE165" i="7"/>
  <c r="BF165" i="7"/>
  <c r="BG165" i="7"/>
  <c r="AT165" i="7"/>
  <c r="AU165" i="7"/>
  <c r="AV165" i="7"/>
  <c r="AW165" i="7"/>
  <c r="AX165" i="7"/>
  <c r="AY165" i="7"/>
  <c r="AL165" i="7"/>
  <c r="AM165" i="7"/>
  <c r="AN165" i="7"/>
  <c r="AO165" i="7"/>
  <c r="AP165" i="7"/>
  <c r="AQ165" i="7"/>
  <c r="AD165" i="7"/>
  <c r="AE165" i="7"/>
  <c r="AF165" i="7"/>
  <c r="AG165" i="7"/>
  <c r="AH165" i="7"/>
  <c r="AI165" i="7"/>
  <c r="V165" i="7"/>
  <c r="W165" i="7"/>
  <c r="X165" i="7"/>
  <c r="Y165" i="7"/>
  <c r="Z165" i="7"/>
  <c r="AA165" i="7"/>
  <c r="N165" i="7"/>
  <c r="O165" i="7"/>
  <c r="P165" i="7"/>
  <c r="Q165" i="7"/>
  <c r="R165" i="7"/>
  <c r="S165" i="7"/>
  <c r="GX159" i="7"/>
  <c r="GX160" i="7"/>
  <c r="GX161" i="7"/>
  <c r="GX162" i="7"/>
  <c r="GX163" i="7"/>
  <c r="GX164" i="7"/>
  <c r="EG159" i="7"/>
  <c r="EG160" i="7"/>
  <c r="EG161" i="7"/>
  <c r="EG162" i="7"/>
  <c r="EG163" i="7"/>
  <c r="EG164" i="7"/>
  <c r="DS159" i="7"/>
  <c r="DS160" i="7"/>
  <c r="DS161" i="7"/>
  <c r="DS162" i="7"/>
  <c r="DS163" i="7"/>
  <c r="DS164" i="7"/>
  <c r="DE159" i="7"/>
  <c r="DE160" i="7"/>
  <c r="DE161" i="7"/>
  <c r="DE162" i="7"/>
  <c r="DE163" i="7"/>
  <c r="DE164" i="7"/>
  <c r="BP159" i="7"/>
  <c r="BP160" i="7"/>
  <c r="BP161" i="7"/>
  <c r="BP162" i="7"/>
  <c r="BP163" i="7"/>
  <c r="BP164" i="7"/>
  <c r="BH159" i="7"/>
  <c r="BH160" i="7"/>
  <c r="BH161" i="7"/>
  <c r="BH162" i="7"/>
  <c r="BH163" i="7"/>
  <c r="BH164" i="7"/>
  <c r="AZ159" i="7"/>
  <c r="AZ160" i="7"/>
  <c r="AZ161" i="7"/>
  <c r="AZ162" i="7"/>
  <c r="AZ163" i="7"/>
  <c r="AZ164" i="7"/>
  <c r="AR159" i="7"/>
  <c r="AR160" i="7"/>
  <c r="AR161" i="7"/>
  <c r="AR162" i="7"/>
  <c r="AR163" i="7"/>
  <c r="AR164" i="7"/>
  <c r="AJ159" i="7"/>
  <c r="AJ160" i="7"/>
  <c r="AJ161" i="7"/>
  <c r="AJ162" i="7"/>
  <c r="AJ163" i="7"/>
  <c r="AJ164" i="7"/>
  <c r="AB159" i="7"/>
  <c r="AB160" i="7"/>
  <c r="AB161" i="7"/>
  <c r="AB162" i="7"/>
  <c r="AB163" i="7"/>
  <c r="AB164" i="7"/>
  <c r="T159" i="7"/>
  <c r="T160" i="7"/>
  <c r="T161" i="7"/>
  <c r="T162" i="7"/>
  <c r="T163" i="7"/>
  <c r="T164" i="7"/>
  <c r="GJ159" i="7"/>
  <c r="GK159" i="7"/>
  <c r="GL159" i="7"/>
  <c r="GM159" i="7"/>
  <c r="GN159" i="7"/>
  <c r="GO159" i="7"/>
  <c r="GJ160" i="7"/>
  <c r="GK160" i="7"/>
  <c r="GL160" i="7"/>
  <c r="GM160" i="7"/>
  <c r="GN160" i="7"/>
  <c r="GO160" i="7"/>
  <c r="GJ161" i="7"/>
  <c r="GK161" i="7"/>
  <c r="GL161" i="7"/>
  <c r="GM161" i="7"/>
  <c r="GN161" i="7"/>
  <c r="GO161" i="7"/>
  <c r="GJ162" i="7"/>
  <c r="GK162" i="7"/>
  <c r="GL162" i="7"/>
  <c r="GM162" i="7"/>
  <c r="GN162" i="7"/>
  <c r="GO162" i="7"/>
  <c r="GJ163" i="7"/>
  <c r="GK163" i="7"/>
  <c r="GL163" i="7"/>
  <c r="GM163" i="7"/>
  <c r="GN163" i="7"/>
  <c r="GO163" i="7"/>
  <c r="GJ164" i="7"/>
  <c r="GK164" i="7"/>
  <c r="GL164" i="7"/>
  <c r="GM164" i="7"/>
  <c r="GN164" i="7"/>
  <c r="GO164" i="7"/>
  <c r="GB159" i="7"/>
  <c r="GC159" i="7"/>
  <c r="GD159" i="7"/>
  <c r="GE159" i="7"/>
  <c r="GF159" i="7"/>
  <c r="GG159" i="7"/>
  <c r="GB160" i="7"/>
  <c r="GC160" i="7"/>
  <c r="GD160" i="7"/>
  <c r="GE160" i="7"/>
  <c r="GF160" i="7"/>
  <c r="GG160" i="7"/>
  <c r="GB161" i="7"/>
  <c r="GC161" i="7"/>
  <c r="GD161" i="7"/>
  <c r="GE161" i="7"/>
  <c r="GF161" i="7"/>
  <c r="GG161" i="7"/>
  <c r="GB162" i="7"/>
  <c r="GC162" i="7"/>
  <c r="GD162" i="7"/>
  <c r="GE162" i="7"/>
  <c r="GF162" i="7"/>
  <c r="GG162" i="7"/>
  <c r="GB163" i="7"/>
  <c r="GC163" i="7"/>
  <c r="GD163" i="7"/>
  <c r="GE163" i="7"/>
  <c r="GF163" i="7"/>
  <c r="GG163" i="7"/>
  <c r="GB164" i="7"/>
  <c r="GC164" i="7"/>
  <c r="GD164" i="7"/>
  <c r="GE164" i="7"/>
  <c r="GF164" i="7"/>
  <c r="GG164" i="7"/>
  <c r="FT159" i="7"/>
  <c r="FU159" i="7"/>
  <c r="FV159" i="7"/>
  <c r="FW159" i="7"/>
  <c r="FX159" i="7"/>
  <c r="FY159" i="7"/>
  <c r="FT160" i="7"/>
  <c r="FU160" i="7"/>
  <c r="FV160" i="7"/>
  <c r="FW160" i="7"/>
  <c r="FX160" i="7"/>
  <c r="FY160" i="7"/>
  <c r="FT161" i="7"/>
  <c r="FU161" i="7"/>
  <c r="FV161" i="7"/>
  <c r="FW161" i="7"/>
  <c r="FX161" i="7"/>
  <c r="FY161" i="7"/>
  <c r="FT162" i="7"/>
  <c r="FU162" i="7"/>
  <c r="FV162" i="7"/>
  <c r="FW162" i="7"/>
  <c r="FX162" i="7"/>
  <c r="FY162" i="7"/>
  <c r="FT163" i="7"/>
  <c r="FU163" i="7"/>
  <c r="FV163" i="7"/>
  <c r="FW163" i="7"/>
  <c r="FX163" i="7"/>
  <c r="FY163" i="7"/>
  <c r="FT164" i="7"/>
  <c r="FU164" i="7"/>
  <c r="FV164" i="7"/>
  <c r="FW164" i="7"/>
  <c r="FX164" i="7"/>
  <c r="FY164" i="7"/>
  <c r="FL159" i="7"/>
  <c r="FM159" i="7"/>
  <c r="FN159" i="7"/>
  <c r="FO159" i="7"/>
  <c r="FP159" i="7"/>
  <c r="FQ159" i="7"/>
  <c r="FL160" i="7"/>
  <c r="FM160" i="7"/>
  <c r="FN160" i="7"/>
  <c r="FO160" i="7"/>
  <c r="FP160" i="7"/>
  <c r="FQ160" i="7"/>
  <c r="FL161" i="7"/>
  <c r="FM161" i="7"/>
  <c r="FN161" i="7"/>
  <c r="FO161" i="7"/>
  <c r="FP161" i="7"/>
  <c r="FQ161" i="7"/>
  <c r="FL162" i="7"/>
  <c r="FM162" i="7"/>
  <c r="FN162" i="7"/>
  <c r="FO162" i="7"/>
  <c r="FP162" i="7"/>
  <c r="FQ162" i="7"/>
  <c r="FL163" i="7"/>
  <c r="FM163" i="7"/>
  <c r="FN163" i="7"/>
  <c r="FO163" i="7"/>
  <c r="FP163" i="7"/>
  <c r="FQ163" i="7"/>
  <c r="FL164" i="7"/>
  <c r="FM164" i="7"/>
  <c r="FN164" i="7"/>
  <c r="FO164" i="7"/>
  <c r="FP164" i="7"/>
  <c r="FQ164" i="7"/>
  <c r="FD159" i="7"/>
  <c r="FE159" i="7"/>
  <c r="FF159" i="7"/>
  <c r="FG159" i="7"/>
  <c r="FH159" i="7"/>
  <c r="FI159" i="7"/>
  <c r="FD160" i="7"/>
  <c r="FE160" i="7"/>
  <c r="FF160" i="7"/>
  <c r="FG160" i="7"/>
  <c r="FH160" i="7"/>
  <c r="FI160" i="7"/>
  <c r="FD161" i="7"/>
  <c r="FE161" i="7"/>
  <c r="FF161" i="7"/>
  <c r="FG161" i="7"/>
  <c r="FH161" i="7"/>
  <c r="FI161" i="7"/>
  <c r="FD162" i="7"/>
  <c r="FE162" i="7"/>
  <c r="FF162" i="7"/>
  <c r="FG162" i="7"/>
  <c r="FH162" i="7"/>
  <c r="FI162" i="7"/>
  <c r="FD163" i="7"/>
  <c r="FE163" i="7"/>
  <c r="FF163" i="7"/>
  <c r="FG163" i="7"/>
  <c r="FH163" i="7"/>
  <c r="FI163" i="7"/>
  <c r="FD164" i="7"/>
  <c r="FE164" i="7"/>
  <c r="FF164" i="7"/>
  <c r="FG164" i="7"/>
  <c r="FH164" i="7"/>
  <c r="FI164" i="7"/>
  <c r="EV159" i="7"/>
  <c r="EW159" i="7"/>
  <c r="EX159" i="7"/>
  <c r="EY159" i="7"/>
  <c r="EZ159" i="7"/>
  <c r="FA159" i="7"/>
  <c r="EV160" i="7"/>
  <c r="EW160" i="7"/>
  <c r="EX160" i="7"/>
  <c r="EY160" i="7"/>
  <c r="EZ160" i="7"/>
  <c r="FA160" i="7"/>
  <c r="EV161" i="7"/>
  <c r="EW161" i="7"/>
  <c r="EX161" i="7"/>
  <c r="EY161" i="7"/>
  <c r="EZ161" i="7"/>
  <c r="FA161" i="7"/>
  <c r="EV162" i="7"/>
  <c r="EW162" i="7"/>
  <c r="EX162" i="7"/>
  <c r="EY162" i="7"/>
  <c r="EZ162" i="7"/>
  <c r="FA162" i="7"/>
  <c r="EV163" i="7"/>
  <c r="EW163" i="7"/>
  <c r="EX163" i="7"/>
  <c r="EY163" i="7"/>
  <c r="EZ163" i="7"/>
  <c r="FA163" i="7"/>
  <c r="EV164" i="7"/>
  <c r="EW164" i="7"/>
  <c r="EX164" i="7"/>
  <c r="EY164" i="7"/>
  <c r="EZ164" i="7"/>
  <c r="FA164" i="7"/>
  <c r="CB163" i="7"/>
  <c r="CC163" i="7"/>
  <c r="CB164" i="7"/>
  <c r="CC164" i="7"/>
  <c r="BR159" i="7"/>
  <c r="BS159" i="7"/>
  <c r="BT159" i="7"/>
  <c r="BU159" i="7"/>
  <c r="BV159" i="7"/>
  <c r="BW159" i="7"/>
  <c r="BR160" i="7"/>
  <c r="BS160" i="7"/>
  <c r="BT160" i="7"/>
  <c r="BU160" i="7"/>
  <c r="BV160" i="7"/>
  <c r="BW160" i="7"/>
  <c r="BR161" i="7"/>
  <c r="BS161" i="7"/>
  <c r="BT161" i="7"/>
  <c r="BU161" i="7"/>
  <c r="BV161" i="7"/>
  <c r="BW161" i="7"/>
  <c r="BR162" i="7"/>
  <c r="BS162" i="7"/>
  <c r="BT162" i="7"/>
  <c r="BU162" i="7"/>
  <c r="BV162" i="7"/>
  <c r="BW162" i="7"/>
  <c r="BR163" i="7"/>
  <c r="BS163" i="7"/>
  <c r="BT163" i="7"/>
  <c r="BU163" i="7"/>
  <c r="BV163" i="7"/>
  <c r="BW163" i="7"/>
  <c r="BR164" i="7"/>
  <c r="BS164" i="7"/>
  <c r="BT164" i="7"/>
  <c r="BU164" i="7"/>
  <c r="BV164" i="7"/>
  <c r="BW164" i="7"/>
  <c r="C159" i="7"/>
  <c r="EK159" i="7" s="1"/>
  <c r="D159" i="7"/>
  <c r="E159" i="7"/>
  <c r="EM159" i="7" s="1"/>
  <c r="F159" i="7"/>
  <c r="G159" i="7"/>
  <c r="EO159" i="7" s="1"/>
  <c r="H159" i="7"/>
  <c r="I159" i="7"/>
  <c r="C160" i="7"/>
  <c r="EK160" i="7" s="1"/>
  <c r="D160" i="7"/>
  <c r="EL160" i="7" s="1"/>
  <c r="E160" i="7"/>
  <c r="EM160" i="7" s="1"/>
  <c r="F160" i="7"/>
  <c r="CH160" i="7" s="1"/>
  <c r="G160" i="7"/>
  <c r="H160" i="7"/>
  <c r="EP160" i="7" s="1"/>
  <c r="I160" i="7"/>
  <c r="EQ160" i="7" s="1"/>
  <c r="C161" i="7"/>
  <c r="EK161" i="7" s="1"/>
  <c r="D161" i="7"/>
  <c r="E161" i="7"/>
  <c r="EM161" i="7" s="1"/>
  <c r="F161" i="7"/>
  <c r="EN161" i="7" s="1"/>
  <c r="G161" i="7"/>
  <c r="CM161" i="7" s="1"/>
  <c r="H161" i="7"/>
  <c r="EP161" i="7" s="1"/>
  <c r="I161" i="7"/>
  <c r="EQ161" i="7" s="1"/>
  <c r="C162" i="7"/>
  <c r="EK162" i="7" s="1"/>
  <c r="D162" i="7"/>
  <c r="EL162" i="7" s="1"/>
  <c r="E162" i="7"/>
  <c r="EM162" i="7" s="1"/>
  <c r="F162" i="7"/>
  <c r="EN162" i="7" s="1"/>
  <c r="G162" i="7"/>
  <c r="H162" i="7"/>
  <c r="EP162" i="7" s="1"/>
  <c r="I162" i="7"/>
  <c r="EQ162" i="7" s="1"/>
  <c r="C163" i="7"/>
  <c r="EK163" i="7" s="1"/>
  <c r="D163" i="7"/>
  <c r="E163" i="7"/>
  <c r="F163" i="7"/>
  <c r="G163" i="7"/>
  <c r="H163" i="7"/>
  <c r="EP163" i="7" s="1"/>
  <c r="I163" i="7"/>
  <c r="EQ163" i="7" s="1"/>
  <c r="C164" i="7"/>
  <c r="EK164" i="7" s="1"/>
  <c r="D164" i="7"/>
  <c r="E164" i="7"/>
  <c r="EM164" i="7" s="1"/>
  <c r="F164" i="7"/>
  <c r="G164" i="7"/>
  <c r="EO164" i="7" s="1"/>
  <c r="H164" i="7"/>
  <c r="EP164" i="7" s="1"/>
  <c r="I164" i="7"/>
  <c r="EQ164" i="7" s="1"/>
  <c r="FT102" i="7"/>
  <c r="FU102" i="7"/>
  <c r="FV102" i="7"/>
  <c r="FW102" i="7"/>
  <c r="FX102" i="7"/>
  <c r="FY102" i="7"/>
  <c r="FT103" i="7"/>
  <c r="FU103" i="7"/>
  <c r="FV103" i="7"/>
  <c r="FW103" i="7"/>
  <c r="FX103" i="7"/>
  <c r="FY103" i="7"/>
  <c r="FT104" i="7"/>
  <c r="FU104" i="7"/>
  <c r="FV104" i="7"/>
  <c r="FW104" i="7"/>
  <c r="FX104" i="7"/>
  <c r="FY104" i="7"/>
  <c r="FT105" i="7"/>
  <c r="FU105" i="7"/>
  <c r="FV105" i="7"/>
  <c r="FW105" i="7"/>
  <c r="FX105" i="7"/>
  <c r="FY105" i="7"/>
  <c r="FT106" i="7"/>
  <c r="FU106" i="7"/>
  <c r="FV106" i="7"/>
  <c r="FW106" i="7"/>
  <c r="FX106" i="7"/>
  <c r="FY106" i="7"/>
  <c r="FT107" i="7"/>
  <c r="FU107" i="7"/>
  <c r="FV107" i="7"/>
  <c r="FW107" i="7"/>
  <c r="FX107" i="7"/>
  <c r="FY107" i="7"/>
  <c r="FT108" i="7"/>
  <c r="FU108" i="7"/>
  <c r="FV108" i="7"/>
  <c r="FW108" i="7"/>
  <c r="FX108" i="7"/>
  <c r="FY108" i="7"/>
  <c r="FT109" i="7"/>
  <c r="FU109" i="7"/>
  <c r="FV109" i="7"/>
  <c r="FW109" i="7"/>
  <c r="FX109" i="7"/>
  <c r="FY109" i="7"/>
  <c r="FT110" i="7"/>
  <c r="FU110" i="7"/>
  <c r="FV110" i="7"/>
  <c r="FW110" i="7"/>
  <c r="FX110" i="7"/>
  <c r="FY110" i="7"/>
  <c r="FT111" i="7"/>
  <c r="FU111" i="7"/>
  <c r="FV111" i="7"/>
  <c r="FW111" i="7"/>
  <c r="FX111" i="7"/>
  <c r="FY111" i="7"/>
  <c r="FT112" i="7"/>
  <c r="FU112" i="7"/>
  <c r="FV112" i="7"/>
  <c r="FW112" i="7"/>
  <c r="FX112" i="7"/>
  <c r="FY112" i="7"/>
  <c r="FT113" i="7"/>
  <c r="FU113" i="7"/>
  <c r="FV113" i="7"/>
  <c r="FW113" i="7"/>
  <c r="FX113" i="7"/>
  <c r="FY113" i="7"/>
  <c r="FT114" i="7"/>
  <c r="FU114" i="7"/>
  <c r="FV114" i="7"/>
  <c r="FW114" i="7"/>
  <c r="FX114" i="7"/>
  <c r="FY114" i="7"/>
  <c r="FT115" i="7"/>
  <c r="FU115" i="7"/>
  <c r="FV115" i="7"/>
  <c r="FW115" i="7"/>
  <c r="FX115" i="7"/>
  <c r="FY115" i="7"/>
  <c r="FT116" i="7"/>
  <c r="FU116" i="7"/>
  <c r="FV116" i="7"/>
  <c r="FW116" i="7"/>
  <c r="FX116" i="7"/>
  <c r="FY116" i="7"/>
  <c r="FT118" i="7"/>
  <c r="FU118" i="7"/>
  <c r="FV118" i="7"/>
  <c r="FW118" i="7"/>
  <c r="FX118" i="7"/>
  <c r="FY118" i="7"/>
  <c r="FT119" i="7"/>
  <c r="FU119" i="7"/>
  <c r="FV119" i="7"/>
  <c r="FW119" i="7"/>
  <c r="FX119" i="7"/>
  <c r="FY119" i="7"/>
  <c r="FT120" i="7"/>
  <c r="FU120" i="7"/>
  <c r="FV120" i="7"/>
  <c r="FW120" i="7"/>
  <c r="FX120" i="7"/>
  <c r="FY120" i="7"/>
  <c r="FT121" i="7"/>
  <c r="FU121" i="7"/>
  <c r="FV121" i="7"/>
  <c r="FW121" i="7"/>
  <c r="FX121" i="7"/>
  <c r="FY121" i="7"/>
  <c r="FT122" i="7"/>
  <c r="FU122" i="7"/>
  <c r="FV122" i="7"/>
  <c r="FW122" i="7"/>
  <c r="FX122" i="7"/>
  <c r="FY122" i="7"/>
  <c r="FT123" i="7"/>
  <c r="FU123" i="7"/>
  <c r="FV123" i="7"/>
  <c r="FW123" i="7"/>
  <c r="FX123" i="7"/>
  <c r="FY123" i="7"/>
  <c r="FT124" i="7"/>
  <c r="FU124" i="7"/>
  <c r="FV124" i="7"/>
  <c r="FW124" i="7"/>
  <c r="FX124" i="7"/>
  <c r="FY124" i="7"/>
  <c r="FT125" i="7"/>
  <c r="FU125" i="7"/>
  <c r="FV125" i="7"/>
  <c r="FW125" i="7"/>
  <c r="FX125" i="7"/>
  <c r="FY125" i="7"/>
  <c r="FT126" i="7"/>
  <c r="FU126" i="7"/>
  <c r="FV126" i="7"/>
  <c r="FW126" i="7"/>
  <c r="FX126" i="7"/>
  <c r="FY126" i="7"/>
  <c r="FT127" i="7"/>
  <c r="FU127" i="7"/>
  <c r="FV127" i="7"/>
  <c r="FW127" i="7"/>
  <c r="FX127" i="7"/>
  <c r="FY127" i="7"/>
  <c r="FT128" i="7"/>
  <c r="FU128" i="7"/>
  <c r="FV128" i="7"/>
  <c r="FW128" i="7"/>
  <c r="FX128" i="7"/>
  <c r="FY128" i="7"/>
  <c r="FT129" i="7"/>
  <c r="FU129" i="7"/>
  <c r="FV129" i="7"/>
  <c r="FW129" i="7"/>
  <c r="FX129" i="7"/>
  <c r="FY129" i="7"/>
  <c r="FT130" i="7"/>
  <c r="FU130" i="7"/>
  <c r="FV130" i="7"/>
  <c r="FW130" i="7"/>
  <c r="FX130" i="7"/>
  <c r="FY130" i="7"/>
  <c r="FT131" i="7"/>
  <c r="FU131" i="7"/>
  <c r="FV131" i="7"/>
  <c r="FW131" i="7"/>
  <c r="FX131" i="7"/>
  <c r="FY131" i="7"/>
  <c r="FT132" i="7"/>
  <c r="FU132" i="7"/>
  <c r="FV132" i="7"/>
  <c r="FW132" i="7"/>
  <c r="FX132" i="7"/>
  <c r="FY132" i="7"/>
  <c r="FT150" i="7"/>
  <c r="FU150" i="7"/>
  <c r="FV150" i="7"/>
  <c r="FW150" i="7"/>
  <c r="FX150" i="7"/>
  <c r="FY150" i="7"/>
  <c r="FT151" i="7"/>
  <c r="FU151" i="7"/>
  <c r="FV151" i="7"/>
  <c r="FW151" i="7"/>
  <c r="FX151" i="7"/>
  <c r="FY151" i="7"/>
  <c r="FT152" i="7"/>
  <c r="FU152" i="7"/>
  <c r="FV152" i="7"/>
  <c r="FW152" i="7"/>
  <c r="FX152" i="7"/>
  <c r="FY152" i="7"/>
  <c r="FL102" i="7"/>
  <c r="FM102" i="7"/>
  <c r="FN102" i="7"/>
  <c r="FO102" i="7"/>
  <c r="FP102" i="7"/>
  <c r="FQ102" i="7"/>
  <c r="FL103" i="7"/>
  <c r="FM103" i="7"/>
  <c r="FN103" i="7"/>
  <c r="FO103" i="7"/>
  <c r="FP103" i="7"/>
  <c r="FQ103" i="7"/>
  <c r="FL104" i="7"/>
  <c r="FM104" i="7"/>
  <c r="FN104" i="7"/>
  <c r="FO104" i="7"/>
  <c r="FP104" i="7"/>
  <c r="FQ104" i="7"/>
  <c r="FL105" i="7"/>
  <c r="FM105" i="7"/>
  <c r="FN105" i="7"/>
  <c r="FO105" i="7"/>
  <c r="FP105" i="7"/>
  <c r="FQ105" i="7"/>
  <c r="FL106" i="7"/>
  <c r="FM106" i="7"/>
  <c r="FN106" i="7"/>
  <c r="FO106" i="7"/>
  <c r="FP106" i="7"/>
  <c r="FQ106" i="7"/>
  <c r="FL107" i="7"/>
  <c r="FM107" i="7"/>
  <c r="FN107" i="7"/>
  <c r="FO107" i="7"/>
  <c r="FP107" i="7"/>
  <c r="FQ107" i="7"/>
  <c r="FL108" i="7"/>
  <c r="FM108" i="7"/>
  <c r="FN108" i="7"/>
  <c r="FO108" i="7"/>
  <c r="FP108" i="7"/>
  <c r="FQ108" i="7"/>
  <c r="FL109" i="7"/>
  <c r="FM109" i="7"/>
  <c r="FN109" i="7"/>
  <c r="FO109" i="7"/>
  <c r="FP109" i="7"/>
  <c r="FQ109" i="7"/>
  <c r="FL110" i="7"/>
  <c r="FM110" i="7"/>
  <c r="FN110" i="7"/>
  <c r="FO110" i="7"/>
  <c r="FP110" i="7"/>
  <c r="FQ110" i="7"/>
  <c r="FL111" i="7"/>
  <c r="FM111" i="7"/>
  <c r="FN111" i="7"/>
  <c r="FO111" i="7"/>
  <c r="FP111" i="7"/>
  <c r="FQ111" i="7"/>
  <c r="FL112" i="7"/>
  <c r="FM112" i="7"/>
  <c r="FN112" i="7"/>
  <c r="FO112" i="7"/>
  <c r="FP112" i="7"/>
  <c r="FQ112" i="7"/>
  <c r="FL113" i="7"/>
  <c r="FM113" i="7"/>
  <c r="FN113" i="7"/>
  <c r="FO113" i="7"/>
  <c r="FP113" i="7"/>
  <c r="FQ113" i="7"/>
  <c r="FL114" i="7"/>
  <c r="FM114" i="7"/>
  <c r="FN114" i="7"/>
  <c r="FO114" i="7"/>
  <c r="FP114" i="7"/>
  <c r="FQ114" i="7"/>
  <c r="FL115" i="7"/>
  <c r="FM115" i="7"/>
  <c r="FN115" i="7"/>
  <c r="FO115" i="7"/>
  <c r="FP115" i="7"/>
  <c r="FQ115" i="7"/>
  <c r="FL116" i="7"/>
  <c r="FM116" i="7"/>
  <c r="FN116" i="7"/>
  <c r="FO116" i="7"/>
  <c r="FP116" i="7"/>
  <c r="FQ116" i="7"/>
  <c r="FL118" i="7"/>
  <c r="FM118" i="7"/>
  <c r="FN118" i="7"/>
  <c r="FO118" i="7"/>
  <c r="FP118" i="7"/>
  <c r="FQ118" i="7"/>
  <c r="FL119" i="7"/>
  <c r="FM119" i="7"/>
  <c r="FN119" i="7"/>
  <c r="FO119" i="7"/>
  <c r="FP119" i="7"/>
  <c r="FQ119" i="7"/>
  <c r="FL120" i="7"/>
  <c r="FM120" i="7"/>
  <c r="FN120" i="7"/>
  <c r="FO120" i="7"/>
  <c r="FP120" i="7"/>
  <c r="FQ120" i="7"/>
  <c r="FL121" i="7"/>
  <c r="FM121" i="7"/>
  <c r="FN121" i="7"/>
  <c r="FO121" i="7"/>
  <c r="FP121" i="7"/>
  <c r="FQ121" i="7"/>
  <c r="FL122" i="7"/>
  <c r="FM122" i="7"/>
  <c r="FN122" i="7"/>
  <c r="FO122" i="7"/>
  <c r="FP122" i="7"/>
  <c r="FQ122" i="7"/>
  <c r="FL123" i="7"/>
  <c r="FM123" i="7"/>
  <c r="FN123" i="7"/>
  <c r="FO123" i="7"/>
  <c r="FP123" i="7"/>
  <c r="FQ123" i="7"/>
  <c r="FL124" i="7"/>
  <c r="FM124" i="7"/>
  <c r="FN124" i="7"/>
  <c r="FO124" i="7"/>
  <c r="FP124" i="7"/>
  <c r="FQ124" i="7"/>
  <c r="FL125" i="7"/>
  <c r="FM125" i="7"/>
  <c r="FN125" i="7"/>
  <c r="FO125" i="7"/>
  <c r="FP125" i="7"/>
  <c r="FQ125" i="7"/>
  <c r="FL126" i="7"/>
  <c r="FM126" i="7"/>
  <c r="FN126" i="7"/>
  <c r="FO126" i="7"/>
  <c r="FP126" i="7"/>
  <c r="FQ126" i="7"/>
  <c r="FL127" i="7"/>
  <c r="FM127" i="7"/>
  <c r="FN127" i="7"/>
  <c r="FO127" i="7"/>
  <c r="FP127" i="7"/>
  <c r="FQ127" i="7"/>
  <c r="FL128" i="7"/>
  <c r="FM128" i="7"/>
  <c r="FN128" i="7"/>
  <c r="FO128" i="7"/>
  <c r="FP128" i="7"/>
  <c r="FQ128" i="7"/>
  <c r="FL129" i="7"/>
  <c r="FM129" i="7"/>
  <c r="FN129" i="7"/>
  <c r="FO129" i="7"/>
  <c r="FP129" i="7"/>
  <c r="FQ129" i="7"/>
  <c r="FL130" i="7"/>
  <c r="FM130" i="7"/>
  <c r="FN130" i="7"/>
  <c r="FO130" i="7"/>
  <c r="FP130" i="7"/>
  <c r="FQ130" i="7"/>
  <c r="FL131" i="7"/>
  <c r="FM131" i="7"/>
  <c r="FN131" i="7"/>
  <c r="FO131" i="7"/>
  <c r="FP131" i="7"/>
  <c r="FQ131" i="7"/>
  <c r="FL132" i="7"/>
  <c r="FM132" i="7"/>
  <c r="FN132" i="7"/>
  <c r="FO132" i="7"/>
  <c r="FP132" i="7"/>
  <c r="FQ132" i="7"/>
  <c r="FL150" i="7"/>
  <c r="FM150" i="7"/>
  <c r="FN150" i="7"/>
  <c r="FO150" i="7"/>
  <c r="FP150" i="7"/>
  <c r="FQ150" i="7"/>
  <c r="FL151" i="7"/>
  <c r="FM151" i="7"/>
  <c r="FN151" i="7"/>
  <c r="FO151" i="7"/>
  <c r="FP151" i="7"/>
  <c r="FQ151" i="7"/>
  <c r="FL152" i="7"/>
  <c r="FM152" i="7"/>
  <c r="FN152" i="7"/>
  <c r="FO152" i="7"/>
  <c r="FP152" i="7"/>
  <c r="FQ152" i="7"/>
  <c r="FD102" i="7"/>
  <c r="FE102" i="7"/>
  <c r="FF102" i="7"/>
  <c r="FG102" i="7"/>
  <c r="FH102" i="7"/>
  <c r="FI102" i="7"/>
  <c r="FD103" i="7"/>
  <c r="FE103" i="7"/>
  <c r="FF103" i="7"/>
  <c r="FG103" i="7"/>
  <c r="FH103" i="7"/>
  <c r="FI103" i="7"/>
  <c r="FD104" i="7"/>
  <c r="FE104" i="7"/>
  <c r="FF104" i="7"/>
  <c r="FG104" i="7"/>
  <c r="FH104" i="7"/>
  <c r="FI104" i="7"/>
  <c r="FD105" i="7"/>
  <c r="FE105" i="7"/>
  <c r="FF105" i="7"/>
  <c r="FG105" i="7"/>
  <c r="FH105" i="7"/>
  <c r="FI105" i="7"/>
  <c r="FD106" i="7"/>
  <c r="FE106" i="7"/>
  <c r="FF106" i="7"/>
  <c r="FG106" i="7"/>
  <c r="FH106" i="7"/>
  <c r="FI106" i="7"/>
  <c r="FD107" i="7"/>
  <c r="FE107" i="7"/>
  <c r="FF107" i="7"/>
  <c r="FG107" i="7"/>
  <c r="FH107" i="7"/>
  <c r="FI107" i="7"/>
  <c r="FD108" i="7"/>
  <c r="FE108" i="7"/>
  <c r="FF108" i="7"/>
  <c r="FG108" i="7"/>
  <c r="FH108" i="7"/>
  <c r="FI108" i="7"/>
  <c r="FD109" i="7"/>
  <c r="FE109" i="7"/>
  <c r="FF109" i="7"/>
  <c r="FG109" i="7"/>
  <c r="FH109" i="7"/>
  <c r="FI109" i="7"/>
  <c r="FD110" i="7"/>
  <c r="FE110" i="7"/>
  <c r="FF110" i="7"/>
  <c r="FG110" i="7"/>
  <c r="FH110" i="7"/>
  <c r="FI110" i="7"/>
  <c r="FD111" i="7"/>
  <c r="FE111" i="7"/>
  <c r="FF111" i="7"/>
  <c r="FG111" i="7"/>
  <c r="FH111" i="7"/>
  <c r="FI111" i="7"/>
  <c r="FD112" i="7"/>
  <c r="FE112" i="7"/>
  <c r="FF112" i="7"/>
  <c r="FG112" i="7"/>
  <c r="FH112" i="7"/>
  <c r="FI112" i="7"/>
  <c r="FD113" i="7"/>
  <c r="FE113" i="7"/>
  <c r="FF113" i="7"/>
  <c r="FG113" i="7"/>
  <c r="FH113" i="7"/>
  <c r="FI113" i="7"/>
  <c r="FD114" i="7"/>
  <c r="FE114" i="7"/>
  <c r="FF114" i="7"/>
  <c r="FG114" i="7"/>
  <c r="FH114" i="7"/>
  <c r="FI114" i="7"/>
  <c r="FD115" i="7"/>
  <c r="FE115" i="7"/>
  <c r="FF115" i="7"/>
  <c r="FG115" i="7"/>
  <c r="FH115" i="7"/>
  <c r="FI115" i="7"/>
  <c r="FD116" i="7"/>
  <c r="FE116" i="7"/>
  <c r="FF116" i="7"/>
  <c r="FG116" i="7"/>
  <c r="FH116" i="7"/>
  <c r="FI116" i="7"/>
  <c r="FD118" i="7"/>
  <c r="FE118" i="7"/>
  <c r="FF118" i="7"/>
  <c r="FG118" i="7"/>
  <c r="FH118" i="7"/>
  <c r="FI118" i="7"/>
  <c r="FD119" i="7"/>
  <c r="FE119" i="7"/>
  <c r="FF119" i="7"/>
  <c r="FG119" i="7"/>
  <c r="FH119" i="7"/>
  <c r="FI119" i="7"/>
  <c r="FD120" i="7"/>
  <c r="FE120" i="7"/>
  <c r="FF120" i="7"/>
  <c r="FG120" i="7"/>
  <c r="FH120" i="7"/>
  <c r="FI120" i="7"/>
  <c r="FD121" i="7"/>
  <c r="FE121" i="7"/>
  <c r="FF121" i="7"/>
  <c r="FG121" i="7"/>
  <c r="FH121" i="7"/>
  <c r="FI121" i="7"/>
  <c r="FD122" i="7"/>
  <c r="FE122" i="7"/>
  <c r="FF122" i="7"/>
  <c r="FG122" i="7"/>
  <c r="FH122" i="7"/>
  <c r="FI122" i="7"/>
  <c r="FD123" i="7"/>
  <c r="FE123" i="7"/>
  <c r="FF123" i="7"/>
  <c r="FG123" i="7"/>
  <c r="FH123" i="7"/>
  <c r="FI123" i="7"/>
  <c r="FD124" i="7"/>
  <c r="FE124" i="7"/>
  <c r="FF124" i="7"/>
  <c r="FG124" i="7"/>
  <c r="FH124" i="7"/>
  <c r="FI124" i="7"/>
  <c r="FD125" i="7"/>
  <c r="FE125" i="7"/>
  <c r="FF125" i="7"/>
  <c r="FG125" i="7"/>
  <c r="FH125" i="7"/>
  <c r="FI125" i="7"/>
  <c r="FD126" i="7"/>
  <c r="FE126" i="7"/>
  <c r="FF126" i="7"/>
  <c r="FG126" i="7"/>
  <c r="FH126" i="7"/>
  <c r="FI126" i="7"/>
  <c r="FD127" i="7"/>
  <c r="FE127" i="7"/>
  <c r="FF127" i="7"/>
  <c r="FG127" i="7"/>
  <c r="FH127" i="7"/>
  <c r="FI127" i="7"/>
  <c r="FD128" i="7"/>
  <c r="FE128" i="7"/>
  <c r="FF128" i="7"/>
  <c r="FG128" i="7"/>
  <c r="FH128" i="7"/>
  <c r="FI128" i="7"/>
  <c r="FD129" i="7"/>
  <c r="FE129" i="7"/>
  <c r="FF129" i="7"/>
  <c r="FG129" i="7"/>
  <c r="FH129" i="7"/>
  <c r="FI129" i="7"/>
  <c r="FD130" i="7"/>
  <c r="FE130" i="7"/>
  <c r="FF130" i="7"/>
  <c r="FG130" i="7"/>
  <c r="FH130" i="7"/>
  <c r="FI130" i="7"/>
  <c r="FD131" i="7"/>
  <c r="FE131" i="7"/>
  <c r="FF131" i="7"/>
  <c r="FG131" i="7"/>
  <c r="FH131" i="7"/>
  <c r="FI131" i="7"/>
  <c r="FD132" i="7"/>
  <c r="FE132" i="7"/>
  <c r="FF132" i="7"/>
  <c r="FG132" i="7"/>
  <c r="FH132" i="7"/>
  <c r="FI132" i="7"/>
  <c r="FD150" i="7"/>
  <c r="FE150" i="7"/>
  <c r="FF150" i="7"/>
  <c r="FG150" i="7"/>
  <c r="FH150" i="7"/>
  <c r="FI150" i="7"/>
  <c r="FD151" i="7"/>
  <c r="FE151" i="7"/>
  <c r="FF151" i="7"/>
  <c r="FG151" i="7"/>
  <c r="FH151" i="7"/>
  <c r="FI151" i="7"/>
  <c r="FD152" i="7"/>
  <c r="FE152" i="7"/>
  <c r="FF152" i="7"/>
  <c r="FG152" i="7"/>
  <c r="FH152" i="7"/>
  <c r="FI152" i="7"/>
  <c r="EV102" i="7"/>
  <c r="EW102" i="7"/>
  <c r="EX102" i="7"/>
  <c r="EY102" i="7"/>
  <c r="EZ102" i="7"/>
  <c r="FA102" i="7"/>
  <c r="EV103" i="7"/>
  <c r="EW103" i="7"/>
  <c r="EX103" i="7"/>
  <c r="EY103" i="7"/>
  <c r="EZ103" i="7"/>
  <c r="FA103" i="7"/>
  <c r="EV104" i="7"/>
  <c r="EW104" i="7"/>
  <c r="EX104" i="7"/>
  <c r="EY104" i="7"/>
  <c r="EZ104" i="7"/>
  <c r="FA104" i="7"/>
  <c r="EV105" i="7"/>
  <c r="EW105" i="7"/>
  <c r="EX105" i="7"/>
  <c r="EY105" i="7"/>
  <c r="EZ105" i="7"/>
  <c r="FA105" i="7"/>
  <c r="EV106" i="7"/>
  <c r="EW106" i="7"/>
  <c r="EX106" i="7"/>
  <c r="EY106" i="7"/>
  <c r="EZ106" i="7"/>
  <c r="FA106" i="7"/>
  <c r="EV107" i="7"/>
  <c r="EW107" i="7"/>
  <c r="EX107" i="7"/>
  <c r="EY107" i="7"/>
  <c r="EZ107" i="7"/>
  <c r="FA107" i="7"/>
  <c r="EV108" i="7"/>
  <c r="EW108" i="7"/>
  <c r="EX108" i="7"/>
  <c r="EY108" i="7"/>
  <c r="EZ108" i="7"/>
  <c r="FA108" i="7"/>
  <c r="EV109" i="7"/>
  <c r="EW109" i="7"/>
  <c r="EX109" i="7"/>
  <c r="EY109" i="7"/>
  <c r="EZ109" i="7"/>
  <c r="FA109" i="7"/>
  <c r="EV110" i="7"/>
  <c r="EW110" i="7"/>
  <c r="EX110" i="7"/>
  <c r="EY110" i="7"/>
  <c r="EZ110" i="7"/>
  <c r="FA110" i="7"/>
  <c r="EV111" i="7"/>
  <c r="EW111" i="7"/>
  <c r="EX111" i="7"/>
  <c r="EY111" i="7"/>
  <c r="EZ111" i="7"/>
  <c r="FA111" i="7"/>
  <c r="EV112" i="7"/>
  <c r="EW112" i="7"/>
  <c r="EX112" i="7"/>
  <c r="EY112" i="7"/>
  <c r="EZ112" i="7"/>
  <c r="FA112" i="7"/>
  <c r="EV113" i="7"/>
  <c r="EW113" i="7"/>
  <c r="EX113" i="7"/>
  <c r="EY113" i="7"/>
  <c r="EZ113" i="7"/>
  <c r="FA113" i="7"/>
  <c r="EV114" i="7"/>
  <c r="EW114" i="7"/>
  <c r="EX114" i="7"/>
  <c r="EY114" i="7"/>
  <c r="EZ114" i="7"/>
  <c r="FA114" i="7"/>
  <c r="EV115" i="7"/>
  <c r="EW115" i="7"/>
  <c r="EX115" i="7"/>
  <c r="EY115" i="7"/>
  <c r="EZ115" i="7"/>
  <c r="FA115" i="7"/>
  <c r="EV116" i="7"/>
  <c r="EW116" i="7"/>
  <c r="EX116" i="7"/>
  <c r="EY116" i="7"/>
  <c r="EZ116" i="7"/>
  <c r="FA116" i="7"/>
  <c r="EV118" i="7"/>
  <c r="EW118" i="7"/>
  <c r="EX118" i="7"/>
  <c r="EY118" i="7"/>
  <c r="EZ118" i="7"/>
  <c r="FA118" i="7"/>
  <c r="EV119" i="7"/>
  <c r="EW119" i="7"/>
  <c r="EX119" i="7"/>
  <c r="EY119" i="7"/>
  <c r="EZ119" i="7"/>
  <c r="FA119" i="7"/>
  <c r="EV120" i="7"/>
  <c r="EW120" i="7"/>
  <c r="EX120" i="7"/>
  <c r="EY120" i="7"/>
  <c r="EZ120" i="7"/>
  <c r="FA120" i="7"/>
  <c r="EV121" i="7"/>
  <c r="EW121" i="7"/>
  <c r="EX121" i="7"/>
  <c r="EY121" i="7"/>
  <c r="EZ121" i="7"/>
  <c r="FA121" i="7"/>
  <c r="EV122" i="7"/>
  <c r="EW122" i="7"/>
  <c r="EX122" i="7"/>
  <c r="EY122" i="7"/>
  <c r="EZ122" i="7"/>
  <c r="FA122" i="7"/>
  <c r="EV123" i="7"/>
  <c r="EW123" i="7"/>
  <c r="EX123" i="7"/>
  <c r="EY123" i="7"/>
  <c r="EZ123" i="7"/>
  <c r="FA123" i="7"/>
  <c r="EV124" i="7"/>
  <c r="EW124" i="7"/>
  <c r="EX124" i="7"/>
  <c r="EY124" i="7"/>
  <c r="EZ124" i="7"/>
  <c r="FA124" i="7"/>
  <c r="EV125" i="7"/>
  <c r="EW125" i="7"/>
  <c r="EX125" i="7"/>
  <c r="EY125" i="7"/>
  <c r="EZ125" i="7"/>
  <c r="FA125" i="7"/>
  <c r="EV126" i="7"/>
  <c r="EW126" i="7"/>
  <c r="EX126" i="7"/>
  <c r="EY126" i="7"/>
  <c r="EZ126" i="7"/>
  <c r="FA126" i="7"/>
  <c r="EV127" i="7"/>
  <c r="EW127" i="7"/>
  <c r="EX127" i="7"/>
  <c r="EY127" i="7"/>
  <c r="EZ127" i="7"/>
  <c r="FA127" i="7"/>
  <c r="EV128" i="7"/>
  <c r="EW128" i="7"/>
  <c r="EX128" i="7"/>
  <c r="EY128" i="7"/>
  <c r="EZ128" i="7"/>
  <c r="FA128" i="7"/>
  <c r="EV129" i="7"/>
  <c r="EW129" i="7"/>
  <c r="EX129" i="7"/>
  <c r="EY129" i="7"/>
  <c r="EZ129" i="7"/>
  <c r="FA129" i="7"/>
  <c r="EV130" i="7"/>
  <c r="EW130" i="7"/>
  <c r="EX130" i="7"/>
  <c r="EY130" i="7"/>
  <c r="EZ130" i="7"/>
  <c r="FA130" i="7"/>
  <c r="EV131" i="7"/>
  <c r="EW131" i="7"/>
  <c r="EX131" i="7"/>
  <c r="EY131" i="7"/>
  <c r="EZ131" i="7"/>
  <c r="FA131" i="7"/>
  <c r="EV132" i="7"/>
  <c r="EW132" i="7"/>
  <c r="EX132" i="7"/>
  <c r="EY132" i="7"/>
  <c r="EZ132" i="7"/>
  <c r="FA132" i="7"/>
  <c r="EV150" i="7"/>
  <c r="EW150" i="7"/>
  <c r="EX150" i="7"/>
  <c r="EY150" i="7"/>
  <c r="EZ150" i="7"/>
  <c r="FA150" i="7"/>
  <c r="EV151" i="7"/>
  <c r="EW151" i="7"/>
  <c r="EX151" i="7"/>
  <c r="EY151" i="7"/>
  <c r="EZ151" i="7"/>
  <c r="FA151" i="7"/>
  <c r="EV152" i="7"/>
  <c r="EW152" i="7"/>
  <c r="EX152" i="7"/>
  <c r="EY152" i="7"/>
  <c r="EZ152" i="7"/>
  <c r="FA152" i="7"/>
  <c r="BR102" i="7"/>
  <c r="BS102" i="7"/>
  <c r="BT102" i="7"/>
  <c r="BU102" i="7"/>
  <c r="BV102" i="7"/>
  <c r="BW102" i="7"/>
  <c r="BR103" i="7"/>
  <c r="BS103" i="7"/>
  <c r="BT103" i="7"/>
  <c r="BU103" i="7"/>
  <c r="BV103" i="7"/>
  <c r="BW103" i="7"/>
  <c r="BR104" i="7"/>
  <c r="BS104" i="7"/>
  <c r="BT104" i="7"/>
  <c r="BU104" i="7"/>
  <c r="BV104" i="7"/>
  <c r="BW104" i="7"/>
  <c r="BR105" i="7"/>
  <c r="BS105" i="7"/>
  <c r="BT105" i="7"/>
  <c r="BU105" i="7"/>
  <c r="BV105" i="7"/>
  <c r="BW105" i="7"/>
  <c r="BR106" i="7"/>
  <c r="BS106" i="7"/>
  <c r="BT106" i="7"/>
  <c r="BU106" i="7"/>
  <c r="BV106" i="7"/>
  <c r="BW106" i="7"/>
  <c r="BR107" i="7"/>
  <c r="BS107" i="7"/>
  <c r="BT107" i="7"/>
  <c r="BU107" i="7"/>
  <c r="BV107" i="7"/>
  <c r="BW107" i="7"/>
  <c r="BR108" i="7"/>
  <c r="BS108" i="7"/>
  <c r="BT108" i="7"/>
  <c r="BU108" i="7"/>
  <c r="BV108" i="7"/>
  <c r="BW108" i="7"/>
  <c r="BR109" i="7"/>
  <c r="BS109" i="7"/>
  <c r="BT109" i="7"/>
  <c r="BU109" i="7"/>
  <c r="BV109" i="7"/>
  <c r="BW109" i="7"/>
  <c r="BR110" i="7"/>
  <c r="BS110" i="7"/>
  <c r="BT110" i="7"/>
  <c r="BU110" i="7"/>
  <c r="BV110" i="7"/>
  <c r="BW110" i="7"/>
  <c r="BR111" i="7"/>
  <c r="BS111" i="7"/>
  <c r="BT111" i="7"/>
  <c r="BU111" i="7"/>
  <c r="BV111" i="7"/>
  <c r="BW111" i="7"/>
  <c r="BR112" i="7"/>
  <c r="BS112" i="7"/>
  <c r="BT112" i="7"/>
  <c r="BU112" i="7"/>
  <c r="BV112" i="7"/>
  <c r="BW112" i="7"/>
  <c r="BR113" i="7"/>
  <c r="BS113" i="7"/>
  <c r="BT113" i="7"/>
  <c r="BU113" i="7"/>
  <c r="BV113" i="7"/>
  <c r="BW113" i="7"/>
  <c r="BR114" i="7"/>
  <c r="BS114" i="7"/>
  <c r="BT114" i="7"/>
  <c r="BU114" i="7"/>
  <c r="BV114" i="7"/>
  <c r="BW114" i="7"/>
  <c r="BR115" i="7"/>
  <c r="BS115" i="7"/>
  <c r="BT115" i="7"/>
  <c r="BU115" i="7"/>
  <c r="BV115" i="7"/>
  <c r="BW115" i="7"/>
  <c r="BR116" i="7"/>
  <c r="BS116" i="7"/>
  <c r="BT116" i="7"/>
  <c r="BU116" i="7"/>
  <c r="BV116" i="7"/>
  <c r="BW116" i="7"/>
  <c r="BR118" i="7"/>
  <c r="BS118" i="7"/>
  <c r="BT118" i="7"/>
  <c r="BU118" i="7"/>
  <c r="BV118" i="7"/>
  <c r="BW118" i="7"/>
  <c r="BR119" i="7"/>
  <c r="BS119" i="7"/>
  <c r="BT119" i="7"/>
  <c r="BU119" i="7"/>
  <c r="BV119" i="7"/>
  <c r="BW119" i="7"/>
  <c r="BR120" i="7"/>
  <c r="BS120" i="7"/>
  <c r="BT120" i="7"/>
  <c r="BU120" i="7"/>
  <c r="BV120" i="7"/>
  <c r="BW120" i="7"/>
  <c r="BR121" i="7"/>
  <c r="BS121" i="7"/>
  <c r="BT121" i="7"/>
  <c r="BU121" i="7"/>
  <c r="BV121" i="7"/>
  <c r="BW121" i="7"/>
  <c r="BR122" i="7"/>
  <c r="BS122" i="7"/>
  <c r="BT122" i="7"/>
  <c r="BU122" i="7"/>
  <c r="BV122" i="7"/>
  <c r="BW122" i="7"/>
  <c r="BR123" i="7"/>
  <c r="BS123" i="7"/>
  <c r="BT123" i="7"/>
  <c r="BU123" i="7"/>
  <c r="BV123" i="7"/>
  <c r="BW123" i="7"/>
  <c r="BR124" i="7"/>
  <c r="BS124" i="7"/>
  <c r="BT124" i="7"/>
  <c r="BU124" i="7"/>
  <c r="BV124" i="7"/>
  <c r="BW124" i="7"/>
  <c r="BR125" i="7"/>
  <c r="BS125" i="7"/>
  <c r="BT125" i="7"/>
  <c r="BU125" i="7"/>
  <c r="BV125" i="7"/>
  <c r="BW125" i="7"/>
  <c r="BR126" i="7"/>
  <c r="BS126" i="7"/>
  <c r="BT126" i="7"/>
  <c r="BU126" i="7"/>
  <c r="BV126" i="7"/>
  <c r="BW126" i="7"/>
  <c r="BR127" i="7"/>
  <c r="BS127" i="7"/>
  <c r="BT127" i="7"/>
  <c r="BU127" i="7"/>
  <c r="BV127" i="7"/>
  <c r="BW127" i="7"/>
  <c r="BR128" i="7"/>
  <c r="BS128" i="7"/>
  <c r="BT128" i="7"/>
  <c r="BU128" i="7"/>
  <c r="BV128" i="7"/>
  <c r="BW128" i="7"/>
  <c r="BR129" i="7"/>
  <c r="BS129" i="7"/>
  <c r="BT129" i="7"/>
  <c r="BU129" i="7"/>
  <c r="BV129" i="7"/>
  <c r="BW129" i="7"/>
  <c r="BR130" i="7"/>
  <c r="BS130" i="7"/>
  <c r="BT130" i="7"/>
  <c r="BU130" i="7"/>
  <c r="BV130" i="7"/>
  <c r="BW130" i="7"/>
  <c r="BR131" i="7"/>
  <c r="BS131" i="7"/>
  <c r="BT131" i="7"/>
  <c r="BU131" i="7"/>
  <c r="BV131" i="7"/>
  <c r="BW131" i="7"/>
  <c r="BR132" i="7"/>
  <c r="BS132" i="7"/>
  <c r="BT132" i="7"/>
  <c r="BU132" i="7"/>
  <c r="BV132" i="7"/>
  <c r="BW132" i="7"/>
  <c r="BR150" i="7"/>
  <c r="BS150" i="7"/>
  <c r="BT150" i="7"/>
  <c r="BU150" i="7"/>
  <c r="BV150" i="7"/>
  <c r="BW150" i="7"/>
  <c r="BR151" i="7"/>
  <c r="BS151" i="7"/>
  <c r="BT151" i="7"/>
  <c r="BU151" i="7"/>
  <c r="BV151" i="7"/>
  <c r="BW151" i="7"/>
  <c r="BR152" i="7"/>
  <c r="BS152" i="7"/>
  <c r="BT152" i="7"/>
  <c r="BU152" i="7"/>
  <c r="BV152" i="7"/>
  <c r="BW152" i="7"/>
  <c r="BJ153" i="7"/>
  <c r="BK153" i="7"/>
  <c r="BL153" i="7"/>
  <c r="BM153" i="7"/>
  <c r="BN153" i="7"/>
  <c r="BO153" i="7"/>
  <c r="BB153" i="7"/>
  <c r="BC153" i="7"/>
  <c r="BD153" i="7"/>
  <c r="BE153" i="7"/>
  <c r="BF153" i="7"/>
  <c r="BG153" i="7"/>
  <c r="AT153" i="7"/>
  <c r="AU153" i="7"/>
  <c r="AV153" i="7"/>
  <c r="AW153" i="7"/>
  <c r="AX153" i="7"/>
  <c r="AY153" i="7"/>
  <c r="AL153" i="7"/>
  <c r="AM153" i="7"/>
  <c r="AN153" i="7"/>
  <c r="AO153" i="7"/>
  <c r="AP153" i="7"/>
  <c r="AQ153" i="7"/>
  <c r="AD153" i="7"/>
  <c r="AE153" i="7"/>
  <c r="AF153" i="7"/>
  <c r="AG153" i="7"/>
  <c r="AH153" i="7"/>
  <c r="AI153" i="7"/>
  <c r="V153" i="7"/>
  <c r="W153" i="7"/>
  <c r="X153" i="7"/>
  <c r="Y153" i="7"/>
  <c r="Z153" i="7"/>
  <c r="AA153" i="7"/>
  <c r="N153" i="7"/>
  <c r="O153" i="7"/>
  <c r="P153" i="7"/>
  <c r="Q153" i="7"/>
  <c r="R153" i="7"/>
  <c r="S153" i="7"/>
  <c r="GR153" i="7"/>
  <c r="GS153" i="7"/>
  <c r="GT153" i="7"/>
  <c r="GU153" i="7"/>
  <c r="GV153" i="7"/>
  <c r="GW153" i="7"/>
  <c r="GJ102" i="7"/>
  <c r="GK102" i="7"/>
  <c r="GL102" i="7"/>
  <c r="GM102" i="7"/>
  <c r="GN102" i="7"/>
  <c r="GO102" i="7"/>
  <c r="GJ103" i="7"/>
  <c r="GK103" i="7"/>
  <c r="GL103" i="7"/>
  <c r="GM103" i="7"/>
  <c r="GN103" i="7"/>
  <c r="GO103" i="7"/>
  <c r="GJ104" i="7"/>
  <c r="GK104" i="7"/>
  <c r="GL104" i="7"/>
  <c r="GM104" i="7"/>
  <c r="GN104" i="7"/>
  <c r="GO104" i="7"/>
  <c r="GJ105" i="7"/>
  <c r="GK105" i="7"/>
  <c r="GL105" i="7"/>
  <c r="GM105" i="7"/>
  <c r="GN105" i="7"/>
  <c r="GO105" i="7"/>
  <c r="GJ106" i="7"/>
  <c r="GK106" i="7"/>
  <c r="GL106" i="7"/>
  <c r="GM106" i="7"/>
  <c r="GN106" i="7"/>
  <c r="GO106" i="7"/>
  <c r="GJ107" i="7"/>
  <c r="GK107" i="7"/>
  <c r="GL107" i="7"/>
  <c r="GM107" i="7"/>
  <c r="GN107" i="7"/>
  <c r="GO107" i="7"/>
  <c r="GJ108" i="7"/>
  <c r="GK108" i="7"/>
  <c r="GL108" i="7"/>
  <c r="GM108" i="7"/>
  <c r="GN108" i="7"/>
  <c r="GO108" i="7"/>
  <c r="GJ109" i="7"/>
  <c r="GK109" i="7"/>
  <c r="GL109" i="7"/>
  <c r="GM109" i="7"/>
  <c r="GN109" i="7"/>
  <c r="GO109" i="7"/>
  <c r="GJ110" i="7"/>
  <c r="GK110" i="7"/>
  <c r="GL110" i="7"/>
  <c r="GM110" i="7"/>
  <c r="GN110" i="7"/>
  <c r="GO110" i="7"/>
  <c r="GJ111" i="7"/>
  <c r="GK111" i="7"/>
  <c r="GL111" i="7"/>
  <c r="GM111" i="7"/>
  <c r="GN111" i="7"/>
  <c r="GO111" i="7"/>
  <c r="GJ112" i="7"/>
  <c r="GK112" i="7"/>
  <c r="GL112" i="7"/>
  <c r="GM112" i="7"/>
  <c r="GN112" i="7"/>
  <c r="GO112" i="7"/>
  <c r="GJ113" i="7"/>
  <c r="GK113" i="7"/>
  <c r="GL113" i="7"/>
  <c r="GM113" i="7"/>
  <c r="GN113" i="7"/>
  <c r="GO113" i="7"/>
  <c r="GJ114" i="7"/>
  <c r="GK114" i="7"/>
  <c r="GL114" i="7"/>
  <c r="GM114" i="7"/>
  <c r="GN114" i="7"/>
  <c r="GO114" i="7"/>
  <c r="GJ115" i="7"/>
  <c r="GK115" i="7"/>
  <c r="GL115" i="7"/>
  <c r="GM115" i="7"/>
  <c r="GN115" i="7"/>
  <c r="GO115" i="7"/>
  <c r="GJ116" i="7"/>
  <c r="GK116" i="7"/>
  <c r="GL116" i="7"/>
  <c r="GM116" i="7"/>
  <c r="GN116" i="7"/>
  <c r="GO116" i="7"/>
  <c r="GJ118" i="7"/>
  <c r="GK118" i="7"/>
  <c r="GL118" i="7"/>
  <c r="GM118" i="7"/>
  <c r="GN118" i="7"/>
  <c r="GO118" i="7"/>
  <c r="GJ119" i="7"/>
  <c r="GK119" i="7"/>
  <c r="GL119" i="7"/>
  <c r="GM119" i="7"/>
  <c r="GN119" i="7"/>
  <c r="GO119" i="7"/>
  <c r="GJ120" i="7"/>
  <c r="GK120" i="7"/>
  <c r="GL120" i="7"/>
  <c r="GM120" i="7"/>
  <c r="GN120" i="7"/>
  <c r="GO120" i="7"/>
  <c r="GJ121" i="7"/>
  <c r="GK121" i="7"/>
  <c r="GL121" i="7"/>
  <c r="GM121" i="7"/>
  <c r="GN121" i="7"/>
  <c r="GO121" i="7"/>
  <c r="GJ122" i="7"/>
  <c r="GK122" i="7"/>
  <c r="GL122" i="7"/>
  <c r="GM122" i="7"/>
  <c r="GN122" i="7"/>
  <c r="GO122" i="7"/>
  <c r="GJ123" i="7"/>
  <c r="GK123" i="7"/>
  <c r="GL123" i="7"/>
  <c r="GM123" i="7"/>
  <c r="GN123" i="7"/>
  <c r="GO123" i="7"/>
  <c r="GJ124" i="7"/>
  <c r="GK124" i="7"/>
  <c r="GL124" i="7"/>
  <c r="GM124" i="7"/>
  <c r="GN124" i="7"/>
  <c r="GO124" i="7"/>
  <c r="GJ125" i="7"/>
  <c r="GK125" i="7"/>
  <c r="GL125" i="7"/>
  <c r="GM125" i="7"/>
  <c r="GN125" i="7"/>
  <c r="GO125" i="7"/>
  <c r="GJ126" i="7"/>
  <c r="GK126" i="7"/>
  <c r="GL126" i="7"/>
  <c r="GM126" i="7"/>
  <c r="GN126" i="7"/>
  <c r="GO126" i="7"/>
  <c r="GJ127" i="7"/>
  <c r="GK127" i="7"/>
  <c r="GL127" i="7"/>
  <c r="GM127" i="7"/>
  <c r="GN127" i="7"/>
  <c r="GO127" i="7"/>
  <c r="GJ128" i="7"/>
  <c r="GK128" i="7"/>
  <c r="GL128" i="7"/>
  <c r="GM128" i="7"/>
  <c r="GN128" i="7"/>
  <c r="GO128" i="7"/>
  <c r="GJ129" i="7"/>
  <c r="GK129" i="7"/>
  <c r="GL129" i="7"/>
  <c r="GM129" i="7"/>
  <c r="GN129" i="7"/>
  <c r="GO129" i="7"/>
  <c r="GJ130" i="7"/>
  <c r="GK130" i="7"/>
  <c r="GL130" i="7"/>
  <c r="GM130" i="7"/>
  <c r="GN130" i="7"/>
  <c r="GO130" i="7"/>
  <c r="GJ131" i="7"/>
  <c r="GK131" i="7"/>
  <c r="GL131" i="7"/>
  <c r="GM131" i="7"/>
  <c r="GN131" i="7"/>
  <c r="GO131" i="7"/>
  <c r="GJ132" i="7"/>
  <c r="GK132" i="7"/>
  <c r="GL132" i="7"/>
  <c r="GM132" i="7"/>
  <c r="GN132" i="7"/>
  <c r="GO132" i="7"/>
  <c r="GJ150" i="7"/>
  <c r="GK150" i="7"/>
  <c r="GL150" i="7"/>
  <c r="GM150" i="7"/>
  <c r="GN150" i="7"/>
  <c r="GO150" i="7"/>
  <c r="GJ151" i="7"/>
  <c r="GK151" i="7"/>
  <c r="GL151" i="7"/>
  <c r="GM151" i="7"/>
  <c r="GN151" i="7"/>
  <c r="GO151" i="7"/>
  <c r="GJ152" i="7"/>
  <c r="GK152" i="7"/>
  <c r="GL152" i="7"/>
  <c r="GM152" i="7"/>
  <c r="GN152" i="7"/>
  <c r="GO152" i="7"/>
  <c r="GB102" i="7"/>
  <c r="GC102" i="7"/>
  <c r="GD102" i="7"/>
  <c r="GE102" i="7"/>
  <c r="GF102" i="7"/>
  <c r="GG102" i="7"/>
  <c r="GB103" i="7"/>
  <c r="GC103" i="7"/>
  <c r="GD103" i="7"/>
  <c r="GE103" i="7"/>
  <c r="GF103" i="7"/>
  <c r="GG103" i="7"/>
  <c r="GB104" i="7"/>
  <c r="GC104" i="7"/>
  <c r="GD104" i="7"/>
  <c r="GE104" i="7"/>
  <c r="GF104" i="7"/>
  <c r="GG104" i="7"/>
  <c r="GB105" i="7"/>
  <c r="GC105" i="7"/>
  <c r="GD105" i="7"/>
  <c r="GE105" i="7"/>
  <c r="GF105" i="7"/>
  <c r="GG105" i="7"/>
  <c r="GB106" i="7"/>
  <c r="GC106" i="7"/>
  <c r="GD106" i="7"/>
  <c r="GE106" i="7"/>
  <c r="GF106" i="7"/>
  <c r="GG106" i="7"/>
  <c r="GB107" i="7"/>
  <c r="GC107" i="7"/>
  <c r="GD107" i="7"/>
  <c r="GE107" i="7"/>
  <c r="GF107" i="7"/>
  <c r="GG107" i="7"/>
  <c r="GB108" i="7"/>
  <c r="GC108" i="7"/>
  <c r="GD108" i="7"/>
  <c r="GE108" i="7"/>
  <c r="GF108" i="7"/>
  <c r="GG108" i="7"/>
  <c r="GB109" i="7"/>
  <c r="GC109" i="7"/>
  <c r="GD109" i="7"/>
  <c r="GE109" i="7"/>
  <c r="GF109" i="7"/>
  <c r="GG109" i="7"/>
  <c r="GB110" i="7"/>
  <c r="GC110" i="7"/>
  <c r="GD110" i="7"/>
  <c r="GE110" i="7"/>
  <c r="GF110" i="7"/>
  <c r="GG110" i="7"/>
  <c r="GB111" i="7"/>
  <c r="GC111" i="7"/>
  <c r="GD111" i="7"/>
  <c r="GE111" i="7"/>
  <c r="GF111" i="7"/>
  <c r="GG111" i="7"/>
  <c r="GB112" i="7"/>
  <c r="GC112" i="7"/>
  <c r="GD112" i="7"/>
  <c r="GE112" i="7"/>
  <c r="GF112" i="7"/>
  <c r="GG112" i="7"/>
  <c r="GB113" i="7"/>
  <c r="GC113" i="7"/>
  <c r="GD113" i="7"/>
  <c r="GE113" i="7"/>
  <c r="GF113" i="7"/>
  <c r="GG113" i="7"/>
  <c r="GB114" i="7"/>
  <c r="GC114" i="7"/>
  <c r="GD114" i="7"/>
  <c r="GE114" i="7"/>
  <c r="GF114" i="7"/>
  <c r="GG114" i="7"/>
  <c r="GB115" i="7"/>
  <c r="GC115" i="7"/>
  <c r="GD115" i="7"/>
  <c r="GE115" i="7"/>
  <c r="GF115" i="7"/>
  <c r="GG115" i="7"/>
  <c r="GB116" i="7"/>
  <c r="GC116" i="7"/>
  <c r="GD116" i="7"/>
  <c r="GE116" i="7"/>
  <c r="GF116" i="7"/>
  <c r="GG116" i="7"/>
  <c r="GB118" i="7"/>
  <c r="GC118" i="7"/>
  <c r="GD118" i="7"/>
  <c r="GE118" i="7"/>
  <c r="GF118" i="7"/>
  <c r="GG118" i="7"/>
  <c r="GB119" i="7"/>
  <c r="GC119" i="7"/>
  <c r="GD119" i="7"/>
  <c r="GE119" i="7"/>
  <c r="GF119" i="7"/>
  <c r="GG119" i="7"/>
  <c r="GB120" i="7"/>
  <c r="GC120" i="7"/>
  <c r="GD120" i="7"/>
  <c r="GE120" i="7"/>
  <c r="GF120" i="7"/>
  <c r="GG120" i="7"/>
  <c r="GB121" i="7"/>
  <c r="GC121" i="7"/>
  <c r="GD121" i="7"/>
  <c r="GE121" i="7"/>
  <c r="GF121" i="7"/>
  <c r="GG121" i="7"/>
  <c r="GB122" i="7"/>
  <c r="GC122" i="7"/>
  <c r="GD122" i="7"/>
  <c r="GE122" i="7"/>
  <c r="GF122" i="7"/>
  <c r="GG122" i="7"/>
  <c r="GB123" i="7"/>
  <c r="GC123" i="7"/>
  <c r="GD123" i="7"/>
  <c r="GE123" i="7"/>
  <c r="GF123" i="7"/>
  <c r="GG123" i="7"/>
  <c r="GB124" i="7"/>
  <c r="GC124" i="7"/>
  <c r="GD124" i="7"/>
  <c r="GE124" i="7"/>
  <c r="GF124" i="7"/>
  <c r="GG124" i="7"/>
  <c r="GB125" i="7"/>
  <c r="GC125" i="7"/>
  <c r="GD125" i="7"/>
  <c r="GE125" i="7"/>
  <c r="GF125" i="7"/>
  <c r="GG125" i="7"/>
  <c r="GB126" i="7"/>
  <c r="GC126" i="7"/>
  <c r="GD126" i="7"/>
  <c r="GE126" i="7"/>
  <c r="GF126" i="7"/>
  <c r="GG126" i="7"/>
  <c r="GB127" i="7"/>
  <c r="GC127" i="7"/>
  <c r="GD127" i="7"/>
  <c r="GE127" i="7"/>
  <c r="GF127" i="7"/>
  <c r="GG127" i="7"/>
  <c r="GB128" i="7"/>
  <c r="GC128" i="7"/>
  <c r="GD128" i="7"/>
  <c r="GE128" i="7"/>
  <c r="GF128" i="7"/>
  <c r="GG128" i="7"/>
  <c r="GB129" i="7"/>
  <c r="GC129" i="7"/>
  <c r="GD129" i="7"/>
  <c r="GE129" i="7"/>
  <c r="GF129" i="7"/>
  <c r="GG129" i="7"/>
  <c r="GB130" i="7"/>
  <c r="GC130" i="7"/>
  <c r="GD130" i="7"/>
  <c r="GE130" i="7"/>
  <c r="GF130" i="7"/>
  <c r="GG130" i="7"/>
  <c r="GB131" i="7"/>
  <c r="GC131" i="7"/>
  <c r="GD131" i="7"/>
  <c r="GE131" i="7"/>
  <c r="GF131" i="7"/>
  <c r="GG131" i="7"/>
  <c r="GB132" i="7"/>
  <c r="GC132" i="7"/>
  <c r="GD132" i="7"/>
  <c r="GE132" i="7"/>
  <c r="GF132" i="7"/>
  <c r="GG132" i="7"/>
  <c r="GB150" i="7"/>
  <c r="GC150" i="7"/>
  <c r="GD150" i="7"/>
  <c r="GE150" i="7"/>
  <c r="GF150" i="7"/>
  <c r="GG150" i="7"/>
  <c r="GB151" i="7"/>
  <c r="GC151" i="7"/>
  <c r="GD151" i="7"/>
  <c r="GE151" i="7"/>
  <c r="GF151" i="7"/>
  <c r="GG151" i="7"/>
  <c r="GB152" i="7"/>
  <c r="GC152" i="7"/>
  <c r="GD152" i="7"/>
  <c r="GE152" i="7"/>
  <c r="GF152" i="7"/>
  <c r="GG152" i="7"/>
  <c r="DU153" i="7"/>
  <c r="DV153" i="7"/>
  <c r="DW153" i="7"/>
  <c r="DX153" i="7"/>
  <c r="DY153" i="7"/>
  <c r="DZ153" i="7"/>
  <c r="EA153" i="7"/>
  <c r="EB153" i="7"/>
  <c r="EC153" i="7"/>
  <c r="ED153" i="7"/>
  <c r="EE153" i="7"/>
  <c r="EF153" i="7"/>
  <c r="DG153" i="7"/>
  <c r="DH153" i="7"/>
  <c r="DI153" i="7"/>
  <c r="DJ153" i="7"/>
  <c r="DK153" i="7"/>
  <c r="DL153" i="7"/>
  <c r="DM153" i="7"/>
  <c r="DN153" i="7"/>
  <c r="DO153" i="7"/>
  <c r="DP153" i="7"/>
  <c r="DQ153" i="7"/>
  <c r="DR153" i="7"/>
  <c r="CS153" i="7"/>
  <c r="CT153" i="7"/>
  <c r="CU153" i="7"/>
  <c r="CV153" i="7"/>
  <c r="CW153" i="7"/>
  <c r="CX153" i="7"/>
  <c r="CY153" i="7"/>
  <c r="CZ153" i="7"/>
  <c r="DA153" i="7"/>
  <c r="DB153" i="7"/>
  <c r="DC153" i="7"/>
  <c r="DD153" i="7"/>
  <c r="GX87" i="7"/>
  <c r="GX88" i="7"/>
  <c r="GX89" i="7"/>
  <c r="GX90" i="7"/>
  <c r="GX91" i="7"/>
  <c r="GX92" i="7"/>
  <c r="GX93" i="7"/>
  <c r="GX94" i="7"/>
  <c r="GX95" i="7"/>
  <c r="GX96" i="7"/>
  <c r="GX97" i="7"/>
  <c r="GX98" i="7"/>
  <c r="GX99" i="7"/>
  <c r="GX100" i="7"/>
  <c r="GX101" i="7"/>
  <c r="GX102" i="7"/>
  <c r="GX103" i="7"/>
  <c r="GX104" i="7"/>
  <c r="GX105" i="7"/>
  <c r="GX106" i="7"/>
  <c r="GX107" i="7"/>
  <c r="GX108" i="7"/>
  <c r="GX109" i="7"/>
  <c r="GX110" i="7"/>
  <c r="GX111" i="7"/>
  <c r="GX112" i="7"/>
  <c r="GX113" i="7"/>
  <c r="GX114" i="7"/>
  <c r="GX115" i="7"/>
  <c r="GX116" i="7"/>
  <c r="GX118" i="7"/>
  <c r="GX119" i="7"/>
  <c r="GX120" i="7"/>
  <c r="GX121" i="7"/>
  <c r="GX122" i="7"/>
  <c r="GX123" i="7"/>
  <c r="GX124" i="7"/>
  <c r="GX125" i="7"/>
  <c r="GX126" i="7"/>
  <c r="GX127" i="7"/>
  <c r="GX128" i="7"/>
  <c r="GX129" i="7"/>
  <c r="GX130" i="7"/>
  <c r="GX131" i="7"/>
  <c r="GX132" i="7"/>
  <c r="GX134" i="7"/>
  <c r="GX135" i="7"/>
  <c r="GX136" i="7"/>
  <c r="GX137" i="7"/>
  <c r="GX138" i="7"/>
  <c r="GX139" i="7"/>
  <c r="GX140" i="7"/>
  <c r="GX141" i="7"/>
  <c r="GX142" i="7"/>
  <c r="GX143" i="7"/>
  <c r="GX144" i="7"/>
  <c r="GX145" i="7"/>
  <c r="GX146" i="7"/>
  <c r="GX147" i="7"/>
  <c r="GX148" i="7"/>
  <c r="GX150" i="7"/>
  <c r="GX151" i="7"/>
  <c r="GX152" i="7"/>
  <c r="EG150" i="7"/>
  <c r="EG151" i="7"/>
  <c r="EG152" i="7"/>
  <c r="DS150" i="7"/>
  <c r="DS151" i="7"/>
  <c r="DS152" i="7"/>
  <c r="DE150" i="7"/>
  <c r="DE151" i="7"/>
  <c r="DE152" i="7"/>
  <c r="BP87" i="7"/>
  <c r="BP88" i="7"/>
  <c r="BP89" i="7"/>
  <c r="BP90" i="7"/>
  <c r="BP91" i="7"/>
  <c r="BP92" i="7"/>
  <c r="BP93" i="7"/>
  <c r="BP94" i="7"/>
  <c r="BP95" i="7"/>
  <c r="BP96" i="7"/>
  <c r="BP97" i="7"/>
  <c r="BP98" i="7"/>
  <c r="BP99" i="7"/>
  <c r="BP100" i="7"/>
  <c r="BP101" i="7"/>
  <c r="BP102" i="7"/>
  <c r="BP103" i="7"/>
  <c r="BP104" i="7"/>
  <c r="BP105" i="7"/>
  <c r="BP106" i="7"/>
  <c r="BP107" i="7"/>
  <c r="BP108" i="7"/>
  <c r="BP109" i="7"/>
  <c r="BP110" i="7"/>
  <c r="BP111" i="7"/>
  <c r="BP112" i="7"/>
  <c r="BP113" i="7"/>
  <c r="BP114" i="7"/>
  <c r="BP115" i="7"/>
  <c r="BP116" i="7"/>
  <c r="BP118" i="7"/>
  <c r="BP119" i="7"/>
  <c r="BP120" i="7"/>
  <c r="BP121" i="7"/>
  <c r="BP122" i="7"/>
  <c r="BP123" i="7"/>
  <c r="BP124" i="7"/>
  <c r="BP125" i="7"/>
  <c r="BP126" i="7"/>
  <c r="BP127" i="7"/>
  <c r="BP128" i="7"/>
  <c r="BP129" i="7"/>
  <c r="BP130" i="7"/>
  <c r="BP131" i="7"/>
  <c r="BP132" i="7"/>
  <c r="BP134" i="7"/>
  <c r="BP135" i="7"/>
  <c r="BP136" i="7"/>
  <c r="BP137" i="7"/>
  <c r="BP138" i="7"/>
  <c r="BP139" i="7"/>
  <c r="BP140" i="7"/>
  <c r="BP141" i="7"/>
  <c r="BP142" i="7"/>
  <c r="BP143" i="7"/>
  <c r="BP144" i="7"/>
  <c r="BP145" i="7"/>
  <c r="BP146" i="7"/>
  <c r="BP147" i="7"/>
  <c r="BP148" i="7"/>
  <c r="BP150" i="7"/>
  <c r="BP151" i="7"/>
  <c r="BP152" i="7"/>
  <c r="BH102" i="7"/>
  <c r="BH103" i="7"/>
  <c r="BH104" i="7"/>
  <c r="BH105" i="7"/>
  <c r="BH106" i="7"/>
  <c r="BH107" i="7"/>
  <c r="BH108" i="7"/>
  <c r="BH109" i="7"/>
  <c r="BH110" i="7"/>
  <c r="BH111" i="7"/>
  <c r="BH112" i="7"/>
  <c r="BH113" i="7"/>
  <c r="BH114" i="7"/>
  <c r="BH115" i="7"/>
  <c r="BH116" i="7"/>
  <c r="BH118" i="7"/>
  <c r="BH119" i="7"/>
  <c r="BH120" i="7"/>
  <c r="BH121" i="7"/>
  <c r="BH122" i="7"/>
  <c r="BH123" i="7"/>
  <c r="BH124" i="7"/>
  <c r="BH125" i="7"/>
  <c r="BH126" i="7"/>
  <c r="BH127" i="7"/>
  <c r="BH128" i="7"/>
  <c r="BH129" i="7"/>
  <c r="BH130" i="7"/>
  <c r="BH131" i="7"/>
  <c r="BH132" i="7"/>
  <c r="BH150" i="7"/>
  <c r="BH151" i="7"/>
  <c r="BH152" i="7"/>
  <c r="AZ102" i="7"/>
  <c r="AZ103" i="7"/>
  <c r="AZ104" i="7"/>
  <c r="AZ105" i="7"/>
  <c r="AZ106" i="7"/>
  <c r="AZ107" i="7"/>
  <c r="AZ108" i="7"/>
  <c r="AZ109" i="7"/>
  <c r="AZ110" i="7"/>
  <c r="AZ111" i="7"/>
  <c r="AZ112" i="7"/>
  <c r="AZ113" i="7"/>
  <c r="AZ114" i="7"/>
  <c r="AZ115" i="7"/>
  <c r="AZ116" i="7"/>
  <c r="AZ118" i="7"/>
  <c r="AZ119" i="7"/>
  <c r="AZ120" i="7"/>
  <c r="AZ121" i="7"/>
  <c r="AZ122" i="7"/>
  <c r="AZ123" i="7"/>
  <c r="AZ124" i="7"/>
  <c r="AZ125" i="7"/>
  <c r="AZ126" i="7"/>
  <c r="AZ127" i="7"/>
  <c r="AZ128" i="7"/>
  <c r="AZ129" i="7"/>
  <c r="AZ130" i="7"/>
  <c r="AZ131" i="7"/>
  <c r="AZ132" i="7"/>
  <c r="AZ150" i="7"/>
  <c r="AZ151" i="7"/>
  <c r="AZ152" i="7"/>
  <c r="AR102" i="7"/>
  <c r="AR103" i="7"/>
  <c r="AR104" i="7"/>
  <c r="AR105" i="7"/>
  <c r="AR106" i="7"/>
  <c r="AR107" i="7"/>
  <c r="AR108" i="7"/>
  <c r="AR109" i="7"/>
  <c r="AR110" i="7"/>
  <c r="AR111" i="7"/>
  <c r="AR112" i="7"/>
  <c r="AR113" i="7"/>
  <c r="AR114" i="7"/>
  <c r="AR115" i="7"/>
  <c r="AR116" i="7"/>
  <c r="AR118" i="7"/>
  <c r="AR119" i="7"/>
  <c r="AR120" i="7"/>
  <c r="AR121" i="7"/>
  <c r="AR122" i="7"/>
  <c r="AR123" i="7"/>
  <c r="AR124" i="7"/>
  <c r="AR125" i="7"/>
  <c r="AR126" i="7"/>
  <c r="AR127" i="7"/>
  <c r="AR128" i="7"/>
  <c r="AR129" i="7"/>
  <c r="AR130" i="7"/>
  <c r="AR131" i="7"/>
  <c r="AR132" i="7"/>
  <c r="AR150" i="7"/>
  <c r="AR151" i="7"/>
  <c r="AR152" i="7"/>
  <c r="AJ102" i="7"/>
  <c r="AJ103" i="7"/>
  <c r="AJ104" i="7"/>
  <c r="AJ105" i="7"/>
  <c r="AJ106" i="7"/>
  <c r="AJ107" i="7"/>
  <c r="AJ108" i="7"/>
  <c r="AJ109" i="7"/>
  <c r="AJ110" i="7"/>
  <c r="AJ111" i="7"/>
  <c r="AJ112" i="7"/>
  <c r="AJ113" i="7"/>
  <c r="AJ114" i="7"/>
  <c r="AJ115" i="7"/>
  <c r="AJ116" i="7"/>
  <c r="AJ118" i="7"/>
  <c r="AJ119" i="7"/>
  <c r="AJ120" i="7"/>
  <c r="AJ121" i="7"/>
  <c r="AJ122" i="7"/>
  <c r="AJ123" i="7"/>
  <c r="AJ124" i="7"/>
  <c r="AJ125" i="7"/>
  <c r="AJ126" i="7"/>
  <c r="AJ127" i="7"/>
  <c r="AJ128" i="7"/>
  <c r="AJ129" i="7"/>
  <c r="AJ130" i="7"/>
  <c r="AJ131" i="7"/>
  <c r="AJ132" i="7"/>
  <c r="AJ150" i="7"/>
  <c r="AJ151" i="7"/>
  <c r="AJ152" i="7"/>
  <c r="AB102" i="7"/>
  <c r="AB103" i="7"/>
  <c r="AB104" i="7"/>
  <c r="AB105" i="7"/>
  <c r="AB106" i="7"/>
  <c r="AB107" i="7"/>
  <c r="AB108" i="7"/>
  <c r="AB109" i="7"/>
  <c r="AB110" i="7"/>
  <c r="AB111" i="7"/>
  <c r="AB112" i="7"/>
  <c r="AB113" i="7"/>
  <c r="AB114" i="7"/>
  <c r="AB115" i="7"/>
  <c r="AB116" i="7"/>
  <c r="AB118" i="7"/>
  <c r="AB119" i="7"/>
  <c r="AB120" i="7"/>
  <c r="AB121" i="7"/>
  <c r="AB122" i="7"/>
  <c r="AB123" i="7"/>
  <c r="AB124" i="7"/>
  <c r="AB125" i="7"/>
  <c r="AB126" i="7"/>
  <c r="AB127" i="7"/>
  <c r="AB128" i="7"/>
  <c r="AB129" i="7"/>
  <c r="AB130" i="7"/>
  <c r="AB131" i="7"/>
  <c r="AB132" i="7"/>
  <c r="AB150" i="7"/>
  <c r="AB151" i="7"/>
  <c r="AB152" i="7"/>
  <c r="T102" i="7"/>
  <c r="T103" i="7"/>
  <c r="T104" i="7"/>
  <c r="T105" i="7"/>
  <c r="T106" i="7"/>
  <c r="T107" i="7"/>
  <c r="T108" i="7"/>
  <c r="T109" i="7"/>
  <c r="T110" i="7"/>
  <c r="T111" i="7"/>
  <c r="T112" i="7"/>
  <c r="T113" i="7"/>
  <c r="T114" i="7"/>
  <c r="T115" i="7"/>
  <c r="T116" i="7"/>
  <c r="T118" i="7"/>
  <c r="T119" i="7"/>
  <c r="T120" i="7"/>
  <c r="T121" i="7"/>
  <c r="T122" i="7"/>
  <c r="T123" i="7"/>
  <c r="T124" i="7"/>
  <c r="T125" i="7"/>
  <c r="T126" i="7"/>
  <c r="T127" i="7"/>
  <c r="T128" i="7"/>
  <c r="T129" i="7"/>
  <c r="T130" i="7"/>
  <c r="T131" i="7"/>
  <c r="T132" i="7"/>
  <c r="T150" i="7"/>
  <c r="T151" i="7"/>
  <c r="T152" i="7"/>
  <c r="GR149" i="7"/>
  <c r="GS149" i="7"/>
  <c r="GT149" i="7"/>
  <c r="GU149" i="7"/>
  <c r="GV149" i="7"/>
  <c r="GW149" i="7"/>
  <c r="BJ149" i="7"/>
  <c r="BK149" i="7"/>
  <c r="BL149" i="7"/>
  <c r="BM149" i="7"/>
  <c r="BN149" i="7"/>
  <c r="BO149" i="7"/>
  <c r="EG148" i="7"/>
  <c r="DS148" i="7"/>
  <c r="DE148" i="7"/>
  <c r="C134" i="7"/>
  <c r="EK134" i="7" s="1"/>
  <c r="C135" i="7"/>
  <c r="EK135" i="7" s="1"/>
  <c r="C136" i="7"/>
  <c r="EK136" i="7" s="1"/>
  <c r="C137" i="7"/>
  <c r="EK137" i="7" s="1"/>
  <c r="C138" i="7"/>
  <c r="EK138" i="7" s="1"/>
  <c r="C139" i="7"/>
  <c r="EK139" i="7" s="1"/>
  <c r="C140" i="7"/>
  <c r="EK140" i="7" s="1"/>
  <c r="C141" i="7"/>
  <c r="EK141" i="7" s="1"/>
  <c r="C142" i="7"/>
  <c r="EK142" i="7" s="1"/>
  <c r="C143" i="7"/>
  <c r="EK143" i="7" s="1"/>
  <c r="C144" i="7"/>
  <c r="EK144" i="7" s="1"/>
  <c r="C145" i="7"/>
  <c r="EK145" i="7" s="1"/>
  <c r="C146" i="7"/>
  <c r="EK146" i="7" s="1"/>
  <c r="C147" i="7"/>
  <c r="EK147" i="7" s="1"/>
  <c r="C148" i="7"/>
  <c r="EK148" i="7" s="1"/>
  <c r="EG87" i="7"/>
  <c r="EG88" i="7"/>
  <c r="EG89" i="7"/>
  <c r="EG90" i="7"/>
  <c r="EG91" i="7"/>
  <c r="EG92" i="7"/>
  <c r="EG93" i="7"/>
  <c r="EG94" i="7"/>
  <c r="EG95" i="7"/>
  <c r="EG96" i="7"/>
  <c r="EG97" i="7"/>
  <c r="EG98" i="7"/>
  <c r="EG99" i="7"/>
  <c r="EG100" i="7"/>
  <c r="EG101" i="7"/>
  <c r="EG102" i="7"/>
  <c r="EG103" i="7"/>
  <c r="EG104" i="7"/>
  <c r="EG105" i="7"/>
  <c r="EG106" i="7"/>
  <c r="EG107" i="7"/>
  <c r="EG108" i="7"/>
  <c r="EG109" i="7"/>
  <c r="EG110" i="7"/>
  <c r="EG111" i="7"/>
  <c r="EG112" i="7"/>
  <c r="EG113" i="7"/>
  <c r="EG114" i="7"/>
  <c r="EG115" i="7"/>
  <c r="EG116" i="7"/>
  <c r="EG118" i="7"/>
  <c r="EG119" i="7"/>
  <c r="EG120" i="7"/>
  <c r="EG121" i="7"/>
  <c r="EG122" i="7"/>
  <c r="EG123" i="7"/>
  <c r="EG124" i="7"/>
  <c r="EG125" i="7"/>
  <c r="EG126" i="7"/>
  <c r="EG127" i="7"/>
  <c r="EG128" i="7"/>
  <c r="EG129" i="7"/>
  <c r="EG130" i="7"/>
  <c r="EG131" i="7"/>
  <c r="EG132" i="7"/>
  <c r="EG134" i="7"/>
  <c r="EG135" i="7"/>
  <c r="EG136" i="7"/>
  <c r="DS87" i="7"/>
  <c r="DS88" i="7"/>
  <c r="DS89" i="7"/>
  <c r="DS90" i="7"/>
  <c r="DS91" i="7"/>
  <c r="DS92" i="7"/>
  <c r="DS93" i="7"/>
  <c r="DS94" i="7"/>
  <c r="DS95" i="7"/>
  <c r="DS96" i="7"/>
  <c r="DS97" i="7"/>
  <c r="DS98" i="7"/>
  <c r="DS99" i="7"/>
  <c r="DS100" i="7"/>
  <c r="DS101" i="7"/>
  <c r="DS102" i="7"/>
  <c r="DS103" i="7"/>
  <c r="DS104" i="7"/>
  <c r="DS105" i="7"/>
  <c r="DS106" i="7"/>
  <c r="DS107" i="7"/>
  <c r="DS108" i="7"/>
  <c r="DS109" i="7"/>
  <c r="DS110" i="7"/>
  <c r="DS111" i="7"/>
  <c r="DS112" i="7"/>
  <c r="DS113" i="7"/>
  <c r="DS114" i="7"/>
  <c r="DS115" i="7"/>
  <c r="DS116" i="7"/>
  <c r="DS118" i="7"/>
  <c r="DS119" i="7"/>
  <c r="DS120" i="7"/>
  <c r="DS121" i="7"/>
  <c r="DS122" i="7"/>
  <c r="DS123" i="7"/>
  <c r="DS124" i="7"/>
  <c r="DS125" i="7"/>
  <c r="DS126" i="7"/>
  <c r="DS127" i="7"/>
  <c r="DS128" i="7"/>
  <c r="DS129" i="7"/>
  <c r="DS130" i="7"/>
  <c r="DS131" i="7"/>
  <c r="DS132" i="7"/>
  <c r="DS134" i="7"/>
  <c r="DS135" i="7"/>
  <c r="DS136" i="7"/>
  <c r="DE87" i="7"/>
  <c r="DE88" i="7"/>
  <c r="DE89" i="7"/>
  <c r="DE90" i="7"/>
  <c r="DE91" i="7"/>
  <c r="DE92" i="7"/>
  <c r="DE93" i="7"/>
  <c r="DE94" i="7"/>
  <c r="DE95" i="7"/>
  <c r="DE96" i="7"/>
  <c r="DE97" i="7"/>
  <c r="DE98" i="7"/>
  <c r="DE99" i="7"/>
  <c r="DE100" i="7"/>
  <c r="DE101" i="7"/>
  <c r="DE102" i="7"/>
  <c r="DE103" i="7"/>
  <c r="DE104" i="7"/>
  <c r="DE105" i="7"/>
  <c r="DE106" i="7"/>
  <c r="DE107" i="7"/>
  <c r="DE108" i="7"/>
  <c r="DE109" i="7"/>
  <c r="DE110" i="7"/>
  <c r="DE111" i="7"/>
  <c r="DE112" i="7"/>
  <c r="DE113" i="7"/>
  <c r="DE114" i="7"/>
  <c r="DE115" i="7"/>
  <c r="DE116" i="7"/>
  <c r="DE118" i="7"/>
  <c r="DE119" i="7"/>
  <c r="DE120" i="7"/>
  <c r="DE121" i="7"/>
  <c r="DE122" i="7"/>
  <c r="DE123" i="7"/>
  <c r="DE124" i="7"/>
  <c r="DE125" i="7"/>
  <c r="DE126" i="7"/>
  <c r="DE127" i="7"/>
  <c r="DE128" i="7"/>
  <c r="DE129" i="7"/>
  <c r="DE130" i="7"/>
  <c r="DE131" i="7"/>
  <c r="DE132" i="7"/>
  <c r="DE134" i="7"/>
  <c r="DE135" i="7"/>
  <c r="DE136" i="7"/>
  <c r="GR133" i="7"/>
  <c r="GS133" i="7"/>
  <c r="GT133" i="7"/>
  <c r="GU133" i="7"/>
  <c r="GV133" i="7"/>
  <c r="GW133" i="7"/>
  <c r="DU133" i="7"/>
  <c r="DV133" i="7"/>
  <c r="DW133" i="7"/>
  <c r="DX133" i="7"/>
  <c r="DY133" i="7"/>
  <c r="DZ133" i="7"/>
  <c r="EA133" i="7"/>
  <c r="EB133" i="7"/>
  <c r="EC133" i="7"/>
  <c r="ED133" i="7"/>
  <c r="EE133" i="7"/>
  <c r="EF133" i="7"/>
  <c r="DG133" i="7"/>
  <c r="DH133" i="7"/>
  <c r="DI133" i="7"/>
  <c r="DJ133" i="7"/>
  <c r="DK133" i="7"/>
  <c r="DL133" i="7"/>
  <c r="DM133" i="7"/>
  <c r="DN133" i="7"/>
  <c r="DO133" i="7"/>
  <c r="DP133" i="7"/>
  <c r="DQ133" i="7"/>
  <c r="DR133" i="7"/>
  <c r="CS133" i="7"/>
  <c r="CT133" i="7"/>
  <c r="CU133" i="7"/>
  <c r="CV133" i="7"/>
  <c r="CW133" i="7"/>
  <c r="CX133" i="7"/>
  <c r="CY133" i="7"/>
  <c r="CZ133" i="7"/>
  <c r="DA133" i="7"/>
  <c r="DB133" i="7"/>
  <c r="DC133" i="7"/>
  <c r="DD133" i="7"/>
  <c r="BJ133" i="7"/>
  <c r="BK133" i="7"/>
  <c r="BL133" i="7"/>
  <c r="BM133" i="7"/>
  <c r="BN133" i="7"/>
  <c r="BO133" i="7"/>
  <c r="BB133" i="7"/>
  <c r="BC133" i="7"/>
  <c r="BD133" i="7"/>
  <c r="BE133" i="7"/>
  <c r="BF133" i="7"/>
  <c r="BG133" i="7"/>
  <c r="AT133" i="7"/>
  <c r="AU133" i="7"/>
  <c r="AV133" i="7"/>
  <c r="AW133" i="7"/>
  <c r="AX133" i="7"/>
  <c r="AY133" i="7"/>
  <c r="AL133" i="7"/>
  <c r="AM133" i="7"/>
  <c r="AN133" i="7"/>
  <c r="AO133" i="7"/>
  <c r="AP133" i="7"/>
  <c r="AQ133" i="7"/>
  <c r="AD133" i="7"/>
  <c r="AE133" i="7"/>
  <c r="AF133" i="7"/>
  <c r="AG133" i="7"/>
  <c r="AH133" i="7"/>
  <c r="AI133" i="7"/>
  <c r="V133" i="7"/>
  <c r="W133" i="7"/>
  <c r="X133" i="7"/>
  <c r="Y133" i="7"/>
  <c r="Z133" i="7"/>
  <c r="AA133" i="7"/>
  <c r="N133" i="7"/>
  <c r="O133" i="7"/>
  <c r="P133" i="7"/>
  <c r="Q133" i="7"/>
  <c r="R133" i="7"/>
  <c r="S133" i="7"/>
  <c r="GR117" i="7"/>
  <c r="GS117" i="7"/>
  <c r="GT117" i="7"/>
  <c r="GU117" i="7"/>
  <c r="GV117" i="7"/>
  <c r="GW117" i="7"/>
  <c r="DU117" i="7"/>
  <c r="DV117" i="7"/>
  <c r="DW117" i="7"/>
  <c r="DX117" i="7"/>
  <c r="DY117" i="7"/>
  <c r="DZ117" i="7"/>
  <c r="EA117" i="7"/>
  <c r="EB117" i="7"/>
  <c r="EC117" i="7"/>
  <c r="ED117" i="7"/>
  <c r="EE117" i="7"/>
  <c r="EF117" i="7"/>
  <c r="DG117" i="7"/>
  <c r="DH117" i="7"/>
  <c r="DI117" i="7"/>
  <c r="DJ117" i="7"/>
  <c r="DK117" i="7"/>
  <c r="DL117" i="7"/>
  <c r="DM117" i="7"/>
  <c r="DN117" i="7"/>
  <c r="DO117" i="7"/>
  <c r="DP117" i="7"/>
  <c r="DQ117" i="7"/>
  <c r="DR117" i="7"/>
  <c r="CS117" i="7"/>
  <c r="CT117" i="7"/>
  <c r="CU117" i="7"/>
  <c r="CV117" i="7"/>
  <c r="CW117" i="7"/>
  <c r="CX117" i="7"/>
  <c r="CY117" i="7"/>
  <c r="CZ117" i="7"/>
  <c r="DA117" i="7"/>
  <c r="DB117" i="7"/>
  <c r="DC117" i="7"/>
  <c r="DD117" i="7"/>
  <c r="BJ117" i="7"/>
  <c r="BK117" i="7"/>
  <c r="BL117" i="7"/>
  <c r="BM117" i="7"/>
  <c r="BN117" i="7"/>
  <c r="BO117" i="7"/>
  <c r="EJ87" i="7"/>
  <c r="EJ102" i="7"/>
  <c r="B87" i="7"/>
  <c r="B102" i="7"/>
  <c r="CM88" i="7"/>
  <c r="CN88" i="7"/>
  <c r="CO88" i="7"/>
  <c r="GR82" i="7"/>
  <c r="GS82" i="7"/>
  <c r="GT82" i="7"/>
  <c r="GU82" i="7"/>
  <c r="GV82" i="7"/>
  <c r="GW82" i="7"/>
  <c r="GJ62" i="7"/>
  <c r="GK62" i="7"/>
  <c r="GL62" i="7"/>
  <c r="GM62" i="7"/>
  <c r="GN62" i="7"/>
  <c r="GO62" i="7"/>
  <c r="GJ79" i="7"/>
  <c r="GK79" i="7"/>
  <c r="GL79" i="7"/>
  <c r="GM79" i="7"/>
  <c r="GN79" i="7"/>
  <c r="GO79" i="7"/>
  <c r="GJ80" i="7"/>
  <c r="GK80" i="7"/>
  <c r="GL80" i="7"/>
  <c r="GM80" i="7"/>
  <c r="GN80" i="7"/>
  <c r="GO80" i="7"/>
  <c r="GJ81" i="7"/>
  <c r="GK81" i="7"/>
  <c r="GL81" i="7"/>
  <c r="GM81" i="7"/>
  <c r="GN81" i="7"/>
  <c r="GO81" i="7"/>
  <c r="GB47" i="7"/>
  <c r="GC47" i="7"/>
  <c r="GD47" i="7"/>
  <c r="GE47" i="7"/>
  <c r="GF47" i="7"/>
  <c r="GG47" i="7"/>
  <c r="GB48" i="7"/>
  <c r="GC48" i="7"/>
  <c r="GD48" i="7"/>
  <c r="GE48" i="7"/>
  <c r="GF48" i="7"/>
  <c r="GG48" i="7"/>
  <c r="GB49" i="7"/>
  <c r="GC49" i="7"/>
  <c r="GD49" i="7"/>
  <c r="GE49" i="7"/>
  <c r="GF49" i="7"/>
  <c r="GG49" i="7"/>
  <c r="GB50" i="7"/>
  <c r="GC50" i="7"/>
  <c r="GD50" i="7"/>
  <c r="GE50" i="7"/>
  <c r="GF50" i="7"/>
  <c r="GG50" i="7"/>
  <c r="GB51" i="7"/>
  <c r="GC51" i="7"/>
  <c r="GD51" i="7"/>
  <c r="GE51" i="7"/>
  <c r="GF51" i="7"/>
  <c r="GG51" i="7"/>
  <c r="GB52" i="7"/>
  <c r="GC52" i="7"/>
  <c r="GD52" i="7"/>
  <c r="GE52" i="7"/>
  <c r="GF52" i="7"/>
  <c r="GG52" i="7"/>
  <c r="GB53" i="7"/>
  <c r="GC53" i="7"/>
  <c r="GD53" i="7"/>
  <c r="GE53" i="7"/>
  <c r="GF53" i="7"/>
  <c r="GG53" i="7"/>
  <c r="GB54" i="7"/>
  <c r="GC54" i="7"/>
  <c r="GD54" i="7"/>
  <c r="GE54" i="7"/>
  <c r="GF54" i="7"/>
  <c r="GG54" i="7"/>
  <c r="GB55" i="7"/>
  <c r="GC55" i="7"/>
  <c r="GD55" i="7"/>
  <c r="GE55" i="7"/>
  <c r="GF55" i="7"/>
  <c r="GG55" i="7"/>
  <c r="GB56" i="7"/>
  <c r="GC56" i="7"/>
  <c r="GD56" i="7"/>
  <c r="GE56" i="7"/>
  <c r="GF56" i="7"/>
  <c r="GG56" i="7"/>
  <c r="GB57" i="7"/>
  <c r="GC57" i="7"/>
  <c r="GD57" i="7"/>
  <c r="GE57" i="7"/>
  <c r="GF57" i="7"/>
  <c r="GG57" i="7"/>
  <c r="GB58" i="7"/>
  <c r="GC58" i="7"/>
  <c r="GD58" i="7"/>
  <c r="GE58" i="7"/>
  <c r="GF58" i="7"/>
  <c r="GG58" i="7"/>
  <c r="GB59" i="7"/>
  <c r="GC59" i="7"/>
  <c r="GD59" i="7"/>
  <c r="GE59" i="7"/>
  <c r="GF59" i="7"/>
  <c r="GG59" i="7"/>
  <c r="GB60" i="7"/>
  <c r="GC60" i="7"/>
  <c r="GD60" i="7"/>
  <c r="GE60" i="7"/>
  <c r="GF60" i="7"/>
  <c r="GG60" i="7"/>
  <c r="GB61" i="7"/>
  <c r="GC61" i="7"/>
  <c r="GD61" i="7"/>
  <c r="GE61" i="7"/>
  <c r="GF61" i="7"/>
  <c r="GG61" i="7"/>
  <c r="GB79" i="7"/>
  <c r="GC79" i="7"/>
  <c r="GD79" i="7"/>
  <c r="GE79" i="7"/>
  <c r="GF79" i="7"/>
  <c r="GG79" i="7"/>
  <c r="GB80" i="7"/>
  <c r="GC80" i="7"/>
  <c r="GD80" i="7"/>
  <c r="GE80" i="7"/>
  <c r="GF80" i="7"/>
  <c r="GG80" i="7"/>
  <c r="GB81" i="7"/>
  <c r="GC81" i="7"/>
  <c r="GD81" i="7"/>
  <c r="GE81" i="7"/>
  <c r="GF81" i="7"/>
  <c r="GG81" i="7"/>
  <c r="FT47" i="7"/>
  <c r="FU47" i="7"/>
  <c r="FV47" i="7"/>
  <c r="FW47" i="7"/>
  <c r="FX47" i="7"/>
  <c r="FY47" i="7"/>
  <c r="FT48" i="7"/>
  <c r="FU48" i="7"/>
  <c r="FV48" i="7"/>
  <c r="FW48" i="7"/>
  <c r="FX48" i="7"/>
  <c r="FY48" i="7"/>
  <c r="FT49" i="7"/>
  <c r="FU49" i="7"/>
  <c r="FV49" i="7"/>
  <c r="FW49" i="7"/>
  <c r="FX49" i="7"/>
  <c r="FY49" i="7"/>
  <c r="FT50" i="7"/>
  <c r="FU50" i="7"/>
  <c r="FV50" i="7"/>
  <c r="FW50" i="7"/>
  <c r="FX50" i="7"/>
  <c r="FY50" i="7"/>
  <c r="FT51" i="7"/>
  <c r="FU51" i="7"/>
  <c r="FV51" i="7"/>
  <c r="FW51" i="7"/>
  <c r="FX51" i="7"/>
  <c r="FY51" i="7"/>
  <c r="FT52" i="7"/>
  <c r="FU52" i="7"/>
  <c r="FV52" i="7"/>
  <c r="FW52" i="7"/>
  <c r="FX52" i="7"/>
  <c r="FY52" i="7"/>
  <c r="FT53" i="7"/>
  <c r="FU53" i="7"/>
  <c r="FV53" i="7"/>
  <c r="FW53" i="7"/>
  <c r="FX53" i="7"/>
  <c r="FY53" i="7"/>
  <c r="FT54" i="7"/>
  <c r="FU54" i="7"/>
  <c r="FV54" i="7"/>
  <c r="FW54" i="7"/>
  <c r="FX54" i="7"/>
  <c r="FY54" i="7"/>
  <c r="FT55" i="7"/>
  <c r="FU55" i="7"/>
  <c r="FV55" i="7"/>
  <c r="FW55" i="7"/>
  <c r="FX55" i="7"/>
  <c r="FY55" i="7"/>
  <c r="FT56" i="7"/>
  <c r="FU56" i="7"/>
  <c r="FV56" i="7"/>
  <c r="FW56" i="7"/>
  <c r="FX56" i="7"/>
  <c r="FY56" i="7"/>
  <c r="FT57" i="7"/>
  <c r="FU57" i="7"/>
  <c r="FV57" i="7"/>
  <c r="FW57" i="7"/>
  <c r="FX57" i="7"/>
  <c r="FY57" i="7"/>
  <c r="FT58" i="7"/>
  <c r="FU58" i="7"/>
  <c r="FV58" i="7"/>
  <c r="FW58" i="7"/>
  <c r="FX58" i="7"/>
  <c r="FY58" i="7"/>
  <c r="FT59" i="7"/>
  <c r="FU59" i="7"/>
  <c r="FV59" i="7"/>
  <c r="FW59" i="7"/>
  <c r="FX59" i="7"/>
  <c r="FY59" i="7"/>
  <c r="FT60" i="7"/>
  <c r="FU60" i="7"/>
  <c r="FV60" i="7"/>
  <c r="FW60" i="7"/>
  <c r="FX60" i="7"/>
  <c r="FY60" i="7"/>
  <c r="FT61" i="7"/>
  <c r="FU61" i="7"/>
  <c r="FV61" i="7"/>
  <c r="FW61" i="7"/>
  <c r="FX61" i="7"/>
  <c r="FY61" i="7"/>
  <c r="FT79" i="7"/>
  <c r="FU79" i="7"/>
  <c r="FV79" i="7"/>
  <c r="FW79" i="7"/>
  <c r="FX79" i="7"/>
  <c r="FY79" i="7"/>
  <c r="FT80" i="7"/>
  <c r="FU80" i="7"/>
  <c r="FV80" i="7"/>
  <c r="FW80" i="7"/>
  <c r="FX80" i="7"/>
  <c r="FY80" i="7"/>
  <c r="FT81" i="7"/>
  <c r="FU81" i="7"/>
  <c r="FV81" i="7"/>
  <c r="FW81" i="7"/>
  <c r="FX81" i="7"/>
  <c r="FY81" i="7"/>
  <c r="FL47" i="7"/>
  <c r="FM47" i="7"/>
  <c r="FN47" i="7"/>
  <c r="FO47" i="7"/>
  <c r="FP47" i="7"/>
  <c r="FQ47" i="7"/>
  <c r="FL48" i="7"/>
  <c r="FM48" i="7"/>
  <c r="FN48" i="7"/>
  <c r="FO48" i="7"/>
  <c r="FP48" i="7"/>
  <c r="FQ48" i="7"/>
  <c r="FL49" i="7"/>
  <c r="FM49" i="7"/>
  <c r="FN49" i="7"/>
  <c r="FO49" i="7"/>
  <c r="FP49" i="7"/>
  <c r="FQ49" i="7"/>
  <c r="FL50" i="7"/>
  <c r="FM50" i="7"/>
  <c r="FN50" i="7"/>
  <c r="FO50" i="7"/>
  <c r="FP50" i="7"/>
  <c r="FQ50" i="7"/>
  <c r="FL51" i="7"/>
  <c r="FM51" i="7"/>
  <c r="FN51" i="7"/>
  <c r="FO51" i="7"/>
  <c r="FP51" i="7"/>
  <c r="FQ51" i="7"/>
  <c r="FL52" i="7"/>
  <c r="FM52" i="7"/>
  <c r="FN52" i="7"/>
  <c r="FO52" i="7"/>
  <c r="FP52" i="7"/>
  <c r="FQ52" i="7"/>
  <c r="FL53" i="7"/>
  <c r="FM53" i="7"/>
  <c r="FN53" i="7"/>
  <c r="FO53" i="7"/>
  <c r="FP53" i="7"/>
  <c r="FQ53" i="7"/>
  <c r="FL54" i="7"/>
  <c r="FM54" i="7"/>
  <c r="FN54" i="7"/>
  <c r="FO54" i="7"/>
  <c r="FP54" i="7"/>
  <c r="FQ54" i="7"/>
  <c r="FL55" i="7"/>
  <c r="FM55" i="7"/>
  <c r="FN55" i="7"/>
  <c r="FO55" i="7"/>
  <c r="FP55" i="7"/>
  <c r="FQ55" i="7"/>
  <c r="FL56" i="7"/>
  <c r="FM56" i="7"/>
  <c r="FN56" i="7"/>
  <c r="FO56" i="7"/>
  <c r="FP56" i="7"/>
  <c r="FQ56" i="7"/>
  <c r="FL57" i="7"/>
  <c r="FM57" i="7"/>
  <c r="FN57" i="7"/>
  <c r="FO57" i="7"/>
  <c r="FP57" i="7"/>
  <c r="FQ57" i="7"/>
  <c r="FL58" i="7"/>
  <c r="FM58" i="7"/>
  <c r="FN58" i="7"/>
  <c r="FO58" i="7"/>
  <c r="FP58" i="7"/>
  <c r="FQ58" i="7"/>
  <c r="FL59" i="7"/>
  <c r="FM59" i="7"/>
  <c r="FN59" i="7"/>
  <c r="FO59" i="7"/>
  <c r="FP59" i="7"/>
  <c r="FQ59" i="7"/>
  <c r="FL60" i="7"/>
  <c r="FM60" i="7"/>
  <c r="FN60" i="7"/>
  <c r="FO60" i="7"/>
  <c r="FP60" i="7"/>
  <c r="FQ60" i="7"/>
  <c r="FL61" i="7"/>
  <c r="FM61" i="7"/>
  <c r="FN61" i="7"/>
  <c r="FO61" i="7"/>
  <c r="FP61" i="7"/>
  <c r="FQ61" i="7"/>
  <c r="FL79" i="7"/>
  <c r="FM79" i="7"/>
  <c r="FN79" i="7"/>
  <c r="FO79" i="7"/>
  <c r="FP79" i="7"/>
  <c r="FQ79" i="7"/>
  <c r="FL80" i="7"/>
  <c r="FM80" i="7"/>
  <c r="FN80" i="7"/>
  <c r="FO80" i="7"/>
  <c r="FP80" i="7"/>
  <c r="FQ80" i="7"/>
  <c r="FL81" i="7"/>
  <c r="FM81" i="7"/>
  <c r="FN81" i="7"/>
  <c r="FO81" i="7"/>
  <c r="FP81" i="7"/>
  <c r="FQ81" i="7"/>
  <c r="FD47" i="7"/>
  <c r="FE47" i="7"/>
  <c r="FF47" i="7"/>
  <c r="FG47" i="7"/>
  <c r="FH47" i="7"/>
  <c r="FI47" i="7"/>
  <c r="FD48" i="7"/>
  <c r="FE48" i="7"/>
  <c r="FF48" i="7"/>
  <c r="FG48" i="7"/>
  <c r="FH48" i="7"/>
  <c r="FI48" i="7"/>
  <c r="FD49" i="7"/>
  <c r="FE49" i="7"/>
  <c r="FF49" i="7"/>
  <c r="FG49" i="7"/>
  <c r="FH49" i="7"/>
  <c r="FI49" i="7"/>
  <c r="FD50" i="7"/>
  <c r="FE50" i="7"/>
  <c r="FF50" i="7"/>
  <c r="FG50" i="7"/>
  <c r="FH50" i="7"/>
  <c r="FI50" i="7"/>
  <c r="FD51" i="7"/>
  <c r="FE51" i="7"/>
  <c r="FF51" i="7"/>
  <c r="FG51" i="7"/>
  <c r="FH51" i="7"/>
  <c r="FI51" i="7"/>
  <c r="FD52" i="7"/>
  <c r="FE52" i="7"/>
  <c r="FF52" i="7"/>
  <c r="FG52" i="7"/>
  <c r="FH52" i="7"/>
  <c r="FI52" i="7"/>
  <c r="FD53" i="7"/>
  <c r="FE53" i="7"/>
  <c r="FF53" i="7"/>
  <c r="FG53" i="7"/>
  <c r="FH53" i="7"/>
  <c r="FI53" i="7"/>
  <c r="FD54" i="7"/>
  <c r="FE54" i="7"/>
  <c r="FF54" i="7"/>
  <c r="FG54" i="7"/>
  <c r="FH54" i="7"/>
  <c r="FI54" i="7"/>
  <c r="FD55" i="7"/>
  <c r="FE55" i="7"/>
  <c r="FF55" i="7"/>
  <c r="FG55" i="7"/>
  <c r="FH55" i="7"/>
  <c r="FI55" i="7"/>
  <c r="FD56" i="7"/>
  <c r="FE56" i="7"/>
  <c r="FF56" i="7"/>
  <c r="FG56" i="7"/>
  <c r="FH56" i="7"/>
  <c r="FI56" i="7"/>
  <c r="FD57" i="7"/>
  <c r="FE57" i="7"/>
  <c r="FF57" i="7"/>
  <c r="FG57" i="7"/>
  <c r="FH57" i="7"/>
  <c r="FI57" i="7"/>
  <c r="FD58" i="7"/>
  <c r="FE58" i="7"/>
  <c r="FF58" i="7"/>
  <c r="FG58" i="7"/>
  <c r="FH58" i="7"/>
  <c r="FI58" i="7"/>
  <c r="FD59" i="7"/>
  <c r="FE59" i="7"/>
  <c r="FF59" i="7"/>
  <c r="FG59" i="7"/>
  <c r="FH59" i="7"/>
  <c r="FI59" i="7"/>
  <c r="FD60" i="7"/>
  <c r="FE60" i="7"/>
  <c r="FF60" i="7"/>
  <c r="FG60" i="7"/>
  <c r="FH60" i="7"/>
  <c r="FI60" i="7"/>
  <c r="FD61" i="7"/>
  <c r="FE61" i="7"/>
  <c r="FF61" i="7"/>
  <c r="FG61" i="7"/>
  <c r="FH61" i="7"/>
  <c r="FI61" i="7"/>
  <c r="FD79" i="7"/>
  <c r="FE79" i="7"/>
  <c r="FF79" i="7"/>
  <c r="FG79" i="7"/>
  <c r="FH79" i="7"/>
  <c r="FI79" i="7"/>
  <c r="FD80" i="7"/>
  <c r="FE80" i="7"/>
  <c r="FF80" i="7"/>
  <c r="FG80" i="7"/>
  <c r="FH80" i="7"/>
  <c r="FI80" i="7"/>
  <c r="FD81" i="7"/>
  <c r="FE81" i="7"/>
  <c r="FF81" i="7"/>
  <c r="FG81" i="7"/>
  <c r="FH81" i="7"/>
  <c r="FI81" i="7"/>
  <c r="EV47" i="7"/>
  <c r="EW47" i="7"/>
  <c r="EX47" i="7"/>
  <c r="EY47" i="7"/>
  <c r="EZ47" i="7"/>
  <c r="FA47" i="7"/>
  <c r="EV48" i="7"/>
  <c r="EW48" i="7"/>
  <c r="EX48" i="7"/>
  <c r="EY48" i="7"/>
  <c r="EZ48" i="7"/>
  <c r="FA48" i="7"/>
  <c r="EV49" i="7"/>
  <c r="EW49" i="7"/>
  <c r="EX49" i="7"/>
  <c r="EY49" i="7"/>
  <c r="EZ49" i="7"/>
  <c r="FA49" i="7"/>
  <c r="EV50" i="7"/>
  <c r="EW50" i="7"/>
  <c r="EX50" i="7"/>
  <c r="EY50" i="7"/>
  <c r="EZ50" i="7"/>
  <c r="FA50" i="7"/>
  <c r="EV51" i="7"/>
  <c r="EW51" i="7"/>
  <c r="EX51" i="7"/>
  <c r="EY51" i="7"/>
  <c r="EZ51" i="7"/>
  <c r="FA51" i="7"/>
  <c r="EV52" i="7"/>
  <c r="EW52" i="7"/>
  <c r="EX52" i="7"/>
  <c r="EY52" i="7"/>
  <c r="EZ52" i="7"/>
  <c r="FA52" i="7"/>
  <c r="EV53" i="7"/>
  <c r="EW53" i="7"/>
  <c r="EX53" i="7"/>
  <c r="EY53" i="7"/>
  <c r="EZ53" i="7"/>
  <c r="FA53" i="7"/>
  <c r="EV54" i="7"/>
  <c r="EW54" i="7"/>
  <c r="EX54" i="7"/>
  <c r="EY54" i="7"/>
  <c r="EZ54" i="7"/>
  <c r="FA54" i="7"/>
  <c r="EV55" i="7"/>
  <c r="EW55" i="7"/>
  <c r="EX55" i="7"/>
  <c r="EY55" i="7"/>
  <c r="EZ55" i="7"/>
  <c r="FA55" i="7"/>
  <c r="EV56" i="7"/>
  <c r="EW56" i="7"/>
  <c r="EX56" i="7"/>
  <c r="EY56" i="7"/>
  <c r="EZ56" i="7"/>
  <c r="FA56" i="7"/>
  <c r="EV57" i="7"/>
  <c r="EW57" i="7"/>
  <c r="EX57" i="7"/>
  <c r="EY57" i="7"/>
  <c r="EZ57" i="7"/>
  <c r="FA57" i="7"/>
  <c r="EV58" i="7"/>
  <c r="EW58" i="7"/>
  <c r="EX58" i="7"/>
  <c r="EY58" i="7"/>
  <c r="EZ58" i="7"/>
  <c r="FA58" i="7"/>
  <c r="EV59" i="7"/>
  <c r="EW59" i="7"/>
  <c r="EX59" i="7"/>
  <c r="EY59" i="7"/>
  <c r="EZ59" i="7"/>
  <c r="FA59" i="7"/>
  <c r="EV60" i="7"/>
  <c r="EW60" i="7"/>
  <c r="EX60" i="7"/>
  <c r="EY60" i="7"/>
  <c r="EZ60" i="7"/>
  <c r="FA60" i="7"/>
  <c r="EV61" i="7"/>
  <c r="EW61" i="7"/>
  <c r="EX61" i="7"/>
  <c r="EY61" i="7"/>
  <c r="EZ61" i="7"/>
  <c r="FA61" i="7"/>
  <c r="EV79" i="7"/>
  <c r="EW79" i="7"/>
  <c r="EX79" i="7"/>
  <c r="EY79" i="7"/>
  <c r="EZ79" i="7"/>
  <c r="FA79" i="7"/>
  <c r="EV80" i="7"/>
  <c r="EW80" i="7"/>
  <c r="EX80" i="7"/>
  <c r="EY80" i="7"/>
  <c r="EZ80" i="7"/>
  <c r="FA80" i="7"/>
  <c r="EV81" i="7"/>
  <c r="EW81" i="7"/>
  <c r="EX81" i="7"/>
  <c r="EY81" i="7"/>
  <c r="EZ81" i="7"/>
  <c r="FA81" i="7"/>
  <c r="BR47" i="7"/>
  <c r="BS47" i="7"/>
  <c r="BT47" i="7"/>
  <c r="BU47" i="7"/>
  <c r="BV47" i="7"/>
  <c r="BW47" i="7"/>
  <c r="BR48" i="7"/>
  <c r="BS48" i="7"/>
  <c r="BT48" i="7"/>
  <c r="BU48" i="7"/>
  <c r="BV48" i="7"/>
  <c r="BW48" i="7"/>
  <c r="BR49" i="7"/>
  <c r="BS49" i="7"/>
  <c r="BT49" i="7"/>
  <c r="BU49" i="7"/>
  <c r="BV49" i="7"/>
  <c r="BW49" i="7"/>
  <c r="BR50" i="7"/>
  <c r="BS50" i="7"/>
  <c r="BT50" i="7"/>
  <c r="BU50" i="7"/>
  <c r="BV50" i="7"/>
  <c r="BW50" i="7"/>
  <c r="BR51" i="7"/>
  <c r="BS51" i="7"/>
  <c r="BT51" i="7"/>
  <c r="BU51" i="7"/>
  <c r="BV51" i="7"/>
  <c r="BW51" i="7"/>
  <c r="BR52" i="7"/>
  <c r="BS52" i="7"/>
  <c r="BT52" i="7"/>
  <c r="BU52" i="7"/>
  <c r="BV52" i="7"/>
  <c r="BW52" i="7"/>
  <c r="BR53" i="7"/>
  <c r="BS53" i="7"/>
  <c r="BT53" i="7"/>
  <c r="BU53" i="7"/>
  <c r="BV53" i="7"/>
  <c r="BW53" i="7"/>
  <c r="BR54" i="7"/>
  <c r="BS54" i="7"/>
  <c r="BT54" i="7"/>
  <c r="BU54" i="7"/>
  <c r="BV54" i="7"/>
  <c r="BW54" i="7"/>
  <c r="BR55" i="7"/>
  <c r="BS55" i="7"/>
  <c r="BT55" i="7"/>
  <c r="BU55" i="7"/>
  <c r="BV55" i="7"/>
  <c r="BW55" i="7"/>
  <c r="BR56" i="7"/>
  <c r="BS56" i="7"/>
  <c r="BT56" i="7"/>
  <c r="BU56" i="7"/>
  <c r="BV56" i="7"/>
  <c r="BW56" i="7"/>
  <c r="BR57" i="7"/>
  <c r="BS57" i="7"/>
  <c r="BT57" i="7"/>
  <c r="BU57" i="7"/>
  <c r="BV57" i="7"/>
  <c r="BW57" i="7"/>
  <c r="BR58" i="7"/>
  <c r="BS58" i="7"/>
  <c r="BT58" i="7"/>
  <c r="BU58" i="7"/>
  <c r="BV58" i="7"/>
  <c r="BW58" i="7"/>
  <c r="BR59" i="7"/>
  <c r="BS59" i="7"/>
  <c r="BT59" i="7"/>
  <c r="BU59" i="7"/>
  <c r="BV59" i="7"/>
  <c r="BW59" i="7"/>
  <c r="BR60" i="7"/>
  <c r="BS60" i="7"/>
  <c r="BT60" i="7"/>
  <c r="BU60" i="7"/>
  <c r="BV60" i="7"/>
  <c r="BW60" i="7"/>
  <c r="BR61" i="7"/>
  <c r="BS61" i="7"/>
  <c r="BT61" i="7"/>
  <c r="BU61" i="7"/>
  <c r="BV61" i="7"/>
  <c r="BW61" i="7"/>
  <c r="BR79" i="7"/>
  <c r="BS79" i="7"/>
  <c r="BT79" i="7"/>
  <c r="BU79" i="7"/>
  <c r="BV79" i="7"/>
  <c r="BW79" i="7"/>
  <c r="BR80" i="7"/>
  <c r="BS80" i="7"/>
  <c r="BT80" i="7"/>
  <c r="BU80" i="7"/>
  <c r="BV80" i="7"/>
  <c r="BW80" i="7"/>
  <c r="BR81" i="7"/>
  <c r="BS81" i="7"/>
  <c r="BT81" i="7"/>
  <c r="BU81" i="7"/>
  <c r="BV81" i="7"/>
  <c r="BW81" i="7"/>
  <c r="BJ82" i="7"/>
  <c r="BK82" i="7"/>
  <c r="BL82" i="7"/>
  <c r="BM82" i="7"/>
  <c r="BN82" i="7"/>
  <c r="BO82" i="7"/>
  <c r="BB82" i="7"/>
  <c r="BC82" i="7"/>
  <c r="BD82" i="7"/>
  <c r="BE82" i="7"/>
  <c r="BF82" i="7"/>
  <c r="BG82" i="7"/>
  <c r="AT82" i="7"/>
  <c r="AU82" i="7"/>
  <c r="AV82" i="7"/>
  <c r="AW82" i="7"/>
  <c r="AX82" i="7"/>
  <c r="AY82" i="7"/>
  <c r="AL82" i="7"/>
  <c r="AM82" i="7"/>
  <c r="AN82" i="7"/>
  <c r="AO82" i="7"/>
  <c r="AP82" i="7"/>
  <c r="AQ82" i="7"/>
  <c r="AD82" i="7"/>
  <c r="AE82" i="7"/>
  <c r="AF82" i="7"/>
  <c r="AG82" i="7"/>
  <c r="AH82" i="7"/>
  <c r="AI82" i="7"/>
  <c r="V82" i="7"/>
  <c r="W82" i="7"/>
  <c r="X82" i="7"/>
  <c r="Y82" i="7"/>
  <c r="Z82" i="7"/>
  <c r="AA82" i="7"/>
  <c r="N82" i="7"/>
  <c r="O82" i="7"/>
  <c r="P82" i="7"/>
  <c r="Q82" i="7"/>
  <c r="R82" i="7"/>
  <c r="S82" i="7"/>
  <c r="DU82" i="7"/>
  <c r="DV82" i="7"/>
  <c r="DW82" i="7"/>
  <c r="DX82" i="7"/>
  <c r="DY82" i="7"/>
  <c r="DZ82" i="7"/>
  <c r="EA82" i="7"/>
  <c r="EB82" i="7"/>
  <c r="EC82" i="7"/>
  <c r="ED82" i="7"/>
  <c r="EE82" i="7"/>
  <c r="EF82" i="7"/>
  <c r="DG82" i="7"/>
  <c r="DH82" i="7"/>
  <c r="DI82" i="7"/>
  <c r="DJ82" i="7"/>
  <c r="DK82" i="7"/>
  <c r="DL82" i="7"/>
  <c r="DM82" i="7"/>
  <c r="DN82" i="7"/>
  <c r="DO82" i="7"/>
  <c r="DP82" i="7"/>
  <c r="DQ82" i="7"/>
  <c r="DR82" i="7"/>
  <c r="CS82" i="7"/>
  <c r="CT82" i="7"/>
  <c r="CU82" i="7"/>
  <c r="CV82" i="7"/>
  <c r="CW82" i="7"/>
  <c r="CX82" i="7"/>
  <c r="CY82" i="7"/>
  <c r="CZ82" i="7"/>
  <c r="DA82" i="7"/>
  <c r="DB82" i="7"/>
  <c r="DC82" i="7"/>
  <c r="DD82" i="7"/>
  <c r="GX47" i="7"/>
  <c r="GX48" i="7"/>
  <c r="GX49" i="7"/>
  <c r="GX50" i="7"/>
  <c r="GX51" i="7"/>
  <c r="GX52" i="7"/>
  <c r="GX53" i="7"/>
  <c r="GX54" i="7"/>
  <c r="GX55" i="7"/>
  <c r="GX56" i="7"/>
  <c r="GX57" i="7"/>
  <c r="GX58" i="7"/>
  <c r="GX59" i="7"/>
  <c r="GX60" i="7"/>
  <c r="GX61" i="7"/>
  <c r="GX63" i="7"/>
  <c r="GX64" i="7"/>
  <c r="GX65" i="7"/>
  <c r="GX66" i="7"/>
  <c r="GX67" i="7"/>
  <c r="GX68" i="7"/>
  <c r="GX69" i="7"/>
  <c r="GX70" i="7"/>
  <c r="GX71" i="7"/>
  <c r="GX72" i="7"/>
  <c r="GX73" i="7"/>
  <c r="GX74" i="7"/>
  <c r="GX75" i="7"/>
  <c r="GX76" i="7"/>
  <c r="GX77" i="7"/>
  <c r="GX79" i="7"/>
  <c r="GX80" i="7"/>
  <c r="GX81" i="7"/>
  <c r="EG79" i="7"/>
  <c r="EG80" i="7"/>
  <c r="EG81" i="7"/>
  <c r="DS79" i="7"/>
  <c r="DS80" i="7"/>
  <c r="DS81" i="7"/>
  <c r="DE79" i="7"/>
  <c r="DE80" i="7"/>
  <c r="DE81" i="7"/>
  <c r="BP47" i="7"/>
  <c r="BP48" i="7"/>
  <c r="BP49" i="7"/>
  <c r="BP50" i="7"/>
  <c r="BP51" i="7"/>
  <c r="BP52" i="7"/>
  <c r="BP53" i="7"/>
  <c r="BP54" i="7"/>
  <c r="BP55" i="7"/>
  <c r="BP56" i="7"/>
  <c r="BP57" i="7"/>
  <c r="BP58" i="7"/>
  <c r="BP59" i="7"/>
  <c r="BP60" i="7"/>
  <c r="BP61" i="7"/>
  <c r="BP63" i="7"/>
  <c r="BP64" i="7"/>
  <c r="BP65" i="7"/>
  <c r="BP66" i="7"/>
  <c r="BP67" i="7"/>
  <c r="BP68" i="7"/>
  <c r="BP69" i="7"/>
  <c r="BP70" i="7"/>
  <c r="BP71" i="7"/>
  <c r="BP72" i="7"/>
  <c r="BP73" i="7"/>
  <c r="BP74" i="7"/>
  <c r="BP75" i="7"/>
  <c r="BP76" i="7"/>
  <c r="BP77" i="7"/>
  <c r="BP79" i="7"/>
  <c r="BP80" i="7"/>
  <c r="BP81" i="7"/>
  <c r="BH47" i="7"/>
  <c r="BH48" i="7"/>
  <c r="BH49" i="7"/>
  <c r="BH50" i="7"/>
  <c r="BH51" i="7"/>
  <c r="BH52" i="7"/>
  <c r="BH53" i="7"/>
  <c r="BH54" i="7"/>
  <c r="BH55" i="7"/>
  <c r="BH56" i="7"/>
  <c r="BH57" i="7"/>
  <c r="BH58" i="7"/>
  <c r="BH59" i="7"/>
  <c r="BH60" i="7"/>
  <c r="BH61" i="7"/>
  <c r="BH79" i="7"/>
  <c r="BH80" i="7"/>
  <c r="BH81" i="7"/>
  <c r="AZ47" i="7"/>
  <c r="AZ48" i="7"/>
  <c r="AZ49" i="7"/>
  <c r="AZ50" i="7"/>
  <c r="AZ51" i="7"/>
  <c r="AZ52" i="7"/>
  <c r="AZ53" i="7"/>
  <c r="AZ54" i="7"/>
  <c r="AZ55" i="7"/>
  <c r="AZ56" i="7"/>
  <c r="AZ57" i="7"/>
  <c r="AZ58" i="7"/>
  <c r="AZ59" i="7"/>
  <c r="AZ60" i="7"/>
  <c r="AZ61" i="7"/>
  <c r="AZ79" i="7"/>
  <c r="AZ80" i="7"/>
  <c r="AZ81" i="7"/>
  <c r="AR47" i="7"/>
  <c r="AR48" i="7"/>
  <c r="AR49" i="7"/>
  <c r="AR50" i="7"/>
  <c r="AR51" i="7"/>
  <c r="AR52" i="7"/>
  <c r="AR53" i="7"/>
  <c r="AR54" i="7"/>
  <c r="AR55" i="7"/>
  <c r="AR56" i="7"/>
  <c r="AR57" i="7"/>
  <c r="AR58" i="7"/>
  <c r="AR59" i="7"/>
  <c r="AR60" i="7"/>
  <c r="AR61" i="7"/>
  <c r="AR79" i="7"/>
  <c r="AR80" i="7"/>
  <c r="AR81" i="7"/>
  <c r="AJ47" i="7"/>
  <c r="AJ48" i="7"/>
  <c r="AJ49" i="7"/>
  <c r="AJ50" i="7"/>
  <c r="AJ51" i="7"/>
  <c r="AJ52" i="7"/>
  <c r="AJ53" i="7"/>
  <c r="AJ54" i="7"/>
  <c r="AJ55" i="7"/>
  <c r="AJ56" i="7"/>
  <c r="AJ57" i="7"/>
  <c r="AJ58" i="7"/>
  <c r="AJ59" i="7"/>
  <c r="AJ60" i="7"/>
  <c r="AJ61" i="7"/>
  <c r="AJ79" i="7"/>
  <c r="AJ80" i="7"/>
  <c r="AJ81" i="7"/>
  <c r="AB47" i="7"/>
  <c r="AB48" i="7"/>
  <c r="AB49" i="7"/>
  <c r="AB50" i="7"/>
  <c r="AB51" i="7"/>
  <c r="AB52" i="7"/>
  <c r="AB53" i="7"/>
  <c r="AB54" i="7"/>
  <c r="AB55" i="7"/>
  <c r="AB56" i="7"/>
  <c r="AB57" i="7"/>
  <c r="AB58" i="7"/>
  <c r="AB59" i="7"/>
  <c r="AB60" i="7"/>
  <c r="AB61" i="7"/>
  <c r="AB79" i="7"/>
  <c r="AB80" i="7"/>
  <c r="AB81" i="7"/>
  <c r="T47" i="7"/>
  <c r="T48" i="7"/>
  <c r="T49" i="7"/>
  <c r="T50" i="7"/>
  <c r="T51" i="7"/>
  <c r="T52" i="7"/>
  <c r="T53" i="7"/>
  <c r="T54" i="7"/>
  <c r="T55" i="7"/>
  <c r="T56" i="7"/>
  <c r="T57" i="7"/>
  <c r="T58" i="7"/>
  <c r="T59" i="7"/>
  <c r="T60" i="7"/>
  <c r="T61" i="7"/>
  <c r="T79" i="7"/>
  <c r="T80" i="7"/>
  <c r="T81" i="7"/>
  <c r="GR78" i="7"/>
  <c r="GS78" i="7"/>
  <c r="GT78" i="7"/>
  <c r="GU78" i="7"/>
  <c r="GV78" i="7"/>
  <c r="GW78" i="7"/>
  <c r="BJ78" i="7"/>
  <c r="BK78" i="7"/>
  <c r="BL78" i="7"/>
  <c r="BM78" i="7"/>
  <c r="BN78" i="7"/>
  <c r="BO78" i="7"/>
  <c r="EG47" i="7"/>
  <c r="EG48" i="7"/>
  <c r="EG49" i="7"/>
  <c r="EG50" i="7"/>
  <c r="EG51" i="7"/>
  <c r="EG52" i="7"/>
  <c r="EG53" i="7"/>
  <c r="EG54" i="7"/>
  <c r="EG55" i="7"/>
  <c r="EG56" i="7"/>
  <c r="EG57" i="7"/>
  <c r="EG58" i="7"/>
  <c r="EG59" i="7"/>
  <c r="EG60" i="7"/>
  <c r="EG61" i="7"/>
  <c r="EG63" i="7"/>
  <c r="EG64" i="7"/>
  <c r="EG65" i="7"/>
  <c r="EG66" i="7"/>
  <c r="EG67" i="7"/>
  <c r="EG68" i="7"/>
  <c r="EG69" i="7"/>
  <c r="EG70" i="7"/>
  <c r="EG71" i="7"/>
  <c r="EG72" i="7"/>
  <c r="EG73" i="7"/>
  <c r="EG74" i="7"/>
  <c r="EG75" i="7"/>
  <c r="EG76" i="7"/>
  <c r="EG77" i="7"/>
  <c r="DS47" i="7"/>
  <c r="DS48" i="7"/>
  <c r="DS49" i="7"/>
  <c r="DS50" i="7"/>
  <c r="DS51" i="7"/>
  <c r="DS52" i="7"/>
  <c r="DS53" i="7"/>
  <c r="DS54" i="7"/>
  <c r="DS55" i="7"/>
  <c r="DS56" i="7"/>
  <c r="DS57" i="7"/>
  <c r="DS58" i="7"/>
  <c r="DS59" i="7"/>
  <c r="DS60" i="7"/>
  <c r="DS61" i="7"/>
  <c r="DS63" i="7"/>
  <c r="DS64" i="7"/>
  <c r="DS65" i="7"/>
  <c r="DS66" i="7"/>
  <c r="DS67" i="7"/>
  <c r="DS68" i="7"/>
  <c r="DS69" i="7"/>
  <c r="DS70" i="7"/>
  <c r="DS71" i="7"/>
  <c r="DS72" i="7"/>
  <c r="DS73" i="7"/>
  <c r="DS74" i="7"/>
  <c r="DS75" i="7"/>
  <c r="DS76" i="7"/>
  <c r="DS77" i="7"/>
  <c r="DE47" i="7"/>
  <c r="DE48" i="7"/>
  <c r="DE49" i="7"/>
  <c r="DE50" i="7"/>
  <c r="DE51" i="7"/>
  <c r="DE52" i="7"/>
  <c r="DE53" i="7"/>
  <c r="DE54" i="7"/>
  <c r="DE55" i="7"/>
  <c r="DE56" i="7"/>
  <c r="DE57" i="7"/>
  <c r="DE58" i="7"/>
  <c r="DE59" i="7"/>
  <c r="DE60" i="7"/>
  <c r="DE61" i="7"/>
  <c r="DE63" i="7"/>
  <c r="DE64" i="7"/>
  <c r="DE65" i="7"/>
  <c r="DE66" i="7"/>
  <c r="DE67" i="7"/>
  <c r="DE68" i="7"/>
  <c r="DE69" i="7"/>
  <c r="DE70" i="7"/>
  <c r="DE71" i="7"/>
  <c r="DE72" i="7"/>
  <c r="DE73" i="7"/>
  <c r="DE74" i="7"/>
  <c r="DE75" i="7"/>
  <c r="DE76" i="7"/>
  <c r="DE77" i="7"/>
  <c r="C63" i="7"/>
  <c r="EK63" i="7" s="1"/>
  <c r="C64" i="7"/>
  <c r="EK64" i="7" s="1"/>
  <c r="C65" i="7"/>
  <c r="EK65" i="7" s="1"/>
  <c r="C66" i="7"/>
  <c r="EK66" i="7" s="1"/>
  <c r="C67" i="7"/>
  <c r="EK67" i="7" s="1"/>
  <c r="C68" i="7"/>
  <c r="EK68" i="7" s="1"/>
  <c r="C69" i="7"/>
  <c r="EK69" i="7" s="1"/>
  <c r="C70" i="7"/>
  <c r="EK70" i="7" s="1"/>
  <c r="C71" i="7"/>
  <c r="EK71" i="7" s="1"/>
  <c r="C72" i="7"/>
  <c r="EK72" i="7" s="1"/>
  <c r="C73" i="7"/>
  <c r="EK73" i="7" s="1"/>
  <c r="C74" i="7"/>
  <c r="EK74" i="7" s="1"/>
  <c r="C75" i="7"/>
  <c r="EK75" i="7" s="1"/>
  <c r="C76" i="7"/>
  <c r="EK76" i="7" s="1"/>
  <c r="C77" i="7"/>
  <c r="EK77" i="7" s="1"/>
  <c r="GR62" i="7"/>
  <c r="GS62" i="7"/>
  <c r="GT62" i="7"/>
  <c r="GU62" i="7"/>
  <c r="GV62" i="7"/>
  <c r="GW62" i="7"/>
  <c r="DU62" i="7"/>
  <c r="DV62" i="7"/>
  <c r="DW62" i="7"/>
  <c r="DX62" i="7"/>
  <c r="DY62" i="7"/>
  <c r="DZ62" i="7"/>
  <c r="EA62" i="7"/>
  <c r="EB62" i="7"/>
  <c r="EC62" i="7"/>
  <c r="ED62" i="7"/>
  <c r="EE62" i="7"/>
  <c r="EF62" i="7"/>
  <c r="DG62" i="7"/>
  <c r="DH62" i="7"/>
  <c r="DI62" i="7"/>
  <c r="DJ62" i="7"/>
  <c r="DK62" i="7"/>
  <c r="DL62" i="7"/>
  <c r="DM62" i="7"/>
  <c r="DN62" i="7"/>
  <c r="DO62" i="7"/>
  <c r="DP62" i="7"/>
  <c r="DQ62" i="7"/>
  <c r="DR62" i="7"/>
  <c r="CS62" i="7"/>
  <c r="CT62" i="7"/>
  <c r="CU62" i="7"/>
  <c r="CV62" i="7"/>
  <c r="CW62" i="7"/>
  <c r="CX62" i="7"/>
  <c r="CY62" i="7"/>
  <c r="CZ62" i="7"/>
  <c r="DA62" i="7"/>
  <c r="DB62" i="7"/>
  <c r="DC62" i="7"/>
  <c r="DD62" i="7"/>
  <c r="BJ62" i="7"/>
  <c r="BK62" i="7"/>
  <c r="BL62" i="7"/>
  <c r="BM62" i="7"/>
  <c r="BN62" i="7"/>
  <c r="BO62" i="7"/>
  <c r="BB62" i="7"/>
  <c r="BC62" i="7"/>
  <c r="BD62" i="7"/>
  <c r="BE62" i="7"/>
  <c r="BF62" i="7"/>
  <c r="BG62" i="7"/>
  <c r="AT62" i="7"/>
  <c r="AU62" i="7"/>
  <c r="AV62" i="7"/>
  <c r="AW62" i="7"/>
  <c r="AX62" i="7"/>
  <c r="AY62" i="7"/>
  <c r="AL62" i="7"/>
  <c r="AM62" i="7"/>
  <c r="AN62" i="7"/>
  <c r="AO62" i="7"/>
  <c r="AP62" i="7"/>
  <c r="AQ62" i="7"/>
  <c r="AD62" i="7"/>
  <c r="AE62" i="7"/>
  <c r="AF62" i="7"/>
  <c r="AG62" i="7"/>
  <c r="AH62" i="7"/>
  <c r="AI62" i="7"/>
  <c r="V62" i="7"/>
  <c r="W62" i="7"/>
  <c r="X62" i="7"/>
  <c r="Y62" i="7"/>
  <c r="Z62" i="7"/>
  <c r="AA62" i="7"/>
  <c r="N62" i="7"/>
  <c r="O62" i="7"/>
  <c r="P62" i="7"/>
  <c r="Q62" i="7"/>
  <c r="R62" i="7"/>
  <c r="S62" i="7"/>
  <c r="GP47" i="7"/>
  <c r="GP48" i="7"/>
  <c r="GP49" i="7"/>
  <c r="GP50" i="7"/>
  <c r="GP51" i="7"/>
  <c r="GP52" i="7"/>
  <c r="GP53" i="7"/>
  <c r="GP54" i="7"/>
  <c r="GP55" i="7"/>
  <c r="GP56" i="7"/>
  <c r="GP57" i="7"/>
  <c r="GP58" i="7"/>
  <c r="GP59" i="7"/>
  <c r="GP60" i="7"/>
  <c r="GP61" i="7"/>
  <c r="GR44" i="7"/>
  <c r="GS44" i="7"/>
  <c r="GT44" i="7"/>
  <c r="GU44" i="7"/>
  <c r="GV44" i="7"/>
  <c r="GW44" i="7"/>
  <c r="DU44" i="7"/>
  <c r="DV44" i="7"/>
  <c r="DW44" i="7"/>
  <c r="DX44" i="7"/>
  <c r="DY44" i="7"/>
  <c r="DZ44" i="7"/>
  <c r="EA44" i="7"/>
  <c r="EB44" i="7"/>
  <c r="EC44" i="7"/>
  <c r="ED44" i="7"/>
  <c r="EE44" i="7"/>
  <c r="EF44" i="7"/>
  <c r="DG44" i="7"/>
  <c r="DH44" i="7"/>
  <c r="DI44" i="7"/>
  <c r="DJ44" i="7"/>
  <c r="DK44" i="7"/>
  <c r="DL44" i="7"/>
  <c r="DM44" i="7"/>
  <c r="DN44" i="7"/>
  <c r="DO44" i="7"/>
  <c r="DP44" i="7"/>
  <c r="DQ44" i="7"/>
  <c r="DR44" i="7"/>
  <c r="CS44" i="7"/>
  <c r="CT44" i="7"/>
  <c r="CU44" i="7"/>
  <c r="CV44" i="7"/>
  <c r="CW44" i="7"/>
  <c r="CX44" i="7"/>
  <c r="CY44" i="7"/>
  <c r="CZ44" i="7"/>
  <c r="DA44" i="7"/>
  <c r="DB44" i="7"/>
  <c r="DC44" i="7"/>
  <c r="DD44" i="7"/>
  <c r="BJ44" i="7"/>
  <c r="BK44" i="7"/>
  <c r="BL44" i="7"/>
  <c r="BM44" i="7"/>
  <c r="BN44" i="7"/>
  <c r="BO44" i="7"/>
  <c r="GX14" i="7"/>
  <c r="GX15" i="7"/>
  <c r="GX16" i="7"/>
  <c r="GX17" i="7"/>
  <c r="GX18" i="7"/>
  <c r="GX19" i="7"/>
  <c r="GX20" i="7"/>
  <c r="GX21" i="7"/>
  <c r="GX22" i="7"/>
  <c r="GX23" i="7"/>
  <c r="GX24" i="7"/>
  <c r="GX25" i="7"/>
  <c r="GX26" i="7"/>
  <c r="GX27" i="7"/>
  <c r="GX28" i="7"/>
  <c r="GX29" i="7"/>
  <c r="GX30" i="7"/>
  <c r="GX31" i="7"/>
  <c r="GX32" i="7"/>
  <c r="GX33" i="7"/>
  <c r="GX34" i="7"/>
  <c r="GX35" i="7"/>
  <c r="GX36" i="7"/>
  <c r="GX37" i="7"/>
  <c r="GX38" i="7"/>
  <c r="GX39" i="7"/>
  <c r="GX40" i="7"/>
  <c r="GX41" i="7"/>
  <c r="GX42" i="7"/>
  <c r="GX43" i="7"/>
  <c r="EG14" i="7"/>
  <c r="EG15" i="7"/>
  <c r="EG16" i="7"/>
  <c r="EG17" i="7"/>
  <c r="EG18" i="7"/>
  <c r="EG19" i="7"/>
  <c r="EG20" i="7"/>
  <c r="EG21" i="7"/>
  <c r="EG22" i="7"/>
  <c r="EG23" i="7"/>
  <c r="EG24" i="7"/>
  <c r="EG25" i="7"/>
  <c r="EG26" i="7"/>
  <c r="EG27" i="7"/>
  <c r="EG28" i="7"/>
  <c r="EG29" i="7"/>
  <c r="EG30" i="7"/>
  <c r="EG31" i="7"/>
  <c r="EG32" i="7"/>
  <c r="EG33" i="7"/>
  <c r="EG34" i="7"/>
  <c r="EG35" i="7"/>
  <c r="EG36" i="7"/>
  <c r="EG37" i="7"/>
  <c r="EG38" i="7"/>
  <c r="EG39" i="7"/>
  <c r="EG40" i="7"/>
  <c r="EG41" i="7"/>
  <c r="EG42" i="7"/>
  <c r="EG43" i="7"/>
  <c r="DS14" i="7"/>
  <c r="DS15" i="7"/>
  <c r="DS16" i="7"/>
  <c r="DS17" i="7"/>
  <c r="DS18" i="7"/>
  <c r="DS19" i="7"/>
  <c r="DS20" i="7"/>
  <c r="DS21" i="7"/>
  <c r="DS22" i="7"/>
  <c r="DS23" i="7"/>
  <c r="DS24" i="7"/>
  <c r="DS25" i="7"/>
  <c r="DS26" i="7"/>
  <c r="DS27" i="7"/>
  <c r="DS28" i="7"/>
  <c r="DS29" i="7"/>
  <c r="DS30" i="7"/>
  <c r="DS31" i="7"/>
  <c r="DS32" i="7"/>
  <c r="DS33" i="7"/>
  <c r="DS34" i="7"/>
  <c r="DS35" i="7"/>
  <c r="DS36" i="7"/>
  <c r="DS37" i="7"/>
  <c r="DS38" i="7"/>
  <c r="DS39" i="7"/>
  <c r="DS40" i="7"/>
  <c r="DS41" i="7"/>
  <c r="DS42" i="7"/>
  <c r="DS43" i="7"/>
  <c r="DE14" i="7"/>
  <c r="DE15" i="7"/>
  <c r="DE16" i="7"/>
  <c r="DE17" i="7"/>
  <c r="DE18" i="7"/>
  <c r="DE19" i="7"/>
  <c r="DE20" i="7"/>
  <c r="DE21" i="7"/>
  <c r="DE22" i="7"/>
  <c r="DE23" i="7"/>
  <c r="DE24" i="7"/>
  <c r="DE25" i="7"/>
  <c r="DE26" i="7"/>
  <c r="DE27" i="7"/>
  <c r="DE28" i="7"/>
  <c r="DE29" i="7"/>
  <c r="DE30" i="7"/>
  <c r="DE31" i="7"/>
  <c r="DE32" i="7"/>
  <c r="DE33" i="7"/>
  <c r="DE34" i="7"/>
  <c r="DE35" i="7"/>
  <c r="DE36" i="7"/>
  <c r="DE37" i="7"/>
  <c r="DE38" i="7"/>
  <c r="DE39" i="7"/>
  <c r="DE40" i="7"/>
  <c r="DE41" i="7"/>
  <c r="DE42" i="7"/>
  <c r="DE43" i="7"/>
  <c r="BP14" i="7"/>
  <c r="BP15" i="7"/>
  <c r="BP16" i="7"/>
  <c r="BP17" i="7"/>
  <c r="BP18" i="7"/>
  <c r="BP19" i="7"/>
  <c r="BP20" i="7"/>
  <c r="BP21" i="7"/>
  <c r="BP22" i="7"/>
  <c r="BP23" i="7"/>
  <c r="BP24" i="7"/>
  <c r="BP25" i="7"/>
  <c r="BP26" i="7"/>
  <c r="BP27" i="7"/>
  <c r="BP28" i="7"/>
  <c r="BP29" i="7"/>
  <c r="BP30" i="7"/>
  <c r="BP31" i="7"/>
  <c r="BP32" i="7"/>
  <c r="BP33" i="7"/>
  <c r="BP34" i="7"/>
  <c r="BP35" i="7"/>
  <c r="BP36" i="7"/>
  <c r="BP37" i="7"/>
  <c r="BP38" i="7"/>
  <c r="BP39" i="7"/>
  <c r="BP40" i="7"/>
  <c r="BP41" i="7"/>
  <c r="BP42" i="7"/>
  <c r="BP43" i="7"/>
  <c r="BH29" i="7"/>
  <c r="BH30" i="7"/>
  <c r="BH31" i="7"/>
  <c r="BH32" i="7"/>
  <c r="BH33" i="7"/>
  <c r="BH34" i="7"/>
  <c r="BH35" i="7"/>
  <c r="BH36" i="7"/>
  <c r="BH37" i="7"/>
  <c r="BH38" i="7"/>
  <c r="BH39" i="7"/>
  <c r="BH40" i="7"/>
  <c r="BH41" i="7"/>
  <c r="BH42" i="7"/>
  <c r="BH43" i="7"/>
  <c r="AZ29" i="7"/>
  <c r="AZ30" i="7"/>
  <c r="AZ31" i="7"/>
  <c r="AZ32" i="7"/>
  <c r="AZ33" i="7"/>
  <c r="AZ34" i="7"/>
  <c r="AZ35" i="7"/>
  <c r="AZ36" i="7"/>
  <c r="AZ37" i="7"/>
  <c r="AZ38" i="7"/>
  <c r="AZ39" i="7"/>
  <c r="AZ40" i="7"/>
  <c r="AZ41" i="7"/>
  <c r="AZ42" i="7"/>
  <c r="AZ43" i="7"/>
  <c r="AR29" i="7"/>
  <c r="AR30" i="7"/>
  <c r="AR31" i="7"/>
  <c r="AR32" i="7"/>
  <c r="AR33" i="7"/>
  <c r="AR34" i="7"/>
  <c r="AR35" i="7"/>
  <c r="AR36" i="7"/>
  <c r="AR37" i="7"/>
  <c r="AR38" i="7"/>
  <c r="AR39" i="7"/>
  <c r="AR40" i="7"/>
  <c r="AR41" i="7"/>
  <c r="AR42" i="7"/>
  <c r="AR43" i="7"/>
  <c r="AJ29" i="7"/>
  <c r="AJ30" i="7"/>
  <c r="AJ31" i="7"/>
  <c r="AJ32" i="7"/>
  <c r="AJ33" i="7"/>
  <c r="AJ34" i="7"/>
  <c r="AJ35" i="7"/>
  <c r="AJ36" i="7"/>
  <c r="AJ37" i="7"/>
  <c r="AJ38" i="7"/>
  <c r="AJ39" i="7"/>
  <c r="AJ40" i="7"/>
  <c r="AJ41" i="7"/>
  <c r="AJ42" i="7"/>
  <c r="AJ43" i="7"/>
  <c r="AB29" i="7"/>
  <c r="AB30" i="7"/>
  <c r="AB31" i="7"/>
  <c r="AB32" i="7"/>
  <c r="AB33" i="7"/>
  <c r="AB34" i="7"/>
  <c r="AB35" i="7"/>
  <c r="AB36" i="7"/>
  <c r="AB37" i="7"/>
  <c r="AB38" i="7"/>
  <c r="AB39" i="7"/>
  <c r="AB40" i="7"/>
  <c r="AB41" i="7"/>
  <c r="AB42" i="7"/>
  <c r="AB43" i="7"/>
  <c r="T29" i="7"/>
  <c r="T30" i="7"/>
  <c r="T31" i="7"/>
  <c r="T32" i="7"/>
  <c r="T33" i="7"/>
  <c r="T34" i="7"/>
  <c r="T35" i="7"/>
  <c r="T36" i="7"/>
  <c r="T37" i="7"/>
  <c r="T38" i="7"/>
  <c r="T39" i="7"/>
  <c r="T40" i="7"/>
  <c r="T41" i="7"/>
  <c r="T42" i="7"/>
  <c r="T43" i="7"/>
  <c r="GJ29" i="7"/>
  <c r="GK29" i="7"/>
  <c r="GL29" i="7"/>
  <c r="GM29" i="7"/>
  <c r="GN29" i="7"/>
  <c r="GO29" i="7"/>
  <c r="GJ30" i="7"/>
  <c r="GK30" i="7"/>
  <c r="GL30" i="7"/>
  <c r="GM30" i="7"/>
  <c r="GN30" i="7"/>
  <c r="GO30" i="7"/>
  <c r="GJ31" i="7"/>
  <c r="GK31" i="7"/>
  <c r="GL31" i="7"/>
  <c r="GM31" i="7"/>
  <c r="GN31" i="7"/>
  <c r="GO31" i="7"/>
  <c r="GJ32" i="7"/>
  <c r="GK32" i="7"/>
  <c r="GL32" i="7"/>
  <c r="GM32" i="7"/>
  <c r="GN32" i="7"/>
  <c r="GO32" i="7"/>
  <c r="GJ33" i="7"/>
  <c r="GK33" i="7"/>
  <c r="GL33" i="7"/>
  <c r="GM33" i="7"/>
  <c r="GN33" i="7"/>
  <c r="GO33" i="7"/>
  <c r="GJ34" i="7"/>
  <c r="GK34" i="7"/>
  <c r="GL34" i="7"/>
  <c r="GM34" i="7"/>
  <c r="GN34" i="7"/>
  <c r="GO34" i="7"/>
  <c r="GJ35" i="7"/>
  <c r="GK35" i="7"/>
  <c r="GL35" i="7"/>
  <c r="GM35" i="7"/>
  <c r="GN35" i="7"/>
  <c r="GO35" i="7"/>
  <c r="GJ36" i="7"/>
  <c r="GK36" i="7"/>
  <c r="GL36" i="7"/>
  <c r="GM36" i="7"/>
  <c r="GN36" i="7"/>
  <c r="GO36" i="7"/>
  <c r="GJ37" i="7"/>
  <c r="GK37" i="7"/>
  <c r="GL37" i="7"/>
  <c r="GM37" i="7"/>
  <c r="GN37" i="7"/>
  <c r="GO37" i="7"/>
  <c r="GJ38" i="7"/>
  <c r="GK38" i="7"/>
  <c r="GL38" i="7"/>
  <c r="GM38" i="7"/>
  <c r="GN38" i="7"/>
  <c r="GO38" i="7"/>
  <c r="GJ39" i="7"/>
  <c r="GK39" i="7"/>
  <c r="GL39" i="7"/>
  <c r="GM39" i="7"/>
  <c r="GN39" i="7"/>
  <c r="GO39" i="7"/>
  <c r="GJ40" i="7"/>
  <c r="GK40" i="7"/>
  <c r="GL40" i="7"/>
  <c r="GM40" i="7"/>
  <c r="GN40" i="7"/>
  <c r="GO40" i="7"/>
  <c r="GJ41" i="7"/>
  <c r="GK41" i="7"/>
  <c r="GL41" i="7"/>
  <c r="GM41" i="7"/>
  <c r="GN41" i="7"/>
  <c r="GO41" i="7"/>
  <c r="GJ42" i="7"/>
  <c r="GK42" i="7"/>
  <c r="GL42" i="7"/>
  <c r="GM42" i="7"/>
  <c r="GN42" i="7"/>
  <c r="GO42" i="7"/>
  <c r="GJ43" i="7"/>
  <c r="GK43" i="7"/>
  <c r="GL43" i="7"/>
  <c r="GM43" i="7"/>
  <c r="GN43" i="7"/>
  <c r="GO43" i="7"/>
  <c r="GB29" i="7"/>
  <c r="GC29" i="7"/>
  <c r="GD29" i="7"/>
  <c r="GE29" i="7"/>
  <c r="GF29" i="7"/>
  <c r="GG29" i="7"/>
  <c r="GB30" i="7"/>
  <c r="GC30" i="7"/>
  <c r="GD30" i="7"/>
  <c r="GE30" i="7"/>
  <c r="GF30" i="7"/>
  <c r="GG30" i="7"/>
  <c r="GB31" i="7"/>
  <c r="GC31" i="7"/>
  <c r="GD31" i="7"/>
  <c r="GE31" i="7"/>
  <c r="GF31" i="7"/>
  <c r="GG31" i="7"/>
  <c r="GB32" i="7"/>
  <c r="GC32" i="7"/>
  <c r="GD32" i="7"/>
  <c r="GE32" i="7"/>
  <c r="GF32" i="7"/>
  <c r="GG32" i="7"/>
  <c r="GB33" i="7"/>
  <c r="GC33" i="7"/>
  <c r="GD33" i="7"/>
  <c r="GE33" i="7"/>
  <c r="GF33" i="7"/>
  <c r="GG33" i="7"/>
  <c r="GB34" i="7"/>
  <c r="GC34" i="7"/>
  <c r="GD34" i="7"/>
  <c r="GE34" i="7"/>
  <c r="GF34" i="7"/>
  <c r="GG34" i="7"/>
  <c r="GB35" i="7"/>
  <c r="GC35" i="7"/>
  <c r="GD35" i="7"/>
  <c r="GE35" i="7"/>
  <c r="GF35" i="7"/>
  <c r="GG35" i="7"/>
  <c r="GB36" i="7"/>
  <c r="GC36" i="7"/>
  <c r="GD36" i="7"/>
  <c r="GE36" i="7"/>
  <c r="GF36" i="7"/>
  <c r="GG36" i="7"/>
  <c r="GB37" i="7"/>
  <c r="GC37" i="7"/>
  <c r="GD37" i="7"/>
  <c r="GE37" i="7"/>
  <c r="GF37" i="7"/>
  <c r="GG37" i="7"/>
  <c r="GB38" i="7"/>
  <c r="GC38" i="7"/>
  <c r="GD38" i="7"/>
  <c r="GE38" i="7"/>
  <c r="GF38" i="7"/>
  <c r="GG38" i="7"/>
  <c r="GB39" i="7"/>
  <c r="GC39" i="7"/>
  <c r="GD39" i="7"/>
  <c r="GE39" i="7"/>
  <c r="GF39" i="7"/>
  <c r="GG39" i="7"/>
  <c r="GB40" i="7"/>
  <c r="GC40" i="7"/>
  <c r="GD40" i="7"/>
  <c r="GE40" i="7"/>
  <c r="GF40" i="7"/>
  <c r="GG40" i="7"/>
  <c r="GB41" i="7"/>
  <c r="GC41" i="7"/>
  <c r="GD41" i="7"/>
  <c r="GE41" i="7"/>
  <c r="GF41" i="7"/>
  <c r="GG41" i="7"/>
  <c r="GB42" i="7"/>
  <c r="GC42" i="7"/>
  <c r="GD42" i="7"/>
  <c r="GE42" i="7"/>
  <c r="GF42" i="7"/>
  <c r="GG42" i="7"/>
  <c r="GB43" i="7"/>
  <c r="GC43" i="7"/>
  <c r="GD43" i="7"/>
  <c r="GE43" i="7"/>
  <c r="GF43" i="7"/>
  <c r="GG43" i="7"/>
  <c r="FT29" i="7"/>
  <c r="FU29" i="7"/>
  <c r="FV29" i="7"/>
  <c r="FW29" i="7"/>
  <c r="FX29" i="7"/>
  <c r="FY29" i="7"/>
  <c r="FT30" i="7"/>
  <c r="FU30" i="7"/>
  <c r="FV30" i="7"/>
  <c r="FW30" i="7"/>
  <c r="FX30" i="7"/>
  <c r="FY30" i="7"/>
  <c r="FT31" i="7"/>
  <c r="FU31" i="7"/>
  <c r="FV31" i="7"/>
  <c r="FW31" i="7"/>
  <c r="FX31" i="7"/>
  <c r="FY31" i="7"/>
  <c r="FT32" i="7"/>
  <c r="FU32" i="7"/>
  <c r="FV32" i="7"/>
  <c r="FW32" i="7"/>
  <c r="FX32" i="7"/>
  <c r="FY32" i="7"/>
  <c r="FT33" i="7"/>
  <c r="FU33" i="7"/>
  <c r="FV33" i="7"/>
  <c r="FW33" i="7"/>
  <c r="FX33" i="7"/>
  <c r="FY33" i="7"/>
  <c r="FT34" i="7"/>
  <c r="FU34" i="7"/>
  <c r="FV34" i="7"/>
  <c r="FW34" i="7"/>
  <c r="FX34" i="7"/>
  <c r="FY34" i="7"/>
  <c r="FT35" i="7"/>
  <c r="FU35" i="7"/>
  <c r="FV35" i="7"/>
  <c r="FW35" i="7"/>
  <c r="FX35" i="7"/>
  <c r="FY35" i="7"/>
  <c r="FT36" i="7"/>
  <c r="FU36" i="7"/>
  <c r="FV36" i="7"/>
  <c r="FW36" i="7"/>
  <c r="FX36" i="7"/>
  <c r="FY36" i="7"/>
  <c r="FT37" i="7"/>
  <c r="FU37" i="7"/>
  <c r="FV37" i="7"/>
  <c r="FW37" i="7"/>
  <c r="FX37" i="7"/>
  <c r="FY37" i="7"/>
  <c r="FT38" i="7"/>
  <c r="FU38" i="7"/>
  <c r="FV38" i="7"/>
  <c r="FW38" i="7"/>
  <c r="FX38" i="7"/>
  <c r="FY38" i="7"/>
  <c r="FT39" i="7"/>
  <c r="FU39" i="7"/>
  <c r="FV39" i="7"/>
  <c r="FW39" i="7"/>
  <c r="FX39" i="7"/>
  <c r="FY39" i="7"/>
  <c r="FT40" i="7"/>
  <c r="FU40" i="7"/>
  <c r="FV40" i="7"/>
  <c r="FW40" i="7"/>
  <c r="FX40" i="7"/>
  <c r="FY40" i="7"/>
  <c r="FT41" i="7"/>
  <c r="FU41" i="7"/>
  <c r="FV41" i="7"/>
  <c r="FW41" i="7"/>
  <c r="FX41" i="7"/>
  <c r="FY41" i="7"/>
  <c r="FT42" i="7"/>
  <c r="FU42" i="7"/>
  <c r="FV42" i="7"/>
  <c r="FW42" i="7"/>
  <c r="FX42" i="7"/>
  <c r="FY42" i="7"/>
  <c r="FT43" i="7"/>
  <c r="FU43" i="7"/>
  <c r="FV43" i="7"/>
  <c r="FW43" i="7"/>
  <c r="FX43" i="7"/>
  <c r="FY43" i="7"/>
  <c r="FL29" i="7"/>
  <c r="FM29" i="7"/>
  <c r="FN29" i="7"/>
  <c r="FO29" i="7"/>
  <c r="FP29" i="7"/>
  <c r="FQ29" i="7"/>
  <c r="FL30" i="7"/>
  <c r="FM30" i="7"/>
  <c r="FN30" i="7"/>
  <c r="FO30" i="7"/>
  <c r="FP30" i="7"/>
  <c r="FQ30" i="7"/>
  <c r="FL31" i="7"/>
  <c r="FM31" i="7"/>
  <c r="FN31" i="7"/>
  <c r="FO31" i="7"/>
  <c r="FP31" i="7"/>
  <c r="FQ31" i="7"/>
  <c r="FL32" i="7"/>
  <c r="FM32" i="7"/>
  <c r="FN32" i="7"/>
  <c r="FO32" i="7"/>
  <c r="FP32" i="7"/>
  <c r="FQ32" i="7"/>
  <c r="FL33" i="7"/>
  <c r="FM33" i="7"/>
  <c r="FN33" i="7"/>
  <c r="FO33" i="7"/>
  <c r="FP33" i="7"/>
  <c r="FQ33" i="7"/>
  <c r="FL34" i="7"/>
  <c r="FM34" i="7"/>
  <c r="FN34" i="7"/>
  <c r="FO34" i="7"/>
  <c r="FP34" i="7"/>
  <c r="FQ34" i="7"/>
  <c r="FL35" i="7"/>
  <c r="FM35" i="7"/>
  <c r="FN35" i="7"/>
  <c r="FO35" i="7"/>
  <c r="FP35" i="7"/>
  <c r="FQ35" i="7"/>
  <c r="FL36" i="7"/>
  <c r="FM36" i="7"/>
  <c r="FN36" i="7"/>
  <c r="FO36" i="7"/>
  <c r="FP36" i="7"/>
  <c r="FQ36" i="7"/>
  <c r="FL37" i="7"/>
  <c r="FM37" i="7"/>
  <c r="FN37" i="7"/>
  <c r="FO37" i="7"/>
  <c r="FP37" i="7"/>
  <c r="FQ37" i="7"/>
  <c r="FL38" i="7"/>
  <c r="FM38" i="7"/>
  <c r="FN38" i="7"/>
  <c r="FO38" i="7"/>
  <c r="FP38" i="7"/>
  <c r="FQ38" i="7"/>
  <c r="FL39" i="7"/>
  <c r="FM39" i="7"/>
  <c r="FN39" i="7"/>
  <c r="FO39" i="7"/>
  <c r="FP39" i="7"/>
  <c r="FQ39" i="7"/>
  <c r="FL40" i="7"/>
  <c r="FM40" i="7"/>
  <c r="FN40" i="7"/>
  <c r="FO40" i="7"/>
  <c r="FP40" i="7"/>
  <c r="FQ40" i="7"/>
  <c r="FL41" i="7"/>
  <c r="FM41" i="7"/>
  <c r="FN41" i="7"/>
  <c r="FO41" i="7"/>
  <c r="FP41" i="7"/>
  <c r="FQ41" i="7"/>
  <c r="FL42" i="7"/>
  <c r="FM42" i="7"/>
  <c r="FN42" i="7"/>
  <c r="FO42" i="7"/>
  <c r="FP42" i="7"/>
  <c r="FQ42" i="7"/>
  <c r="FL43" i="7"/>
  <c r="FM43" i="7"/>
  <c r="FN43" i="7"/>
  <c r="FO43" i="7"/>
  <c r="FP43" i="7"/>
  <c r="FQ43" i="7"/>
  <c r="FD29" i="7"/>
  <c r="FE29" i="7"/>
  <c r="FF29" i="7"/>
  <c r="FG29" i="7"/>
  <c r="FH29" i="7"/>
  <c r="FI29" i="7"/>
  <c r="FD30" i="7"/>
  <c r="FE30" i="7"/>
  <c r="FF30" i="7"/>
  <c r="FG30" i="7"/>
  <c r="FH30" i="7"/>
  <c r="FI30" i="7"/>
  <c r="FD31" i="7"/>
  <c r="FE31" i="7"/>
  <c r="FF31" i="7"/>
  <c r="FG31" i="7"/>
  <c r="FH31" i="7"/>
  <c r="FI31" i="7"/>
  <c r="FD32" i="7"/>
  <c r="FE32" i="7"/>
  <c r="FF32" i="7"/>
  <c r="FG32" i="7"/>
  <c r="FH32" i="7"/>
  <c r="FI32" i="7"/>
  <c r="FD33" i="7"/>
  <c r="FE33" i="7"/>
  <c r="FF33" i="7"/>
  <c r="FG33" i="7"/>
  <c r="FH33" i="7"/>
  <c r="FI33" i="7"/>
  <c r="FD34" i="7"/>
  <c r="FE34" i="7"/>
  <c r="FF34" i="7"/>
  <c r="FG34" i="7"/>
  <c r="FH34" i="7"/>
  <c r="FI34" i="7"/>
  <c r="FD35" i="7"/>
  <c r="FE35" i="7"/>
  <c r="FF35" i="7"/>
  <c r="FG35" i="7"/>
  <c r="FH35" i="7"/>
  <c r="FI35" i="7"/>
  <c r="FD36" i="7"/>
  <c r="FE36" i="7"/>
  <c r="FF36" i="7"/>
  <c r="FG36" i="7"/>
  <c r="FH36" i="7"/>
  <c r="FI36" i="7"/>
  <c r="FD37" i="7"/>
  <c r="FE37" i="7"/>
  <c r="FF37" i="7"/>
  <c r="FG37" i="7"/>
  <c r="FH37" i="7"/>
  <c r="FI37" i="7"/>
  <c r="FD38" i="7"/>
  <c r="FE38" i="7"/>
  <c r="FF38" i="7"/>
  <c r="FG38" i="7"/>
  <c r="FH38" i="7"/>
  <c r="FI38" i="7"/>
  <c r="FD39" i="7"/>
  <c r="FE39" i="7"/>
  <c r="FF39" i="7"/>
  <c r="FG39" i="7"/>
  <c r="FH39" i="7"/>
  <c r="FI39" i="7"/>
  <c r="FD40" i="7"/>
  <c r="FE40" i="7"/>
  <c r="FF40" i="7"/>
  <c r="FG40" i="7"/>
  <c r="FH40" i="7"/>
  <c r="FI40" i="7"/>
  <c r="FD41" i="7"/>
  <c r="FE41" i="7"/>
  <c r="FF41" i="7"/>
  <c r="FG41" i="7"/>
  <c r="FH41" i="7"/>
  <c r="FI41" i="7"/>
  <c r="FD42" i="7"/>
  <c r="FE42" i="7"/>
  <c r="FF42" i="7"/>
  <c r="FG42" i="7"/>
  <c r="FH42" i="7"/>
  <c r="FI42" i="7"/>
  <c r="FD43" i="7"/>
  <c r="FE43" i="7"/>
  <c r="FF43" i="7"/>
  <c r="FG43" i="7"/>
  <c r="FH43" i="7"/>
  <c r="FI43" i="7"/>
  <c r="EV29" i="7"/>
  <c r="EW29" i="7"/>
  <c r="EX29" i="7"/>
  <c r="EY29" i="7"/>
  <c r="EZ29" i="7"/>
  <c r="FA29" i="7"/>
  <c r="EV30" i="7"/>
  <c r="EW30" i="7"/>
  <c r="EX30" i="7"/>
  <c r="EY30" i="7"/>
  <c r="EZ30" i="7"/>
  <c r="FA30" i="7"/>
  <c r="EV31" i="7"/>
  <c r="EW31" i="7"/>
  <c r="EX31" i="7"/>
  <c r="EY31" i="7"/>
  <c r="EZ31" i="7"/>
  <c r="FA31" i="7"/>
  <c r="EV32" i="7"/>
  <c r="EW32" i="7"/>
  <c r="EX32" i="7"/>
  <c r="EY32" i="7"/>
  <c r="EZ32" i="7"/>
  <c r="FA32" i="7"/>
  <c r="EV33" i="7"/>
  <c r="EW33" i="7"/>
  <c r="EX33" i="7"/>
  <c r="EY33" i="7"/>
  <c r="EZ33" i="7"/>
  <c r="FA33" i="7"/>
  <c r="EV34" i="7"/>
  <c r="EW34" i="7"/>
  <c r="EX34" i="7"/>
  <c r="EY34" i="7"/>
  <c r="EZ34" i="7"/>
  <c r="FA34" i="7"/>
  <c r="EV35" i="7"/>
  <c r="EW35" i="7"/>
  <c r="EX35" i="7"/>
  <c r="EY35" i="7"/>
  <c r="EZ35" i="7"/>
  <c r="FA35" i="7"/>
  <c r="EV36" i="7"/>
  <c r="EW36" i="7"/>
  <c r="EX36" i="7"/>
  <c r="EY36" i="7"/>
  <c r="EZ36" i="7"/>
  <c r="FA36" i="7"/>
  <c r="EV37" i="7"/>
  <c r="EW37" i="7"/>
  <c r="EX37" i="7"/>
  <c r="EY37" i="7"/>
  <c r="EZ37" i="7"/>
  <c r="FA37" i="7"/>
  <c r="EV38" i="7"/>
  <c r="EW38" i="7"/>
  <c r="EX38" i="7"/>
  <c r="EY38" i="7"/>
  <c r="EZ38" i="7"/>
  <c r="FA38" i="7"/>
  <c r="EV39" i="7"/>
  <c r="EW39" i="7"/>
  <c r="EX39" i="7"/>
  <c r="EY39" i="7"/>
  <c r="EZ39" i="7"/>
  <c r="FA39" i="7"/>
  <c r="EV40" i="7"/>
  <c r="EW40" i="7"/>
  <c r="EX40" i="7"/>
  <c r="EY40" i="7"/>
  <c r="EZ40" i="7"/>
  <c r="FA40" i="7"/>
  <c r="EV41" i="7"/>
  <c r="EW41" i="7"/>
  <c r="EX41" i="7"/>
  <c r="EY41" i="7"/>
  <c r="EZ41" i="7"/>
  <c r="FA41" i="7"/>
  <c r="EV42" i="7"/>
  <c r="EW42" i="7"/>
  <c r="EX42" i="7"/>
  <c r="EY42" i="7"/>
  <c r="EZ42" i="7"/>
  <c r="FA42" i="7"/>
  <c r="EV43" i="7"/>
  <c r="EW43" i="7"/>
  <c r="EX43" i="7"/>
  <c r="EY43" i="7"/>
  <c r="EZ43" i="7"/>
  <c r="FA43" i="7"/>
  <c r="BR29" i="7"/>
  <c r="BS29" i="7"/>
  <c r="BT29" i="7"/>
  <c r="BU29" i="7"/>
  <c r="BV29" i="7"/>
  <c r="BW29" i="7"/>
  <c r="BR30" i="7"/>
  <c r="BS30" i="7"/>
  <c r="BT30" i="7"/>
  <c r="BU30" i="7"/>
  <c r="BV30" i="7"/>
  <c r="BW30" i="7"/>
  <c r="BR31" i="7"/>
  <c r="BS31" i="7"/>
  <c r="BT31" i="7"/>
  <c r="BU31" i="7"/>
  <c r="BV31" i="7"/>
  <c r="BW31" i="7"/>
  <c r="BR32" i="7"/>
  <c r="BS32" i="7"/>
  <c r="BT32" i="7"/>
  <c r="BU32" i="7"/>
  <c r="BV32" i="7"/>
  <c r="BW32" i="7"/>
  <c r="BR33" i="7"/>
  <c r="BS33" i="7"/>
  <c r="BT33" i="7"/>
  <c r="BU33" i="7"/>
  <c r="BV33" i="7"/>
  <c r="BW33" i="7"/>
  <c r="BR34" i="7"/>
  <c r="BS34" i="7"/>
  <c r="BT34" i="7"/>
  <c r="BU34" i="7"/>
  <c r="BV34" i="7"/>
  <c r="BW34" i="7"/>
  <c r="BR35" i="7"/>
  <c r="BS35" i="7"/>
  <c r="BT35" i="7"/>
  <c r="BU35" i="7"/>
  <c r="BV35" i="7"/>
  <c r="BW35" i="7"/>
  <c r="BR36" i="7"/>
  <c r="BS36" i="7"/>
  <c r="BT36" i="7"/>
  <c r="BU36" i="7"/>
  <c r="BV36" i="7"/>
  <c r="BW36" i="7"/>
  <c r="BR37" i="7"/>
  <c r="BS37" i="7"/>
  <c r="BT37" i="7"/>
  <c r="BU37" i="7"/>
  <c r="BV37" i="7"/>
  <c r="BW37" i="7"/>
  <c r="BR38" i="7"/>
  <c r="BS38" i="7"/>
  <c r="BT38" i="7"/>
  <c r="BU38" i="7"/>
  <c r="BV38" i="7"/>
  <c r="BW38" i="7"/>
  <c r="BR39" i="7"/>
  <c r="BS39" i="7"/>
  <c r="BT39" i="7"/>
  <c r="BU39" i="7"/>
  <c r="BV39" i="7"/>
  <c r="BW39" i="7"/>
  <c r="BR40" i="7"/>
  <c r="BS40" i="7"/>
  <c r="BT40" i="7"/>
  <c r="BU40" i="7"/>
  <c r="BV40" i="7"/>
  <c r="BW40" i="7"/>
  <c r="BR41" i="7"/>
  <c r="BS41" i="7"/>
  <c r="BT41" i="7"/>
  <c r="BU41" i="7"/>
  <c r="BV41" i="7"/>
  <c r="BW41" i="7"/>
  <c r="BR42" i="7"/>
  <c r="BS42" i="7"/>
  <c r="BT42" i="7"/>
  <c r="BU42" i="7"/>
  <c r="BV42" i="7"/>
  <c r="BW42" i="7"/>
  <c r="BR43" i="7"/>
  <c r="BS43" i="7"/>
  <c r="BT43" i="7"/>
  <c r="BU43" i="7"/>
  <c r="BV43" i="7"/>
  <c r="BW43" i="7"/>
  <c r="GZ12" i="7"/>
  <c r="HA12" i="7"/>
  <c r="HB12" i="7"/>
  <c r="HC12" i="7"/>
  <c r="HD12" i="7"/>
  <c r="HE12" i="7"/>
  <c r="DV12" i="7"/>
  <c r="DY12" i="7" s="1"/>
  <c r="EB12" i="7" s="1"/>
  <c r="EE12" i="7" s="1"/>
  <c r="DW12" i="7"/>
  <c r="DZ12" i="7" s="1"/>
  <c r="EC12" i="7" s="1"/>
  <c r="EF12" i="7" s="1"/>
  <c r="CS12" i="7"/>
  <c r="CT12" i="7" s="1"/>
  <c r="CU12" i="7" s="1"/>
  <c r="CV12" i="7" s="1"/>
  <c r="CW12" i="7" s="1"/>
  <c r="CX12" i="7" s="1"/>
  <c r="CY12" i="7" s="1"/>
  <c r="CZ12" i="7" s="1"/>
  <c r="DA12" i="7" s="1"/>
  <c r="DB12" i="7" s="1"/>
  <c r="DC12" i="7" s="1"/>
  <c r="DD12" i="7" s="1"/>
  <c r="DG12" i="7" s="1"/>
  <c r="DH12" i="7" s="1"/>
  <c r="DI12" i="7" s="1"/>
  <c r="DJ12" i="7" s="1"/>
  <c r="DK12" i="7" s="1"/>
  <c r="DL12" i="7" s="1"/>
  <c r="DM12" i="7" s="1"/>
  <c r="DN12" i="7" s="1"/>
  <c r="DO12" i="7" s="1"/>
  <c r="DP12" i="7" s="1"/>
  <c r="DQ12" i="7" s="1"/>
  <c r="DR12" i="7" s="1"/>
  <c r="DU12" i="7" s="1"/>
  <c r="DX12" i="7" s="1"/>
  <c r="EA12" i="7" s="1"/>
  <c r="ED12" i="7" s="1"/>
  <c r="BR12" i="7"/>
  <c r="BS12" i="7"/>
  <c r="BT12" i="7"/>
  <c r="BU12" i="7"/>
  <c r="BV12" i="7"/>
  <c r="BW12" i="7"/>
  <c r="C2" i="7"/>
  <c r="B2" i="33" s="1"/>
  <c r="C3" i="7"/>
  <c r="C4" i="7"/>
  <c r="C6" i="7"/>
  <c r="B6" i="40" s="1"/>
  <c r="C7" i="7"/>
  <c r="G6" i="41" s="1"/>
  <c r="C8" i="7"/>
  <c r="C9" i="7"/>
  <c r="O222" i="26"/>
  <c r="O223" i="26"/>
  <c r="O224" i="26"/>
  <c r="O225" i="26"/>
  <c r="O226" i="26"/>
  <c r="O227" i="26"/>
  <c r="B222" i="26"/>
  <c r="T222" i="26" s="1"/>
  <c r="J222" i="26"/>
  <c r="B223" i="26"/>
  <c r="M223" i="26" s="1"/>
  <c r="Z223" i="26" s="1"/>
  <c r="B224" i="26"/>
  <c r="C224" i="26" s="1"/>
  <c r="B225" i="26"/>
  <c r="C225" i="26" s="1"/>
  <c r="B226" i="26"/>
  <c r="T226" i="26" s="1"/>
  <c r="B227" i="26"/>
  <c r="AE227" i="26" s="1"/>
  <c r="L217" i="26"/>
  <c r="I216" i="26"/>
  <c r="B215" i="26"/>
  <c r="A219" i="26" s="1"/>
  <c r="O207" i="26"/>
  <c r="O208" i="26"/>
  <c r="O209" i="26"/>
  <c r="O210" i="26"/>
  <c r="O211" i="26"/>
  <c r="O212" i="26"/>
  <c r="B207" i="26"/>
  <c r="T207" i="26" s="1"/>
  <c r="J207" i="26"/>
  <c r="X207" i="26" s="1"/>
  <c r="B208" i="26"/>
  <c r="M208" i="26" s="1"/>
  <c r="Z208" i="26" s="1"/>
  <c r="B209" i="26"/>
  <c r="C209" i="26" s="1"/>
  <c r="B210" i="26"/>
  <c r="C210" i="26" s="1"/>
  <c r="B211" i="26"/>
  <c r="AE211" i="26" s="1"/>
  <c r="B212" i="26"/>
  <c r="L202" i="26"/>
  <c r="I201" i="26"/>
  <c r="B200" i="26"/>
  <c r="A204" i="26" s="1"/>
  <c r="O192" i="26"/>
  <c r="O193" i="26"/>
  <c r="O194" i="26"/>
  <c r="O195" i="26"/>
  <c r="O196" i="26"/>
  <c r="O197" i="26"/>
  <c r="B192" i="26"/>
  <c r="AE192" i="26" s="1"/>
  <c r="J192" i="26"/>
  <c r="B193" i="26"/>
  <c r="C193" i="26" s="1"/>
  <c r="B194" i="26"/>
  <c r="AE194" i="26" s="1"/>
  <c r="B195" i="26"/>
  <c r="C195" i="26" s="1"/>
  <c r="B196" i="26"/>
  <c r="C196" i="26" s="1"/>
  <c r="B197" i="26"/>
  <c r="C197" i="26" s="1"/>
  <c r="L187" i="26"/>
  <c r="I186" i="26"/>
  <c r="B185" i="26"/>
  <c r="A189" i="26" s="1"/>
  <c r="O177" i="26"/>
  <c r="O178" i="26"/>
  <c r="O179" i="26"/>
  <c r="O180" i="26"/>
  <c r="O181" i="26"/>
  <c r="O182" i="26"/>
  <c r="B177" i="26"/>
  <c r="M177" i="26" s="1"/>
  <c r="J177" i="26"/>
  <c r="AI177" i="26" s="1"/>
  <c r="B178" i="26"/>
  <c r="C178" i="26" s="1"/>
  <c r="B179" i="26"/>
  <c r="B180" i="26"/>
  <c r="T180" i="26" s="1"/>
  <c r="B181" i="26"/>
  <c r="C181" i="26" s="1"/>
  <c r="B182" i="26"/>
  <c r="AE182" i="26" s="1"/>
  <c r="L172" i="26"/>
  <c r="I171" i="26"/>
  <c r="B170" i="26"/>
  <c r="A174" i="26" s="1"/>
  <c r="O162" i="26"/>
  <c r="O163" i="26"/>
  <c r="O164" i="26"/>
  <c r="O165" i="26"/>
  <c r="O166" i="26"/>
  <c r="O167" i="26"/>
  <c r="B162" i="26"/>
  <c r="T162" i="26" s="1"/>
  <c r="J162" i="26"/>
  <c r="X162" i="26" s="1"/>
  <c r="B163" i="26"/>
  <c r="AE163" i="26" s="1"/>
  <c r="B164" i="26"/>
  <c r="B165" i="26"/>
  <c r="C165" i="26" s="1"/>
  <c r="B166" i="26"/>
  <c r="C166" i="26" s="1"/>
  <c r="B167" i="26"/>
  <c r="T167" i="26" s="1"/>
  <c r="L157" i="26"/>
  <c r="I156" i="26"/>
  <c r="B155" i="26"/>
  <c r="A159" i="26" s="1"/>
  <c r="O147" i="26"/>
  <c r="O148" i="26"/>
  <c r="O149" i="26"/>
  <c r="O150" i="26"/>
  <c r="O151" i="26"/>
  <c r="O152" i="26"/>
  <c r="B147" i="26"/>
  <c r="J147" i="26"/>
  <c r="AI147" i="26" s="1"/>
  <c r="B148" i="26"/>
  <c r="B149" i="26"/>
  <c r="C149" i="26" s="1"/>
  <c r="B150" i="26"/>
  <c r="B151" i="26"/>
  <c r="T151" i="26" s="1"/>
  <c r="B152" i="26"/>
  <c r="L142" i="26"/>
  <c r="I141" i="26"/>
  <c r="B140" i="26"/>
  <c r="A144" i="26" s="1"/>
  <c r="O132" i="26"/>
  <c r="O133" i="26"/>
  <c r="O134" i="26"/>
  <c r="O135" i="26"/>
  <c r="O136" i="26"/>
  <c r="O137" i="26"/>
  <c r="B132" i="26"/>
  <c r="T132" i="26" s="1"/>
  <c r="J132" i="26"/>
  <c r="B133" i="26"/>
  <c r="AE133" i="26" s="1"/>
  <c r="B134" i="26"/>
  <c r="C134" i="26" s="1"/>
  <c r="B135" i="26"/>
  <c r="C135" i="26" s="1"/>
  <c r="B136" i="26"/>
  <c r="C136" i="26" s="1"/>
  <c r="B137" i="26"/>
  <c r="C137" i="26" s="1"/>
  <c r="L127" i="26"/>
  <c r="I126" i="26"/>
  <c r="B125" i="26"/>
  <c r="A129" i="26" s="1"/>
  <c r="O117" i="26"/>
  <c r="O118" i="26"/>
  <c r="O119" i="26"/>
  <c r="O120" i="26"/>
  <c r="O121" i="26"/>
  <c r="O122" i="26"/>
  <c r="B117" i="26"/>
  <c r="T117" i="26" s="1"/>
  <c r="J117" i="26"/>
  <c r="AI117" i="26" s="1"/>
  <c r="B118" i="26"/>
  <c r="B119" i="26"/>
  <c r="AE119" i="26" s="1"/>
  <c r="B120" i="26"/>
  <c r="AE120" i="26" s="1"/>
  <c r="B121" i="26"/>
  <c r="B122" i="26"/>
  <c r="C122" i="26" s="1"/>
  <c r="L112" i="26"/>
  <c r="I111" i="26"/>
  <c r="B110" i="26"/>
  <c r="A114" i="26" s="1"/>
  <c r="O102" i="26"/>
  <c r="O103" i="26"/>
  <c r="O104" i="26"/>
  <c r="O105" i="26"/>
  <c r="O106" i="26"/>
  <c r="O107" i="26"/>
  <c r="B102" i="26"/>
  <c r="C102" i="26" s="1"/>
  <c r="J102" i="26"/>
  <c r="B103" i="26"/>
  <c r="B104" i="26"/>
  <c r="M104" i="26" s="1"/>
  <c r="Z104" i="26" s="1"/>
  <c r="B105" i="26"/>
  <c r="C105" i="26" s="1"/>
  <c r="B106" i="26"/>
  <c r="T106" i="26" s="1"/>
  <c r="B107" i="26"/>
  <c r="L97" i="26"/>
  <c r="I96" i="26"/>
  <c r="B95" i="26"/>
  <c r="A99" i="26" s="1"/>
  <c r="O87" i="26"/>
  <c r="O88" i="26"/>
  <c r="O89" i="26"/>
  <c r="O90" i="26"/>
  <c r="O91" i="26"/>
  <c r="O92" i="26"/>
  <c r="B87" i="26"/>
  <c r="J87" i="26"/>
  <c r="AI87" i="26" s="1"/>
  <c r="B88" i="26"/>
  <c r="C88" i="26" s="1"/>
  <c r="B89" i="26"/>
  <c r="B90" i="26"/>
  <c r="C90" i="26" s="1"/>
  <c r="B91" i="26"/>
  <c r="M91" i="26" s="1"/>
  <c r="Z91" i="26" s="1"/>
  <c r="B92" i="26"/>
  <c r="C92" i="26" s="1"/>
  <c r="L82" i="26"/>
  <c r="I81" i="26"/>
  <c r="B80" i="26"/>
  <c r="A84" i="26" s="1"/>
  <c r="O72" i="26"/>
  <c r="O73" i="26"/>
  <c r="O74" i="26"/>
  <c r="O75" i="26"/>
  <c r="O76" i="26"/>
  <c r="O77" i="26"/>
  <c r="B72" i="26"/>
  <c r="AE72" i="26" s="1"/>
  <c r="J72" i="26"/>
  <c r="X72" i="26" s="1"/>
  <c r="B73" i="26"/>
  <c r="C73" i="26" s="1"/>
  <c r="B74" i="26"/>
  <c r="B75" i="26"/>
  <c r="B76" i="26"/>
  <c r="C76" i="26" s="1"/>
  <c r="B77" i="26"/>
  <c r="C77" i="26" s="1"/>
  <c r="L67" i="26"/>
  <c r="I66" i="26"/>
  <c r="B65" i="26"/>
  <c r="A69" i="26" s="1"/>
  <c r="O57" i="26"/>
  <c r="O58" i="26"/>
  <c r="O59" i="26"/>
  <c r="O60" i="26"/>
  <c r="O61" i="26"/>
  <c r="O62" i="26"/>
  <c r="B57" i="26"/>
  <c r="J57" i="26"/>
  <c r="X57" i="26" s="1"/>
  <c r="B58" i="26"/>
  <c r="B59" i="26"/>
  <c r="B60" i="26"/>
  <c r="B61" i="26"/>
  <c r="C61" i="26" s="1"/>
  <c r="B62" i="26"/>
  <c r="T62" i="26" s="1"/>
  <c r="L52" i="26"/>
  <c r="I51" i="26"/>
  <c r="B50" i="26"/>
  <c r="A54" i="26" s="1"/>
  <c r="O42" i="26"/>
  <c r="O43" i="26"/>
  <c r="O44" i="26"/>
  <c r="O45" i="26"/>
  <c r="O46" i="26"/>
  <c r="O47" i="26"/>
  <c r="B42" i="26"/>
  <c r="T42" i="26" s="1"/>
  <c r="J42" i="26"/>
  <c r="B43" i="26"/>
  <c r="B44" i="26"/>
  <c r="T44" i="26" s="1"/>
  <c r="B45" i="26"/>
  <c r="B46" i="26"/>
  <c r="C46" i="26" s="1"/>
  <c r="B47" i="26"/>
  <c r="AE47" i="26" s="1"/>
  <c r="L37" i="26"/>
  <c r="I36" i="26"/>
  <c r="B35" i="26"/>
  <c r="A39" i="26" s="1"/>
  <c r="O27" i="26"/>
  <c r="O28" i="26"/>
  <c r="O29" i="26"/>
  <c r="O30" i="26"/>
  <c r="O31" i="26"/>
  <c r="O32" i="26"/>
  <c r="B27" i="26"/>
  <c r="AE27" i="26" s="1"/>
  <c r="J27" i="26"/>
  <c r="B28" i="26"/>
  <c r="M28" i="26" s="1"/>
  <c r="Z28" i="26" s="1"/>
  <c r="B29" i="26"/>
  <c r="T29" i="26" s="1"/>
  <c r="B30" i="26"/>
  <c r="B31" i="26"/>
  <c r="C31" i="26" s="1"/>
  <c r="B32" i="26"/>
  <c r="L22" i="26"/>
  <c r="I21" i="26"/>
  <c r="B20" i="26"/>
  <c r="A24" i="26" s="1"/>
  <c r="O12" i="26"/>
  <c r="O13" i="26"/>
  <c r="O14" i="26"/>
  <c r="O15" i="26"/>
  <c r="O16" i="26"/>
  <c r="O17" i="26"/>
  <c r="B12" i="26"/>
  <c r="D12" i="26"/>
  <c r="E12" i="26"/>
  <c r="J12" i="26"/>
  <c r="B13" i="26"/>
  <c r="C13" i="26" s="1"/>
  <c r="D13" i="26"/>
  <c r="E13" i="26"/>
  <c r="B14" i="26"/>
  <c r="C14" i="26" s="1"/>
  <c r="D14" i="26"/>
  <c r="E14" i="26"/>
  <c r="B15" i="26"/>
  <c r="C15" i="26" s="1"/>
  <c r="D15" i="26"/>
  <c r="E15" i="26"/>
  <c r="B16" i="26"/>
  <c r="D16" i="26"/>
  <c r="E16" i="26"/>
  <c r="B17" i="26"/>
  <c r="D17" i="26"/>
  <c r="E17" i="26"/>
  <c r="L7" i="26"/>
  <c r="F7" i="26"/>
  <c r="I12" i="26" s="1"/>
  <c r="I6" i="26"/>
  <c r="B6" i="26"/>
  <c r="B5" i="26"/>
  <c r="A9" i="26" s="1"/>
  <c r="Y3" i="26"/>
  <c r="T3" i="26"/>
  <c r="U3" i="26"/>
  <c r="T4" i="26"/>
  <c r="U4" i="26"/>
  <c r="T5" i="26"/>
  <c r="U5" i="26"/>
  <c r="V5" i="26"/>
  <c r="T6" i="26"/>
  <c r="U2" i="26"/>
  <c r="V2" i="26"/>
  <c r="X1" i="26"/>
  <c r="J1" i="26"/>
  <c r="K1" i="26"/>
  <c r="L1" i="26"/>
  <c r="M1" i="26"/>
  <c r="N1" i="26"/>
  <c r="O1" i="26"/>
  <c r="P1" i="26"/>
  <c r="C417" i="25"/>
  <c r="C418" i="25"/>
  <c r="C419" i="25"/>
  <c r="C420" i="25"/>
  <c r="C421" i="25"/>
  <c r="C422" i="25"/>
  <c r="C388" i="25"/>
  <c r="C389" i="25"/>
  <c r="C390" i="25"/>
  <c r="C391" i="25"/>
  <c r="C392" i="25"/>
  <c r="C393" i="25"/>
  <c r="C359" i="25"/>
  <c r="C360" i="25"/>
  <c r="C361" i="25"/>
  <c r="C362" i="25"/>
  <c r="F391" i="56" s="1" a="1"/>
  <c r="F391" i="56" s="1"/>
  <c r="C363" i="25"/>
  <c r="G391" i="56" s="1" a="1"/>
  <c r="G391" i="56" s="1"/>
  <c r="C364" i="25"/>
  <c r="C330" i="25"/>
  <c r="C331" i="25"/>
  <c r="C332" i="25"/>
  <c r="C333" i="25"/>
  <c r="F383" i="56" s="1" a="1"/>
  <c r="F383" i="56" s="1"/>
  <c r="C334" i="25"/>
  <c r="C335" i="25"/>
  <c r="C301" i="25"/>
  <c r="C375" i="56" s="1" a="1"/>
  <c r="C375" i="56" s="1"/>
  <c r="C302" i="25"/>
  <c r="C303" i="25"/>
  <c r="C304" i="25"/>
  <c r="F375" i="56" s="1" a="1"/>
  <c r="F375" i="56" s="1"/>
  <c r="C305" i="25"/>
  <c r="C306" i="25"/>
  <c r="C272" i="25"/>
  <c r="C273" i="25"/>
  <c r="D367" i="56" s="1" a="1"/>
  <c r="D367" i="56" s="1"/>
  <c r="C274" i="25"/>
  <c r="C275" i="25"/>
  <c r="C276" i="25"/>
  <c r="C277" i="25"/>
  <c r="C243" i="25"/>
  <c r="C244" i="25"/>
  <c r="D359" i="56" s="1" a="1"/>
  <c r="D359" i="56" s="1"/>
  <c r="C245" i="25"/>
  <c r="C246" i="25"/>
  <c r="F359" i="56" s="1" a="1"/>
  <c r="F359" i="56" s="1"/>
  <c r="C247" i="25"/>
  <c r="C248" i="25"/>
  <c r="C214" i="25"/>
  <c r="C215" i="25"/>
  <c r="C216" i="25"/>
  <c r="E351" i="56" s="1" a="1"/>
  <c r="E351" i="56" s="1"/>
  <c r="C217" i="25"/>
  <c r="C218" i="25"/>
  <c r="C219" i="25"/>
  <c r="C185" i="25"/>
  <c r="C186" i="25"/>
  <c r="C187" i="25"/>
  <c r="C188" i="25"/>
  <c r="C189" i="25"/>
  <c r="C190" i="25"/>
  <c r="C156" i="25"/>
  <c r="C157" i="25"/>
  <c r="C158" i="25"/>
  <c r="C159" i="25"/>
  <c r="C160" i="25"/>
  <c r="C161" i="25"/>
  <c r="C127" i="25"/>
  <c r="C128" i="25"/>
  <c r="D327" i="56" s="1" a="1"/>
  <c r="D327" i="56" s="1"/>
  <c r="C129" i="25"/>
  <c r="E327" i="56" s="1" a="1"/>
  <c r="E327" i="56" s="1"/>
  <c r="C130" i="25"/>
  <c r="C131" i="25"/>
  <c r="C132" i="25"/>
  <c r="C98" i="25"/>
  <c r="C319" i="56" s="1" a="1"/>
  <c r="C319" i="56" s="1"/>
  <c r="C99" i="25"/>
  <c r="C100" i="25"/>
  <c r="C101" i="25"/>
  <c r="C102" i="25"/>
  <c r="C103" i="25"/>
  <c r="C69" i="25"/>
  <c r="C311" i="56" s="1" a="1"/>
  <c r="C311" i="56" s="1"/>
  <c r="C70" i="25"/>
  <c r="C71" i="25"/>
  <c r="C72" i="25"/>
  <c r="C73" i="25"/>
  <c r="C74" i="25"/>
  <c r="C40" i="25"/>
  <c r="C41" i="25"/>
  <c r="C42" i="25"/>
  <c r="C43" i="25"/>
  <c r="F303" i="56" s="1" a="1"/>
  <c r="F303" i="56" s="1"/>
  <c r="C44" i="25"/>
  <c r="C45" i="25"/>
  <c r="C11" i="25"/>
  <c r="C295" i="56" s="1" a="1"/>
  <c r="C295" i="56" s="1"/>
  <c r="C12" i="25"/>
  <c r="D295" i="56" s="1" a="1"/>
  <c r="D295" i="56" s="1"/>
  <c r="C13" i="25"/>
  <c r="C14" i="25"/>
  <c r="C15" i="25"/>
  <c r="C16" i="25"/>
  <c r="K1" i="25"/>
  <c r="L1" i="25"/>
  <c r="M1" i="25"/>
  <c r="N1" i="25"/>
  <c r="O1" i="25"/>
  <c r="C207" i="23"/>
  <c r="C208" i="23"/>
  <c r="C209" i="23"/>
  <c r="C210" i="23"/>
  <c r="C211" i="23"/>
  <c r="C212" i="23"/>
  <c r="N207" i="23"/>
  <c r="N208" i="23"/>
  <c r="N209" i="23"/>
  <c r="N210" i="23"/>
  <c r="N211" i="23"/>
  <c r="N212" i="23"/>
  <c r="G203" i="23"/>
  <c r="C202" i="23"/>
  <c r="N203" i="23" s="1"/>
  <c r="C203" i="23"/>
  <c r="C193" i="23"/>
  <c r="C194" i="23"/>
  <c r="C195" i="23"/>
  <c r="C196" i="23"/>
  <c r="C197" i="23"/>
  <c r="C198" i="23"/>
  <c r="N193" i="23"/>
  <c r="N194" i="23"/>
  <c r="N195" i="23"/>
  <c r="N196" i="23"/>
  <c r="N197" i="23"/>
  <c r="N198" i="23"/>
  <c r="G189" i="23"/>
  <c r="C188" i="23"/>
  <c r="N189" i="23" s="1"/>
  <c r="C189" i="23"/>
  <c r="C179" i="23"/>
  <c r="C180" i="23"/>
  <c r="C181" i="23"/>
  <c r="C182" i="23"/>
  <c r="C183" i="23"/>
  <c r="C184" i="23"/>
  <c r="N179" i="23"/>
  <c r="N180" i="23"/>
  <c r="N181" i="23"/>
  <c r="N182" i="23"/>
  <c r="N183" i="23"/>
  <c r="N184" i="23"/>
  <c r="G175" i="23"/>
  <c r="C174" i="23"/>
  <c r="N175" i="23" s="1"/>
  <c r="C175" i="23"/>
  <c r="C165" i="23"/>
  <c r="C166" i="23"/>
  <c r="C167" i="23"/>
  <c r="C168" i="23"/>
  <c r="C169" i="23"/>
  <c r="C170" i="23"/>
  <c r="N165" i="23"/>
  <c r="N166" i="23"/>
  <c r="N167" i="23"/>
  <c r="N168" i="23"/>
  <c r="N169" i="23"/>
  <c r="N170" i="23"/>
  <c r="G161" i="23"/>
  <c r="C160" i="23"/>
  <c r="N161" i="23" s="1"/>
  <c r="C161" i="23"/>
  <c r="C151" i="23"/>
  <c r="C152" i="23"/>
  <c r="C153" i="23"/>
  <c r="C154" i="23"/>
  <c r="C155" i="23"/>
  <c r="C156" i="23"/>
  <c r="N151" i="23"/>
  <c r="N152" i="23"/>
  <c r="N153" i="23"/>
  <c r="N154" i="23"/>
  <c r="N155" i="23"/>
  <c r="N156" i="23"/>
  <c r="G147" i="23"/>
  <c r="F151" i="23" s="1"/>
  <c r="C146" i="23"/>
  <c r="N147" i="23" s="1"/>
  <c r="C147" i="23"/>
  <c r="C137" i="23"/>
  <c r="C138" i="23"/>
  <c r="C139" i="23"/>
  <c r="C140" i="23"/>
  <c r="C141" i="23"/>
  <c r="C142" i="23"/>
  <c r="N137" i="23"/>
  <c r="N138" i="23"/>
  <c r="N139" i="23"/>
  <c r="N140" i="23"/>
  <c r="N141" i="23"/>
  <c r="N142" i="23"/>
  <c r="G133" i="23"/>
  <c r="F137" i="23" s="1"/>
  <c r="C132" i="23"/>
  <c r="N133" i="23" s="1"/>
  <c r="C133" i="23"/>
  <c r="C123" i="23"/>
  <c r="C124" i="23"/>
  <c r="C125" i="23"/>
  <c r="C126" i="23"/>
  <c r="C127" i="23"/>
  <c r="C128" i="23"/>
  <c r="N123" i="23"/>
  <c r="N124" i="23"/>
  <c r="N125" i="23"/>
  <c r="N126" i="23"/>
  <c r="N127" i="23"/>
  <c r="N128" i="23"/>
  <c r="G119" i="23"/>
  <c r="C118" i="23"/>
  <c r="N119" i="23" s="1"/>
  <c r="C119" i="23"/>
  <c r="C109" i="23"/>
  <c r="C110" i="23"/>
  <c r="C111" i="23"/>
  <c r="C112" i="23"/>
  <c r="C113" i="23"/>
  <c r="C114" i="23"/>
  <c r="N109" i="23"/>
  <c r="N110" i="23"/>
  <c r="N111" i="23"/>
  <c r="N112" i="23"/>
  <c r="N113" i="23"/>
  <c r="N114" i="23"/>
  <c r="G105" i="23"/>
  <c r="C104" i="23"/>
  <c r="N105" i="23" s="1"/>
  <c r="C105" i="23"/>
  <c r="C95" i="23"/>
  <c r="C96" i="23"/>
  <c r="C97" i="23"/>
  <c r="C98" i="23"/>
  <c r="C99" i="23"/>
  <c r="C100" i="23"/>
  <c r="N95" i="23"/>
  <c r="N96" i="23"/>
  <c r="N97" i="23"/>
  <c r="N98" i="23"/>
  <c r="N99" i="23"/>
  <c r="N100" i="23"/>
  <c r="G91" i="23"/>
  <c r="C90" i="23"/>
  <c r="N91" i="23" s="1"/>
  <c r="C91" i="23"/>
  <c r="C81" i="23"/>
  <c r="C82" i="23"/>
  <c r="C83" i="23"/>
  <c r="C84" i="23"/>
  <c r="C85" i="23"/>
  <c r="C86" i="23"/>
  <c r="N81" i="23"/>
  <c r="N82" i="23"/>
  <c r="N83" i="23"/>
  <c r="N84" i="23"/>
  <c r="N85" i="23"/>
  <c r="N86" i="23"/>
  <c r="G77" i="23"/>
  <c r="C76" i="23"/>
  <c r="N77" i="23" s="1"/>
  <c r="C77" i="23"/>
  <c r="C67" i="23"/>
  <c r="C68" i="23"/>
  <c r="C69" i="23"/>
  <c r="C70" i="23"/>
  <c r="C71" i="23"/>
  <c r="C72" i="23"/>
  <c r="N67" i="23"/>
  <c r="N68" i="23"/>
  <c r="N69" i="23"/>
  <c r="N70" i="23"/>
  <c r="N71" i="23"/>
  <c r="N72" i="23"/>
  <c r="G63" i="23"/>
  <c r="F67" i="23" s="1"/>
  <c r="C62" i="23"/>
  <c r="N63" i="23" s="1"/>
  <c r="C63" i="23"/>
  <c r="C53" i="23"/>
  <c r="C54" i="23"/>
  <c r="C55" i="23"/>
  <c r="C56" i="23"/>
  <c r="C57" i="23"/>
  <c r="C58" i="23"/>
  <c r="N53" i="23"/>
  <c r="C63" i="40" s="1"/>
  <c r="N54" i="23"/>
  <c r="N55" i="23"/>
  <c r="N56" i="23"/>
  <c r="N57" i="23"/>
  <c r="G63" i="40" s="1"/>
  <c r="N58" i="23"/>
  <c r="H63" i="40" s="1"/>
  <c r="G49" i="23"/>
  <c r="F53" i="23" s="1"/>
  <c r="F54" i="23" s="1"/>
  <c r="C48" i="23"/>
  <c r="C49" i="23"/>
  <c r="B63" i="40" s="1"/>
  <c r="C39" i="23"/>
  <c r="C40" i="23"/>
  <c r="C41" i="23"/>
  <c r="C42" i="23"/>
  <c r="C43" i="23"/>
  <c r="C44" i="23"/>
  <c r="N39" i="23"/>
  <c r="N40" i="23"/>
  <c r="N41" i="23"/>
  <c r="E62" i="40" s="1"/>
  <c r="N42" i="23"/>
  <c r="F62" i="40" s="1"/>
  <c r="N43" i="23"/>
  <c r="N44" i="23"/>
  <c r="G35" i="23"/>
  <c r="C34" i="23"/>
  <c r="C35" i="23"/>
  <c r="B62" i="40" s="1"/>
  <c r="C25" i="23"/>
  <c r="C26" i="23"/>
  <c r="C27" i="23"/>
  <c r="C28" i="23"/>
  <c r="C29" i="23"/>
  <c r="C30" i="23"/>
  <c r="N25" i="23"/>
  <c r="N26" i="23"/>
  <c r="N27" i="23"/>
  <c r="E61" i="40" s="1"/>
  <c r="N28" i="23"/>
  <c r="N29" i="23"/>
  <c r="N30" i="23"/>
  <c r="G21" i="23"/>
  <c r="F25" i="23" s="1"/>
  <c r="C20" i="23"/>
  <c r="C21" i="23"/>
  <c r="B61" i="40" s="1"/>
  <c r="C11" i="23"/>
  <c r="C12" i="23"/>
  <c r="C13" i="23"/>
  <c r="C14" i="23"/>
  <c r="C15" i="23"/>
  <c r="C16" i="23"/>
  <c r="N11" i="23"/>
  <c r="N12" i="23"/>
  <c r="D60" i="40" s="1"/>
  <c r="N13" i="23"/>
  <c r="N14" i="23"/>
  <c r="N15" i="23"/>
  <c r="G60" i="40" s="1"/>
  <c r="N16" i="23"/>
  <c r="G7" i="23"/>
  <c r="C6" i="23"/>
  <c r="C7" i="23"/>
  <c r="B60" i="40" s="1"/>
  <c r="L1" i="23"/>
  <c r="M1" i="23"/>
  <c r="N1" i="23"/>
  <c r="O1" i="23"/>
  <c r="P1" i="23"/>
  <c r="Q1" i="23"/>
  <c r="R1" i="23"/>
  <c r="V207" i="21"/>
  <c r="V208" i="21"/>
  <c r="V209" i="21"/>
  <c r="E55" i="40" s="1"/>
  <c r="V210" i="21"/>
  <c r="V211" i="21"/>
  <c r="G55" i="40" s="1"/>
  <c r="V212" i="21"/>
  <c r="H55" i="40" s="1"/>
  <c r="D207" i="21"/>
  <c r="D208" i="21"/>
  <c r="D209" i="21"/>
  <c r="D210" i="21"/>
  <c r="D211" i="21"/>
  <c r="D212" i="21"/>
  <c r="O203" i="21"/>
  <c r="L202" i="21"/>
  <c r="J207" i="21" s="1"/>
  <c r="V193" i="21"/>
  <c r="C54" i="40" s="1"/>
  <c r="V194" i="21"/>
  <c r="D54" i="40" s="1"/>
  <c r="V195" i="21"/>
  <c r="V196" i="21"/>
  <c r="V197" i="21"/>
  <c r="V198" i="21"/>
  <c r="D193" i="21"/>
  <c r="D194" i="21"/>
  <c r="D195" i="21"/>
  <c r="D196" i="21"/>
  <c r="D197" i="21"/>
  <c r="D198" i="21"/>
  <c r="O189" i="21"/>
  <c r="L188" i="21"/>
  <c r="J193" i="21" s="1"/>
  <c r="J194" i="21" s="1"/>
  <c r="J195" i="21" s="1"/>
  <c r="V179" i="21"/>
  <c r="V180" i="21"/>
  <c r="D53" i="40" s="1"/>
  <c r="V181" i="21"/>
  <c r="V182" i="21"/>
  <c r="V183" i="21"/>
  <c r="V184" i="21"/>
  <c r="D179" i="21"/>
  <c r="D180" i="21"/>
  <c r="D181" i="21"/>
  <c r="D182" i="21"/>
  <c r="D183" i="21"/>
  <c r="D184" i="21"/>
  <c r="O175" i="21"/>
  <c r="L174" i="21"/>
  <c r="V165" i="21"/>
  <c r="V166" i="21"/>
  <c r="D52" i="40" s="1"/>
  <c r="V167" i="21"/>
  <c r="E52" i="40" s="1"/>
  <c r="V168" i="21"/>
  <c r="F52" i="40" s="1"/>
  <c r="V169" i="21"/>
  <c r="G52" i="40" s="1"/>
  <c r="V170" i="21"/>
  <c r="D165" i="21"/>
  <c r="D166" i="21"/>
  <c r="D167" i="21"/>
  <c r="D168" i="21"/>
  <c r="D169" i="21"/>
  <c r="D170" i="21"/>
  <c r="O161" i="21"/>
  <c r="L160" i="21"/>
  <c r="J165" i="21" s="1"/>
  <c r="J166" i="21" s="1"/>
  <c r="V151" i="21"/>
  <c r="V152" i="21"/>
  <c r="D51" i="40" s="1"/>
  <c r="V153" i="21"/>
  <c r="E51" i="40" s="1"/>
  <c r="V154" i="21"/>
  <c r="F51" i="40" s="1"/>
  <c r="V155" i="21"/>
  <c r="V156" i="21"/>
  <c r="D151" i="21"/>
  <c r="D152" i="21"/>
  <c r="G152" i="21" s="1"/>
  <c r="D153" i="21"/>
  <c r="D154" i="21"/>
  <c r="G154" i="21" s="1"/>
  <c r="D155" i="21"/>
  <c r="D156" i="21"/>
  <c r="G156" i="21" s="1"/>
  <c r="O147" i="21"/>
  <c r="L146" i="21"/>
  <c r="J151" i="21" s="1"/>
  <c r="V137" i="21"/>
  <c r="C50" i="41" s="1"/>
  <c r="V138" i="21"/>
  <c r="V139" i="21"/>
  <c r="V140" i="21"/>
  <c r="V141" i="21"/>
  <c r="G50" i="41" s="1"/>
  <c r="V142" i="21"/>
  <c r="D137" i="21"/>
  <c r="D138" i="21"/>
  <c r="D139" i="21"/>
  <c r="D140" i="21"/>
  <c r="D141" i="21"/>
  <c r="D142" i="21"/>
  <c r="O133" i="21"/>
  <c r="L132" i="21"/>
  <c r="J137" i="21" s="1"/>
  <c r="J138" i="21" s="1"/>
  <c r="J139" i="21" s="1"/>
  <c r="J140" i="21" s="1"/>
  <c r="V123" i="21"/>
  <c r="V124" i="21"/>
  <c r="V125" i="21"/>
  <c r="V126" i="21"/>
  <c r="V127" i="21"/>
  <c r="V128" i="21"/>
  <c r="D123" i="21"/>
  <c r="D124" i="21"/>
  <c r="D125" i="21"/>
  <c r="D126" i="21"/>
  <c r="D127" i="21"/>
  <c r="D128" i="21"/>
  <c r="O119" i="21"/>
  <c r="L118" i="21"/>
  <c r="V109" i="21"/>
  <c r="V110" i="21"/>
  <c r="D48" i="41" s="1"/>
  <c r="V111" i="21"/>
  <c r="V112" i="21"/>
  <c r="F48" i="41" s="1"/>
  <c r="V113" i="21"/>
  <c r="V114" i="21"/>
  <c r="D109" i="21"/>
  <c r="D110" i="21"/>
  <c r="D111" i="21"/>
  <c r="D112" i="21"/>
  <c r="D113" i="21"/>
  <c r="D114" i="21"/>
  <c r="O105" i="21"/>
  <c r="L104" i="21"/>
  <c r="V95" i="21"/>
  <c r="V96" i="21"/>
  <c r="V97" i="21"/>
  <c r="V98" i="21"/>
  <c r="V99" i="21"/>
  <c r="V100" i="21"/>
  <c r="D95" i="21"/>
  <c r="D96" i="21"/>
  <c r="D97" i="21"/>
  <c r="D98" i="21"/>
  <c r="D99" i="21"/>
  <c r="D100" i="21"/>
  <c r="O91" i="21"/>
  <c r="L90" i="21"/>
  <c r="J95" i="21" s="1"/>
  <c r="V81" i="21"/>
  <c r="V82" i="21"/>
  <c r="V83" i="21"/>
  <c r="V84" i="21"/>
  <c r="V85" i="21"/>
  <c r="V86" i="21"/>
  <c r="D81" i="21"/>
  <c r="D82" i="21"/>
  <c r="D83" i="21"/>
  <c r="D84" i="21"/>
  <c r="D85" i="21"/>
  <c r="D86" i="21"/>
  <c r="O77" i="21"/>
  <c r="L76" i="21"/>
  <c r="J81" i="21" s="1"/>
  <c r="V67" i="21"/>
  <c r="V68" i="21"/>
  <c r="V69" i="21"/>
  <c r="E45" i="40" s="1"/>
  <c r="V70" i="21"/>
  <c r="V71" i="21"/>
  <c r="V72" i="21"/>
  <c r="D67" i="21"/>
  <c r="D68" i="21"/>
  <c r="D69" i="21"/>
  <c r="D70" i="21"/>
  <c r="D71" i="21"/>
  <c r="D72" i="21"/>
  <c r="O63" i="21"/>
  <c r="L62" i="21"/>
  <c r="V53" i="21"/>
  <c r="V54" i="21"/>
  <c r="V55" i="21"/>
  <c r="V56" i="21"/>
  <c r="V57" i="21"/>
  <c r="V58" i="21"/>
  <c r="D53" i="21"/>
  <c r="D54" i="21"/>
  <c r="D55" i="21"/>
  <c r="D56" i="21"/>
  <c r="D57" i="21"/>
  <c r="D58" i="21"/>
  <c r="O49" i="21"/>
  <c r="L48" i="21"/>
  <c r="V39" i="21"/>
  <c r="V40" i="21"/>
  <c r="V41" i="21"/>
  <c r="V42" i="21"/>
  <c r="V43" i="21"/>
  <c r="V44" i="21"/>
  <c r="D39" i="21"/>
  <c r="D40" i="21"/>
  <c r="D41" i="21"/>
  <c r="D42" i="21"/>
  <c r="D43" i="21"/>
  <c r="D44" i="21"/>
  <c r="O35" i="21"/>
  <c r="L34" i="21"/>
  <c r="J39" i="21" s="1"/>
  <c r="V25" i="21"/>
  <c r="V26" i="21"/>
  <c r="V27" i="21"/>
  <c r="V28" i="21"/>
  <c r="V29" i="21"/>
  <c r="V30" i="21"/>
  <c r="D25" i="21"/>
  <c r="D26" i="21"/>
  <c r="D27" i="21"/>
  <c r="D28" i="21"/>
  <c r="D29" i="21"/>
  <c r="D30" i="21"/>
  <c r="O21" i="21"/>
  <c r="L20" i="21"/>
  <c r="J25" i="21" s="1"/>
  <c r="V11" i="21"/>
  <c r="V12" i="21"/>
  <c r="V13" i="21"/>
  <c r="V14" i="21"/>
  <c r="V15" i="21"/>
  <c r="V16" i="21"/>
  <c r="D11" i="21"/>
  <c r="D12" i="21"/>
  <c r="D13" i="21"/>
  <c r="D14" i="21"/>
  <c r="D15" i="21"/>
  <c r="D16" i="21"/>
  <c r="O1" i="21"/>
  <c r="O7" i="21"/>
  <c r="L1" i="21"/>
  <c r="L6" i="21"/>
  <c r="J11" i="21" s="1"/>
  <c r="F6" i="21"/>
  <c r="R205" i="21" s="1"/>
  <c r="F7" i="21"/>
  <c r="B6" i="21"/>
  <c r="B7" i="21"/>
  <c r="Q1" i="21"/>
  <c r="R1" i="21"/>
  <c r="P1" i="21"/>
  <c r="V4" i="21"/>
  <c r="M1" i="21"/>
  <c r="N1" i="21"/>
  <c r="G220" i="23"/>
  <c r="F224" i="23" s="1"/>
  <c r="G233" i="23"/>
  <c r="F237" i="23" s="1"/>
  <c r="G246" i="23"/>
  <c r="F250" i="23" s="1"/>
  <c r="G250" i="23" s="1"/>
  <c r="I8" i="35"/>
  <c r="J8" i="35"/>
  <c r="K8" i="35"/>
  <c r="L8" i="35"/>
  <c r="M8" i="35"/>
  <c r="N8" i="35"/>
  <c r="O7" i="35"/>
  <c r="D191" i="45" l="1"/>
  <c r="D209" i="45"/>
  <c r="D363" i="25"/>
  <c r="G394" i="56" s="1" a="1"/>
  <c r="G394" i="56" s="1"/>
  <c r="A63" i="40"/>
  <c r="N49" i="23"/>
  <c r="A62" i="40"/>
  <c r="N35" i="23"/>
  <c r="A61" i="40"/>
  <c r="N21" i="23"/>
  <c r="A60" i="40"/>
  <c r="N7" i="23"/>
  <c r="H250" i="23"/>
  <c r="R177" i="21"/>
  <c r="R191" i="21"/>
  <c r="R149" i="21"/>
  <c r="R163" i="21"/>
  <c r="R121" i="21"/>
  <c r="R135" i="21"/>
  <c r="R93" i="21"/>
  <c r="R107" i="21"/>
  <c r="R65" i="21"/>
  <c r="R79" i="21"/>
  <c r="R37" i="21"/>
  <c r="R51" i="21"/>
  <c r="R23" i="21"/>
  <c r="EK182" i="7"/>
  <c r="A26" i="56"/>
  <c r="EK220" i="7"/>
  <c r="A30" i="56"/>
  <c r="EN219" i="7"/>
  <c r="E29" i="56"/>
  <c r="CM182" i="7"/>
  <c r="F26" i="56"/>
  <c r="I75" i="54"/>
  <c r="E26" i="56"/>
  <c r="I153" i="54"/>
  <c r="G29" i="56"/>
  <c r="I48" i="54"/>
  <c r="D29" i="56"/>
  <c r="CC182" i="7"/>
  <c r="D26" i="56"/>
  <c r="EQ219" i="7"/>
  <c r="H29" i="56"/>
  <c r="I5" i="54"/>
  <c r="C26" i="56"/>
  <c r="EL219" i="7"/>
  <c r="C29" i="56"/>
  <c r="EK219" i="7"/>
  <c r="A29" i="56"/>
  <c r="EO220" i="7"/>
  <c r="F30" i="56"/>
  <c r="I49" i="54"/>
  <c r="D30" i="56"/>
  <c r="D273" i="25"/>
  <c r="D370" i="56" s="1" a="1"/>
  <c r="D370" i="56" s="1"/>
  <c r="DE195" i="7"/>
  <c r="P48" i="35"/>
  <c r="C429" i="56" a="1"/>
  <c r="C429" i="56" s="1"/>
  <c r="GT83" i="7"/>
  <c r="GT84" i="7" s="1"/>
  <c r="F238" i="23"/>
  <c r="F239" i="23" s="1"/>
  <c r="G237" i="23"/>
  <c r="H237" i="23"/>
  <c r="M197" i="26"/>
  <c r="Z197" i="26" s="1"/>
  <c r="G224" i="23"/>
  <c r="H224" i="23"/>
  <c r="D102" i="25"/>
  <c r="G322" i="56" s="1" a="1"/>
  <c r="G322" i="56" s="1"/>
  <c r="G319" i="56" a="1"/>
  <c r="G319" i="56" s="1"/>
  <c r="D364" i="25"/>
  <c r="H394" i="56" s="1" a="1"/>
  <c r="H394" i="56" s="1"/>
  <c r="H391" i="56" a="1"/>
  <c r="H391" i="56" s="1"/>
  <c r="EL180" i="7"/>
  <c r="C24" i="56"/>
  <c r="B24" i="56" s="1"/>
  <c r="D100" i="25"/>
  <c r="E322" i="56" s="1" a="1"/>
  <c r="E322" i="56" s="1"/>
  <c r="E319" i="56" a="1"/>
  <c r="E319" i="56" s="1"/>
  <c r="EK215" i="7"/>
  <c r="A27" i="56"/>
  <c r="EK180" i="7"/>
  <c r="A24" i="56"/>
  <c r="D360" i="25"/>
  <c r="D394" i="56" s="1" a="1"/>
  <c r="D394" i="56" s="1"/>
  <c r="D391" i="56" a="1"/>
  <c r="D391" i="56" s="1"/>
  <c r="D218" i="25"/>
  <c r="G354" i="56" s="1" a="1"/>
  <c r="G354" i="56" s="1"/>
  <c r="G351" i="56" a="1"/>
  <c r="G351" i="56" s="1"/>
  <c r="D275" i="25"/>
  <c r="F370" i="56" s="1" a="1"/>
  <c r="F370" i="56" s="1"/>
  <c r="F367" i="56" a="1"/>
  <c r="F367" i="56" s="1"/>
  <c r="D187" i="25"/>
  <c r="E346" i="56" s="1" a="1"/>
  <c r="E346" i="56" s="1"/>
  <c r="E343" i="56" a="1"/>
  <c r="E343" i="56" s="1"/>
  <c r="D185" i="25"/>
  <c r="C346" i="56" s="1" a="1"/>
  <c r="C346" i="56" s="1"/>
  <c r="C343" i="56" a="1"/>
  <c r="C343" i="56" s="1"/>
  <c r="D305" i="25"/>
  <c r="G378" i="56" s="1" a="1"/>
  <c r="G378" i="56" s="1"/>
  <c r="G375" i="56" a="1"/>
  <c r="G375" i="56" s="1"/>
  <c r="EQ11" i="7"/>
  <c r="H13" i="56"/>
  <c r="H19" i="56" s="1"/>
  <c r="H7" i="56"/>
  <c r="D215" i="25"/>
  <c r="D354" i="56" s="1" a="1"/>
  <c r="D354" i="56" s="1"/>
  <c r="D351" i="56" a="1"/>
  <c r="D351" i="56" s="1"/>
  <c r="D391" i="25"/>
  <c r="F402" i="56" s="1" a="1"/>
  <c r="F402" i="56" s="1"/>
  <c r="F399" i="56" a="1"/>
  <c r="F399" i="56" s="1"/>
  <c r="GS83" i="7"/>
  <c r="GS84" i="7" s="1"/>
  <c r="B71" i="23"/>
  <c r="G13" i="56"/>
  <c r="G19" i="56" s="1"/>
  <c r="G7" i="56"/>
  <c r="D14" i="25"/>
  <c r="F298" i="56" s="1" a="1"/>
  <c r="F298" i="56" s="1"/>
  <c r="F295" i="56" a="1"/>
  <c r="F295" i="56" s="1"/>
  <c r="D72" i="25"/>
  <c r="F314" i="56" s="1" a="1"/>
  <c r="F314" i="56" s="1"/>
  <c r="F311" i="56" a="1"/>
  <c r="F311" i="56" s="1"/>
  <c r="D127" i="25"/>
  <c r="C330" i="56" s="1" a="1"/>
  <c r="C330" i="56" s="1"/>
  <c r="C327" i="56" a="1"/>
  <c r="C327" i="56" s="1"/>
  <c r="D214" i="25"/>
  <c r="C354" i="56" s="1" a="1"/>
  <c r="C354" i="56" s="1"/>
  <c r="C351" i="56" a="1"/>
  <c r="C351" i="56" s="1"/>
  <c r="D302" i="25"/>
  <c r="D378" i="56" s="1" a="1"/>
  <c r="D378" i="56" s="1"/>
  <c r="D375" i="56" a="1"/>
  <c r="D375" i="56" s="1"/>
  <c r="D390" i="25"/>
  <c r="E402" i="56" s="1" a="1"/>
  <c r="E402" i="56" s="1"/>
  <c r="E399" i="56" a="1"/>
  <c r="E399" i="56" s="1"/>
  <c r="EL218" i="7"/>
  <c r="C28" i="56"/>
  <c r="B28" i="56" s="1"/>
  <c r="D189" i="25"/>
  <c r="G346" i="56" s="1" a="1"/>
  <c r="G346" i="56" s="1"/>
  <c r="G343" i="56" a="1"/>
  <c r="G343" i="56" s="1"/>
  <c r="D276" i="25"/>
  <c r="G370" i="56" s="1" a="1"/>
  <c r="G370" i="56" s="1"/>
  <c r="G367" i="56" a="1"/>
  <c r="G367" i="56" s="1"/>
  <c r="D101" i="25"/>
  <c r="F322" i="56" s="1" a="1"/>
  <c r="F322" i="56" s="1"/>
  <c r="F319" i="56" a="1"/>
  <c r="F319" i="56" s="1"/>
  <c r="D186" i="25"/>
  <c r="D346" i="56" s="1" a="1"/>
  <c r="D346" i="56" s="1"/>
  <c r="D343" i="56" a="1"/>
  <c r="D343" i="56" s="1"/>
  <c r="D359" i="25"/>
  <c r="C394" i="56" s="1" a="1"/>
  <c r="C394" i="56" s="1"/>
  <c r="C391" i="56" a="1"/>
  <c r="C391" i="56" s="1"/>
  <c r="D132" i="25"/>
  <c r="H330" i="56" s="1" a="1"/>
  <c r="H330" i="56" s="1"/>
  <c r="H327" i="56" a="1"/>
  <c r="H327" i="56" s="1"/>
  <c r="D219" i="25"/>
  <c r="H354" i="56" s="1" a="1"/>
  <c r="H354" i="56" s="1"/>
  <c r="H351" i="56" a="1"/>
  <c r="H351" i="56" s="1"/>
  <c r="D131" i="25"/>
  <c r="G330" i="56" s="1" a="1"/>
  <c r="G330" i="56" s="1"/>
  <c r="G327" i="56" a="1"/>
  <c r="G327" i="56" s="1"/>
  <c r="D306" i="25"/>
  <c r="H378" i="56" s="1" a="1"/>
  <c r="H378" i="56" s="1"/>
  <c r="H375" i="56" a="1"/>
  <c r="H375" i="56" s="1"/>
  <c r="D130" i="25"/>
  <c r="F330" i="56" s="1" a="1"/>
  <c r="F330" i="56" s="1"/>
  <c r="F327" i="56" a="1"/>
  <c r="F327" i="56" s="1"/>
  <c r="D217" i="25"/>
  <c r="F354" i="56" s="1" a="1"/>
  <c r="F354" i="56" s="1"/>
  <c r="F351" i="56" a="1"/>
  <c r="F351" i="56" s="1"/>
  <c r="D393" i="25"/>
  <c r="H402" i="56" s="1" a="1"/>
  <c r="H402" i="56" s="1"/>
  <c r="H399" i="56" a="1"/>
  <c r="H399" i="56" s="1"/>
  <c r="D16" i="25"/>
  <c r="H298" i="56" s="1" a="1"/>
  <c r="H298" i="56" s="1"/>
  <c r="H295" i="56" a="1"/>
  <c r="H295" i="56" s="1"/>
  <c r="D45" i="25"/>
  <c r="H306" i="56" s="1" a="1"/>
  <c r="H306" i="56" s="1"/>
  <c r="H303" i="56" a="1"/>
  <c r="H303" i="56" s="1"/>
  <c r="D74" i="25"/>
  <c r="H314" i="56" s="1" a="1"/>
  <c r="H314" i="56" s="1"/>
  <c r="H311" i="56" a="1"/>
  <c r="H311" i="56" s="1"/>
  <c r="D392" i="25"/>
  <c r="G402" i="56" s="1" a="1"/>
  <c r="G402" i="56" s="1"/>
  <c r="G399" i="56" a="1"/>
  <c r="G399" i="56" s="1"/>
  <c r="D15" i="25"/>
  <c r="G298" i="56" s="1" a="1"/>
  <c r="G298" i="56" s="1"/>
  <c r="G295" i="56" a="1"/>
  <c r="G295" i="56" s="1"/>
  <c r="D44" i="25"/>
  <c r="G306" i="56" s="1" a="1"/>
  <c r="G306" i="56" s="1"/>
  <c r="G303" i="56" a="1"/>
  <c r="G303" i="56" s="1"/>
  <c r="D73" i="25"/>
  <c r="G314" i="56" s="1" a="1"/>
  <c r="G314" i="56" s="1"/>
  <c r="G311" i="56" a="1"/>
  <c r="G311" i="56" s="1"/>
  <c r="D303" i="25"/>
  <c r="E378" i="56" s="1" a="1"/>
  <c r="E378" i="56" s="1"/>
  <c r="E375" i="56" a="1"/>
  <c r="E375" i="56" s="1"/>
  <c r="GW154" i="7"/>
  <c r="GW155" i="7" s="1"/>
  <c r="B42" i="23"/>
  <c r="F13" i="56"/>
  <c r="F19" i="56" s="1"/>
  <c r="F7" i="56"/>
  <c r="D13" i="25"/>
  <c r="E298" i="56" s="1" a="1"/>
  <c r="E298" i="56" s="1"/>
  <c r="E295" i="56" a="1"/>
  <c r="E295" i="56" s="1"/>
  <c r="D42" i="25"/>
  <c r="E306" i="56" s="1" a="1"/>
  <c r="E306" i="56" s="1"/>
  <c r="E303" i="56" a="1"/>
  <c r="E303" i="56" s="1"/>
  <c r="D71" i="25"/>
  <c r="E314" i="56" s="1" a="1"/>
  <c r="E314" i="56" s="1"/>
  <c r="E311" i="56" a="1"/>
  <c r="E311" i="56" s="1"/>
  <c r="D389" i="25"/>
  <c r="D402" i="56" s="1" a="1"/>
  <c r="D402" i="56" s="1"/>
  <c r="D399" i="56" a="1"/>
  <c r="D399" i="56" s="1"/>
  <c r="I149" i="54"/>
  <c r="G27" i="56"/>
  <c r="D190" i="25"/>
  <c r="H346" i="56" s="1" a="1"/>
  <c r="H346" i="56" s="1"/>
  <c r="H343" i="56" a="1"/>
  <c r="H343" i="56" s="1"/>
  <c r="D277" i="25"/>
  <c r="H370" i="56" s="1" a="1"/>
  <c r="H370" i="56" s="1"/>
  <c r="H367" i="56" a="1"/>
  <c r="H367" i="56" s="1"/>
  <c r="B181" i="21"/>
  <c r="E13" i="56"/>
  <c r="E19" i="56" s="1"/>
  <c r="E7" i="56"/>
  <c r="CC181" i="7"/>
  <c r="D25" i="56"/>
  <c r="D157" i="25"/>
  <c r="D338" i="56" s="1" a="1"/>
  <c r="D338" i="56" s="1"/>
  <c r="D335" i="56" a="1"/>
  <c r="D335" i="56" s="1"/>
  <c r="D332" i="25"/>
  <c r="E386" i="56" s="1" a="1"/>
  <c r="E386" i="56" s="1"/>
  <c r="E383" i="56" a="1"/>
  <c r="E383" i="56" s="1"/>
  <c r="D420" i="25"/>
  <c r="F410" i="56" s="1" a="1"/>
  <c r="F410" i="56" s="1"/>
  <c r="F407" i="56" a="1"/>
  <c r="F407" i="56" s="1"/>
  <c r="D103" i="25"/>
  <c r="H322" i="56" s="1" a="1"/>
  <c r="H322" i="56" s="1"/>
  <c r="H319" i="56" a="1"/>
  <c r="H319" i="56" s="1"/>
  <c r="EK218" i="7"/>
  <c r="A28" i="56"/>
  <c r="D188" i="25"/>
  <c r="F346" i="56" s="1" a="1"/>
  <c r="F346" i="56" s="1"/>
  <c r="F343" i="56" a="1"/>
  <c r="F343" i="56" s="1"/>
  <c r="D99" i="25"/>
  <c r="D322" i="56" s="1" a="1"/>
  <c r="D322" i="56" s="1"/>
  <c r="D319" i="56" a="1"/>
  <c r="D319" i="56" s="1"/>
  <c r="D41" i="25"/>
  <c r="D306" i="56" s="1" a="1"/>
  <c r="D306" i="56" s="1"/>
  <c r="D303" i="56" a="1"/>
  <c r="D303" i="56" s="1"/>
  <c r="D388" i="25"/>
  <c r="C402" i="56" s="1" a="1"/>
  <c r="C402" i="56" s="1"/>
  <c r="C399" i="56" a="1"/>
  <c r="C399" i="56" s="1"/>
  <c r="B26" i="23"/>
  <c r="D13" i="56"/>
  <c r="D19" i="56" s="1"/>
  <c r="D7" i="56"/>
  <c r="EP181" i="7"/>
  <c r="G25" i="56"/>
  <c r="CH215" i="7"/>
  <c r="E27" i="56"/>
  <c r="D160" i="25"/>
  <c r="G338" i="56" s="1" a="1"/>
  <c r="G338" i="56" s="1"/>
  <c r="G335" i="56" a="1"/>
  <c r="G335" i="56" s="1"/>
  <c r="D335" i="25"/>
  <c r="H386" i="56" s="1" a="1"/>
  <c r="H386" i="56" s="1"/>
  <c r="H383" i="56" a="1"/>
  <c r="H383" i="56" s="1"/>
  <c r="D422" i="25"/>
  <c r="H410" i="56" s="1" a="1"/>
  <c r="H410" i="56" s="1"/>
  <c r="H407" i="56" a="1"/>
  <c r="H407" i="56" s="1"/>
  <c r="CH181" i="7"/>
  <c r="E25" i="56"/>
  <c r="D158" i="25"/>
  <c r="E338" i="56" s="1" a="1"/>
  <c r="E338" i="56" s="1"/>
  <c r="E335" i="56" a="1"/>
  <c r="E335" i="56" s="1"/>
  <c r="D245" i="25"/>
  <c r="E362" i="56" s="1" a="1"/>
  <c r="E362" i="56" s="1"/>
  <c r="E359" i="56" a="1"/>
  <c r="E359" i="56" s="1"/>
  <c r="D421" i="25"/>
  <c r="G410" i="56" s="1" a="1"/>
  <c r="G410" i="56" s="1"/>
  <c r="G407" i="56" a="1"/>
  <c r="G407" i="56" s="1"/>
  <c r="D156" i="25"/>
  <c r="C338" i="56" s="1" a="1"/>
  <c r="C338" i="56" s="1"/>
  <c r="C335" i="56" a="1"/>
  <c r="C335" i="56" s="1"/>
  <c r="D243" i="25"/>
  <c r="C362" i="56" s="1" a="1"/>
  <c r="C362" i="56" s="1"/>
  <c r="C359" i="56" a="1"/>
  <c r="C359" i="56" s="1"/>
  <c r="D419" i="25"/>
  <c r="E410" i="56" s="1" a="1"/>
  <c r="E410" i="56" s="1"/>
  <c r="E407" i="56" a="1"/>
  <c r="E407" i="56" s="1"/>
  <c r="D330" i="25"/>
  <c r="C386" i="56" s="1" a="1"/>
  <c r="C386" i="56" s="1"/>
  <c r="C383" i="56" a="1"/>
  <c r="C383" i="56" s="1"/>
  <c r="D418" i="25"/>
  <c r="D410" i="56" s="1" a="1"/>
  <c r="D410" i="56" s="1"/>
  <c r="D407" i="56" a="1"/>
  <c r="D407" i="56" s="1"/>
  <c r="D274" i="25"/>
  <c r="E370" i="56" s="1" a="1"/>
  <c r="E370" i="56" s="1"/>
  <c r="E367" i="56" a="1"/>
  <c r="E367" i="56" s="1"/>
  <c r="EK181" i="7"/>
  <c r="A25" i="56"/>
  <c r="D361" i="25"/>
  <c r="E394" i="56" s="1" a="1"/>
  <c r="E394" i="56" s="1"/>
  <c r="E391" i="56" a="1"/>
  <c r="E391" i="56" s="1"/>
  <c r="D272" i="25"/>
  <c r="C370" i="56" s="1" a="1"/>
  <c r="C370" i="56" s="1"/>
  <c r="C367" i="56" a="1"/>
  <c r="C367" i="56" s="1"/>
  <c r="D70" i="25"/>
  <c r="D314" i="56" s="1" a="1"/>
  <c r="D314" i="56" s="1"/>
  <c r="D311" i="56" a="1"/>
  <c r="D311" i="56" s="1"/>
  <c r="EQ181" i="7"/>
  <c r="H25" i="56"/>
  <c r="C303" i="56" a="1"/>
  <c r="C303" i="56" s="1"/>
  <c r="D161" i="25"/>
  <c r="H338" i="56" s="1" a="1"/>
  <c r="H338" i="56" s="1"/>
  <c r="H335" i="56" a="1"/>
  <c r="H335" i="56" s="1"/>
  <c r="D248" i="25"/>
  <c r="H362" i="56" s="1" a="1"/>
  <c r="H362" i="56" s="1"/>
  <c r="H359" i="56" a="1"/>
  <c r="H359" i="56" s="1"/>
  <c r="B25" i="23"/>
  <c r="C13" i="56"/>
  <c r="C19" i="56" s="1"/>
  <c r="C7" i="56"/>
  <c r="D247" i="25"/>
  <c r="G362" i="56" s="1" a="1"/>
  <c r="G362" i="56" s="1"/>
  <c r="G359" i="56" a="1"/>
  <c r="G359" i="56" s="1"/>
  <c r="I44" i="54"/>
  <c r="D27" i="56"/>
  <c r="D159" i="25"/>
  <c r="F338" i="56" s="1" a="1"/>
  <c r="F338" i="56" s="1"/>
  <c r="F335" i="56" a="1"/>
  <c r="F335" i="56" s="1"/>
  <c r="D334" i="25"/>
  <c r="G386" i="56" s="1" a="1"/>
  <c r="G386" i="56" s="1"/>
  <c r="G383" i="56" a="1"/>
  <c r="G383" i="56" s="1"/>
  <c r="CB215" i="7"/>
  <c r="C27" i="56"/>
  <c r="D331" i="25"/>
  <c r="D386" i="56" s="1" a="1"/>
  <c r="D386" i="56" s="1"/>
  <c r="D383" i="56" a="1"/>
  <c r="D383" i="56" s="1"/>
  <c r="D417" i="25"/>
  <c r="C410" i="56" s="1" a="1"/>
  <c r="C410" i="56" s="1"/>
  <c r="C407" i="56" a="1"/>
  <c r="C407" i="56" s="1"/>
  <c r="M44" i="26"/>
  <c r="Z44" i="26" s="1"/>
  <c r="G27" i="41"/>
  <c r="FZ276" i="7"/>
  <c r="CJ215" i="7"/>
  <c r="BN83" i="7"/>
  <c r="BN84" i="7" s="1"/>
  <c r="DS207" i="7"/>
  <c r="CF215" i="7"/>
  <c r="FZ260" i="7"/>
  <c r="DS198" i="7"/>
  <c r="GC153" i="7"/>
  <c r="C91" i="26"/>
  <c r="T170" i="7"/>
  <c r="DL155" i="7"/>
  <c r="GX186" i="7"/>
  <c r="AI207" i="26"/>
  <c r="BX209" i="7"/>
  <c r="EG198" i="7"/>
  <c r="C72" i="26"/>
  <c r="CB193" i="7"/>
  <c r="AR228" i="7"/>
  <c r="DE280" i="7"/>
  <c r="GX256" i="7"/>
  <c r="GH272" i="7"/>
  <c r="EG204" i="7"/>
  <c r="FJ236" i="7"/>
  <c r="FB59" i="7"/>
  <c r="FB55" i="7"/>
  <c r="GD153" i="7"/>
  <c r="C62" i="26"/>
  <c r="M90" i="26"/>
  <c r="Z90" i="26" s="1"/>
  <c r="M134" i="26"/>
  <c r="Z134" i="26" s="1"/>
  <c r="CX84" i="7"/>
  <c r="GP118" i="7"/>
  <c r="DE204" i="7"/>
  <c r="DS236" i="7"/>
  <c r="FZ232" i="7"/>
  <c r="T177" i="7"/>
  <c r="EZ213" i="7"/>
  <c r="HD213" i="7" s="1"/>
  <c r="M88" i="26"/>
  <c r="Z88" i="26" s="1"/>
  <c r="AZ170" i="7"/>
  <c r="FB257" i="7"/>
  <c r="DE264" i="7"/>
  <c r="DS272" i="7"/>
  <c r="EG280" i="7"/>
  <c r="C27" i="26"/>
  <c r="M120" i="26"/>
  <c r="Z120" i="26" s="1"/>
  <c r="C132" i="26"/>
  <c r="FJ60" i="7"/>
  <c r="FJ284" i="7"/>
  <c r="C162" i="26"/>
  <c r="GO153" i="7"/>
  <c r="GP105" i="7"/>
  <c r="FT165" i="7"/>
  <c r="GP252" i="7"/>
  <c r="M102" i="26"/>
  <c r="Z102" i="26" s="1"/>
  <c r="M119" i="26"/>
  <c r="Z119" i="26" s="1"/>
  <c r="J173" i="7"/>
  <c r="O120" i="35" s="1"/>
  <c r="FR201" i="7"/>
  <c r="FR248" i="7"/>
  <c r="GP264" i="7"/>
  <c r="C119" i="26"/>
  <c r="T165" i="26"/>
  <c r="FV170" i="7"/>
  <c r="BH272" i="7"/>
  <c r="D192" i="45"/>
  <c r="F192" i="45" s="1"/>
  <c r="C29" i="26"/>
  <c r="C151" i="26"/>
  <c r="T182" i="26"/>
  <c r="J193" i="26"/>
  <c r="AI193" i="26" s="1"/>
  <c r="C208" i="26"/>
  <c r="AE224" i="26"/>
  <c r="FR80" i="7"/>
  <c r="GE153" i="7"/>
  <c r="FZ160" i="7"/>
  <c r="BH177" i="7"/>
  <c r="CH176" i="7"/>
  <c r="G203" i="7"/>
  <c r="G204" i="7" s="1"/>
  <c r="CE215" i="7"/>
  <c r="EO216" i="7"/>
  <c r="BP232" i="7"/>
  <c r="EV240" i="7"/>
  <c r="GZ240" i="7" s="1"/>
  <c r="T256" i="7"/>
  <c r="T34" i="44"/>
  <c r="I68" i="53"/>
  <c r="B40" i="23"/>
  <c r="M73" i="26"/>
  <c r="Z73" i="26" s="1"/>
  <c r="C192" i="26"/>
  <c r="BM83" i="7"/>
  <c r="BM84" i="7" s="1"/>
  <c r="GH169" i="7"/>
  <c r="CD215" i="7"/>
  <c r="EP215" i="7"/>
  <c r="EY236" i="7"/>
  <c r="HC236" i="7" s="1"/>
  <c r="FB234" i="7"/>
  <c r="AB252" i="7"/>
  <c r="M132" i="26"/>
  <c r="Z132" i="26" s="1"/>
  <c r="FZ192" i="7"/>
  <c r="EM215" i="7"/>
  <c r="B126" i="21"/>
  <c r="M137" i="26"/>
  <c r="Z137" i="26" s="1"/>
  <c r="AE165" i="26"/>
  <c r="C223" i="26"/>
  <c r="BX59" i="7"/>
  <c r="BX55" i="7"/>
  <c r="BX47" i="7"/>
  <c r="GB153" i="7"/>
  <c r="CC176" i="7"/>
  <c r="I200" i="7"/>
  <c r="I201" i="7" s="1"/>
  <c r="G201" i="7"/>
  <c r="DE276" i="7"/>
  <c r="BJ83" i="7"/>
  <c r="BJ84" i="7" s="1"/>
  <c r="BM154" i="7"/>
  <c r="BM155" i="7" s="1"/>
  <c r="FG153" i="7"/>
  <c r="HC130" i="7"/>
  <c r="FE170" i="7"/>
  <c r="AZ177" i="7"/>
  <c r="BW284" i="7"/>
  <c r="K33" i="33"/>
  <c r="B140" i="23"/>
  <c r="B182" i="23"/>
  <c r="M182" i="26"/>
  <c r="Z182" i="26" s="1"/>
  <c r="M222" i="26"/>
  <c r="Z222" i="26" s="1"/>
  <c r="BO154" i="7"/>
  <c r="BO155" i="7" s="1"/>
  <c r="BL154" i="7"/>
  <c r="BL155" i="7" s="1"/>
  <c r="HB130" i="7"/>
  <c r="EP219" i="7"/>
  <c r="CC219" i="7"/>
  <c r="DE240" i="7"/>
  <c r="HF194" i="7"/>
  <c r="D36" i="41"/>
  <c r="B253" i="23"/>
  <c r="AE73" i="26"/>
  <c r="C182" i="26"/>
  <c r="C177" i="26"/>
  <c r="BX41" i="7"/>
  <c r="GP110" i="7"/>
  <c r="HA130" i="7"/>
  <c r="EW170" i="7"/>
  <c r="CG215" i="7"/>
  <c r="CK215" i="7"/>
  <c r="EM219" i="7"/>
  <c r="BH236" i="7"/>
  <c r="GX244" i="7"/>
  <c r="AZ256" i="7"/>
  <c r="GP256" i="7"/>
  <c r="E191" i="45"/>
  <c r="E192" i="45" s="1"/>
  <c r="F17" i="26"/>
  <c r="AA17" i="26" s="1"/>
  <c r="EA84" i="7"/>
  <c r="J13" i="26"/>
  <c r="AI13" i="26" s="1"/>
  <c r="FR204" i="7"/>
  <c r="B124" i="23"/>
  <c r="B252" i="23"/>
  <c r="T119" i="26"/>
  <c r="DW84" i="7"/>
  <c r="GM153" i="7"/>
  <c r="FB107" i="7"/>
  <c r="AE151" i="26"/>
  <c r="CB182" i="7"/>
  <c r="FR52" i="7"/>
  <c r="FZ119" i="7"/>
  <c r="EP175" i="7"/>
  <c r="B167" i="21"/>
  <c r="B181" i="23"/>
  <c r="AE136" i="26"/>
  <c r="B13" i="23"/>
  <c r="T73" i="26"/>
  <c r="T91" i="26"/>
  <c r="AE134" i="26"/>
  <c r="GH131" i="7"/>
  <c r="FB123" i="7"/>
  <c r="FP153" i="7"/>
  <c r="BT201" i="7"/>
  <c r="FZ268" i="7"/>
  <c r="F36" i="41"/>
  <c r="B83" i="21"/>
  <c r="FE82" i="7"/>
  <c r="GX204" i="7"/>
  <c r="FJ195" i="7"/>
  <c r="AJ186" i="7"/>
  <c r="FB183" i="7"/>
  <c r="T136" i="26"/>
  <c r="FE153" i="7"/>
  <c r="T204" i="7"/>
  <c r="V10" i="36"/>
  <c r="T102" i="26"/>
  <c r="T134" i="26"/>
  <c r="BK83" i="7"/>
  <c r="BK84" i="7" s="1"/>
  <c r="GH120" i="7"/>
  <c r="GG170" i="7"/>
  <c r="B6" i="39"/>
  <c r="AE102" i="26"/>
  <c r="FR55" i="7"/>
  <c r="EK2" i="7"/>
  <c r="GE82" i="7"/>
  <c r="HC110" i="7"/>
  <c r="FW153" i="7"/>
  <c r="FP165" i="7"/>
  <c r="AB170" i="7"/>
  <c r="FJ232" i="7"/>
  <c r="DE256" i="7"/>
  <c r="J177" i="45"/>
  <c r="B27" i="21"/>
  <c r="FZ115" i="7"/>
  <c r="BX258" i="7"/>
  <c r="DP155" i="7"/>
  <c r="BR240" i="7"/>
  <c r="FY177" i="7"/>
  <c r="AZ244" i="7"/>
  <c r="DS260" i="7"/>
  <c r="DQ84" i="7"/>
  <c r="EC214" i="7"/>
  <c r="EC287" i="7" s="1"/>
  <c r="F212" i="7"/>
  <c r="CH212" i="7" s="1"/>
  <c r="CH213" i="7" s="1"/>
  <c r="T227" i="26"/>
  <c r="DP84" i="7"/>
  <c r="BU153" i="7"/>
  <c r="E212" i="7"/>
  <c r="E213" i="7" s="1"/>
  <c r="GH232" i="7"/>
  <c r="BU264" i="7"/>
  <c r="AZ252" i="7"/>
  <c r="E165" i="45"/>
  <c r="F4" i="45" s="1"/>
  <c r="G6" i="40"/>
  <c r="EN211" i="7"/>
  <c r="FZ152" i="7"/>
  <c r="GP213" i="7"/>
  <c r="EW198" i="7"/>
  <c r="HA198" i="7" s="1"/>
  <c r="DB155" i="7"/>
  <c r="EP183" i="7"/>
  <c r="B180" i="21"/>
  <c r="CY155" i="7"/>
  <c r="B70" i="21"/>
  <c r="FJ31" i="7"/>
  <c r="DD84" i="7"/>
  <c r="CH162" i="7"/>
  <c r="CD182" i="7"/>
  <c r="CH197" i="7"/>
  <c r="GP232" i="7"/>
  <c r="BP260" i="7"/>
  <c r="B209" i="21"/>
  <c r="EB84" i="7"/>
  <c r="DE198" i="7"/>
  <c r="ED155" i="7"/>
  <c r="AB264" i="7"/>
  <c r="B138" i="23"/>
  <c r="B124" i="21"/>
  <c r="GP192" i="7"/>
  <c r="B69" i="21"/>
  <c r="M180" i="26"/>
  <c r="Z180" i="26" s="1"/>
  <c r="FU153" i="7"/>
  <c r="CM159" i="7"/>
  <c r="CL182" i="7"/>
  <c r="EP223" i="7"/>
  <c r="AB256" i="7"/>
  <c r="B110" i="23"/>
  <c r="B26" i="21"/>
  <c r="EM211" i="7"/>
  <c r="FZ280" i="7"/>
  <c r="I16" i="54"/>
  <c r="B55" i="21"/>
  <c r="B139" i="23"/>
  <c r="HA152" i="7"/>
  <c r="B125" i="21"/>
  <c r="EA155" i="7"/>
  <c r="BF214" i="7"/>
  <c r="BF287" i="7" s="1"/>
  <c r="B209" i="23"/>
  <c r="M165" i="26"/>
  <c r="Z165" i="26" s="1"/>
  <c r="C180" i="26"/>
  <c r="AE210" i="26"/>
  <c r="DB84" i="7"/>
  <c r="ED84" i="7"/>
  <c r="FZ108" i="7"/>
  <c r="HC159" i="7"/>
  <c r="CI182" i="7"/>
  <c r="EL191" i="7"/>
  <c r="EL192" i="7" s="1"/>
  <c r="B44" i="33" s="1"/>
  <c r="EN196" i="7"/>
  <c r="EN198" i="7" s="1"/>
  <c r="D46" i="33" s="1"/>
  <c r="CH182" i="7"/>
  <c r="GH228" i="7"/>
  <c r="GH49" i="7"/>
  <c r="FB174" i="7"/>
  <c r="FF82" i="7"/>
  <c r="HB127" i="7"/>
  <c r="GP284" i="7"/>
  <c r="DR84" i="7"/>
  <c r="AB133" i="7"/>
  <c r="B208" i="23"/>
  <c r="M136" i="26"/>
  <c r="Z136" i="26" s="1"/>
  <c r="M151" i="26"/>
  <c r="Z151" i="26" s="1"/>
  <c r="DA84" i="7"/>
  <c r="EC84" i="7"/>
  <c r="AR62" i="7"/>
  <c r="GT154" i="7"/>
  <c r="GT155" i="7" s="1"/>
  <c r="FF170" i="7"/>
  <c r="F198" i="7"/>
  <c r="AZ276" i="7"/>
  <c r="J186" i="45"/>
  <c r="D115" i="21"/>
  <c r="BX56" i="7"/>
  <c r="A42" i="33"/>
  <c r="EJ184" i="7"/>
  <c r="EW201" i="7"/>
  <c r="HA201" i="7" s="1"/>
  <c r="HA199" i="7"/>
  <c r="H44" i="41"/>
  <c r="H44" i="40"/>
  <c r="X132" i="26"/>
  <c r="AI132" i="26"/>
  <c r="C17" i="26"/>
  <c r="AE17" i="26"/>
  <c r="FR232" i="7"/>
  <c r="B67" i="23"/>
  <c r="B123" i="23"/>
  <c r="B151" i="21"/>
  <c r="B109" i="21"/>
  <c r="B193" i="21"/>
  <c r="AE75" i="26"/>
  <c r="M75" i="26"/>
  <c r="Z75" i="26" s="1"/>
  <c r="T179" i="26"/>
  <c r="AE179" i="26"/>
  <c r="BX52" i="7"/>
  <c r="GH47" i="7"/>
  <c r="BX80" i="7"/>
  <c r="FE62" i="7"/>
  <c r="AR82" i="7"/>
  <c r="HA47" i="7"/>
  <c r="FZ114" i="7"/>
  <c r="FZ110" i="7"/>
  <c r="M61" i="26"/>
  <c r="Z61" i="26" s="1"/>
  <c r="T61" i="26"/>
  <c r="AE61" i="26"/>
  <c r="GX82" i="7"/>
  <c r="FT170" i="7"/>
  <c r="G209" i="7"/>
  <c r="CM209" i="7" s="1"/>
  <c r="EO208" i="7"/>
  <c r="AR204" i="7"/>
  <c r="I9" i="54"/>
  <c r="EL215" i="7"/>
  <c r="FB162" i="7"/>
  <c r="I106" i="53"/>
  <c r="EO176" i="7"/>
  <c r="EQ176" i="7"/>
  <c r="I191" i="54"/>
  <c r="EQ222" i="7"/>
  <c r="CC190" i="7"/>
  <c r="T207" i="7"/>
  <c r="AE58" i="26"/>
  <c r="T58" i="26"/>
  <c r="C58" i="26"/>
  <c r="M58" i="26"/>
  <c r="Z58" i="26" s="1"/>
  <c r="BX51" i="7"/>
  <c r="FN82" i="7"/>
  <c r="GZ127" i="7"/>
  <c r="GZ106" i="7"/>
  <c r="FJ111" i="7"/>
  <c r="AJ189" i="7"/>
  <c r="EQ202" i="7"/>
  <c r="EQ204" i="7" s="1"/>
  <c r="G48" i="33" s="1"/>
  <c r="EG195" i="7"/>
  <c r="HC30" i="7"/>
  <c r="DH84" i="7"/>
  <c r="FZ56" i="7"/>
  <c r="I108" i="54"/>
  <c r="CM180" i="7"/>
  <c r="GH201" i="7"/>
  <c r="CH208" i="7"/>
  <c r="A58" i="33"/>
  <c r="B240" i="23"/>
  <c r="AE132" i="26"/>
  <c r="HD80" i="7"/>
  <c r="GC82" i="7"/>
  <c r="I73" i="54"/>
  <c r="CH180" i="7"/>
  <c r="EN180" i="7"/>
  <c r="AJ201" i="7"/>
  <c r="EM220" i="7"/>
  <c r="FB218" i="7"/>
  <c r="FJ42" i="7"/>
  <c r="FB57" i="7"/>
  <c r="GH58" i="7"/>
  <c r="GV154" i="7"/>
  <c r="GV155" i="7" s="1"/>
  <c r="Y214" i="7"/>
  <c r="Y287" i="7" s="1"/>
  <c r="BE214" i="7"/>
  <c r="BE287" i="7" s="1"/>
  <c r="CZ214" i="7"/>
  <c r="CZ287" i="7" s="1"/>
  <c r="GP195" i="7"/>
  <c r="GZ183" i="7"/>
  <c r="HF183" i="7" s="1"/>
  <c r="BX254" i="7"/>
  <c r="BX219" i="7"/>
  <c r="FA213" i="7"/>
  <c r="HE213" i="7" s="1"/>
  <c r="T194" i="26"/>
  <c r="M194" i="26"/>
  <c r="Z194" i="26" s="1"/>
  <c r="CM190" i="7"/>
  <c r="EO190" i="7"/>
  <c r="I40" i="54"/>
  <c r="CE182" i="7"/>
  <c r="CG182" i="7"/>
  <c r="CF182" i="7"/>
  <c r="HB193" i="7"/>
  <c r="EX195" i="7"/>
  <c r="HB195" i="7" s="1"/>
  <c r="FB47" i="7"/>
  <c r="EZ186" i="7"/>
  <c r="HD186" i="7" s="1"/>
  <c r="HD185" i="7"/>
  <c r="BW252" i="7"/>
  <c r="T284" i="7"/>
  <c r="B182" i="21"/>
  <c r="B196" i="21"/>
  <c r="B154" i="23"/>
  <c r="B28" i="21"/>
  <c r="DH214" i="7"/>
  <c r="DH287" i="7" s="1"/>
  <c r="EQ218" i="7"/>
  <c r="I187" i="54"/>
  <c r="HA191" i="7"/>
  <c r="HF191" i="7" s="1"/>
  <c r="EW192" i="7"/>
  <c r="HA192" i="7" s="1"/>
  <c r="EQ187" i="7"/>
  <c r="I188" i="7"/>
  <c r="EQ188" i="7" s="1"/>
  <c r="B210" i="21"/>
  <c r="B210" i="23"/>
  <c r="CS84" i="7"/>
  <c r="FV153" i="7"/>
  <c r="FB208" i="7"/>
  <c r="D165" i="45"/>
  <c r="F165" i="45" s="1"/>
  <c r="B39" i="23"/>
  <c r="M42" i="26"/>
  <c r="Z42" i="26" s="1"/>
  <c r="CJ180" i="7"/>
  <c r="FR210" i="7"/>
  <c r="GX210" i="7"/>
  <c r="I155" i="54"/>
  <c r="EP221" i="7"/>
  <c r="BV268" i="7"/>
  <c r="FR128" i="7"/>
  <c r="FT153" i="7"/>
  <c r="CM176" i="7"/>
  <c r="CI180" i="7"/>
  <c r="EP187" i="7"/>
  <c r="AZ210" i="7"/>
  <c r="FZ228" i="7"/>
  <c r="GX236" i="7"/>
  <c r="EG256" i="7"/>
  <c r="FR272" i="7"/>
  <c r="FZ252" i="7"/>
  <c r="GH260" i="7"/>
  <c r="GX280" i="7"/>
  <c r="N34" i="44"/>
  <c r="HC187" i="7"/>
  <c r="EY189" i="7"/>
  <c r="HC189" i="7" s="1"/>
  <c r="GP36" i="7"/>
  <c r="BC285" i="7"/>
  <c r="BC286" i="7" s="1"/>
  <c r="HD122" i="7"/>
  <c r="CM164" i="7"/>
  <c r="A49" i="33"/>
  <c r="A65" i="33"/>
  <c r="DE210" i="7"/>
  <c r="EG284" i="7"/>
  <c r="HC112" i="7"/>
  <c r="EM182" i="7"/>
  <c r="DS240" i="7"/>
  <c r="EG213" i="7"/>
  <c r="AJ252" i="7"/>
  <c r="EZ82" i="7"/>
  <c r="HE59" i="7"/>
  <c r="FV82" i="7"/>
  <c r="DZ155" i="7"/>
  <c r="BX124" i="7"/>
  <c r="BX115" i="7"/>
  <c r="FB150" i="7"/>
  <c r="CM162" i="7"/>
  <c r="EO162" i="7"/>
  <c r="ER162" i="7" s="1"/>
  <c r="EL159" i="7"/>
  <c r="J159" i="7"/>
  <c r="O85" i="35" s="1"/>
  <c r="E177" i="7"/>
  <c r="I197" i="7"/>
  <c r="EQ197" i="7" s="1"/>
  <c r="EQ196" i="7"/>
  <c r="BF285" i="7"/>
  <c r="BF286" i="7" s="1"/>
  <c r="DE236" i="7"/>
  <c r="AZ264" i="7"/>
  <c r="T163" i="26"/>
  <c r="C163" i="26"/>
  <c r="M163" i="26"/>
  <c r="Z163" i="26" s="1"/>
  <c r="GX213" i="7"/>
  <c r="FZ38" i="7"/>
  <c r="FB277" i="7"/>
  <c r="DE133" i="7"/>
  <c r="BX234" i="7"/>
  <c r="AE117" i="26"/>
  <c r="C117" i="26"/>
  <c r="M117" i="26"/>
  <c r="Z117" i="26" s="1"/>
  <c r="EZ204" i="7"/>
  <c r="HD204" i="7" s="1"/>
  <c r="HD203" i="7"/>
  <c r="CH161" i="7"/>
  <c r="C28" i="26"/>
  <c r="AE28" i="26"/>
  <c r="T28" i="26"/>
  <c r="FJ186" i="7"/>
  <c r="BH248" i="7"/>
  <c r="C191" i="25"/>
  <c r="G206" i="7"/>
  <c r="G207" i="7" s="1"/>
  <c r="HA206" i="7"/>
  <c r="EW207" i="7"/>
  <c r="HA207" i="7" s="1"/>
  <c r="GL153" i="7"/>
  <c r="DE207" i="7"/>
  <c r="AJ284" i="7"/>
  <c r="BU284" i="7"/>
  <c r="B53" i="23"/>
  <c r="AE106" i="26"/>
  <c r="C106" i="26"/>
  <c r="M106" i="26"/>
  <c r="Z106" i="26" s="1"/>
  <c r="HA52" i="7"/>
  <c r="GH129" i="7"/>
  <c r="GK153" i="7"/>
  <c r="EN174" i="7"/>
  <c r="R28" i="44"/>
  <c r="T28" i="44" s="1"/>
  <c r="EO180" i="7"/>
  <c r="X12" i="26"/>
  <c r="AI12" i="26"/>
  <c r="C194" i="26"/>
  <c r="FR81" i="7"/>
  <c r="FU82" i="7"/>
  <c r="FZ58" i="7"/>
  <c r="FZ54" i="7"/>
  <c r="HB52" i="7"/>
  <c r="HE124" i="7"/>
  <c r="FZ131" i="7"/>
  <c r="EW165" i="7"/>
  <c r="EN216" i="7"/>
  <c r="CH216" i="7"/>
  <c r="FR244" i="7"/>
  <c r="GZ225" i="7"/>
  <c r="EV228" i="7"/>
  <c r="GZ228" i="7" s="1"/>
  <c r="EG236" i="7"/>
  <c r="FJ240" i="7"/>
  <c r="BT284" i="7"/>
  <c r="BX33" i="7"/>
  <c r="CZ84" i="7"/>
  <c r="HB79" i="7"/>
  <c r="GC62" i="7"/>
  <c r="GH103" i="7"/>
  <c r="J162" i="7"/>
  <c r="O88" i="35" s="1"/>
  <c r="DS170" i="7"/>
  <c r="FA280" i="7"/>
  <c r="HE280" i="7" s="1"/>
  <c r="GZ265" i="7"/>
  <c r="FB265" i="7"/>
  <c r="BP248" i="7"/>
  <c r="J133" i="26"/>
  <c r="AI133" i="26" s="1"/>
  <c r="HE31" i="7"/>
  <c r="GZ38" i="7"/>
  <c r="CY84" i="7"/>
  <c r="DA155" i="7"/>
  <c r="EC155" i="7"/>
  <c r="DO155" i="7"/>
  <c r="FB124" i="7"/>
  <c r="FR126" i="7"/>
  <c r="HB122" i="7"/>
  <c r="GP162" i="7"/>
  <c r="T165" i="7"/>
  <c r="AZ165" i="7"/>
  <c r="FX170" i="7"/>
  <c r="GO170" i="7"/>
  <c r="AD214" i="7"/>
  <c r="AD287" i="7" s="1"/>
  <c r="CH218" i="7"/>
  <c r="I82" i="54"/>
  <c r="EN218" i="7"/>
  <c r="HF243" i="7"/>
  <c r="AR284" i="7"/>
  <c r="AZ260" i="7"/>
  <c r="BH268" i="7"/>
  <c r="GP260" i="7"/>
  <c r="M62" i="26"/>
  <c r="Z62" i="26" s="1"/>
  <c r="AE62" i="26"/>
  <c r="HE34" i="7"/>
  <c r="HE30" i="7"/>
  <c r="CZ155" i="7"/>
  <c r="GZ108" i="7"/>
  <c r="FJ104" i="7"/>
  <c r="HA105" i="7"/>
  <c r="GH163" i="7"/>
  <c r="GN170" i="7"/>
  <c r="BS177" i="7"/>
  <c r="C30" i="33" s="1"/>
  <c r="I47" i="54"/>
  <c r="EM218" i="7"/>
  <c r="AZ186" i="7"/>
  <c r="HE208" i="7"/>
  <c r="FA210" i="7"/>
  <c r="HE210" i="7" s="1"/>
  <c r="AR280" i="7"/>
  <c r="J165" i="45"/>
  <c r="H158" i="36"/>
  <c r="S158" i="36" s="1"/>
  <c r="CH164" i="7"/>
  <c r="EN164" i="7"/>
  <c r="HC160" i="7"/>
  <c r="C57" i="26"/>
  <c r="T57" i="26"/>
  <c r="GV83" i="7"/>
  <c r="GV84" i="7" s="1"/>
  <c r="HE81" i="7"/>
  <c r="CW214" i="7"/>
  <c r="CW287" i="7" s="1"/>
  <c r="EG192" i="7"/>
  <c r="C164" i="26"/>
  <c r="T164" i="26"/>
  <c r="B3" i="44"/>
  <c r="B3" i="33"/>
  <c r="G5" i="41"/>
  <c r="GU83" i="7"/>
  <c r="GU84" i="7" s="1"/>
  <c r="HD81" i="7"/>
  <c r="EF155" i="7"/>
  <c r="GH130" i="7"/>
  <c r="HC122" i="7"/>
  <c r="FJ192" i="7"/>
  <c r="BW204" i="7"/>
  <c r="BX242" i="7"/>
  <c r="BX206" i="7"/>
  <c r="HD200" i="7"/>
  <c r="EZ201" i="7"/>
  <c r="HD201" i="7" s="1"/>
  <c r="AJ264" i="7"/>
  <c r="AZ280" i="7"/>
  <c r="DS256" i="7"/>
  <c r="F27" i="41"/>
  <c r="W16" i="21"/>
  <c r="M15" i="26"/>
  <c r="Z15" i="26" s="1"/>
  <c r="AE15" i="26"/>
  <c r="T15" i="26"/>
  <c r="T92" i="26"/>
  <c r="C133" i="26"/>
  <c r="M196" i="26"/>
  <c r="Z196" i="26" s="1"/>
  <c r="T211" i="26"/>
  <c r="C211" i="26"/>
  <c r="M211" i="26"/>
  <c r="Z211" i="26" s="1"/>
  <c r="M224" i="26"/>
  <c r="Z224" i="26" s="1"/>
  <c r="BX43" i="7"/>
  <c r="HB110" i="7"/>
  <c r="BV244" i="7"/>
  <c r="AB284" i="7"/>
  <c r="AZ248" i="7"/>
  <c r="M46" i="26"/>
  <c r="Z46" i="26" s="1"/>
  <c r="AE46" i="26"/>
  <c r="T46" i="26"/>
  <c r="GW83" i="7"/>
  <c r="GW84" i="7" s="1"/>
  <c r="GU154" i="7"/>
  <c r="GU155" i="7" s="1"/>
  <c r="HE151" i="7"/>
  <c r="FJ103" i="7"/>
  <c r="DS189" i="7"/>
  <c r="FJ228" i="7"/>
  <c r="DV84" i="7"/>
  <c r="GZ112" i="7"/>
  <c r="HB164" i="7"/>
  <c r="BT195" i="7"/>
  <c r="AB204" i="7"/>
  <c r="BH204" i="7"/>
  <c r="AR240" i="7"/>
  <c r="EY213" i="7"/>
  <c r="HC213" i="7" s="1"/>
  <c r="V31" i="21"/>
  <c r="F14" i="26"/>
  <c r="AI57" i="26"/>
  <c r="BX35" i="7"/>
  <c r="FW214" i="7"/>
  <c r="FW287" i="7" s="1"/>
  <c r="CM220" i="7"/>
  <c r="I119" i="54"/>
  <c r="BR232" i="7"/>
  <c r="AB232" i="7"/>
  <c r="GP236" i="7"/>
  <c r="HB200" i="7"/>
  <c r="EX201" i="7"/>
  <c r="HB201" i="7" s="1"/>
  <c r="EW186" i="7"/>
  <c r="HA186" i="7" s="1"/>
  <c r="HA184" i="7"/>
  <c r="DS284" i="7"/>
  <c r="EB214" i="7"/>
  <c r="EB287" i="7" s="1"/>
  <c r="AZ207" i="7"/>
  <c r="BP272" i="7"/>
  <c r="DG84" i="7"/>
  <c r="GG82" i="7"/>
  <c r="HD124" i="7"/>
  <c r="GM170" i="7"/>
  <c r="EL182" i="7"/>
  <c r="DS204" i="7"/>
  <c r="T248" i="7"/>
  <c r="B54" i="23"/>
  <c r="B152" i="23"/>
  <c r="FO82" i="7"/>
  <c r="GP62" i="7"/>
  <c r="BV133" i="7"/>
  <c r="FA153" i="7"/>
  <c r="FB105" i="7"/>
  <c r="GZ152" i="7"/>
  <c r="BS165" i="7"/>
  <c r="C28" i="33" s="1"/>
  <c r="FU170" i="7"/>
  <c r="GL170" i="7"/>
  <c r="BV240" i="7"/>
  <c r="FJ244" i="7"/>
  <c r="BX273" i="7"/>
  <c r="EV198" i="7"/>
  <c r="GZ198" i="7" s="1"/>
  <c r="BV260" i="7"/>
  <c r="G50" i="40"/>
  <c r="FB121" i="7"/>
  <c r="E27" i="41"/>
  <c r="GZ174" i="7"/>
  <c r="EO202" i="7"/>
  <c r="J215" i="7"/>
  <c r="O97" i="35" s="1"/>
  <c r="BX42" i="7"/>
  <c r="HD37" i="7"/>
  <c r="FR39" i="7"/>
  <c r="GP29" i="7"/>
  <c r="BL83" i="7"/>
  <c r="BL84" i="7" s="1"/>
  <c r="HC47" i="7"/>
  <c r="GP112" i="7"/>
  <c r="FB128" i="7"/>
  <c r="AJ165" i="7"/>
  <c r="BP165" i="7"/>
  <c r="D27" i="41"/>
  <c r="EN176" i="7"/>
  <c r="AJ240" i="7"/>
  <c r="BH186" i="7"/>
  <c r="DS195" i="7"/>
  <c r="EG201" i="7"/>
  <c r="FA268" i="7"/>
  <c r="HE268" i="7" s="1"/>
  <c r="BH252" i="7"/>
  <c r="DE272" i="7"/>
  <c r="CJ333" i="7"/>
  <c r="AC34" i="44"/>
  <c r="FX82" i="7"/>
  <c r="GH50" i="7"/>
  <c r="FJ113" i="7"/>
  <c r="CV155" i="7"/>
  <c r="BU240" i="7"/>
  <c r="B68" i="23"/>
  <c r="HD30" i="7"/>
  <c r="HA59" i="7"/>
  <c r="AZ133" i="7"/>
  <c r="FH153" i="7"/>
  <c r="HD116" i="7"/>
  <c r="EZ170" i="7"/>
  <c r="AJ170" i="7"/>
  <c r="GE177" i="7"/>
  <c r="BX281" i="7"/>
  <c r="AJ256" i="7"/>
  <c r="BH280" i="7"/>
  <c r="N199" i="23"/>
  <c r="GH34" i="7"/>
  <c r="HD42" i="7"/>
  <c r="DX155" i="7"/>
  <c r="GH123" i="7"/>
  <c r="HE116" i="7"/>
  <c r="GN177" i="7"/>
  <c r="GP210" i="7"/>
  <c r="T236" i="7"/>
  <c r="B96" i="21"/>
  <c r="B194" i="21"/>
  <c r="BX38" i="7"/>
  <c r="EN173" i="7"/>
  <c r="FR173" i="7"/>
  <c r="AA214" i="7"/>
  <c r="AA287" i="7" s="1"/>
  <c r="BU213" i="7"/>
  <c r="CM200" i="7"/>
  <c r="T264" i="7"/>
  <c r="DE268" i="7"/>
  <c r="FR276" i="7"/>
  <c r="GX252" i="7"/>
  <c r="F15" i="26"/>
  <c r="AA15" i="26" s="1"/>
  <c r="W13" i="21"/>
  <c r="F12" i="26"/>
  <c r="AA12" i="26" s="1"/>
  <c r="F16" i="26"/>
  <c r="AF16" i="26" s="1"/>
  <c r="C213" i="23"/>
  <c r="FR118" i="7"/>
  <c r="FN133" i="7"/>
  <c r="J43" i="26"/>
  <c r="X43" i="26" s="1"/>
  <c r="AI42" i="26"/>
  <c r="X42" i="26"/>
  <c r="I152" i="54"/>
  <c r="EP218" i="7"/>
  <c r="BX36" i="7"/>
  <c r="BX106" i="7"/>
  <c r="DS153" i="7"/>
  <c r="F179" i="23"/>
  <c r="F180" i="23" s="1"/>
  <c r="EZ248" i="7"/>
  <c r="HD248" i="7" s="1"/>
  <c r="HD245" i="7"/>
  <c r="F41" i="41"/>
  <c r="F41" i="40"/>
  <c r="F68" i="23"/>
  <c r="F69" i="23" s="1"/>
  <c r="HE43" i="7"/>
  <c r="GZ35" i="7"/>
  <c r="FZ35" i="7"/>
  <c r="FZ31" i="7"/>
  <c r="GJ285" i="7"/>
  <c r="GJ286" i="7" s="1"/>
  <c r="BH244" i="7"/>
  <c r="CN333" i="7"/>
  <c r="FR268" i="7"/>
  <c r="DB353" i="7"/>
  <c r="FJ256" i="7"/>
  <c r="FB230" i="7"/>
  <c r="DA364" i="7"/>
  <c r="HB212" i="7"/>
  <c r="EX213" i="7"/>
  <c r="HB213" i="7" s="1"/>
  <c r="GZ235" i="7"/>
  <c r="EV236" i="7"/>
  <c r="GZ236" i="7" s="1"/>
  <c r="C43" i="40"/>
  <c r="C43" i="26"/>
  <c r="T43" i="26"/>
  <c r="M43" i="26"/>
  <c r="Z43" i="26" s="1"/>
  <c r="AE43" i="26"/>
  <c r="BP186" i="7"/>
  <c r="D210" i="45"/>
  <c r="F210" i="45" s="1"/>
  <c r="E209" i="45"/>
  <c r="E210" i="45" s="1"/>
  <c r="EG82" i="7"/>
  <c r="AI27" i="26"/>
  <c r="X27" i="26"/>
  <c r="J28" i="26"/>
  <c r="J29" i="26" s="1"/>
  <c r="C60" i="26"/>
  <c r="M60" i="26"/>
  <c r="Z60" i="26" s="1"/>
  <c r="AE60" i="26"/>
  <c r="T60" i="26"/>
  <c r="FR54" i="7"/>
  <c r="EM180" i="7"/>
  <c r="CD180" i="7"/>
  <c r="CE180" i="7"/>
  <c r="CF180" i="7"/>
  <c r="CG180" i="7"/>
  <c r="I38" i="54"/>
  <c r="CC180" i="7"/>
  <c r="A51" i="33"/>
  <c r="A67" i="33"/>
  <c r="T62" i="7"/>
  <c r="AZ62" i="7"/>
  <c r="EL205" i="7"/>
  <c r="J205" i="7"/>
  <c r="D207" i="7"/>
  <c r="CB205" i="7"/>
  <c r="AI72" i="26"/>
  <c r="J73" i="26"/>
  <c r="AI73" i="26" s="1"/>
  <c r="EL203" i="7"/>
  <c r="CB203" i="7"/>
  <c r="CV214" i="7"/>
  <c r="CV287" i="7" s="1"/>
  <c r="GZ196" i="7"/>
  <c r="FB163" i="7"/>
  <c r="HB163" i="7"/>
  <c r="EX165" i="7"/>
  <c r="GF165" i="7"/>
  <c r="EG170" i="7"/>
  <c r="I163" i="53"/>
  <c r="I177" i="7"/>
  <c r="EQ173" i="7"/>
  <c r="HC212" i="7"/>
  <c r="D49" i="41"/>
  <c r="D49" i="40"/>
  <c r="GZ130" i="7"/>
  <c r="FB130" i="7"/>
  <c r="FW133" i="7"/>
  <c r="FJ168" i="7"/>
  <c r="GP268" i="7"/>
  <c r="FD177" i="7"/>
  <c r="FJ175" i="7"/>
  <c r="BS256" i="7"/>
  <c r="B4" i="44"/>
  <c r="C2" i="25"/>
  <c r="C2" i="21"/>
  <c r="A60" i="33"/>
  <c r="A44" i="33"/>
  <c r="EW213" i="7"/>
  <c r="HA213" i="7" s="1"/>
  <c r="HA211" i="7"/>
  <c r="GP30" i="7"/>
  <c r="BX162" i="7"/>
  <c r="GX240" i="7"/>
  <c r="X47" i="36"/>
  <c r="X102" i="26"/>
  <c r="AI102" i="26"/>
  <c r="J103" i="26"/>
  <c r="X103" i="26" s="1"/>
  <c r="FB48" i="7"/>
  <c r="BR198" i="7"/>
  <c r="T198" i="7"/>
  <c r="BX275" i="7"/>
  <c r="EO187" i="7"/>
  <c r="G188" i="7"/>
  <c r="CM188" i="7" s="1"/>
  <c r="CM187" i="7"/>
  <c r="BD285" i="7"/>
  <c r="BD291" i="7" s="1"/>
  <c r="BW260" i="7"/>
  <c r="D301" i="25"/>
  <c r="C378" i="56" s="1" a="1"/>
  <c r="C378" i="56" s="1"/>
  <c r="C307" i="25"/>
  <c r="C150" i="26"/>
  <c r="T150" i="26"/>
  <c r="M150" i="26"/>
  <c r="Z150" i="26" s="1"/>
  <c r="AE150" i="26"/>
  <c r="BX173" i="7"/>
  <c r="I145" i="54"/>
  <c r="EP182" i="7"/>
  <c r="BX270" i="7"/>
  <c r="H18" i="36"/>
  <c r="S18" i="36" s="1"/>
  <c r="AZ82" i="7"/>
  <c r="FR49" i="7"/>
  <c r="GP33" i="7"/>
  <c r="DJ84" i="7"/>
  <c r="DS62" i="7"/>
  <c r="HD59" i="7"/>
  <c r="HE55" i="7"/>
  <c r="HE47" i="7"/>
  <c r="HA58" i="7"/>
  <c r="HD113" i="7"/>
  <c r="FZ124" i="7"/>
  <c r="FZ264" i="7"/>
  <c r="CL333" i="7"/>
  <c r="BX61" i="7"/>
  <c r="HE123" i="7"/>
  <c r="FB271" i="7"/>
  <c r="GZ271" i="7"/>
  <c r="HF271" i="7" s="1"/>
  <c r="GZ261" i="7"/>
  <c r="FB261" i="7"/>
  <c r="BP276" i="7"/>
  <c r="E193" i="45"/>
  <c r="E195" i="45" s="1"/>
  <c r="D195" i="45"/>
  <c r="F195" i="45" s="1"/>
  <c r="HC162" i="7"/>
  <c r="EN217" i="7"/>
  <c r="CH217" i="7"/>
  <c r="FJ109" i="7"/>
  <c r="CB209" i="7"/>
  <c r="EL209" i="7"/>
  <c r="EL210" i="7" s="1"/>
  <c r="B50" i="33" s="1"/>
  <c r="EJ187" i="7"/>
  <c r="A43" i="33"/>
  <c r="A59" i="33"/>
  <c r="EM217" i="7"/>
  <c r="CC217" i="7"/>
  <c r="E60" i="40"/>
  <c r="C278" i="25"/>
  <c r="HC38" i="7"/>
  <c r="I188" i="54"/>
  <c r="HB38" i="7"/>
  <c r="EW228" i="7"/>
  <c r="HA228" i="7" s="1"/>
  <c r="T31" i="26"/>
  <c r="M31" i="26"/>
  <c r="Z31" i="26" s="1"/>
  <c r="FR40" i="7"/>
  <c r="HA35" i="7"/>
  <c r="HD55" i="7"/>
  <c r="HD127" i="7"/>
  <c r="FB115" i="7"/>
  <c r="FO133" i="7"/>
  <c r="FZ128" i="7"/>
  <c r="FZ107" i="7"/>
  <c r="CH159" i="7"/>
  <c r="EN159" i="7"/>
  <c r="BW240" i="7"/>
  <c r="FA189" i="7"/>
  <c r="HE189" i="7" s="1"/>
  <c r="HE187" i="7"/>
  <c r="GH107" i="7"/>
  <c r="HE122" i="7"/>
  <c r="CN182" i="7"/>
  <c r="EL206" i="7"/>
  <c r="CB206" i="7"/>
  <c r="HF283" i="7"/>
  <c r="DS248" i="7"/>
  <c r="E5" i="51"/>
  <c r="HC29" i="7"/>
  <c r="GH42" i="7"/>
  <c r="FZ79" i="7"/>
  <c r="GE62" i="7"/>
  <c r="CM211" i="7"/>
  <c r="G212" i="7"/>
  <c r="CM212" i="7" s="1"/>
  <c r="EO211" i="7"/>
  <c r="I14" i="54"/>
  <c r="J220" i="7"/>
  <c r="O102" i="35" s="1"/>
  <c r="CB220" i="7"/>
  <c r="EL220" i="7"/>
  <c r="GZ209" i="7"/>
  <c r="FB209" i="7"/>
  <c r="EW195" i="7"/>
  <c r="HA195" i="7" s="1"/>
  <c r="HA193" i="7"/>
  <c r="D45" i="41"/>
  <c r="D45" i="40"/>
  <c r="E48" i="40"/>
  <c r="E48" i="41"/>
  <c r="N129" i="23"/>
  <c r="HB29" i="7"/>
  <c r="BU133" i="7"/>
  <c r="GP122" i="7"/>
  <c r="I191" i="7"/>
  <c r="I192" i="54"/>
  <c r="EQ223" i="7"/>
  <c r="V73" i="21"/>
  <c r="G51" i="40"/>
  <c r="C101" i="23"/>
  <c r="T47" i="26"/>
  <c r="C47" i="26"/>
  <c r="M47" i="26"/>
  <c r="Z47" i="26" s="1"/>
  <c r="HB42" i="7"/>
  <c r="BT133" i="7"/>
  <c r="FU177" i="7"/>
  <c r="H191" i="7"/>
  <c r="EP191" i="7" s="1"/>
  <c r="EP190" i="7"/>
  <c r="EX256" i="7"/>
  <c r="HB256" i="7" s="1"/>
  <c r="HB253" i="7"/>
  <c r="AE12" i="26"/>
  <c r="T12" i="26"/>
  <c r="J118" i="26"/>
  <c r="AI118" i="26" s="1"/>
  <c r="X117" i="26"/>
  <c r="DM84" i="7"/>
  <c r="GH108" i="7"/>
  <c r="BW177" i="7"/>
  <c r="AB15" i="44" s="1"/>
  <c r="D185" i="21"/>
  <c r="FJ53" i="7"/>
  <c r="FJ49" i="7"/>
  <c r="BP153" i="7"/>
  <c r="EL197" i="7"/>
  <c r="CB197" i="7"/>
  <c r="AQ285" i="7"/>
  <c r="CK285" i="7"/>
  <c r="CK291" i="7" s="1"/>
  <c r="D55" i="40"/>
  <c r="C45" i="26"/>
  <c r="M45" i="26"/>
  <c r="Z45" i="26" s="1"/>
  <c r="AE45" i="26"/>
  <c r="T45" i="26"/>
  <c r="HC50" i="7"/>
  <c r="HC124" i="7"/>
  <c r="GH115" i="7"/>
  <c r="C2" i="23"/>
  <c r="F109" i="23"/>
  <c r="M162" i="26"/>
  <c r="Z162" i="26" s="1"/>
  <c r="AE162" i="26"/>
  <c r="AJ82" i="7"/>
  <c r="BP82" i="7"/>
  <c r="AB153" i="7"/>
  <c r="GN153" i="7"/>
  <c r="BW192" i="7"/>
  <c r="EP196" i="7"/>
  <c r="H197" i="7"/>
  <c r="EP197" i="7" s="1"/>
  <c r="FR240" i="7"/>
  <c r="AR260" i="7"/>
  <c r="DS276" i="7"/>
  <c r="I165" i="45"/>
  <c r="G4" i="45" s="1"/>
  <c r="GH60" i="7"/>
  <c r="HA113" i="7"/>
  <c r="FZ103" i="7"/>
  <c r="DG214" i="7"/>
  <c r="DG287" i="7" s="1"/>
  <c r="BV195" i="7"/>
  <c r="G197" i="7"/>
  <c r="G198" i="7" s="1"/>
  <c r="EO196" i="7"/>
  <c r="GH198" i="7"/>
  <c r="BW201" i="7"/>
  <c r="GU214" i="7"/>
  <c r="GU287" i="7" s="1"/>
  <c r="FZ236" i="7"/>
  <c r="BT252" i="7"/>
  <c r="DS264" i="7"/>
  <c r="EG276" i="7"/>
  <c r="BY296" i="7"/>
  <c r="HH302" i="7"/>
  <c r="FR38" i="7"/>
  <c r="FR31" i="7"/>
  <c r="BX58" i="7"/>
  <c r="GH56" i="7"/>
  <c r="GH52" i="7"/>
  <c r="EO161" i="7"/>
  <c r="BU195" i="7"/>
  <c r="BP198" i="7"/>
  <c r="GX201" i="7"/>
  <c r="BP207" i="7"/>
  <c r="GH207" i="7"/>
  <c r="CM223" i="7"/>
  <c r="I122" i="54"/>
  <c r="DH285" i="7"/>
  <c r="HB188" i="7"/>
  <c r="EX189" i="7"/>
  <c r="HB189" i="7" s="1"/>
  <c r="HC36" i="7"/>
  <c r="GH127" i="7"/>
  <c r="HB168" i="7"/>
  <c r="I87" i="54"/>
  <c r="EN223" i="7"/>
  <c r="CH223" i="7"/>
  <c r="CL215" i="7"/>
  <c r="EN215" i="7"/>
  <c r="AP285" i="7"/>
  <c r="AP286" i="7" s="1"/>
  <c r="AZ232" i="7"/>
  <c r="HE203" i="7"/>
  <c r="FA204" i="7"/>
  <c r="HE204" i="7" s="1"/>
  <c r="D48" i="40"/>
  <c r="HC39" i="7"/>
  <c r="DI155" i="7"/>
  <c r="HD173" i="7"/>
  <c r="GB177" i="7"/>
  <c r="GK177" i="7"/>
  <c r="EG186" i="7"/>
  <c r="AE34" i="44"/>
  <c r="E173" i="45"/>
  <c r="E177" i="45" s="1"/>
  <c r="D177" i="45"/>
  <c r="F177" i="45" s="1"/>
  <c r="C162" i="25"/>
  <c r="C147" i="26"/>
  <c r="AE147" i="26"/>
  <c r="C179" i="26"/>
  <c r="M179" i="26"/>
  <c r="Z179" i="26" s="1"/>
  <c r="HB39" i="7"/>
  <c r="BX54" i="7"/>
  <c r="HE80" i="7"/>
  <c r="GG62" i="7"/>
  <c r="GH114" i="7"/>
  <c r="BX103" i="7"/>
  <c r="GZ151" i="7"/>
  <c r="EV153" i="7"/>
  <c r="HE105" i="7"/>
  <c r="FJ107" i="7"/>
  <c r="HA107" i="7"/>
  <c r="HA103" i="7"/>
  <c r="I180" i="54"/>
  <c r="EQ182" i="7"/>
  <c r="FV214" i="7"/>
  <c r="FV287" i="7" s="1"/>
  <c r="E206" i="7"/>
  <c r="CC205" i="7"/>
  <c r="EM205" i="7"/>
  <c r="BU210" i="7"/>
  <c r="DI285" i="7"/>
  <c r="DI286" i="7" s="1"/>
  <c r="AB186" i="7"/>
  <c r="DS210" i="7"/>
  <c r="FA198" i="7"/>
  <c r="HE198" i="7" s="1"/>
  <c r="EY195" i="7"/>
  <c r="HC195" i="7" s="1"/>
  <c r="HC193" i="7"/>
  <c r="FB187" i="7"/>
  <c r="CM333" i="7"/>
  <c r="X177" i="26"/>
  <c r="J178" i="26"/>
  <c r="GP43" i="7"/>
  <c r="GF82" i="7"/>
  <c r="FR116" i="7"/>
  <c r="GX177" i="7"/>
  <c r="GX198" i="7"/>
  <c r="BH228" i="7"/>
  <c r="BX200" i="7"/>
  <c r="G11" i="7"/>
  <c r="O4" i="21" s="1"/>
  <c r="B84" i="21"/>
  <c r="B56" i="23"/>
  <c r="B56" i="21"/>
  <c r="B168" i="21"/>
  <c r="B154" i="21"/>
  <c r="B28" i="23"/>
  <c r="B168" i="23"/>
  <c r="B70" i="23"/>
  <c r="B14" i="23"/>
  <c r="B112" i="21"/>
  <c r="B98" i="23"/>
  <c r="B112" i="23"/>
  <c r="B42" i="21"/>
  <c r="B14" i="21"/>
  <c r="X14" i="21" s="1"/>
  <c r="B126" i="23"/>
  <c r="B140" i="21"/>
  <c r="FZ29" i="7"/>
  <c r="BX49" i="7"/>
  <c r="FZ81" i="7"/>
  <c r="HF218" i="7"/>
  <c r="HD241" i="7"/>
  <c r="EZ244" i="7"/>
  <c r="HD244" i="7" s="1"/>
  <c r="BW268" i="7"/>
  <c r="T153" i="7"/>
  <c r="BU170" i="7"/>
  <c r="E29" i="33" s="1"/>
  <c r="GP173" i="7"/>
  <c r="AJ195" i="7"/>
  <c r="BP195" i="7"/>
  <c r="HC241" i="7"/>
  <c r="EY244" i="7"/>
  <c r="HC244" i="7" s="1"/>
  <c r="FJ272" i="7"/>
  <c r="FR280" i="7"/>
  <c r="B98" i="21"/>
  <c r="F123" i="23"/>
  <c r="F124" i="23" s="1"/>
  <c r="M14" i="26"/>
  <c r="Z14" i="26" s="1"/>
  <c r="T14" i="26"/>
  <c r="AE14" i="26"/>
  <c r="EO11" i="7"/>
  <c r="BX32" i="7"/>
  <c r="HA38" i="7"/>
  <c r="BX60" i="7"/>
  <c r="BX53" i="7"/>
  <c r="GP152" i="7"/>
  <c r="GP114" i="7"/>
  <c r="FZ169" i="7"/>
  <c r="H177" i="7"/>
  <c r="BW189" i="7"/>
  <c r="CZ285" i="7"/>
  <c r="CZ286" i="7" s="1"/>
  <c r="EB285" i="7"/>
  <c r="EB286" i="7" s="1"/>
  <c r="T240" i="7"/>
  <c r="AR186" i="7"/>
  <c r="DS232" i="7"/>
  <c r="DS201" i="7"/>
  <c r="GZ237" i="7"/>
  <c r="BX221" i="7"/>
  <c r="HB246" i="7"/>
  <c r="EX248" i="7"/>
  <c r="HB248" i="7" s="1"/>
  <c r="D143" i="21"/>
  <c r="T192" i="26"/>
  <c r="M192" i="26"/>
  <c r="Z192" i="26" s="1"/>
  <c r="FZ41" i="7"/>
  <c r="FR121" i="7"/>
  <c r="FR104" i="7"/>
  <c r="BX175" i="7"/>
  <c r="FQ214" i="7"/>
  <c r="FQ287" i="7" s="1"/>
  <c r="GW214" i="7"/>
  <c r="GW287" i="7" s="1"/>
  <c r="I121" i="54"/>
  <c r="CM222" i="7"/>
  <c r="EO222" i="7"/>
  <c r="I117" i="54"/>
  <c r="EO218" i="7"/>
  <c r="GZ253" i="7"/>
  <c r="FB253" i="7"/>
  <c r="HF247" i="7"/>
  <c r="T272" i="7"/>
  <c r="AJ260" i="7"/>
  <c r="FR252" i="7"/>
  <c r="BB285" i="7"/>
  <c r="EK8" i="7"/>
  <c r="HC31" i="7"/>
  <c r="FJ114" i="7"/>
  <c r="J174" i="7"/>
  <c r="O121" i="35" s="1"/>
  <c r="I164" i="53"/>
  <c r="DY214" i="7"/>
  <c r="DY287" i="7" s="1"/>
  <c r="I86" i="54"/>
  <c r="CH222" i="7"/>
  <c r="EN222" i="7"/>
  <c r="CM196" i="7"/>
  <c r="BX183" i="7"/>
  <c r="FB283" i="7"/>
  <c r="HE241" i="7"/>
  <c r="FA244" i="7"/>
  <c r="HE244" i="7" s="1"/>
  <c r="HD208" i="7"/>
  <c r="EZ210" i="7"/>
  <c r="HD210" i="7" s="1"/>
  <c r="B196" i="23"/>
  <c r="B227" i="23"/>
  <c r="EK7" i="7"/>
  <c r="GZ60" i="7"/>
  <c r="BO214" i="7"/>
  <c r="BO287" i="7" s="1"/>
  <c r="BX245" i="7"/>
  <c r="H98" i="36"/>
  <c r="S98" i="36" s="1"/>
  <c r="B83" i="23"/>
  <c r="B153" i="23"/>
  <c r="B195" i="21"/>
  <c r="B41" i="23"/>
  <c r="F11" i="7"/>
  <c r="B167" i="23"/>
  <c r="B27" i="23"/>
  <c r="B226" i="23"/>
  <c r="B55" i="23"/>
  <c r="B111" i="21"/>
  <c r="B41" i="21"/>
  <c r="B13" i="21"/>
  <c r="X13" i="21" s="1"/>
  <c r="B239" i="23"/>
  <c r="B111" i="23"/>
  <c r="B97" i="23"/>
  <c r="B125" i="23"/>
  <c r="B139" i="21"/>
  <c r="E53" i="40"/>
  <c r="B195" i="23"/>
  <c r="B97" i="21"/>
  <c r="F26" i="23"/>
  <c r="F27" i="23" s="1"/>
  <c r="B69" i="23"/>
  <c r="C230" i="23"/>
  <c r="T197" i="26"/>
  <c r="AE197" i="26"/>
  <c r="T210" i="26"/>
  <c r="M210" i="26"/>
  <c r="Z210" i="26" s="1"/>
  <c r="C222" i="26"/>
  <c r="AE222" i="26"/>
  <c r="EN11" i="7"/>
  <c r="EF84" i="7"/>
  <c r="HB53" i="7"/>
  <c r="FW82" i="7"/>
  <c r="FM177" i="7"/>
  <c r="I109" i="54"/>
  <c r="U29" i="44"/>
  <c r="EO181" i="7"/>
  <c r="CM181" i="7"/>
  <c r="BX271" i="7"/>
  <c r="EV210" i="7"/>
  <c r="GZ210" i="7" s="1"/>
  <c r="FA186" i="7"/>
  <c r="HE186" i="7" s="1"/>
  <c r="HE185" i="7"/>
  <c r="BW272" i="7"/>
  <c r="EG260" i="7"/>
  <c r="H198" i="36"/>
  <c r="S198" i="36" s="1"/>
  <c r="HD129" i="7"/>
  <c r="BX151" i="7"/>
  <c r="HB109" i="7"/>
  <c r="FJ115" i="7"/>
  <c r="FR122" i="7"/>
  <c r="GX170" i="7"/>
  <c r="I135" i="53"/>
  <c r="EP173" i="7"/>
  <c r="GF285" i="7"/>
  <c r="GF286" i="7" s="1"/>
  <c r="HF181" i="7"/>
  <c r="BX263" i="7"/>
  <c r="HA281" i="7"/>
  <c r="EW284" i="7"/>
  <c r="HA284" i="7" s="1"/>
  <c r="AB280" i="7"/>
  <c r="FJ276" i="7"/>
  <c r="CC333" i="7"/>
  <c r="B165" i="23"/>
  <c r="B123" i="21"/>
  <c r="B25" i="21"/>
  <c r="C32" i="26"/>
  <c r="M32" i="26"/>
  <c r="Z32" i="26" s="1"/>
  <c r="T32" i="26"/>
  <c r="C120" i="26"/>
  <c r="T120" i="26"/>
  <c r="BX29" i="7"/>
  <c r="FR30" i="7"/>
  <c r="HA29" i="7"/>
  <c r="FJ59" i="7"/>
  <c r="BX109" i="7"/>
  <c r="FB122" i="7"/>
  <c r="HA109" i="7"/>
  <c r="HE152" i="7"/>
  <c r="HE119" i="7"/>
  <c r="GP168" i="7"/>
  <c r="I107" i="53"/>
  <c r="CM173" i="7"/>
  <c r="EO173" i="7"/>
  <c r="DS228" i="7"/>
  <c r="GP228" i="7"/>
  <c r="CU285" i="7"/>
  <c r="CU286" i="7" s="1"/>
  <c r="FB281" i="7"/>
  <c r="GZ281" i="7"/>
  <c r="W34" i="44"/>
  <c r="AE32" i="26"/>
  <c r="M74" i="26"/>
  <c r="Z74" i="26" s="1"/>
  <c r="AE74" i="26"/>
  <c r="C74" i="26"/>
  <c r="D11" i="7"/>
  <c r="L4" i="21" s="1"/>
  <c r="GH37" i="7"/>
  <c r="HA56" i="7"/>
  <c r="HE51" i="7"/>
  <c r="GD82" i="7"/>
  <c r="BX121" i="7"/>
  <c r="HD123" i="7"/>
  <c r="FR112" i="7"/>
  <c r="BX161" i="7"/>
  <c r="GP164" i="7"/>
  <c r="GF170" i="7"/>
  <c r="BW170" i="7"/>
  <c r="AB13" i="33" s="1"/>
  <c r="DE192" i="7"/>
  <c r="GX232" i="7"/>
  <c r="AB276" i="7"/>
  <c r="GX264" i="7"/>
  <c r="BL305" i="7"/>
  <c r="BL293" i="7" s="1"/>
  <c r="E35" i="41"/>
  <c r="E36" i="41" s="1"/>
  <c r="H78" i="36"/>
  <c r="S78" i="36" s="1"/>
  <c r="Q158" i="36"/>
  <c r="T158" i="36" s="1"/>
  <c r="FJ30" i="7"/>
  <c r="BX129" i="7"/>
  <c r="HA108" i="7"/>
  <c r="I181" i="54"/>
  <c r="EQ183" i="7"/>
  <c r="EW240" i="7"/>
  <c r="HA240" i="7" s="1"/>
  <c r="HA238" i="7"/>
  <c r="CK333" i="7"/>
  <c r="I96" i="53"/>
  <c r="C30" i="26"/>
  <c r="AE30" i="26"/>
  <c r="M30" i="26"/>
  <c r="Z30" i="26" s="1"/>
  <c r="T30" i="26"/>
  <c r="GZ39" i="7"/>
  <c r="FJ34" i="7"/>
  <c r="GH53" i="7"/>
  <c r="BX104" i="7"/>
  <c r="HB106" i="7"/>
  <c r="CX214" i="7"/>
  <c r="CX287" i="7" s="1"/>
  <c r="F209" i="7"/>
  <c r="F210" i="7" s="1"/>
  <c r="AZ236" i="7"/>
  <c r="AO285" i="7"/>
  <c r="AO286" i="7" s="1"/>
  <c r="Q38" i="36"/>
  <c r="T38" i="36" s="1"/>
  <c r="M227" i="26"/>
  <c r="Z227" i="26" s="1"/>
  <c r="C227" i="26"/>
  <c r="BH62" i="7"/>
  <c r="BV82" i="7"/>
  <c r="GP124" i="7"/>
  <c r="HE113" i="7"/>
  <c r="BV201" i="7"/>
  <c r="FJ201" i="7"/>
  <c r="I212" i="7"/>
  <c r="EQ212" i="7" s="1"/>
  <c r="EQ211" i="7"/>
  <c r="EP220" i="7"/>
  <c r="I154" i="54"/>
  <c r="BS240" i="7"/>
  <c r="BS260" i="7"/>
  <c r="BU280" i="7"/>
  <c r="AB268" i="7"/>
  <c r="AJ280" i="7"/>
  <c r="BP284" i="7"/>
  <c r="GH268" i="7"/>
  <c r="GP276" i="7"/>
  <c r="I152" i="53"/>
  <c r="BX48" i="7"/>
  <c r="DK155" i="7"/>
  <c r="FZ163" i="7"/>
  <c r="GJ214" i="7"/>
  <c r="GJ287" i="7" s="1"/>
  <c r="CC218" i="7"/>
  <c r="EG228" i="7"/>
  <c r="FB224" i="7"/>
  <c r="GZ224" i="7"/>
  <c r="HF224" i="7" s="1"/>
  <c r="F46" i="41"/>
  <c r="F46" i="40"/>
  <c r="FB43" i="7"/>
  <c r="FB31" i="7"/>
  <c r="GH36" i="7"/>
  <c r="HA110" i="7"/>
  <c r="FX177" i="7"/>
  <c r="BS207" i="7"/>
  <c r="BV213" i="7"/>
  <c r="HF216" i="7"/>
  <c r="FB223" i="7"/>
  <c r="HE223" i="7"/>
  <c r="HF223" i="7" s="1"/>
  <c r="B39" i="21"/>
  <c r="E46" i="40"/>
  <c r="E46" i="41"/>
  <c r="E49" i="40"/>
  <c r="E49" i="41"/>
  <c r="B95" i="23"/>
  <c r="M72" i="26"/>
  <c r="Z72" i="26" s="1"/>
  <c r="T72" i="26"/>
  <c r="C104" i="26"/>
  <c r="AE104" i="26"/>
  <c r="T104" i="26"/>
  <c r="AI192" i="26"/>
  <c r="X192" i="26"/>
  <c r="FZ40" i="7"/>
  <c r="DI84" i="7"/>
  <c r="BU82" i="7"/>
  <c r="FB51" i="7"/>
  <c r="HA60" i="7"/>
  <c r="GH61" i="7"/>
  <c r="FF153" i="7"/>
  <c r="FZ109" i="7"/>
  <c r="GX165" i="7"/>
  <c r="AZ195" i="7"/>
  <c r="D210" i="7"/>
  <c r="EP211" i="7"/>
  <c r="H212" i="7"/>
  <c r="CC202" i="7"/>
  <c r="BH240" i="7"/>
  <c r="BP244" i="7"/>
  <c r="HD278" i="7"/>
  <c r="EZ280" i="7"/>
  <c r="HD280" i="7" s="1"/>
  <c r="BT280" i="7"/>
  <c r="CH333" i="7"/>
  <c r="DA369" i="7"/>
  <c r="BS82" i="7"/>
  <c r="GP106" i="7"/>
  <c r="BX132" i="7"/>
  <c r="BX111" i="7"/>
  <c r="FX165" i="7"/>
  <c r="EG165" i="7"/>
  <c r="BV170" i="7"/>
  <c r="Y13" i="33" s="1"/>
  <c r="BT189" i="7"/>
  <c r="I52" i="54"/>
  <c r="CC223" i="7"/>
  <c r="BW236" i="7"/>
  <c r="T244" i="7"/>
  <c r="AR252" i="7"/>
  <c r="FZ284" i="7"/>
  <c r="Q37" i="36"/>
  <c r="T37" i="36" s="1"/>
  <c r="B68" i="21"/>
  <c r="B225" i="23"/>
  <c r="B110" i="21"/>
  <c r="E11" i="7"/>
  <c r="B96" i="23"/>
  <c r="T195" i="26"/>
  <c r="BR82" i="7"/>
  <c r="GH54" i="7"/>
  <c r="GX153" i="7"/>
  <c r="GL133" i="7"/>
  <c r="FJ122" i="7"/>
  <c r="FR161" i="7"/>
  <c r="BV207" i="7"/>
  <c r="FZ213" i="7"/>
  <c r="BV236" i="7"/>
  <c r="GP186" i="7"/>
  <c r="BX216" i="7"/>
  <c r="CO333" i="7"/>
  <c r="GP31" i="7"/>
  <c r="HB54" i="7"/>
  <c r="FR119" i="7"/>
  <c r="HB162" i="7"/>
  <c r="I165" i="53"/>
  <c r="EQ175" i="7"/>
  <c r="J222" i="7"/>
  <c r="O104" i="35" s="1"/>
  <c r="EL222" i="7"/>
  <c r="HE249" i="7"/>
  <c r="FA252" i="7"/>
  <c r="HE252" i="7" s="1"/>
  <c r="AR276" i="7"/>
  <c r="AZ284" i="7"/>
  <c r="AD32" i="44"/>
  <c r="C59" i="23"/>
  <c r="AE42" i="26"/>
  <c r="C42" i="26"/>
  <c r="BX31" i="7"/>
  <c r="G21" i="41"/>
  <c r="G22" i="41" s="1"/>
  <c r="DE62" i="7"/>
  <c r="DS82" i="7"/>
  <c r="BX57" i="7"/>
  <c r="BX50" i="7"/>
  <c r="HD61" i="7"/>
  <c r="HA54" i="7"/>
  <c r="FJ81" i="7"/>
  <c r="BK154" i="7"/>
  <c r="BK155" i="7" s="1"/>
  <c r="BP133" i="7"/>
  <c r="HC131" i="7"/>
  <c r="GP130" i="7"/>
  <c r="BT153" i="7"/>
  <c r="HC104" i="7"/>
  <c r="FR114" i="7"/>
  <c r="FR106" i="7"/>
  <c r="HD169" i="7"/>
  <c r="GH174" i="7"/>
  <c r="AX214" i="7"/>
  <c r="AX287" i="7" s="1"/>
  <c r="CI214" i="7"/>
  <c r="DI214" i="7"/>
  <c r="DI287" i="7" s="1"/>
  <c r="AG214" i="7"/>
  <c r="AG287" i="7" s="1"/>
  <c r="BM214" i="7"/>
  <c r="BM287" i="7" s="1"/>
  <c r="CT214" i="7"/>
  <c r="CT287" i="7" s="1"/>
  <c r="EQ221" i="7"/>
  <c r="DP285" i="7"/>
  <c r="DE252" i="7"/>
  <c r="FJ252" i="7"/>
  <c r="FR264" i="7"/>
  <c r="GH256" i="7"/>
  <c r="Q57" i="36"/>
  <c r="T57" i="36" s="1"/>
  <c r="I24" i="39"/>
  <c r="L54" i="41" s="1"/>
  <c r="HE61" i="7"/>
  <c r="HB50" i="7"/>
  <c r="HD131" i="7"/>
  <c r="FR123" i="7"/>
  <c r="HA106" i="7"/>
  <c r="EP199" i="7"/>
  <c r="H200" i="7"/>
  <c r="EP200" i="7" s="1"/>
  <c r="AR213" i="7"/>
  <c r="BW232" i="7"/>
  <c r="AJ268" i="7"/>
  <c r="V59" i="21"/>
  <c r="G47" i="40"/>
  <c r="G47" i="41"/>
  <c r="N171" i="23"/>
  <c r="C199" i="23"/>
  <c r="BX30" i="7"/>
  <c r="DZ84" i="7"/>
  <c r="BO83" i="7"/>
  <c r="BO84" i="7" s="1"/>
  <c r="BJ154" i="7"/>
  <c r="BJ155" i="7" s="1"/>
  <c r="BP117" i="7"/>
  <c r="HB131" i="7"/>
  <c r="HE127" i="7"/>
  <c r="FB110" i="7"/>
  <c r="FB106" i="7"/>
  <c r="HB102" i="7"/>
  <c r="FR105" i="7"/>
  <c r="I109" i="53"/>
  <c r="CM175" i="7"/>
  <c r="EO175" i="7"/>
  <c r="EG240" i="7"/>
  <c r="FB216" i="7"/>
  <c r="BU248" i="7"/>
  <c r="GW285" i="7"/>
  <c r="GW286" i="7" s="1"/>
  <c r="BV256" i="7"/>
  <c r="BT260" i="7"/>
  <c r="D213" i="45"/>
  <c r="F213" i="45" s="1"/>
  <c r="HD31" i="7"/>
  <c r="GH35" i="7"/>
  <c r="FV62" i="7"/>
  <c r="CX155" i="7"/>
  <c r="GP150" i="7"/>
  <c r="FJ150" i="7"/>
  <c r="FD153" i="7"/>
  <c r="FJ121" i="7"/>
  <c r="FJ116" i="7"/>
  <c r="HE108" i="7"/>
  <c r="HC121" i="7"/>
  <c r="EY165" i="7"/>
  <c r="GH161" i="7"/>
  <c r="GK165" i="7"/>
  <c r="BT170" i="7"/>
  <c r="GP175" i="7"/>
  <c r="BS201" i="7"/>
  <c r="DD214" i="7"/>
  <c r="DD287" i="7" s="1"/>
  <c r="AI285" i="7"/>
  <c r="AI291" i="7" s="1"/>
  <c r="BO285" i="7"/>
  <c r="H28" i="41" s="1"/>
  <c r="BX261" i="7"/>
  <c r="BX251" i="7"/>
  <c r="BX184" i="7"/>
  <c r="FB259" i="7"/>
  <c r="GZ259" i="7"/>
  <c r="HF259" i="7" s="1"/>
  <c r="FB217" i="7"/>
  <c r="BV272" i="7"/>
  <c r="BT276" i="7"/>
  <c r="AJ272" i="7"/>
  <c r="Q17" i="36"/>
  <c r="T17" i="36" s="1"/>
  <c r="H58" i="36"/>
  <c r="S58" i="36" s="1"/>
  <c r="BX37" i="7"/>
  <c r="FR35" i="7"/>
  <c r="FZ42" i="7"/>
  <c r="HB35" i="7"/>
  <c r="GP38" i="7"/>
  <c r="FR48" i="7"/>
  <c r="FY82" i="7"/>
  <c r="GP128" i="7"/>
  <c r="BX126" i="7"/>
  <c r="HC102" i="7"/>
  <c r="HE104" i="7"/>
  <c r="FM133" i="7"/>
  <c r="FR102" i="7"/>
  <c r="HB121" i="7"/>
  <c r="BU189" i="7"/>
  <c r="AZ201" i="7"/>
  <c r="EM216" i="7"/>
  <c r="CC216" i="7"/>
  <c r="CC220" i="7"/>
  <c r="T228" i="7"/>
  <c r="BP228" i="7"/>
  <c r="DE232" i="7"/>
  <c r="EG244" i="7"/>
  <c r="GH236" i="7"/>
  <c r="BX246" i="7"/>
  <c r="HC229" i="7"/>
  <c r="EY232" i="7"/>
  <c r="HC232" i="7" s="1"/>
  <c r="BV248" i="7"/>
  <c r="BN285" i="7"/>
  <c r="BN286" i="7" s="1"/>
  <c r="AB260" i="7"/>
  <c r="BM305" i="7"/>
  <c r="BM293" i="7" s="1"/>
  <c r="T88" i="26"/>
  <c r="AE88" i="26"/>
  <c r="HB61" i="7"/>
  <c r="HD57" i="7"/>
  <c r="DN155" i="7"/>
  <c r="HE112" i="7"/>
  <c r="GZ150" i="7"/>
  <c r="FJ161" i="7"/>
  <c r="HE173" i="7"/>
  <c r="GL177" i="7"/>
  <c r="DS177" i="7"/>
  <c r="AY214" i="7"/>
  <c r="AY287" i="7" s="1"/>
  <c r="CJ214" i="7"/>
  <c r="DJ214" i="7"/>
  <c r="DJ287" i="7" s="1"/>
  <c r="EY201" i="7"/>
  <c r="HC201" i="7" s="1"/>
  <c r="HD188" i="7"/>
  <c r="EZ189" i="7"/>
  <c r="HD189" i="7" s="1"/>
  <c r="BR252" i="7"/>
  <c r="T268" i="7"/>
  <c r="EG272" i="7"/>
  <c r="E199" i="45"/>
  <c r="E201" i="45" s="1"/>
  <c r="D201" i="45"/>
  <c r="F201" i="45" s="1"/>
  <c r="Q98" i="36"/>
  <c r="T98" i="36" s="1"/>
  <c r="CW155" i="7"/>
  <c r="DY155" i="7"/>
  <c r="EB155" i="7"/>
  <c r="HC106" i="7"/>
  <c r="HD102" i="7"/>
  <c r="FR129" i="7"/>
  <c r="FZ102" i="7"/>
  <c r="GC170" i="7"/>
  <c r="BX176" i="7"/>
  <c r="BS192" i="7"/>
  <c r="BS213" i="7"/>
  <c r="CY285" i="7"/>
  <c r="CY286" i="7" s="1"/>
  <c r="EA285" i="7"/>
  <c r="EA286" i="7" s="1"/>
  <c r="T186" i="7"/>
  <c r="AR232" i="7"/>
  <c r="BX278" i="7"/>
  <c r="BR268" i="7"/>
  <c r="Z34" i="44"/>
  <c r="X46" i="36"/>
  <c r="T12" i="36"/>
  <c r="BX34" i="7"/>
  <c r="FJ41" i="7"/>
  <c r="HA36" i="7"/>
  <c r="FA82" i="7"/>
  <c r="BR133" i="7"/>
  <c r="EE155" i="7"/>
  <c r="GG153" i="7"/>
  <c r="GH102" i="7"/>
  <c r="BS153" i="7"/>
  <c r="BX127" i="7"/>
  <c r="BX119" i="7"/>
  <c r="BX114" i="7"/>
  <c r="GZ107" i="7"/>
  <c r="BX168" i="7"/>
  <c r="FY170" i="7"/>
  <c r="GK170" i="7"/>
  <c r="DE170" i="7"/>
  <c r="I108" i="53"/>
  <c r="EO174" i="7"/>
  <c r="CM174" i="7"/>
  <c r="CL180" i="7"/>
  <c r="BE285" i="7"/>
  <c r="BE286" i="7" s="1"/>
  <c r="FI285" i="7"/>
  <c r="FI286" i="7" s="1"/>
  <c r="GO285" i="7"/>
  <c r="GO286" i="7" s="1"/>
  <c r="BP236" i="7"/>
  <c r="BX237" i="7"/>
  <c r="BT264" i="7"/>
  <c r="BR276" i="7"/>
  <c r="HE29" i="7"/>
  <c r="GH39" i="7"/>
  <c r="GP39" i="7"/>
  <c r="GX62" i="7"/>
  <c r="GO82" i="7"/>
  <c r="GF153" i="7"/>
  <c r="HA104" i="7"/>
  <c r="FV133" i="7"/>
  <c r="GH162" i="7"/>
  <c r="CK180" i="7"/>
  <c r="GH204" i="7"/>
  <c r="DN285" i="7"/>
  <c r="DN286" i="7" s="1"/>
  <c r="FZ240" i="7"/>
  <c r="BX267" i="7"/>
  <c r="EY280" i="7"/>
  <c r="HC280" i="7" s="1"/>
  <c r="EX268" i="7"/>
  <c r="HB268" i="7" s="1"/>
  <c r="EW248" i="7"/>
  <c r="HA248" i="7" s="1"/>
  <c r="EW210" i="7"/>
  <c r="BS264" i="7"/>
  <c r="AZ272" i="7"/>
  <c r="BH284" i="7"/>
  <c r="Q178" i="36"/>
  <c r="T178" i="36" s="1"/>
  <c r="GZ40" i="7"/>
  <c r="HA39" i="7"/>
  <c r="DC84" i="7"/>
  <c r="EE84" i="7"/>
  <c r="AJ62" i="7"/>
  <c r="BW82" i="7"/>
  <c r="HA81" i="7"/>
  <c r="HD52" i="7"/>
  <c r="FJ55" i="7"/>
  <c r="GM82" i="7"/>
  <c r="GP121" i="7"/>
  <c r="FB108" i="7"/>
  <c r="HE102" i="7"/>
  <c r="FR125" i="7"/>
  <c r="FZ120" i="7"/>
  <c r="BS170" i="7"/>
  <c r="C29" i="33" s="1"/>
  <c r="GM177" i="7"/>
  <c r="CS214" i="7"/>
  <c r="CS287" i="7" s="1"/>
  <c r="BW198" i="7"/>
  <c r="FZ198" i="7"/>
  <c r="AB213" i="7"/>
  <c r="CH196" i="7"/>
  <c r="DO285" i="7"/>
  <c r="DO286" i="7" s="1"/>
  <c r="EX192" i="7"/>
  <c r="HB192" i="7" s="1"/>
  <c r="BW264" i="7"/>
  <c r="T260" i="7"/>
  <c r="GX284" i="7"/>
  <c r="BX229" i="7"/>
  <c r="BV276" i="7"/>
  <c r="AR256" i="7"/>
  <c r="FJ280" i="7"/>
  <c r="G41" i="41"/>
  <c r="G41" i="40"/>
  <c r="AE91" i="26"/>
  <c r="FJ37" i="7"/>
  <c r="FR41" i="7"/>
  <c r="FJ58" i="7"/>
  <c r="FZ52" i="7"/>
  <c r="HC55" i="7"/>
  <c r="DE153" i="7"/>
  <c r="HC103" i="7"/>
  <c r="HD130" i="7"/>
  <c r="HE126" i="7"/>
  <c r="HC119" i="7"/>
  <c r="HD103" i="7"/>
  <c r="BH170" i="7"/>
  <c r="FH177" i="7"/>
  <c r="GH175" i="7"/>
  <c r="AB177" i="7"/>
  <c r="BS195" i="7"/>
  <c r="J199" i="7"/>
  <c r="CB199" i="7"/>
  <c r="D201" i="7"/>
  <c r="BU201" i="7"/>
  <c r="FR207" i="7"/>
  <c r="GX207" i="7"/>
  <c r="FU214" i="7"/>
  <c r="FU287" i="7" s="1"/>
  <c r="BS236" i="7"/>
  <c r="BK285" i="7"/>
  <c r="D28" i="41" s="1"/>
  <c r="GH186" i="7"/>
  <c r="GX228" i="7"/>
  <c r="BT244" i="7"/>
  <c r="BU244" i="7"/>
  <c r="G33" i="33"/>
  <c r="EV192" i="7"/>
  <c r="GZ192" i="7" s="1"/>
  <c r="GU285" i="7"/>
  <c r="BS268" i="7"/>
  <c r="BU276" i="7"/>
  <c r="T280" i="7"/>
  <c r="EG268" i="7"/>
  <c r="FZ272" i="7"/>
  <c r="HB56" i="7"/>
  <c r="FZ61" i="7"/>
  <c r="CU155" i="7"/>
  <c r="DW155" i="7"/>
  <c r="GH116" i="7"/>
  <c r="BV153" i="7"/>
  <c r="HE109" i="7"/>
  <c r="FJ102" i="7"/>
  <c r="HB104" i="7"/>
  <c r="HA163" i="7"/>
  <c r="FM170" i="7"/>
  <c r="HC175" i="7"/>
  <c r="BH192" i="7"/>
  <c r="BX283" i="7"/>
  <c r="BX274" i="7"/>
  <c r="BX265" i="7"/>
  <c r="FB191" i="7"/>
  <c r="BT256" i="7"/>
  <c r="BS276" i="7"/>
  <c r="AR268" i="7"/>
  <c r="FZ256" i="7"/>
  <c r="GH264" i="7"/>
  <c r="DB348" i="7"/>
  <c r="HA51" i="7"/>
  <c r="HE53" i="7"/>
  <c r="GP80" i="7"/>
  <c r="DM155" i="7"/>
  <c r="DJ155" i="7"/>
  <c r="HA102" i="7"/>
  <c r="HE115" i="7"/>
  <c r="FZ105" i="7"/>
  <c r="HE161" i="7"/>
  <c r="HC174" i="7"/>
  <c r="BG214" i="7"/>
  <c r="BG287" i="7" s="1"/>
  <c r="AR244" i="7"/>
  <c r="EZ195" i="7"/>
  <c r="HD195" i="7" s="1"/>
  <c r="FB181" i="7"/>
  <c r="BT248" i="7"/>
  <c r="GV285" i="7"/>
  <c r="GV286" i="7" s="1"/>
  <c r="BR256" i="7"/>
  <c r="BT268" i="7"/>
  <c r="BW276" i="7"/>
  <c r="AY285" i="7"/>
  <c r="AY286" i="7" s="1"/>
  <c r="AJ276" i="7"/>
  <c r="GH252" i="7"/>
  <c r="GX276" i="7"/>
  <c r="H118" i="36"/>
  <c r="S118" i="36" s="1"/>
  <c r="FZ122" i="7"/>
  <c r="BX164" i="7"/>
  <c r="FZ164" i="7"/>
  <c r="AB165" i="7"/>
  <c r="BH165" i="7"/>
  <c r="FZ207" i="7"/>
  <c r="FR213" i="7"/>
  <c r="AD285" i="7"/>
  <c r="AD286" i="7" s="1"/>
  <c r="BJ285" i="7"/>
  <c r="BJ291" i="7" s="1"/>
  <c r="AJ244" i="7"/>
  <c r="DE186" i="7"/>
  <c r="BX239" i="7"/>
  <c r="BU252" i="7"/>
  <c r="FR284" i="7"/>
  <c r="GH280" i="7"/>
  <c r="AB248" i="7"/>
  <c r="GP280" i="7"/>
  <c r="HC127" i="7"/>
  <c r="FJ130" i="7"/>
  <c r="HD126" i="7"/>
  <c r="FW165" i="7"/>
  <c r="GO177" i="7"/>
  <c r="AH214" i="7"/>
  <c r="AH287" i="7" s="1"/>
  <c r="BN214" i="7"/>
  <c r="BN287" i="7" s="1"/>
  <c r="AB201" i="7"/>
  <c r="EC285" i="7"/>
  <c r="EC291" i="7" s="1"/>
  <c r="BT240" i="7"/>
  <c r="DS213" i="7"/>
  <c r="FZ186" i="7"/>
  <c r="BX227" i="7"/>
  <c r="FB242" i="7"/>
  <c r="BS252" i="7"/>
  <c r="BV264" i="7"/>
  <c r="BW280" i="7"/>
  <c r="AB272" i="7"/>
  <c r="GX260" i="7"/>
  <c r="B7" i="26"/>
  <c r="G12" i="26" s="1"/>
  <c r="F13" i="26"/>
  <c r="AF13" i="26" s="1"/>
  <c r="E50" i="41"/>
  <c r="E50" i="40"/>
  <c r="T201" i="7"/>
  <c r="B63" i="33"/>
  <c r="H63" i="33" s="1"/>
  <c r="BR201" i="7"/>
  <c r="D333" i="25"/>
  <c r="EM163" i="7"/>
  <c r="EM165" i="7" s="1"/>
  <c r="CC160" i="7"/>
  <c r="B127" i="23"/>
  <c r="GP41" i="7"/>
  <c r="D171" i="21"/>
  <c r="J167" i="21"/>
  <c r="W12" i="26"/>
  <c r="I13" i="26"/>
  <c r="AH12" i="26"/>
  <c r="N87" i="23"/>
  <c r="GH48" i="7"/>
  <c r="GB62" i="7"/>
  <c r="C61" i="40"/>
  <c r="N31" i="23"/>
  <c r="HD51" i="7"/>
  <c r="FX62" i="7"/>
  <c r="FZ47" i="7"/>
  <c r="GP37" i="7"/>
  <c r="B155" i="23"/>
  <c r="B29" i="21"/>
  <c r="H11" i="7"/>
  <c r="B43" i="21"/>
  <c r="B15" i="21"/>
  <c r="X15" i="21" s="1"/>
  <c r="B183" i="23"/>
  <c r="B43" i="23"/>
  <c r="B197" i="21"/>
  <c r="B15" i="23"/>
  <c r="B113" i="23"/>
  <c r="B228" i="23"/>
  <c r="B211" i="21"/>
  <c r="B169" i="21"/>
  <c r="B155" i="21"/>
  <c r="B141" i="21"/>
  <c r="B169" i="23"/>
  <c r="B29" i="23"/>
  <c r="B99" i="23"/>
  <c r="B57" i="21"/>
  <c r="B71" i="21"/>
  <c r="B141" i="23"/>
  <c r="B85" i="23"/>
  <c r="B85" i="21"/>
  <c r="B211" i="23"/>
  <c r="B113" i="21"/>
  <c r="B254" i="23"/>
  <c r="B197" i="23"/>
  <c r="B241" i="23"/>
  <c r="B183" i="21"/>
  <c r="B127" i="21"/>
  <c r="B99" i="21"/>
  <c r="O8" i="35"/>
  <c r="B57" i="23"/>
  <c r="EP11" i="7"/>
  <c r="AE77" i="26"/>
  <c r="T77" i="26"/>
  <c r="M77" i="26"/>
  <c r="Z77" i="26" s="1"/>
  <c r="B100" i="21"/>
  <c r="B156" i="23"/>
  <c r="B30" i="21"/>
  <c r="B72" i="23"/>
  <c r="B58" i="23"/>
  <c r="B229" i="23"/>
  <c r="B128" i="21"/>
  <c r="B114" i="23"/>
  <c r="B212" i="21"/>
  <c r="B184" i="23"/>
  <c r="B44" i="23"/>
  <c r="B198" i="21"/>
  <c r="B142" i="23"/>
  <c r="B128" i="23"/>
  <c r="B100" i="23"/>
  <c r="B142" i="21"/>
  <c r="B44" i="21"/>
  <c r="B170" i="23"/>
  <c r="B16" i="23"/>
  <c r="B156" i="21"/>
  <c r="B170" i="21"/>
  <c r="B30" i="23"/>
  <c r="B86" i="23"/>
  <c r="B242" i="23"/>
  <c r="B58" i="21"/>
  <c r="B72" i="21"/>
  <c r="B255" i="23"/>
  <c r="I11" i="7"/>
  <c r="P3" i="25" s="1"/>
  <c r="B16" i="21"/>
  <c r="X16" i="21" s="1"/>
  <c r="B114" i="21"/>
  <c r="B198" i="23"/>
  <c r="B184" i="21"/>
  <c r="B212" i="23"/>
  <c r="B86" i="21"/>
  <c r="H61" i="40"/>
  <c r="FG82" i="7"/>
  <c r="HC79" i="7"/>
  <c r="FJ79" i="7"/>
  <c r="HB47" i="7"/>
  <c r="FF62" i="7"/>
  <c r="HD108" i="7"/>
  <c r="FJ108" i="7"/>
  <c r="C50" i="40"/>
  <c r="V143" i="21"/>
  <c r="FB255" i="7"/>
  <c r="GZ255" i="7"/>
  <c r="HF255" i="7" s="1"/>
  <c r="GZ231" i="7"/>
  <c r="FB231" i="7"/>
  <c r="H47" i="41"/>
  <c r="H47" i="40"/>
  <c r="AJ213" i="7"/>
  <c r="BW213" i="7"/>
  <c r="EY248" i="7"/>
  <c r="HC248" i="7" s="1"/>
  <c r="HC245" i="7"/>
  <c r="EV244" i="7"/>
  <c r="FB241" i="7"/>
  <c r="GZ241" i="7"/>
  <c r="J67" i="21"/>
  <c r="FH62" i="7"/>
  <c r="HD47" i="7"/>
  <c r="AR198" i="7"/>
  <c r="D129" i="21"/>
  <c r="HC52" i="7"/>
  <c r="FB52" i="7"/>
  <c r="FJ29" i="7"/>
  <c r="GZ29" i="7"/>
  <c r="FF165" i="7"/>
  <c r="EL163" i="7"/>
  <c r="CB160" i="7"/>
  <c r="J163" i="7"/>
  <c r="T212" i="26"/>
  <c r="M212" i="26"/>
  <c r="Z212" i="26" s="1"/>
  <c r="C212" i="26"/>
  <c r="AE212" i="26"/>
  <c r="EQ159" i="7"/>
  <c r="I165" i="7"/>
  <c r="H32" i="56" s="1"/>
  <c r="F60" i="40"/>
  <c r="GP119" i="7"/>
  <c r="GZ119" i="7"/>
  <c r="FJ43" i="7"/>
  <c r="GZ43" i="7"/>
  <c r="F251" i="23"/>
  <c r="M178" i="26"/>
  <c r="T178" i="26"/>
  <c r="AE178" i="26"/>
  <c r="GM133" i="7"/>
  <c r="HC35" i="7"/>
  <c r="FJ35" i="7"/>
  <c r="EG117" i="7"/>
  <c r="J53" i="21"/>
  <c r="D101" i="21"/>
  <c r="HE79" i="7"/>
  <c r="FI82" i="7"/>
  <c r="C423" i="25"/>
  <c r="Z177" i="26"/>
  <c r="FR50" i="7"/>
  <c r="D47" i="41"/>
  <c r="D47" i="40"/>
  <c r="V101" i="21"/>
  <c r="N101" i="23"/>
  <c r="HC81" i="7"/>
  <c r="EY82" i="7"/>
  <c r="FB58" i="7"/>
  <c r="GZ58" i="7"/>
  <c r="F39" i="23"/>
  <c r="F165" i="23"/>
  <c r="HA50" i="7"/>
  <c r="FB50" i="7"/>
  <c r="FZ173" i="7"/>
  <c r="FV177" i="7"/>
  <c r="FF285" i="7"/>
  <c r="FF286" i="7" s="1"/>
  <c r="GZ59" i="7"/>
  <c r="FZ59" i="7"/>
  <c r="FZ51" i="7"/>
  <c r="FW62" i="7"/>
  <c r="HD112" i="7"/>
  <c r="GH112" i="7"/>
  <c r="C46" i="25"/>
  <c r="AI222" i="26"/>
  <c r="X222" i="26"/>
  <c r="J223" i="26"/>
  <c r="FZ55" i="7"/>
  <c r="HA55" i="7"/>
  <c r="GH51" i="7"/>
  <c r="GD62" i="7"/>
  <c r="GH32" i="7"/>
  <c r="HB55" i="7"/>
  <c r="BR153" i="7"/>
  <c r="HC114" i="7"/>
  <c r="FB114" i="7"/>
  <c r="EL188" i="7"/>
  <c r="CB188" i="7"/>
  <c r="CB189" i="7" s="1"/>
  <c r="GE285" i="7"/>
  <c r="GE286" i="7" s="1"/>
  <c r="N213" i="23"/>
  <c r="BX123" i="7"/>
  <c r="HC126" i="7"/>
  <c r="F53" i="40"/>
  <c r="X214" i="7"/>
  <c r="X287" i="7" s="1"/>
  <c r="FI214" i="7"/>
  <c r="FI287" i="7" s="1"/>
  <c r="H50" i="41"/>
  <c r="H50" i="40"/>
  <c r="J196" i="21"/>
  <c r="C157" i="23"/>
  <c r="C17" i="25"/>
  <c r="M59" i="26"/>
  <c r="Z59" i="26" s="1"/>
  <c r="T59" i="26"/>
  <c r="AE59" i="26"/>
  <c r="C59" i="26"/>
  <c r="HC41" i="7"/>
  <c r="HB43" i="7"/>
  <c r="GH43" i="7"/>
  <c r="C87" i="23"/>
  <c r="AE107" i="26"/>
  <c r="T107" i="26"/>
  <c r="C107" i="26"/>
  <c r="M107" i="26"/>
  <c r="Z107" i="26" s="1"/>
  <c r="T166" i="26"/>
  <c r="AE166" i="26"/>
  <c r="M166" i="26"/>
  <c r="Z166" i="26" s="1"/>
  <c r="HB37" i="7"/>
  <c r="EG210" i="7"/>
  <c r="G94" i="52"/>
  <c r="G77" i="52"/>
  <c r="G60" i="52"/>
  <c r="G43" i="52"/>
  <c r="G26" i="52"/>
  <c r="G9" i="52"/>
  <c r="G45" i="52"/>
  <c r="G79" i="52"/>
  <c r="G28" i="52"/>
  <c r="G62" i="52"/>
  <c r="G11" i="52"/>
  <c r="G96" i="52"/>
  <c r="HE129" i="7"/>
  <c r="FB129" i="7"/>
  <c r="GZ114" i="7"/>
  <c r="BR165" i="7"/>
  <c r="FO177" i="7"/>
  <c r="HC176" i="7"/>
  <c r="BG285" i="7"/>
  <c r="C133" i="25"/>
  <c r="D128" i="25"/>
  <c r="D330" i="56" s="1" a="1"/>
  <c r="D330" i="56" s="1"/>
  <c r="FZ36" i="7"/>
  <c r="BT82" i="7"/>
  <c r="BX79" i="7"/>
  <c r="HB81" i="7"/>
  <c r="EX82" i="7"/>
  <c r="GZ160" i="7"/>
  <c r="FJ160" i="7"/>
  <c r="I3" i="54"/>
  <c r="CB180" i="7"/>
  <c r="J180" i="7"/>
  <c r="T232" i="7"/>
  <c r="HC227" i="7"/>
  <c r="FB227" i="7"/>
  <c r="FA207" i="7"/>
  <c r="HE207" i="7" s="1"/>
  <c r="HE205" i="7"/>
  <c r="FB205" i="7"/>
  <c r="B41" i="40"/>
  <c r="B5" i="36"/>
  <c r="K5" i="36" s="1"/>
  <c r="B41" i="41"/>
  <c r="B5" i="39"/>
  <c r="H41" i="41"/>
  <c r="H41" i="40"/>
  <c r="J26" i="21"/>
  <c r="T103" i="26"/>
  <c r="M103" i="26"/>
  <c r="Z103" i="26" s="1"/>
  <c r="AE103" i="26"/>
  <c r="C103" i="26"/>
  <c r="BX40" i="7"/>
  <c r="FZ32" i="7"/>
  <c r="FI165" i="7"/>
  <c r="HE163" i="7"/>
  <c r="FJ163" i="7"/>
  <c r="GP240" i="7"/>
  <c r="C102" i="45"/>
  <c r="A5" i="36"/>
  <c r="C14" i="45"/>
  <c r="A41" i="40"/>
  <c r="C29" i="7"/>
  <c r="EK29" i="7" s="1"/>
  <c r="A41" i="41"/>
  <c r="C87" i="7"/>
  <c r="EK87" i="7" s="1"/>
  <c r="B4" i="39"/>
  <c r="C29" i="45"/>
  <c r="C14" i="7"/>
  <c r="EK14" i="7" s="1"/>
  <c r="C1" i="7"/>
  <c r="C102" i="7"/>
  <c r="EK102" i="7" s="1"/>
  <c r="C87" i="45"/>
  <c r="C1" i="45"/>
  <c r="H43" i="40"/>
  <c r="H43" i="41"/>
  <c r="J109" i="21"/>
  <c r="H62" i="40"/>
  <c r="C45" i="23"/>
  <c r="FJ36" i="7"/>
  <c r="GZ36" i="7"/>
  <c r="FB81" i="7"/>
  <c r="GH176" i="7"/>
  <c r="GG177" i="7"/>
  <c r="B33" i="33"/>
  <c r="BX180" i="7"/>
  <c r="G13" i="21"/>
  <c r="W12" i="21"/>
  <c r="G44" i="41"/>
  <c r="G44" i="40"/>
  <c r="F207" i="23"/>
  <c r="T135" i="26"/>
  <c r="M135" i="26"/>
  <c r="Z135" i="26" s="1"/>
  <c r="AE135" i="26"/>
  <c r="HE33" i="7"/>
  <c r="HE50" i="7"/>
  <c r="HE56" i="7"/>
  <c r="FR56" i="7"/>
  <c r="HB125" i="7"/>
  <c r="FB125" i="7"/>
  <c r="FB113" i="7"/>
  <c r="HB113" i="7"/>
  <c r="EO163" i="7"/>
  <c r="CM163" i="7"/>
  <c r="HD231" i="7"/>
  <c r="EZ232" i="7"/>
  <c r="HD232" i="7" s="1"/>
  <c r="E181" i="45"/>
  <c r="G54" i="40"/>
  <c r="M152" i="26"/>
  <c r="Z152" i="26" s="1"/>
  <c r="T152" i="26"/>
  <c r="AE152" i="26"/>
  <c r="C152" i="26"/>
  <c r="GZ32" i="7"/>
  <c r="HD50" i="7"/>
  <c r="GZ102" i="7"/>
  <c r="FB102" i="7"/>
  <c r="EN163" i="7"/>
  <c r="CH163" i="7"/>
  <c r="J160" i="7"/>
  <c r="AR170" i="7"/>
  <c r="HD175" i="7"/>
  <c r="FP177" i="7"/>
  <c r="HD250" i="7"/>
  <c r="EZ252" i="7"/>
  <c r="HD252" i="7" s="1"/>
  <c r="C73" i="23"/>
  <c r="C129" i="23"/>
  <c r="N185" i="23"/>
  <c r="C104" i="25"/>
  <c r="T193" i="26"/>
  <c r="M193" i="26"/>
  <c r="Z193" i="26" s="1"/>
  <c r="AE193" i="26"/>
  <c r="HC61" i="7"/>
  <c r="FB54" i="7"/>
  <c r="GZ54" i="7"/>
  <c r="GH55" i="7"/>
  <c r="GZ126" i="7"/>
  <c r="FZ126" i="7"/>
  <c r="EL212" i="7"/>
  <c r="EL213" i="7" s="1"/>
  <c r="B51" i="33" s="1"/>
  <c r="D213" i="7"/>
  <c r="GZ55" i="7"/>
  <c r="AR133" i="7"/>
  <c r="H178" i="36"/>
  <c r="S178" i="36" s="1"/>
  <c r="M13" i="26"/>
  <c r="Z13" i="26" s="1"/>
  <c r="AE13" i="26"/>
  <c r="T13" i="26"/>
  <c r="AZ189" i="7"/>
  <c r="J196" i="7"/>
  <c r="D198" i="7"/>
  <c r="EL196" i="7"/>
  <c r="CB196" i="7"/>
  <c r="E28" i="40"/>
  <c r="F28" i="40"/>
  <c r="C22" i="40"/>
  <c r="D29" i="40"/>
  <c r="E29" i="40"/>
  <c r="C29" i="40"/>
  <c r="G22" i="40"/>
  <c r="G24" i="40" s="1"/>
  <c r="H22" i="40"/>
  <c r="H24" i="40" s="1"/>
  <c r="F22" i="40"/>
  <c r="F24" i="40" s="1"/>
  <c r="D22" i="40"/>
  <c r="D24" i="40" s="1"/>
  <c r="E22" i="40"/>
  <c r="D28" i="40"/>
  <c r="G28" i="40"/>
  <c r="F29" i="40"/>
  <c r="C28" i="40"/>
  <c r="H28" i="40"/>
  <c r="G29" i="40"/>
  <c r="H29" i="40"/>
  <c r="C121" i="26"/>
  <c r="AE121" i="26"/>
  <c r="T121" i="26"/>
  <c r="M121" i="26"/>
  <c r="HB32" i="7"/>
  <c r="FR36" i="7"/>
  <c r="HB36" i="7"/>
  <c r="GH29" i="7"/>
  <c r="FD133" i="7"/>
  <c r="FJ118" i="7"/>
  <c r="GZ118" i="7"/>
  <c r="HE160" i="7"/>
  <c r="GG165" i="7"/>
  <c r="GP169" i="7"/>
  <c r="FP214" i="7"/>
  <c r="FP287" i="7" s="1"/>
  <c r="GV214" i="7"/>
  <c r="GV287" i="7" s="1"/>
  <c r="CM194" i="7"/>
  <c r="EO194" i="7"/>
  <c r="AR201" i="7"/>
  <c r="C35" i="41"/>
  <c r="BP303" i="7"/>
  <c r="S12" i="36"/>
  <c r="X33" i="36"/>
  <c r="G14" i="21"/>
  <c r="C53" i="40"/>
  <c r="V185" i="21"/>
  <c r="F55" i="23"/>
  <c r="C185" i="23"/>
  <c r="C249" i="25"/>
  <c r="FB32" i="7"/>
  <c r="HA32" i="7"/>
  <c r="EG44" i="7"/>
  <c r="GZ81" i="7"/>
  <c r="FJ152" i="7"/>
  <c r="FZ129" i="7"/>
  <c r="HC169" i="7"/>
  <c r="EY170" i="7"/>
  <c r="BW186" i="7"/>
  <c r="AB30" i="44" s="1"/>
  <c r="S214" i="7"/>
  <c r="AB189" i="7"/>
  <c r="Z214" i="7"/>
  <c r="Z287" i="7" s="1"/>
  <c r="I120" i="54"/>
  <c r="EO221" i="7"/>
  <c r="CM221" i="7"/>
  <c r="HE273" i="7"/>
  <c r="FA276" i="7"/>
  <c r="HE276" i="7" s="1"/>
  <c r="HC258" i="7"/>
  <c r="EY260" i="7"/>
  <c r="HC260" i="7" s="1"/>
  <c r="FB258" i="7"/>
  <c r="S11" i="36"/>
  <c r="X32" i="36"/>
  <c r="E54" i="40"/>
  <c r="EP159" i="7"/>
  <c r="EP165" i="7" s="1"/>
  <c r="H165" i="7"/>
  <c r="G32" i="56" s="1"/>
  <c r="BX211" i="7"/>
  <c r="D244" i="25"/>
  <c r="D362" i="56" s="1" a="1"/>
  <c r="D362" i="56" s="1"/>
  <c r="GX133" i="7"/>
  <c r="FJ210" i="7"/>
  <c r="S50" i="36"/>
  <c r="X31" i="36"/>
  <c r="E42" i="41"/>
  <c r="E42" i="40"/>
  <c r="C220" i="25"/>
  <c r="FI62" i="7"/>
  <c r="FF133" i="7"/>
  <c r="FJ110" i="7"/>
  <c r="GZ110" i="7"/>
  <c r="E197" i="7"/>
  <c r="CC196" i="7"/>
  <c r="EM196" i="7"/>
  <c r="C52" i="40"/>
  <c r="V171" i="21"/>
  <c r="N157" i="23"/>
  <c r="FJ50" i="7"/>
  <c r="GH105" i="7"/>
  <c r="HD105" i="7"/>
  <c r="GJ165" i="7"/>
  <c r="GP163" i="7"/>
  <c r="GZ163" i="7"/>
  <c r="B59" i="33"/>
  <c r="H59" i="33" s="1"/>
  <c r="T189" i="7"/>
  <c r="BR189" i="7"/>
  <c r="GP107" i="7"/>
  <c r="HB107" i="7"/>
  <c r="C48" i="41"/>
  <c r="V115" i="21"/>
  <c r="C48" i="40"/>
  <c r="HC43" i="7"/>
  <c r="HE39" i="7"/>
  <c r="H21" i="41"/>
  <c r="FJ54" i="7"/>
  <c r="FZ125" i="7"/>
  <c r="GZ125" i="7"/>
  <c r="HA121" i="7"/>
  <c r="FZ121" i="7"/>
  <c r="HB169" i="7"/>
  <c r="EX170" i="7"/>
  <c r="HE57" i="7"/>
  <c r="EX236" i="7"/>
  <c r="HB236" i="7" s="1"/>
  <c r="HB235" i="7"/>
  <c r="F44" i="41"/>
  <c r="F44" i="40"/>
  <c r="G151" i="21"/>
  <c r="D157" i="21"/>
  <c r="FG133" i="7"/>
  <c r="HC118" i="7"/>
  <c r="BR213" i="7"/>
  <c r="T213" i="7"/>
  <c r="B67" i="33"/>
  <c r="H67" i="33" s="1"/>
  <c r="HD269" i="7"/>
  <c r="EZ272" i="7"/>
  <c r="HD272" i="7" s="1"/>
  <c r="EW236" i="7"/>
  <c r="HA236" i="7" s="1"/>
  <c r="HA235" i="7"/>
  <c r="FB235" i="7"/>
  <c r="FB40" i="7"/>
  <c r="HD40" i="7"/>
  <c r="FZ118" i="7"/>
  <c r="FT133" i="7"/>
  <c r="FY214" i="7"/>
  <c r="FY287" i="7" s="1"/>
  <c r="FZ189" i="7"/>
  <c r="C51" i="40"/>
  <c r="V157" i="21"/>
  <c r="HA118" i="7"/>
  <c r="FE133" i="7"/>
  <c r="FW170" i="7"/>
  <c r="FZ168" i="7"/>
  <c r="BT177" i="7"/>
  <c r="EY252" i="7"/>
  <c r="HC252" i="7" s="1"/>
  <c r="HC249" i="7"/>
  <c r="HC239" i="7"/>
  <c r="HF239" i="7" s="1"/>
  <c r="FB239" i="7"/>
  <c r="S13" i="36"/>
  <c r="X34" i="36"/>
  <c r="V199" i="21"/>
  <c r="N73" i="23"/>
  <c r="F138" i="23"/>
  <c r="C143" i="23"/>
  <c r="HE35" i="7"/>
  <c r="AB62" i="7"/>
  <c r="AR153" i="7"/>
  <c r="GP123" i="7"/>
  <c r="GZ123" i="7"/>
  <c r="HA119" i="7"/>
  <c r="GK133" i="7"/>
  <c r="GZ111" i="7"/>
  <c r="FR111" i="7"/>
  <c r="FZ132" i="7"/>
  <c r="HA41" i="7"/>
  <c r="HA43" i="7"/>
  <c r="FR37" i="7"/>
  <c r="FZ43" i="7"/>
  <c r="FG62" i="7"/>
  <c r="GH150" i="7"/>
  <c r="GH128" i="7"/>
  <c r="GE133" i="7"/>
  <c r="GO133" i="7"/>
  <c r="BV186" i="7"/>
  <c r="Y30" i="44" s="1"/>
  <c r="R214" i="7"/>
  <c r="GH124" i="7"/>
  <c r="GD133" i="7"/>
  <c r="HC132" i="7"/>
  <c r="FL165" i="7"/>
  <c r="FR159" i="7"/>
  <c r="BP44" i="7"/>
  <c r="HE58" i="7"/>
  <c r="HC113" i="7"/>
  <c r="FR109" i="7"/>
  <c r="BV165" i="7"/>
  <c r="AF285" i="7"/>
  <c r="AF286" i="7" s="1"/>
  <c r="BT236" i="7"/>
  <c r="FG285" i="7"/>
  <c r="FG286" i="7" s="1"/>
  <c r="FJ51" i="7"/>
  <c r="GZ51" i="7"/>
  <c r="FD62" i="7"/>
  <c r="GZ47" i="7"/>
  <c r="FJ47" i="7"/>
  <c r="FW285" i="7"/>
  <c r="FW286" i="7" s="1"/>
  <c r="GZ206" i="7"/>
  <c r="FB206" i="7"/>
  <c r="EV207" i="7"/>
  <c r="FA201" i="7"/>
  <c r="HE201" i="7" s="1"/>
  <c r="HE200" i="7"/>
  <c r="FB200" i="7"/>
  <c r="F63" i="40"/>
  <c r="F81" i="23"/>
  <c r="N115" i="23"/>
  <c r="FR29" i="7"/>
  <c r="DE44" i="7"/>
  <c r="DE117" i="7"/>
  <c r="BH153" i="7"/>
  <c r="GP111" i="7"/>
  <c r="GP103" i="7"/>
  <c r="HB103" i="7"/>
  <c r="FA248" i="7"/>
  <c r="HE248" i="7" s="1"/>
  <c r="HE245" i="7"/>
  <c r="EX244" i="7"/>
  <c r="HB244" i="7" s="1"/>
  <c r="HB241" i="7"/>
  <c r="BN154" i="7"/>
  <c r="BN155" i="7" s="1"/>
  <c r="GP126" i="7"/>
  <c r="HE121" i="7"/>
  <c r="HA162" i="7"/>
  <c r="FZ162" i="7"/>
  <c r="G43" i="54"/>
  <c r="C54" i="33"/>
  <c r="EM184" i="7"/>
  <c r="CC184" i="7"/>
  <c r="E185" i="7"/>
  <c r="E186" i="7" s="1"/>
  <c r="FH214" i="7"/>
  <c r="FH287" i="7" s="1"/>
  <c r="AJ192" i="7"/>
  <c r="BP192" i="7"/>
  <c r="AG285" i="7"/>
  <c r="AG286" i="7" s="1"/>
  <c r="BU236" i="7"/>
  <c r="HF217" i="7"/>
  <c r="HD258" i="7"/>
  <c r="EZ260" i="7"/>
  <c r="HD260" i="7" s="1"/>
  <c r="GZ254" i="7"/>
  <c r="FB254" i="7"/>
  <c r="EX252" i="7"/>
  <c r="HB252" i="7" s="1"/>
  <c r="HB249" i="7"/>
  <c r="Q137" i="36"/>
  <c r="T137" i="36" s="1"/>
  <c r="D98" i="25"/>
  <c r="C322" i="56" s="1" a="1"/>
  <c r="C322" i="56" s="1"/>
  <c r="AE16" i="26"/>
  <c r="M16" i="26"/>
  <c r="T16" i="26"/>
  <c r="C16" i="26"/>
  <c r="M29" i="26"/>
  <c r="AE29" i="26"/>
  <c r="M76" i="26"/>
  <c r="Z76" i="26" s="1"/>
  <c r="T76" i="26"/>
  <c r="AE76" i="26"/>
  <c r="AE122" i="26"/>
  <c r="T122" i="26"/>
  <c r="M122" i="26"/>
  <c r="M181" i="26"/>
  <c r="Z181" i="26" s="1"/>
  <c r="AE181" i="26"/>
  <c r="T181" i="26"/>
  <c r="GZ41" i="7"/>
  <c r="FB41" i="7"/>
  <c r="HA37" i="7"/>
  <c r="HA33" i="7"/>
  <c r="HE42" i="7"/>
  <c r="GH30" i="7"/>
  <c r="GZ30" i="7"/>
  <c r="DL84" i="7"/>
  <c r="HB152" i="7"/>
  <c r="EX153" i="7"/>
  <c r="GH164" i="7"/>
  <c r="GH160" i="7"/>
  <c r="HD168" i="7"/>
  <c r="FH170" i="7"/>
  <c r="FB175" i="7"/>
  <c r="GZ175" i="7"/>
  <c r="HC278" i="7"/>
  <c r="FB278" i="7"/>
  <c r="HD273" i="7"/>
  <c r="EZ276" i="7"/>
  <c r="HD276" i="7" s="1"/>
  <c r="C115" i="23"/>
  <c r="C118" i="26"/>
  <c r="M118" i="26"/>
  <c r="Z118" i="26" s="1"/>
  <c r="T118" i="26"/>
  <c r="AE118" i="26"/>
  <c r="GZ37" i="7"/>
  <c r="FB37" i="7"/>
  <c r="GZ33" i="7"/>
  <c r="FB33" i="7"/>
  <c r="HD39" i="7"/>
  <c r="FJ32" i="7"/>
  <c r="HB118" i="7"/>
  <c r="FB118" i="7"/>
  <c r="EX133" i="7"/>
  <c r="FG170" i="7"/>
  <c r="HC168" i="7"/>
  <c r="I53" i="53"/>
  <c r="EM175" i="7"/>
  <c r="CC175" i="7"/>
  <c r="I184" i="54"/>
  <c r="EQ215" i="7"/>
  <c r="C31" i="23"/>
  <c r="M89" i="26"/>
  <c r="Z89" i="26" s="1"/>
  <c r="T89" i="26"/>
  <c r="AE89" i="26"/>
  <c r="C89" i="26"/>
  <c r="HE40" i="7"/>
  <c r="GH41" i="7"/>
  <c r="FR57" i="7"/>
  <c r="FY62" i="7"/>
  <c r="BX130" i="7"/>
  <c r="I25" i="53"/>
  <c r="CB175" i="7"/>
  <c r="J175" i="7"/>
  <c r="EL175" i="7"/>
  <c r="D177" i="7"/>
  <c r="C33" i="56" s="1"/>
  <c r="HE174" i="7"/>
  <c r="FA177" i="7"/>
  <c r="I118" i="54"/>
  <c r="CM219" i="7"/>
  <c r="EO219" i="7"/>
  <c r="Q34" i="44"/>
  <c r="AD34" i="44"/>
  <c r="GX149" i="7"/>
  <c r="HD120" i="7"/>
  <c r="FJ105" i="7"/>
  <c r="GZ105" i="7"/>
  <c r="FQ165" i="7"/>
  <c r="GL165" i="7"/>
  <c r="BU177" i="7"/>
  <c r="AJ204" i="7"/>
  <c r="AE214" i="7"/>
  <c r="AE287" i="7" s="1"/>
  <c r="BK214" i="7"/>
  <c r="BK287" i="7" s="1"/>
  <c r="BP204" i="7"/>
  <c r="DR214" i="7"/>
  <c r="DR287" i="7" s="1"/>
  <c r="HD121" i="7"/>
  <c r="I85" i="54"/>
  <c r="EN221" i="7"/>
  <c r="CH221" i="7"/>
  <c r="EO217" i="7"/>
  <c r="CM217" i="7"/>
  <c r="J217" i="7"/>
  <c r="EV195" i="7"/>
  <c r="FB193" i="7"/>
  <c r="GZ193" i="7"/>
  <c r="GZ188" i="7"/>
  <c r="FB188" i="7"/>
  <c r="J201" i="45"/>
  <c r="I214" i="45"/>
  <c r="D43" i="25"/>
  <c r="GP129" i="7"/>
  <c r="GZ116" i="7"/>
  <c r="FB116" i="7"/>
  <c r="EM221" i="7"/>
  <c r="I50" i="54"/>
  <c r="CC221" i="7"/>
  <c r="FB229" i="7"/>
  <c r="EX232" i="7"/>
  <c r="HB232" i="7" s="1"/>
  <c r="HB229" i="7"/>
  <c r="EX198" i="7"/>
  <c r="FB197" i="7"/>
  <c r="HB197" i="7"/>
  <c r="HF197" i="7" s="1"/>
  <c r="G12" i="21"/>
  <c r="G42" i="40"/>
  <c r="G42" i="41"/>
  <c r="AI162" i="26"/>
  <c r="J163" i="26"/>
  <c r="DS133" i="7"/>
  <c r="HA129" i="7"/>
  <c r="FR152" i="7"/>
  <c r="AB210" i="7"/>
  <c r="BT210" i="7"/>
  <c r="BX255" i="7"/>
  <c r="BP268" i="7"/>
  <c r="G11" i="21"/>
  <c r="D17" i="21"/>
  <c r="W11" i="21"/>
  <c r="D199" i="21"/>
  <c r="C55" i="40"/>
  <c r="V213" i="21"/>
  <c r="D69" i="25"/>
  <c r="C314" i="56" s="1" a="1"/>
  <c r="C314" i="56" s="1"/>
  <c r="C75" i="25"/>
  <c r="C148" i="26"/>
  <c r="T148" i="26"/>
  <c r="M148" i="26"/>
  <c r="AE148" i="26"/>
  <c r="C207" i="26"/>
  <c r="M207" i="26"/>
  <c r="AE207" i="26"/>
  <c r="AJ153" i="7"/>
  <c r="GP102" i="7"/>
  <c r="FR164" i="7"/>
  <c r="HA164" i="7"/>
  <c r="BR177" i="7"/>
  <c r="I6" i="54"/>
  <c r="CB183" i="7"/>
  <c r="J183" i="7"/>
  <c r="EL183" i="7"/>
  <c r="D204" i="7"/>
  <c r="J202" i="7"/>
  <c r="CB202" i="7"/>
  <c r="EL202" i="7"/>
  <c r="FZ210" i="7"/>
  <c r="FT214" i="7"/>
  <c r="FT287" i="7" s="1"/>
  <c r="A62" i="33"/>
  <c r="A46" i="33"/>
  <c r="EJ196" i="7"/>
  <c r="DS186" i="7"/>
  <c r="BR260" i="7"/>
  <c r="E41" i="41"/>
  <c r="V17" i="21"/>
  <c r="E41" i="40"/>
  <c r="E44" i="41"/>
  <c r="E44" i="40"/>
  <c r="I5" i="26"/>
  <c r="C87" i="26"/>
  <c r="T87" i="26"/>
  <c r="AE87" i="26"/>
  <c r="M87" i="26"/>
  <c r="FZ80" i="7"/>
  <c r="FT82" i="7"/>
  <c r="HD109" i="7"/>
  <c r="F193" i="23"/>
  <c r="EJ199" i="7"/>
  <c r="A47" i="33"/>
  <c r="A63" i="33"/>
  <c r="FR186" i="7"/>
  <c r="J82" i="21"/>
  <c r="G153" i="21"/>
  <c r="H53" i="40"/>
  <c r="GP34" i="7"/>
  <c r="BP149" i="7"/>
  <c r="GX117" i="7"/>
  <c r="HE128" i="7"/>
  <c r="FJ128" i="7"/>
  <c r="GN165" i="7"/>
  <c r="HD159" i="7"/>
  <c r="J182" i="7"/>
  <c r="BD214" i="7"/>
  <c r="BD287" i="7" s="1"/>
  <c r="BH195" i="7"/>
  <c r="CY214" i="7"/>
  <c r="CY287" i="7" s="1"/>
  <c r="EN205" i="7"/>
  <c r="CH205" i="7"/>
  <c r="F206" i="7"/>
  <c r="A61" i="33"/>
  <c r="A45" i="33"/>
  <c r="EJ193" i="7"/>
  <c r="AZ268" i="7"/>
  <c r="BR284" i="7"/>
  <c r="Q58" i="36"/>
  <c r="T58" i="36" s="1"/>
  <c r="G48" i="41"/>
  <c r="G48" i="40"/>
  <c r="T105" i="26"/>
  <c r="AE105" i="26"/>
  <c r="M105" i="26"/>
  <c r="BP78" i="7"/>
  <c r="FV165" i="7"/>
  <c r="FZ159" i="7"/>
  <c r="A64" i="33"/>
  <c r="EJ202" i="7"/>
  <c r="A48" i="33"/>
  <c r="J141" i="21"/>
  <c r="G155" i="21"/>
  <c r="GJ133" i="7"/>
  <c r="BH256" i="7"/>
  <c r="F225" i="23"/>
  <c r="J40" i="21"/>
  <c r="D73" i="21"/>
  <c r="G62" i="40"/>
  <c r="N45" i="23"/>
  <c r="D243" i="23"/>
  <c r="D12" i="25"/>
  <c r="D298" i="56" s="1" a="1"/>
  <c r="D298" i="56" s="1"/>
  <c r="AE137" i="26"/>
  <c r="T137" i="26"/>
  <c r="FR34" i="7"/>
  <c r="GP125" i="7"/>
  <c r="HD132" i="7"/>
  <c r="FJ132" i="7"/>
  <c r="FR151" i="7"/>
  <c r="HE125" i="7"/>
  <c r="FR160" i="7"/>
  <c r="GM165" i="7"/>
  <c r="BP299" i="7"/>
  <c r="C34" i="41"/>
  <c r="BJ305" i="7"/>
  <c r="HB126" i="7"/>
  <c r="FB126" i="7"/>
  <c r="FJ129" i="7"/>
  <c r="HA125" i="7"/>
  <c r="HC109" i="7"/>
  <c r="HA169" i="7"/>
  <c r="GD177" i="7"/>
  <c r="P214" i="7"/>
  <c r="BT186" i="7"/>
  <c r="S30" i="44" s="1"/>
  <c r="AV214" i="7"/>
  <c r="AV287" i="7" s="1"/>
  <c r="CN214" i="7"/>
  <c r="CM193" i="7"/>
  <c r="E54" i="33"/>
  <c r="EO193" i="7"/>
  <c r="G195" i="7"/>
  <c r="EY276" i="7"/>
  <c r="HC276" i="7" s="1"/>
  <c r="HC273" i="7"/>
  <c r="Q117" i="36"/>
  <c r="B179" i="23"/>
  <c r="B11" i="23"/>
  <c r="B81" i="21"/>
  <c r="B11" i="21"/>
  <c r="B81" i="23"/>
  <c r="B237" i="23"/>
  <c r="B151" i="23"/>
  <c r="B250" i="23"/>
  <c r="B165" i="21"/>
  <c r="B193" i="23"/>
  <c r="EL11" i="7"/>
  <c r="B207" i="21"/>
  <c r="B53" i="21"/>
  <c r="B207" i="23"/>
  <c r="B67" i="21"/>
  <c r="B109" i="23"/>
  <c r="B137" i="23"/>
  <c r="B179" i="21"/>
  <c r="B137" i="21"/>
  <c r="B224" i="23"/>
  <c r="D50" i="41"/>
  <c r="D50" i="40"/>
  <c r="C60" i="40"/>
  <c r="N17" i="23"/>
  <c r="D362" i="25"/>
  <c r="M225" i="26"/>
  <c r="Z225" i="26" s="1"/>
  <c r="T225" i="26"/>
  <c r="AE225" i="26"/>
  <c r="HC32" i="7"/>
  <c r="FR53" i="7"/>
  <c r="AJ133" i="7"/>
  <c r="GP151" i="7"/>
  <c r="GN133" i="7"/>
  <c r="HA151" i="7"/>
  <c r="EW153" i="7"/>
  <c r="HA114" i="7"/>
  <c r="FJ125" i="7"/>
  <c r="HB175" i="7"/>
  <c r="FQ177" i="7"/>
  <c r="HE175" i="7"/>
  <c r="GC177" i="7"/>
  <c r="GH173" i="7"/>
  <c r="AB244" i="7"/>
  <c r="EY284" i="7"/>
  <c r="HC284" i="7" s="1"/>
  <c r="HC282" i="7"/>
  <c r="HB273" i="7"/>
  <c r="EX276" i="7"/>
  <c r="HB276" i="7" s="1"/>
  <c r="FN285" i="7"/>
  <c r="FN286" i="7" s="1"/>
  <c r="GT285" i="7"/>
  <c r="BX257" i="7"/>
  <c r="T252" i="7"/>
  <c r="AJ248" i="7"/>
  <c r="BP294" i="7"/>
  <c r="F6" i="51"/>
  <c r="F9" i="51"/>
  <c r="B4" i="51"/>
  <c r="B5" i="51"/>
  <c r="F5" i="51"/>
  <c r="E6" i="51"/>
  <c r="F7" i="51"/>
  <c r="O9" i="21"/>
  <c r="C14" i="21"/>
  <c r="E4" i="51"/>
  <c r="C4" i="51"/>
  <c r="C15" i="21"/>
  <c r="R9" i="21"/>
  <c r="C16" i="21"/>
  <c r="F4" i="51"/>
  <c r="E7" i="51"/>
  <c r="U9" i="21"/>
  <c r="E8" i="51"/>
  <c r="C12" i="21"/>
  <c r="F8" i="51"/>
  <c r="C13" i="21"/>
  <c r="C11" i="21"/>
  <c r="E9" i="51"/>
  <c r="B95" i="21"/>
  <c r="J179" i="21"/>
  <c r="C243" i="23"/>
  <c r="C365" i="25"/>
  <c r="T177" i="26"/>
  <c r="AE177" i="26"/>
  <c r="C10" i="39"/>
  <c r="L37" i="33"/>
  <c r="EK9" i="7"/>
  <c r="GX44" i="7"/>
  <c r="HC80" i="7"/>
  <c r="HA48" i="7"/>
  <c r="FU62" i="7"/>
  <c r="FB159" i="7"/>
  <c r="GZ159" i="7"/>
  <c r="EV165" i="7"/>
  <c r="HD160" i="7"/>
  <c r="I111" i="54"/>
  <c r="EO183" i="7"/>
  <c r="BR195" i="7"/>
  <c r="B61" i="33"/>
  <c r="H61" i="33" s="1"/>
  <c r="AR210" i="7"/>
  <c r="AZ213" i="7"/>
  <c r="T195" i="7"/>
  <c r="HA220" i="7"/>
  <c r="HF220" i="7" s="1"/>
  <c r="FB220" i="7"/>
  <c r="BH260" i="7"/>
  <c r="GX195" i="7"/>
  <c r="L7" i="21"/>
  <c r="H46" i="41"/>
  <c r="H46" i="40"/>
  <c r="H48" i="41"/>
  <c r="H48" i="40"/>
  <c r="G49" i="40"/>
  <c r="G49" i="41"/>
  <c r="C12" i="26"/>
  <c r="T209" i="26"/>
  <c r="M209" i="26"/>
  <c r="AE209" i="26"/>
  <c r="FB30" i="7"/>
  <c r="HA30" i="7"/>
  <c r="FR32" i="7"/>
  <c r="GX78" i="7"/>
  <c r="GR83" i="7"/>
  <c r="GR84" i="7" s="1"/>
  <c r="FJ80" i="7"/>
  <c r="FZ48" i="7"/>
  <c r="GZ48" i="7"/>
  <c r="FT62" i="7"/>
  <c r="GH109" i="7"/>
  <c r="FP133" i="7"/>
  <c r="HD118" i="7"/>
  <c r="EN160" i="7"/>
  <c r="HE162" i="7"/>
  <c r="FN165" i="7"/>
  <c r="HB159" i="7"/>
  <c r="EN183" i="7"/>
  <c r="CH183" i="7"/>
  <c r="AN214" i="7"/>
  <c r="AN287" i="7" s="1"/>
  <c r="GP189" i="7"/>
  <c r="ED214" i="7"/>
  <c r="ED287" i="7" s="1"/>
  <c r="CV285" i="7"/>
  <c r="CV286" i="7" s="1"/>
  <c r="DG285" i="7"/>
  <c r="DG286" i="7" s="1"/>
  <c r="HD196" i="7"/>
  <c r="EZ198" i="7"/>
  <c r="HD198" i="7" s="1"/>
  <c r="FR195" i="7"/>
  <c r="L11" i="21"/>
  <c r="Y11" i="21" s="1"/>
  <c r="J12" i="21"/>
  <c r="K11" i="21"/>
  <c r="C40" i="56" s="1" a="1"/>
  <c r="C40" i="56" s="1"/>
  <c r="H51" i="40"/>
  <c r="H52" i="40"/>
  <c r="F95" i="23"/>
  <c r="D216" i="25"/>
  <c r="HE37" i="7"/>
  <c r="GZ31" i="7"/>
  <c r="FJ52" i="7"/>
  <c r="GZ52" i="7"/>
  <c r="GH121" i="7"/>
  <c r="GZ121" i="7"/>
  <c r="HA116" i="7"/>
  <c r="HB112" i="7"/>
  <c r="HA122" i="7"/>
  <c r="BX163" i="7"/>
  <c r="HD162" i="7"/>
  <c r="HE164" i="7"/>
  <c r="FM165" i="7"/>
  <c r="HA159" i="7"/>
  <c r="HA168" i="7"/>
  <c r="CC183" i="7"/>
  <c r="I41" i="54"/>
  <c r="EM183" i="7"/>
  <c r="EF285" i="7"/>
  <c r="FY285" i="7"/>
  <c r="FY286" i="7" s="1"/>
  <c r="H117" i="36"/>
  <c r="S117" i="36" s="1"/>
  <c r="FR61" i="7"/>
  <c r="HC53" i="7"/>
  <c r="EG153" i="7"/>
  <c r="GH113" i="7"/>
  <c r="HB151" i="7"/>
  <c r="BX120" i="7"/>
  <c r="BX108" i="7"/>
  <c r="HE120" i="7"/>
  <c r="EO160" i="7"/>
  <c r="CM160" i="7"/>
  <c r="GZ176" i="7"/>
  <c r="FJ176" i="7"/>
  <c r="FN177" i="7"/>
  <c r="HB176" i="7"/>
  <c r="GJ177" i="7"/>
  <c r="GP174" i="7"/>
  <c r="BH198" i="7"/>
  <c r="BT213" i="7"/>
  <c r="GB285" i="7"/>
  <c r="GB286" i="7" s="1"/>
  <c r="FX285" i="7"/>
  <c r="BX233" i="7"/>
  <c r="BX188" i="7"/>
  <c r="FB180" i="7"/>
  <c r="GZ180" i="7"/>
  <c r="HF180" i="7" s="1"/>
  <c r="H194" i="7"/>
  <c r="EP194" i="7" s="1"/>
  <c r="EP193" i="7"/>
  <c r="I17" i="54"/>
  <c r="CB223" i="7"/>
  <c r="J223" i="7"/>
  <c r="EL223" i="7"/>
  <c r="CH219" i="7"/>
  <c r="I83" i="54"/>
  <c r="I114" i="54"/>
  <c r="CN215" i="7"/>
  <c r="CO215" i="7"/>
  <c r="CM215" i="7"/>
  <c r="EO215" i="7"/>
  <c r="DK285" i="7"/>
  <c r="DK286" i="7" s="1"/>
  <c r="BX277" i="7"/>
  <c r="HE269" i="7"/>
  <c r="FA272" i="7"/>
  <c r="HE272" i="7" s="1"/>
  <c r="EW244" i="7"/>
  <c r="HA244" i="7" s="1"/>
  <c r="HA241" i="7"/>
  <c r="EX228" i="7"/>
  <c r="HB227" i="7"/>
  <c r="HC196" i="7"/>
  <c r="FB196" i="7"/>
  <c r="EY198" i="7"/>
  <c r="HC198" i="7" s="1"/>
  <c r="J148" i="26"/>
  <c r="X147" i="26"/>
  <c r="HB41" i="7"/>
  <c r="HC37" i="7"/>
  <c r="HD33" i="7"/>
  <c r="HD29" i="7"/>
  <c r="CW84" i="7"/>
  <c r="HD79" i="7"/>
  <c r="FH82" i="7"/>
  <c r="GP132" i="7"/>
  <c r="HA111" i="7"/>
  <c r="FZ151" i="7"/>
  <c r="HD161" i="7"/>
  <c r="FE165" i="7"/>
  <c r="I185" i="7"/>
  <c r="G54" i="33"/>
  <c r="EQ184" i="7"/>
  <c r="G183" i="54"/>
  <c r="I4" i="54"/>
  <c r="L29" i="44"/>
  <c r="J181" i="7"/>
  <c r="EL181" i="7"/>
  <c r="CB181" i="7"/>
  <c r="F194" i="7"/>
  <c r="EN193" i="7"/>
  <c r="CH193" i="7"/>
  <c r="FZ204" i="7"/>
  <c r="EQ205" i="7"/>
  <c r="I206" i="7"/>
  <c r="EQ206" i="7" s="1"/>
  <c r="BH207" i="7"/>
  <c r="J219" i="7"/>
  <c r="CB219" i="7"/>
  <c r="I13" i="54"/>
  <c r="AT285" i="7"/>
  <c r="AT286" i="7" s="1"/>
  <c r="EY272" i="7"/>
  <c r="HC272" i="7" s="1"/>
  <c r="HC269" i="7"/>
  <c r="HD254" i="7"/>
  <c r="EZ256" i="7"/>
  <c r="HD256" i="7" s="1"/>
  <c r="FB250" i="7"/>
  <c r="GZ250" i="7"/>
  <c r="EZ207" i="7"/>
  <c r="HD207" i="7" s="1"/>
  <c r="HD205" i="7"/>
  <c r="AN285" i="7"/>
  <c r="DJ285" i="7"/>
  <c r="DJ286" i="7" s="1"/>
  <c r="GX272" i="7"/>
  <c r="HB174" i="7"/>
  <c r="G148" i="54"/>
  <c r="H185" i="7"/>
  <c r="EP184" i="7"/>
  <c r="F54" i="33"/>
  <c r="BR186" i="7"/>
  <c r="B58" i="33"/>
  <c r="N214" i="7"/>
  <c r="AT214" i="7"/>
  <c r="AT287" i="7" s="1"/>
  <c r="DC214" i="7"/>
  <c r="DC287" i="7" s="1"/>
  <c r="EE214" i="7"/>
  <c r="EE287" i="7" s="1"/>
  <c r="FX214" i="7"/>
  <c r="FX287" i="7" s="1"/>
  <c r="EP188" i="7"/>
  <c r="H189" i="7"/>
  <c r="E194" i="7"/>
  <c r="E195" i="7" s="1"/>
  <c r="CC193" i="7"/>
  <c r="EM193" i="7"/>
  <c r="J193" i="7"/>
  <c r="EP205" i="7"/>
  <c r="H206" i="7"/>
  <c r="I156" i="54"/>
  <c r="EP222" i="7"/>
  <c r="E33" i="33"/>
  <c r="V29" i="44"/>
  <c r="EX272" i="7"/>
  <c r="HB272" i="7" s="1"/>
  <c r="HB269" i="7"/>
  <c r="HC254" i="7"/>
  <c r="EY256" i="7"/>
  <c r="HC256" i="7" s="1"/>
  <c r="EY207" i="7"/>
  <c r="HC207" i="7" s="1"/>
  <c r="HC205" i="7"/>
  <c r="FJ169" i="7"/>
  <c r="FD170" i="7"/>
  <c r="GH168" i="7"/>
  <c r="GB170" i="7"/>
  <c r="CM205" i="7"/>
  <c r="EO205" i="7"/>
  <c r="Z285" i="7"/>
  <c r="Z286" i="7" s="1"/>
  <c r="AB236" i="7"/>
  <c r="BX185" i="7"/>
  <c r="D33" i="33"/>
  <c r="S29" i="44"/>
  <c r="HA269" i="7"/>
  <c r="EW272" i="7"/>
  <c r="HA272" i="7" s="1"/>
  <c r="FB269" i="7"/>
  <c r="HC263" i="7"/>
  <c r="HF263" i="7" s="1"/>
  <c r="FB263" i="7"/>
  <c r="HE258" i="7"/>
  <c r="FA260" i="7"/>
  <c r="HE260" i="7" s="1"/>
  <c r="EX207" i="7"/>
  <c r="HB207" i="7" s="1"/>
  <c r="HB205" i="7"/>
  <c r="FA192" i="7"/>
  <c r="HE190" i="7"/>
  <c r="DS280" i="7"/>
  <c r="EG264" i="7"/>
  <c r="FR256" i="7"/>
  <c r="FZ39" i="7"/>
  <c r="HE49" i="7"/>
  <c r="FJ57" i="7"/>
  <c r="FZ49" i="7"/>
  <c r="HC120" i="7"/>
  <c r="HD104" i="7"/>
  <c r="FY153" i="7"/>
  <c r="FZ150" i="7"/>
  <c r="EV177" i="7"/>
  <c r="GP176" i="7"/>
  <c r="G53" i="40"/>
  <c r="F54" i="40"/>
  <c r="FL62" i="7"/>
  <c r="BW133" i="7"/>
  <c r="BX113" i="7"/>
  <c r="AP214" i="7"/>
  <c r="AP287" i="7" s="1"/>
  <c r="GG285" i="7"/>
  <c r="GG286" i="7" s="1"/>
  <c r="F61" i="40"/>
  <c r="C226" i="26"/>
  <c r="AE226" i="26"/>
  <c r="M226" i="26"/>
  <c r="Z226" i="26" s="1"/>
  <c r="FD82" i="7"/>
  <c r="HE168" i="7"/>
  <c r="J176" i="7"/>
  <c r="I22" i="53"/>
  <c r="EL176" i="7"/>
  <c r="CB176" i="7"/>
  <c r="HF242" i="7"/>
  <c r="BX249" i="7"/>
  <c r="BX225" i="7"/>
  <c r="GZ222" i="7"/>
  <c r="HF222" i="7" s="1"/>
  <c r="FB222" i="7"/>
  <c r="HB209" i="7"/>
  <c r="EX210" i="7"/>
  <c r="HB210" i="7" s="1"/>
  <c r="D43" i="41"/>
  <c r="D43" i="40"/>
  <c r="HD60" i="7"/>
  <c r="HB49" i="7"/>
  <c r="FJ189" i="7"/>
  <c r="GH126" i="7"/>
  <c r="HA126" i="7"/>
  <c r="FB164" i="7"/>
  <c r="GZ164" i="7"/>
  <c r="DO214" i="7"/>
  <c r="GL214" i="7"/>
  <c r="GL287" i="7" s="1"/>
  <c r="CL214" i="7"/>
  <c r="AR195" i="7"/>
  <c r="GH210" i="7"/>
  <c r="BP213" i="7"/>
  <c r="BU228" i="7"/>
  <c r="CT285" i="7"/>
  <c r="BX187" i="7"/>
  <c r="HA277" i="7"/>
  <c r="EW280" i="7"/>
  <c r="HA280" i="7" s="1"/>
  <c r="EX264" i="7"/>
  <c r="HB264" i="7" s="1"/>
  <c r="HB262" i="7"/>
  <c r="HC225" i="7"/>
  <c r="FB225" i="7"/>
  <c r="EY228" i="7"/>
  <c r="Z28" i="44"/>
  <c r="Q138" i="36"/>
  <c r="T138" i="36" s="1"/>
  <c r="Q198" i="36"/>
  <c r="T198" i="36" s="1"/>
  <c r="D63" i="40"/>
  <c r="D246" i="25"/>
  <c r="F362" i="56" s="1" a="1"/>
  <c r="F362" i="56" s="1"/>
  <c r="M17" i="26"/>
  <c r="T17" i="26"/>
  <c r="C75" i="26"/>
  <c r="T75" i="26"/>
  <c r="M167" i="26"/>
  <c r="C167" i="26"/>
  <c r="AE167" i="26"/>
  <c r="HC34" i="7"/>
  <c r="GP42" i="7"/>
  <c r="EG62" i="7"/>
  <c r="HB60" i="7"/>
  <c r="HD56" i="7"/>
  <c r="FB49" i="7"/>
  <c r="GZ49" i="7"/>
  <c r="EV62" i="7"/>
  <c r="BS133" i="7"/>
  <c r="GJ153" i="7"/>
  <c r="HD119" i="7"/>
  <c r="HE103" i="7"/>
  <c r="FB103" i="7"/>
  <c r="FJ131" i="7"/>
  <c r="EZ177" i="7"/>
  <c r="FE214" i="7"/>
  <c r="FE287" i="7" s="1"/>
  <c r="GK214" i="7"/>
  <c r="GK287" i="7" s="1"/>
  <c r="E200" i="7"/>
  <c r="EM199" i="7"/>
  <c r="BU207" i="7"/>
  <c r="P285" i="7"/>
  <c r="P291" i="7" s="1"/>
  <c r="BT228" i="7"/>
  <c r="AV285" i="7"/>
  <c r="DU285" i="7"/>
  <c r="DU286" i="7" s="1"/>
  <c r="GN285" i="7"/>
  <c r="GN286" i="7" s="1"/>
  <c r="BX197" i="7"/>
  <c r="EX284" i="7"/>
  <c r="HB284" i="7" s="1"/>
  <c r="GZ277" i="7"/>
  <c r="EV280" i="7"/>
  <c r="GZ280" i="7" s="1"/>
  <c r="HA262" i="7"/>
  <c r="EW264" i="7"/>
  <c r="HA264" i="7" s="1"/>
  <c r="FR260" i="7"/>
  <c r="GH284" i="7"/>
  <c r="GX248" i="7"/>
  <c r="Q118" i="36"/>
  <c r="T118" i="36" s="1"/>
  <c r="D42" i="40"/>
  <c r="D42" i="41"/>
  <c r="HA61" i="7"/>
  <c r="GH57" i="7"/>
  <c r="DR155" i="7"/>
  <c r="FJ120" i="7"/>
  <c r="HA120" i="7"/>
  <c r="FJ112" i="7"/>
  <c r="GZ169" i="7"/>
  <c r="FB169" i="7"/>
  <c r="EV170" i="7"/>
  <c r="BV177" i="7"/>
  <c r="I15" i="54"/>
  <c r="EL221" i="7"/>
  <c r="J221" i="7"/>
  <c r="CB221" i="7"/>
  <c r="D46" i="40"/>
  <c r="D46" i="41"/>
  <c r="E63" i="40"/>
  <c r="GP32" i="7"/>
  <c r="GZ61" i="7"/>
  <c r="FB61" i="7"/>
  <c r="FJ61" i="7"/>
  <c r="BX125" i="7"/>
  <c r="HB120" i="7"/>
  <c r="FB120" i="7"/>
  <c r="BT165" i="7"/>
  <c r="CF214" i="7"/>
  <c r="FB249" i="7"/>
  <c r="EV252" i="7"/>
  <c r="GZ252" i="7" s="1"/>
  <c r="HC185" i="7"/>
  <c r="AE31" i="26"/>
  <c r="M133" i="26"/>
  <c r="Z133" i="26" s="1"/>
  <c r="T133" i="26"/>
  <c r="HC49" i="7"/>
  <c r="BH133" i="7"/>
  <c r="FR124" i="7"/>
  <c r="GD214" i="7"/>
  <c r="GD287" i="7" s="1"/>
  <c r="HB185" i="7"/>
  <c r="H97" i="36"/>
  <c r="S97" i="36" s="1"/>
  <c r="AE195" i="26"/>
  <c r="M195" i="26"/>
  <c r="GP35" i="7"/>
  <c r="HA53" i="7"/>
  <c r="EY177" i="7"/>
  <c r="HC173" i="7"/>
  <c r="GM214" i="7"/>
  <c r="GM287" i="7" s="1"/>
  <c r="DA285" i="7"/>
  <c r="HF267" i="7"/>
  <c r="G16" i="21"/>
  <c r="HD34" i="7"/>
  <c r="HA49" i="7"/>
  <c r="G15" i="21"/>
  <c r="C41" i="41"/>
  <c r="C41" i="40"/>
  <c r="C43" i="41"/>
  <c r="V45" i="21"/>
  <c r="M57" i="26"/>
  <c r="AE57" i="26"/>
  <c r="J88" i="26"/>
  <c r="X87" i="26"/>
  <c r="HA42" i="7"/>
  <c r="HB34" i="7"/>
  <c r="FJ38" i="7"/>
  <c r="HC56" i="7"/>
  <c r="HE52" i="7"/>
  <c r="GP81" i="7"/>
  <c r="T133" i="7"/>
  <c r="GP104" i="7"/>
  <c r="BW153" i="7"/>
  <c r="BX105" i="7"/>
  <c r="HD152" i="7"/>
  <c r="EZ153" i="7"/>
  <c r="HD107" i="7"/>
  <c r="BX169" i="7"/>
  <c r="FD214" i="7"/>
  <c r="FD287" i="7" s="1"/>
  <c r="FO214" i="7"/>
  <c r="FO287" i="7" s="1"/>
  <c r="CK214" i="7"/>
  <c r="BT204" i="7"/>
  <c r="BT207" i="7"/>
  <c r="O285" i="7"/>
  <c r="D23" i="40" s="1"/>
  <c r="BS228" i="7"/>
  <c r="AU285" i="7"/>
  <c r="AU286" i="7" s="1"/>
  <c r="CX285" i="7"/>
  <c r="DZ285" i="7"/>
  <c r="DR285" i="7"/>
  <c r="GM285" i="7"/>
  <c r="GM286" i="7" s="1"/>
  <c r="FB262" i="7"/>
  <c r="GZ262" i="7"/>
  <c r="EV264" i="7"/>
  <c r="GZ264" i="7" s="1"/>
  <c r="H60" i="40"/>
  <c r="G61" i="40"/>
  <c r="DK84" i="7"/>
  <c r="HD53" i="7"/>
  <c r="HB116" i="7"/>
  <c r="GH195" i="7"/>
  <c r="GZ282" i="7"/>
  <c r="FB282" i="7"/>
  <c r="EV284" i="7"/>
  <c r="GZ284" i="7" s="1"/>
  <c r="HA273" i="7"/>
  <c r="EW276" i="7"/>
  <c r="HA276" i="7" s="1"/>
  <c r="EW252" i="7"/>
  <c r="HA252" i="7" s="1"/>
  <c r="BU256" i="7"/>
  <c r="F47" i="40"/>
  <c r="F47" i="41"/>
  <c r="J208" i="21"/>
  <c r="HD49" i="7"/>
  <c r="DQ155" i="7"/>
  <c r="GB133" i="7"/>
  <c r="GH119" i="7"/>
  <c r="EG207" i="7"/>
  <c r="BX218" i="7"/>
  <c r="GZ273" i="7"/>
  <c r="FB273" i="7"/>
  <c r="EV276" i="7"/>
  <c r="GZ276" i="7" s="1"/>
  <c r="HC209" i="7"/>
  <c r="EY210" i="7"/>
  <c r="HC210" i="7" s="1"/>
  <c r="AE149" i="26"/>
  <c r="T149" i="26"/>
  <c r="M149" i="26"/>
  <c r="Z149" i="26" s="1"/>
  <c r="BX39" i="7"/>
  <c r="HA57" i="7"/>
  <c r="FZ53" i="7"/>
  <c r="FB131" i="7"/>
  <c r="GZ131" i="7"/>
  <c r="DS165" i="7"/>
  <c r="AO214" i="7"/>
  <c r="CG214" i="7"/>
  <c r="AR207" i="7"/>
  <c r="V87" i="21"/>
  <c r="F152" i="23"/>
  <c r="C171" i="23"/>
  <c r="Z3" i="26"/>
  <c r="AE164" i="26"/>
  <c r="M164" i="26"/>
  <c r="Z164" i="26" s="1"/>
  <c r="GZ57" i="7"/>
  <c r="FZ60" i="7"/>
  <c r="FG214" i="7"/>
  <c r="FG287" i="7" s="1"/>
  <c r="GH192" i="7"/>
  <c r="HB277" i="7"/>
  <c r="EX280" i="7"/>
  <c r="HB280" i="7" s="1"/>
  <c r="N59" i="23"/>
  <c r="AE223" i="26"/>
  <c r="T223" i="26"/>
  <c r="HC60" i="7"/>
  <c r="FB53" i="7"/>
  <c r="GZ53" i="7"/>
  <c r="GZ104" i="7"/>
  <c r="FB104" i="7"/>
  <c r="HA131" i="7"/>
  <c r="HB160" i="7"/>
  <c r="FF214" i="7"/>
  <c r="FF287" i="7" s="1"/>
  <c r="D31" i="21"/>
  <c r="F55" i="40"/>
  <c r="N143" i="23"/>
  <c r="FB42" i="7"/>
  <c r="GZ42" i="7"/>
  <c r="HA34" i="7"/>
  <c r="FB60" i="7"/>
  <c r="HE48" i="7"/>
  <c r="FA62" i="7"/>
  <c r="FR59" i="7"/>
  <c r="GP115" i="7"/>
  <c r="EY153" i="7"/>
  <c r="HC152" i="7"/>
  <c r="HB119" i="7"/>
  <c r="HE110" i="7"/>
  <c r="FR107" i="7"/>
  <c r="BX160" i="7"/>
  <c r="GP161" i="7"/>
  <c r="FL170" i="7"/>
  <c r="FR168" i="7"/>
  <c r="CH175" i="7"/>
  <c r="I81" i="53"/>
  <c r="BV189" i="7"/>
  <c r="AR192" i="7"/>
  <c r="E203" i="7"/>
  <c r="W214" i="7"/>
  <c r="W287" i="7" s="1"/>
  <c r="EL216" i="7"/>
  <c r="J216" i="7"/>
  <c r="CB216" i="7"/>
  <c r="CW285" i="7"/>
  <c r="CW286" i="7" s="1"/>
  <c r="DQ285" i="7"/>
  <c r="DQ286" i="7" s="1"/>
  <c r="GP244" i="7"/>
  <c r="HB281" i="7"/>
  <c r="BX191" i="7"/>
  <c r="FJ248" i="7"/>
  <c r="FM285" i="7"/>
  <c r="FM286" i="7" s="1"/>
  <c r="GS285" i="7"/>
  <c r="BV232" i="7"/>
  <c r="DE189" i="7"/>
  <c r="HF182" i="7"/>
  <c r="BX231" i="7"/>
  <c r="BX215" i="7"/>
  <c r="BX205" i="7"/>
  <c r="FB212" i="7"/>
  <c r="G34" i="41"/>
  <c r="G36" i="41" s="1"/>
  <c r="BN305" i="7"/>
  <c r="BN293" i="7" s="1"/>
  <c r="W28" i="44"/>
  <c r="Q197" i="36"/>
  <c r="T197" i="36" s="1"/>
  <c r="C44" i="40"/>
  <c r="C44" i="41"/>
  <c r="D87" i="21"/>
  <c r="J96" i="21"/>
  <c r="C49" i="40"/>
  <c r="C49" i="41"/>
  <c r="V129" i="21"/>
  <c r="D129" i="25"/>
  <c r="E330" i="56" s="1" a="1"/>
  <c r="E330" i="56" s="1"/>
  <c r="T90" i="26"/>
  <c r="AE90" i="26"/>
  <c r="FJ39" i="7"/>
  <c r="FR33" i="7"/>
  <c r="FZ34" i="7"/>
  <c r="DO84" i="7"/>
  <c r="HA79" i="7"/>
  <c r="EW82" i="7"/>
  <c r="HE54" i="7"/>
  <c r="EX62" i="7"/>
  <c r="FJ56" i="7"/>
  <c r="FQ82" i="7"/>
  <c r="FR60" i="7"/>
  <c r="HD58" i="7"/>
  <c r="HB132" i="7"/>
  <c r="GZ109" i="7"/>
  <c r="FB109" i="7"/>
  <c r="FJ127" i="7"/>
  <c r="FR113" i="7"/>
  <c r="GZ113" i="7"/>
  <c r="HC164" i="7"/>
  <c r="FZ174" i="7"/>
  <c r="I110" i="54"/>
  <c r="EO182" i="7"/>
  <c r="CO182" i="7"/>
  <c r="CB194" i="7"/>
  <c r="EL194" i="7"/>
  <c r="D195" i="7"/>
  <c r="GP201" i="7"/>
  <c r="FL285" i="7"/>
  <c r="FL286" i="7" s="1"/>
  <c r="GR285" i="7"/>
  <c r="Q285" i="7"/>
  <c r="F23" i="40" s="1"/>
  <c r="BU232" i="7"/>
  <c r="AW285" i="7"/>
  <c r="FV285" i="7"/>
  <c r="FV286" i="7" s="1"/>
  <c r="F45" i="41"/>
  <c r="F45" i="40"/>
  <c r="M147" i="26"/>
  <c r="T147" i="26"/>
  <c r="G4" i="39"/>
  <c r="G4" i="41"/>
  <c r="G4" i="40"/>
  <c r="B2" i="44"/>
  <c r="HE41" i="7"/>
  <c r="FB38" i="7"/>
  <c r="FZ30" i="7"/>
  <c r="DN84" i="7"/>
  <c r="F60" i="52"/>
  <c r="F45" i="52"/>
  <c r="F11" i="52"/>
  <c r="F96" i="52"/>
  <c r="F43" i="52"/>
  <c r="F94" i="52"/>
  <c r="F9" i="52"/>
  <c r="F62" i="52"/>
  <c r="F79" i="52"/>
  <c r="F26" i="52"/>
  <c r="F28" i="52"/>
  <c r="F77" i="52"/>
  <c r="GZ79" i="7"/>
  <c r="EV82" i="7"/>
  <c r="FB79" i="7"/>
  <c r="HB58" i="7"/>
  <c r="HD54" i="7"/>
  <c r="EW62" i="7"/>
  <c r="FP82" i="7"/>
  <c r="HC58" i="7"/>
  <c r="GF62" i="7"/>
  <c r="GH110" i="7"/>
  <c r="HC105" i="7"/>
  <c r="FO153" i="7"/>
  <c r="FY133" i="7"/>
  <c r="EZ165" i="7"/>
  <c r="AA28" i="44"/>
  <c r="AC28" i="44" s="1"/>
  <c r="EQ174" i="7"/>
  <c r="AB192" i="7"/>
  <c r="BR192" i="7"/>
  <c r="AB195" i="7"/>
  <c r="BS198" i="7"/>
  <c r="DC285" i="7"/>
  <c r="EE285" i="7"/>
  <c r="BT232" i="7"/>
  <c r="FU285" i="7"/>
  <c r="FU286" i="7" s="1"/>
  <c r="BX222" i="7"/>
  <c r="EY240" i="7"/>
  <c r="HC240" i="7" s="1"/>
  <c r="HC237" i="7"/>
  <c r="BV252" i="7"/>
  <c r="GX299" i="7"/>
  <c r="B152" i="21"/>
  <c r="B180" i="23"/>
  <c r="B12" i="23"/>
  <c r="B82" i="21"/>
  <c r="B138" i="21"/>
  <c r="B82" i="23"/>
  <c r="B166" i="23"/>
  <c r="B251" i="23"/>
  <c r="B238" i="23"/>
  <c r="B54" i="21"/>
  <c r="B166" i="21"/>
  <c r="EM11" i="7"/>
  <c r="B194" i="23"/>
  <c r="B208" i="21"/>
  <c r="B12" i="21"/>
  <c r="X12" i="21" s="1"/>
  <c r="B40" i="21"/>
  <c r="D59" i="21"/>
  <c r="D213" i="21"/>
  <c r="C17" i="23"/>
  <c r="C62" i="40"/>
  <c r="D304" i="25"/>
  <c r="F378" i="56" s="1" a="1"/>
  <c r="F378" i="56" s="1"/>
  <c r="M27" i="26"/>
  <c r="T27" i="26"/>
  <c r="T208" i="26"/>
  <c r="AE208" i="26"/>
  <c r="HD41" i="7"/>
  <c r="FB34" i="7"/>
  <c r="HB30" i="7"/>
  <c r="HC42" i="7"/>
  <c r="GZ34" i="7"/>
  <c r="DS44" i="7"/>
  <c r="HC54" i="7"/>
  <c r="GN82" i="7"/>
  <c r="GH106" i="7"/>
  <c r="BX150" i="7"/>
  <c r="FR150" i="7"/>
  <c r="FN153" i="7"/>
  <c r="HC116" i="7"/>
  <c r="FX133" i="7"/>
  <c r="FD165" i="7"/>
  <c r="FJ159" i="7"/>
  <c r="HE169" i="7"/>
  <c r="FA170" i="7"/>
  <c r="AR177" i="7"/>
  <c r="DE177" i="7"/>
  <c r="GH189" i="7"/>
  <c r="I194" i="7"/>
  <c r="EQ194" i="7" s="1"/>
  <c r="EQ193" i="7"/>
  <c r="AZ198" i="7"/>
  <c r="FR198" i="7"/>
  <c r="DB285" i="7"/>
  <c r="ED285" i="7"/>
  <c r="BS232" i="7"/>
  <c r="DE244" i="7"/>
  <c r="EV186" i="7"/>
  <c r="FB184" i="7"/>
  <c r="B62" i="33"/>
  <c r="H62" i="33" s="1"/>
  <c r="HC40" i="7"/>
  <c r="HD36" i="7"/>
  <c r="DU84" i="7"/>
  <c r="DE82" i="7"/>
  <c r="FB56" i="7"/>
  <c r="GZ56" i="7"/>
  <c r="HD48" i="7"/>
  <c r="GB82" i="7"/>
  <c r="GH79" i="7"/>
  <c r="GH59" i="7"/>
  <c r="GH151" i="7"/>
  <c r="HE130" i="7"/>
  <c r="HA127" i="7"/>
  <c r="FB127" i="7"/>
  <c r="HB111" i="7"/>
  <c r="FB111" i="7"/>
  <c r="HA123" i="7"/>
  <c r="FJ123" i="7"/>
  <c r="FR130" i="7"/>
  <c r="HD114" i="7"/>
  <c r="FR162" i="7"/>
  <c r="FZ161" i="7"/>
  <c r="BP170" i="7"/>
  <c r="D54" i="33"/>
  <c r="EN184" i="7"/>
  <c r="G78" i="54"/>
  <c r="F185" i="7"/>
  <c r="F186" i="7" s="1"/>
  <c r="I143" i="54"/>
  <c r="EP180" i="7"/>
  <c r="BU186" i="7"/>
  <c r="V30" i="44" s="1"/>
  <c r="Q214" i="7"/>
  <c r="AW214" i="7"/>
  <c r="AW287" i="7" s="1"/>
  <c r="CO214" i="7"/>
  <c r="FM214" i="7"/>
  <c r="FM287" i="7" s="1"/>
  <c r="GS214" i="7"/>
  <c r="GS287" i="7" s="1"/>
  <c r="BS189" i="7"/>
  <c r="GT214" i="7"/>
  <c r="GT287" i="7" s="1"/>
  <c r="EX240" i="7"/>
  <c r="HB240" i="7" s="1"/>
  <c r="FB237" i="7"/>
  <c r="HB237" i="7"/>
  <c r="BV284" i="7"/>
  <c r="X43" i="36"/>
  <c r="DM285" i="7"/>
  <c r="FE285" i="7"/>
  <c r="FE286" i="7" s="1"/>
  <c r="GK285" i="7"/>
  <c r="GK286" i="7" s="1"/>
  <c r="BR236" i="7"/>
  <c r="HF233" i="7"/>
  <c r="GZ251" i="7"/>
  <c r="HF251" i="7" s="1"/>
  <c r="FB251" i="7"/>
  <c r="FB233" i="7"/>
  <c r="FB221" i="7"/>
  <c r="GZ221" i="7"/>
  <c r="HF221" i="7" s="1"/>
  <c r="X33" i="44"/>
  <c r="X42" i="36"/>
  <c r="HC107" i="7"/>
  <c r="FQ133" i="7"/>
  <c r="FX153" i="7"/>
  <c r="FU133" i="7"/>
  <c r="HD164" i="7"/>
  <c r="GZ161" i="7"/>
  <c r="FB161" i="7"/>
  <c r="FG165" i="7"/>
  <c r="BU165" i="7"/>
  <c r="M28" i="44"/>
  <c r="AE28" i="44" s="1"/>
  <c r="BX174" i="7"/>
  <c r="HA174" i="7"/>
  <c r="EW177" i="7"/>
  <c r="CB184" i="7"/>
  <c r="D186" i="7"/>
  <c r="G8" i="54"/>
  <c r="J184" i="7"/>
  <c r="EL184" i="7"/>
  <c r="O214" i="7"/>
  <c r="BS186" i="7"/>
  <c r="P30" i="44" s="1"/>
  <c r="AU214" i="7"/>
  <c r="AU287" i="7" s="1"/>
  <c r="EF214" i="7"/>
  <c r="EF287" i="7" s="1"/>
  <c r="FR189" i="7"/>
  <c r="GX189" i="7"/>
  <c r="BW207" i="7"/>
  <c r="FJ207" i="7"/>
  <c r="GP207" i="7"/>
  <c r="AJ210" i="7"/>
  <c r="BP210" i="7"/>
  <c r="AE285" i="7"/>
  <c r="AE286" i="7" s="1"/>
  <c r="FR236" i="7"/>
  <c r="FZ244" i="7"/>
  <c r="BX282" i="7"/>
  <c r="BX193" i="7"/>
  <c r="FB246" i="7"/>
  <c r="HA246" i="7"/>
  <c r="FZ248" i="7"/>
  <c r="B54" i="33"/>
  <c r="E213" i="45"/>
  <c r="HC33" i="7"/>
  <c r="CU84" i="7"/>
  <c r="HB80" i="7"/>
  <c r="HC59" i="7"/>
  <c r="FM62" i="7"/>
  <c r="GJ82" i="7"/>
  <c r="GP79" i="7"/>
  <c r="GP109" i="7"/>
  <c r="BX118" i="7"/>
  <c r="HB114" i="7"/>
  <c r="HC161" i="7"/>
  <c r="GZ168" i="7"/>
  <c r="FB168" i="7"/>
  <c r="V214" i="7"/>
  <c r="V287" i="7" s="1"/>
  <c r="BT192" i="7"/>
  <c r="AB198" i="7"/>
  <c r="BR228" i="7"/>
  <c r="N285" i="7"/>
  <c r="C23" i="40" s="1"/>
  <c r="BX253" i="7"/>
  <c r="FB190" i="7"/>
  <c r="HA185" i="7"/>
  <c r="GH248" i="7"/>
  <c r="I124" i="53"/>
  <c r="H45" i="40"/>
  <c r="H45" i="41"/>
  <c r="C47" i="40"/>
  <c r="C336" i="25"/>
  <c r="GP40" i="7"/>
  <c r="DX84" i="7"/>
  <c r="BW62" i="7"/>
  <c r="BP62" i="7"/>
  <c r="BX128" i="7"/>
  <c r="FJ106" i="7"/>
  <c r="FZ123" i="7"/>
  <c r="HE176" i="7"/>
  <c r="AI214" i="7"/>
  <c r="AI287" i="7" s="1"/>
  <c r="DX214" i="7"/>
  <c r="DX287" i="7" s="1"/>
  <c r="EL200" i="7"/>
  <c r="FT285" i="7"/>
  <c r="FT286" i="7" s="1"/>
  <c r="EG232" i="7"/>
  <c r="GZ257" i="7"/>
  <c r="HF257" i="7" s="1"/>
  <c r="EV260" i="7"/>
  <c r="GZ260" i="7" s="1"/>
  <c r="GZ185" i="7"/>
  <c r="FB185" i="7"/>
  <c r="DE260" i="7"/>
  <c r="GH276" i="7"/>
  <c r="H197" i="36"/>
  <c r="S197" i="36" s="1"/>
  <c r="C47" i="41"/>
  <c r="D44" i="40"/>
  <c r="D44" i="41"/>
  <c r="HB33" i="7"/>
  <c r="FR42" i="7"/>
  <c r="BV62" i="7"/>
  <c r="FQ62" i="7"/>
  <c r="GH80" i="7"/>
  <c r="GP116" i="7"/>
  <c r="HB128" i="7"/>
  <c r="HE150" i="7"/>
  <c r="HE159" i="7"/>
  <c r="FA165" i="7"/>
  <c r="DW214" i="7"/>
  <c r="DW287" i="7" s="1"/>
  <c r="EM222" i="7"/>
  <c r="CC222" i="7"/>
  <c r="I51" i="54"/>
  <c r="GZ275" i="7"/>
  <c r="HF275" i="7" s="1"/>
  <c r="FB275" i="7"/>
  <c r="FB219" i="7"/>
  <c r="GZ219" i="7"/>
  <c r="HF219" i="7" s="1"/>
  <c r="D45" i="21"/>
  <c r="EK6" i="7"/>
  <c r="B6" i="41"/>
  <c r="HE36" i="7"/>
  <c r="HB40" i="7"/>
  <c r="T82" i="7"/>
  <c r="FP62" i="7"/>
  <c r="GH152" i="7"/>
  <c r="GP120" i="7"/>
  <c r="HA150" i="7"/>
  <c r="HA128" i="7"/>
  <c r="HE106" i="7"/>
  <c r="HD150" i="7"/>
  <c r="FZ104" i="7"/>
  <c r="FJ162" i="7"/>
  <c r="GZ162" i="7"/>
  <c r="GC165" i="7"/>
  <c r="FE177" i="7"/>
  <c r="FZ175" i="7"/>
  <c r="E188" i="7"/>
  <c r="EM187" i="7"/>
  <c r="CC187" i="7"/>
  <c r="BW195" i="7"/>
  <c r="BH201" i="7"/>
  <c r="Y285" i="7"/>
  <c r="Y286" i="7" s="1"/>
  <c r="S285" i="7"/>
  <c r="H23" i="40" s="1"/>
  <c r="AL285" i="7"/>
  <c r="AB228" i="7"/>
  <c r="DS192" i="7"/>
  <c r="BX279" i="7"/>
  <c r="EW204" i="7"/>
  <c r="HA204" i="7" s="1"/>
  <c r="HA202" i="7"/>
  <c r="BS248" i="7"/>
  <c r="D61" i="40"/>
  <c r="D256" i="23"/>
  <c r="FO62" i="7"/>
  <c r="HB124" i="7"/>
  <c r="GZ103" i="7"/>
  <c r="GH159" i="7"/>
  <c r="GB165" i="7"/>
  <c r="FP170" i="7"/>
  <c r="I24" i="53"/>
  <c r="EL174" i="7"/>
  <c r="L28" i="44"/>
  <c r="FR174" i="7"/>
  <c r="GF177" i="7"/>
  <c r="CM218" i="7"/>
  <c r="X285" i="7"/>
  <c r="BR248" i="7"/>
  <c r="BH276" i="7"/>
  <c r="FJ268" i="7"/>
  <c r="G46" i="41"/>
  <c r="G46" i="40"/>
  <c r="C46" i="40"/>
  <c r="C46" i="41"/>
  <c r="F48" i="40"/>
  <c r="J152" i="21"/>
  <c r="C256" i="23"/>
  <c r="E4" i="40"/>
  <c r="E4" i="41"/>
  <c r="EK4" i="7"/>
  <c r="E4" i="39"/>
  <c r="B4" i="33"/>
  <c r="HE38" i="7"/>
  <c r="FB35" i="7"/>
  <c r="HB31" i="7"/>
  <c r="HA40" i="7"/>
  <c r="HB51" i="7"/>
  <c r="EZ62" i="7"/>
  <c r="FR58" i="7"/>
  <c r="FN62" i="7"/>
  <c r="FR47" i="7"/>
  <c r="FZ50" i="7"/>
  <c r="D21" i="41"/>
  <c r="DC155" i="7"/>
  <c r="HA124" i="7"/>
  <c r="FA133" i="7"/>
  <c r="FJ124" i="7"/>
  <c r="HA115" i="7"/>
  <c r="HD111" i="7"/>
  <c r="FZ111" i="7"/>
  <c r="J161" i="7"/>
  <c r="CC161" i="7"/>
  <c r="EL161" i="7"/>
  <c r="FY165" i="7"/>
  <c r="FO170" i="7"/>
  <c r="HA176" i="7"/>
  <c r="FB176" i="7"/>
  <c r="HD176" i="7"/>
  <c r="HA173" i="7"/>
  <c r="EG177" i="7"/>
  <c r="I74" i="54"/>
  <c r="R29" i="44"/>
  <c r="EN181" i="7"/>
  <c r="CM199" i="7"/>
  <c r="EO199" i="7"/>
  <c r="EO201" i="7" s="1"/>
  <c r="E47" i="33" s="1"/>
  <c r="BU204" i="7"/>
  <c r="GP204" i="7"/>
  <c r="CC208" i="7"/>
  <c r="E209" i="7"/>
  <c r="BH213" i="7"/>
  <c r="CB218" i="7"/>
  <c r="I12" i="54"/>
  <c r="J218" i="7"/>
  <c r="W285" i="7"/>
  <c r="FQ285" i="7"/>
  <c r="FQ286" i="7" s="1"/>
  <c r="BX247" i="7"/>
  <c r="BX243" i="7"/>
  <c r="BX224" i="7"/>
  <c r="BX203" i="7"/>
  <c r="HE282" i="7"/>
  <c r="FA284" i="7"/>
  <c r="HE284" i="7" s="1"/>
  <c r="GZ270" i="7"/>
  <c r="HF270" i="7" s="1"/>
  <c r="EV272" i="7"/>
  <c r="GZ272" i="7" s="1"/>
  <c r="FB270" i="7"/>
  <c r="GZ215" i="7"/>
  <c r="HF215" i="7" s="1"/>
  <c r="FB215" i="7"/>
  <c r="BR264" i="7"/>
  <c r="BV280" i="7"/>
  <c r="AR248" i="7"/>
  <c r="DS268" i="7"/>
  <c r="CE333" i="7"/>
  <c r="H37" i="36"/>
  <c r="S37" i="36" s="1"/>
  <c r="HA132" i="7"/>
  <c r="FB132" i="7"/>
  <c r="HD110" i="7"/>
  <c r="HD128" i="7"/>
  <c r="FZ127" i="7"/>
  <c r="HA160" i="7"/>
  <c r="BR170" i="7"/>
  <c r="I136" i="53"/>
  <c r="EP174" i="7"/>
  <c r="BB214" i="7"/>
  <c r="DY285" i="7"/>
  <c r="DY286" i="7" s="1"/>
  <c r="FB194" i="7"/>
  <c r="BW256" i="7"/>
  <c r="BS284" i="7"/>
  <c r="HD35" i="7"/>
  <c r="FZ37" i="7"/>
  <c r="CT84" i="7"/>
  <c r="HA80" i="7"/>
  <c r="HB59" i="7"/>
  <c r="HE60" i="7"/>
  <c r="BX107" i="7"/>
  <c r="HB161" i="7"/>
  <c r="FR169" i="7"/>
  <c r="GG214" i="7"/>
  <c r="GG287" i="7" s="1"/>
  <c r="AA285" i="7"/>
  <c r="AA286" i="7" s="1"/>
  <c r="DX285" i="7"/>
  <c r="AM285" i="7"/>
  <c r="FR228" i="7"/>
  <c r="BW228" i="7"/>
  <c r="H42" i="40"/>
  <c r="H42" i="41"/>
  <c r="J58" i="26"/>
  <c r="J208" i="26"/>
  <c r="E21" i="41"/>
  <c r="DH155" i="7"/>
  <c r="GG133" i="7"/>
  <c r="HB150" i="7"/>
  <c r="HE131" i="7"/>
  <c r="GZ132" i="7"/>
  <c r="FR131" i="7"/>
  <c r="FR120" i="7"/>
  <c r="GZ120" i="7"/>
  <c r="FO165" i="7"/>
  <c r="AR165" i="7"/>
  <c r="FF177" i="7"/>
  <c r="CU214" i="7"/>
  <c r="CU287" i="7" s="1"/>
  <c r="GF214" i="7"/>
  <c r="F188" i="7"/>
  <c r="EN187" i="7"/>
  <c r="DW285" i="7"/>
  <c r="DW286" i="7" s="1"/>
  <c r="BP264" i="7"/>
  <c r="H57" i="36"/>
  <c r="S57" i="36" s="1"/>
  <c r="F43" i="41"/>
  <c r="F43" i="40"/>
  <c r="J123" i="21"/>
  <c r="F49" i="40"/>
  <c r="F49" i="41"/>
  <c r="F50" i="41"/>
  <c r="F50" i="40"/>
  <c r="D62" i="40"/>
  <c r="FB39" i="7"/>
  <c r="FZ33" i="7"/>
  <c r="GH31" i="7"/>
  <c r="BU62" i="7"/>
  <c r="FM82" i="7"/>
  <c r="DG155" i="7"/>
  <c r="GF133" i="7"/>
  <c r="GP131" i="7"/>
  <c r="BX131" i="7"/>
  <c r="FQ170" i="7"/>
  <c r="O28" i="44"/>
  <c r="Q28" i="44" s="1"/>
  <c r="CC174" i="7"/>
  <c r="EM174" i="7"/>
  <c r="I52" i="53"/>
  <c r="GE214" i="7"/>
  <c r="GE287" i="7" s="1"/>
  <c r="G191" i="7"/>
  <c r="DV285" i="7"/>
  <c r="HD265" i="7"/>
  <c r="EZ268" i="7"/>
  <c r="HD268" i="7" s="1"/>
  <c r="FB247" i="7"/>
  <c r="EV248" i="7"/>
  <c r="GZ248" i="7" s="1"/>
  <c r="FB226" i="7"/>
  <c r="GZ226" i="7"/>
  <c r="HF226" i="7" s="1"/>
  <c r="DE284" i="7"/>
  <c r="C45" i="41"/>
  <c r="C45" i="40"/>
  <c r="GH38" i="7"/>
  <c r="BT62" i="7"/>
  <c r="FL82" i="7"/>
  <c r="FR79" i="7"/>
  <c r="FR51" i="7"/>
  <c r="DD155" i="7"/>
  <c r="GP127" i="7"/>
  <c r="GZ128" i="7"/>
  <c r="HD106" i="7"/>
  <c r="FR127" i="7"/>
  <c r="FJ173" i="7"/>
  <c r="GZ173" i="7"/>
  <c r="HB173" i="7"/>
  <c r="AJ198" i="7"/>
  <c r="GZ279" i="7"/>
  <c r="HF279" i="7" s="1"/>
  <c r="FB279" i="7"/>
  <c r="HC265" i="7"/>
  <c r="EY268" i="7"/>
  <c r="HC268" i="7" s="1"/>
  <c r="FB238" i="7"/>
  <c r="FA232" i="7"/>
  <c r="HE232" i="7" s="1"/>
  <c r="FB202" i="7"/>
  <c r="EV204" i="7"/>
  <c r="GZ202" i="7"/>
  <c r="FA195" i="7"/>
  <c r="HE195" i="7" s="1"/>
  <c r="HE193" i="7"/>
  <c r="E184" i="45"/>
  <c r="E186" i="45" s="1"/>
  <c r="D186" i="45"/>
  <c r="H137" i="36"/>
  <c r="S137" i="36" s="1"/>
  <c r="H157" i="36"/>
  <c r="S157" i="36" s="1"/>
  <c r="D41" i="41"/>
  <c r="D41" i="40"/>
  <c r="E43" i="40"/>
  <c r="E43" i="41"/>
  <c r="G45" i="41"/>
  <c r="G45" i="40"/>
  <c r="T74" i="26"/>
  <c r="T224" i="26"/>
  <c r="G5" i="39"/>
  <c r="EK3" i="7"/>
  <c r="G5" i="40"/>
  <c r="HD38" i="7"/>
  <c r="HA31" i="7"/>
  <c r="HD43" i="7"/>
  <c r="BR62" i="7"/>
  <c r="EY62" i="7"/>
  <c r="FZ57" i="7"/>
  <c r="C21" i="41"/>
  <c r="GC133" i="7"/>
  <c r="GH104" i="7"/>
  <c r="GP108" i="7"/>
  <c r="BX110" i="7"/>
  <c r="GZ124" i="7"/>
  <c r="FI153" i="7"/>
  <c r="FR115" i="7"/>
  <c r="GZ115" i="7"/>
  <c r="EL164" i="7"/>
  <c r="J164" i="7"/>
  <c r="CB161" i="7"/>
  <c r="FN170" i="7"/>
  <c r="FW177" i="7"/>
  <c r="I39" i="54"/>
  <c r="O29" i="44"/>
  <c r="Q29" i="44" s="1"/>
  <c r="EM181" i="7"/>
  <c r="CB190" i="7"/>
  <c r="J190" i="7"/>
  <c r="D192" i="7"/>
  <c r="F200" i="7"/>
  <c r="EN199" i="7"/>
  <c r="CH199" i="7"/>
  <c r="AJ207" i="7"/>
  <c r="BR207" i="7"/>
  <c r="BJ214" i="7"/>
  <c r="BJ287" i="7" s="1"/>
  <c r="DQ214" i="7"/>
  <c r="DQ287" i="7" s="1"/>
  <c r="CB208" i="7"/>
  <c r="J208" i="7"/>
  <c r="FJ213" i="7"/>
  <c r="GH213" i="7"/>
  <c r="V285" i="7"/>
  <c r="GC285" i="7"/>
  <c r="GC286" i="7" s="1"/>
  <c r="CB200" i="7"/>
  <c r="AZ228" i="7"/>
  <c r="GZ230" i="7"/>
  <c r="HF230" i="7" s="1"/>
  <c r="Y29" i="44"/>
  <c r="F33" i="33"/>
  <c r="HD282" i="7"/>
  <c r="EZ284" i="7"/>
  <c r="HD284" i="7" s="1"/>
  <c r="H34" i="41"/>
  <c r="H36" i="41" s="1"/>
  <c r="BO305" i="7"/>
  <c r="BO293" i="7" s="1"/>
  <c r="FH285" i="7"/>
  <c r="FH286" i="7" s="1"/>
  <c r="AJ228" i="7"/>
  <c r="BH232" i="7"/>
  <c r="BX269" i="7"/>
  <c r="BX262" i="7"/>
  <c r="BX190" i="7"/>
  <c r="FA264" i="7"/>
  <c r="HE264" i="7" s="1"/>
  <c r="EW256" i="7"/>
  <c r="HA256" i="7" s="1"/>
  <c r="EZ192" i="7"/>
  <c r="HD192" i="7" s="1"/>
  <c r="HD190" i="7"/>
  <c r="GP248" i="7"/>
  <c r="B35" i="41"/>
  <c r="EW268" i="7"/>
  <c r="HA268" i="7" s="1"/>
  <c r="EZ264" i="7"/>
  <c r="HD264" i="7" s="1"/>
  <c r="EX260" i="7"/>
  <c r="HB260" i="7" s="1"/>
  <c r="EV256" i="7"/>
  <c r="GZ256" i="7" s="1"/>
  <c r="BU260" i="7"/>
  <c r="BS272" i="7"/>
  <c r="E207" i="45"/>
  <c r="S7" i="36"/>
  <c r="X29" i="36"/>
  <c r="FB151" i="7"/>
  <c r="HB115" i="7"/>
  <c r="FR108" i="7"/>
  <c r="FZ116" i="7"/>
  <c r="FZ112" i="7"/>
  <c r="G165" i="7"/>
  <c r="F32" i="56" s="1"/>
  <c r="HA161" i="7"/>
  <c r="FH165" i="7"/>
  <c r="GP160" i="7"/>
  <c r="FI170" i="7"/>
  <c r="HA175" i="7"/>
  <c r="FI177" i="7"/>
  <c r="FL177" i="7"/>
  <c r="G113" i="54"/>
  <c r="G185" i="7"/>
  <c r="G186" i="7" s="1"/>
  <c r="CM184" i="7"/>
  <c r="I178" i="54"/>
  <c r="EQ180" i="7"/>
  <c r="AQ214" i="7"/>
  <c r="AQ287" i="7" s="1"/>
  <c r="DP214" i="7"/>
  <c r="BP189" i="7"/>
  <c r="FR192" i="7"/>
  <c r="GX192" i="7"/>
  <c r="BV204" i="7"/>
  <c r="CM208" i="7"/>
  <c r="BR210" i="7"/>
  <c r="T210" i="7"/>
  <c r="CB211" i="7"/>
  <c r="J211" i="7"/>
  <c r="I79" i="54"/>
  <c r="CI215" i="7"/>
  <c r="DL285" i="7"/>
  <c r="CF285" i="7"/>
  <c r="BP240" i="7"/>
  <c r="DE201" i="7"/>
  <c r="BS244" i="7"/>
  <c r="BX238" i="7"/>
  <c r="BX194" i="7"/>
  <c r="BX182" i="7"/>
  <c r="FB266" i="7"/>
  <c r="GZ266" i="7"/>
  <c r="HF266" i="7" s="1"/>
  <c r="EY264" i="7"/>
  <c r="HC264" i="7" s="1"/>
  <c r="HC261" i="7"/>
  <c r="EW260" i="7"/>
  <c r="HA260" i="7" s="1"/>
  <c r="HC211" i="7"/>
  <c r="FB211" i="7"/>
  <c r="FB203" i="7"/>
  <c r="EV201" i="7"/>
  <c r="GZ199" i="7"/>
  <c r="FB199" i="7"/>
  <c r="FB182" i="7"/>
  <c r="GP272" i="7"/>
  <c r="D207" i="45"/>
  <c r="F207" i="45" s="1"/>
  <c r="CD333" i="7"/>
  <c r="CG333" i="7"/>
  <c r="Q97" i="36"/>
  <c r="T97" i="36" s="1"/>
  <c r="GH122" i="7"/>
  <c r="GH111" i="7"/>
  <c r="FB152" i="7"/>
  <c r="D189" i="7"/>
  <c r="J187" i="7"/>
  <c r="EL187" i="7"/>
  <c r="FZ195" i="7"/>
  <c r="FZ201" i="7"/>
  <c r="GH244" i="7"/>
  <c r="HF274" i="7"/>
  <c r="BX208" i="7"/>
  <c r="BW248" i="7"/>
  <c r="BR272" i="7"/>
  <c r="FJ264" i="7"/>
  <c r="Q177" i="36"/>
  <c r="T177" i="36" s="1"/>
  <c r="FJ33" i="7"/>
  <c r="HB48" i="7"/>
  <c r="DV155" i="7"/>
  <c r="HC115" i="7"/>
  <c r="HC108" i="7"/>
  <c r="FJ174" i="7"/>
  <c r="FR175" i="7"/>
  <c r="CE214" i="7"/>
  <c r="GC214" i="7"/>
  <c r="GC287" i="7" s="1"/>
  <c r="BV210" i="7"/>
  <c r="EQ220" i="7"/>
  <c r="I189" i="54"/>
  <c r="BL285" i="7"/>
  <c r="FA236" i="7"/>
  <c r="HE236" i="7" s="1"/>
  <c r="AR272" i="7"/>
  <c r="E45" i="41"/>
  <c r="FB29" i="7"/>
  <c r="GZ50" i="7"/>
  <c r="CS155" i="7"/>
  <c r="DU155" i="7"/>
  <c r="GP113" i="7"/>
  <c r="HB129" i="7"/>
  <c r="HE118" i="7"/>
  <c r="HE111" i="7"/>
  <c r="HB108" i="7"/>
  <c r="FL153" i="7"/>
  <c r="FL133" i="7"/>
  <c r="FZ113" i="7"/>
  <c r="D165" i="7"/>
  <c r="C32" i="56" s="1"/>
  <c r="DE165" i="7"/>
  <c r="I23" i="53"/>
  <c r="EL173" i="7"/>
  <c r="CB173" i="7"/>
  <c r="FB173" i="7"/>
  <c r="I179" i="54"/>
  <c r="AA29" i="44"/>
  <c r="AC29" i="44" s="1"/>
  <c r="CD214" i="7"/>
  <c r="DM214" i="7"/>
  <c r="DM287" i="7" s="1"/>
  <c r="GB214" i="7"/>
  <c r="GB287" i="7" s="1"/>
  <c r="BC214" i="7"/>
  <c r="BV198" i="7"/>
  <c r="EL217" i="7"/>
  <c r="CB217" i="7"/>
  <c r="FP285" i="7"/>
  <c r="FP286" i="7" s="1"/>
  <c r="BH189" i="7"/>
  <c r="BX266" i="7"/>
  <c r="FA240" i="7"/>
  <c r="HE240" i="7" s="1"/>
  <c r="HE238" i="7"/>
  <c r="HD234" i="7"/>
  <c r="HF234" i="7" s="1"/>
  <c r="EZ236" i="7"/>
  <c r="HD236" i="7" s="1"/>
  <c r="BR280" i="7"/>
  <c r="DK335" i="7"/>
  <c r="W14" i="21"/>
  <c r="C44" i="26"/>
  <c r="AE92" i="26"/>
  <c r="M92" i="26"/>
  <c r="Z92" i="26" s="1"/>
  <c r="AE180" i="26"/>
  <c r="FB36" i="7"/>
  <c r="HD32" i="7"/>
  <c r="BH82" i="7"/>
  <c r="BX81" i="7"/>
  <c r="FB80" i="7"/>
  <c r="GL82" i="7"/>
  <c r="GZ80" i="7"/>
  <c r="GH118" i="7"/>
  <c r="HE132" i="7"/>
  <c r="HD125" i="7"/>
  <c r="EZ133" i="7"/>
  <c r="FI133" i="7"/>
  <c r="HE114" i="7"/>
  <c r="FR132" i="7"/>
  <c r="GE165" i="7"/>
  <c r="GE170" i="7"/>
  <c r="EM176" i="7"/>
  <c r="BP177" i="7"/>
  <c r="I144" i="54"/>
  <c r="X29" i="44"/>
  <c r="AM214" i="7"/>
  <c r="AM287" i="7" s="1"/>
  <c r="DL214" i="7"/>
  <c r="DL287" i="7" s="1"/>
  <c r="GO214" i="7"/>
  <c r="BV192" i="7"/>
  <c r="BP201" i="7"/>
  <c r="BR204" i="7"/>
  <c r="B64" i="33"/>
  <c r="H64" i="33" s="1"/>
  <c r="AZ204" i="7"/>
  <c r="EQ208" i="7"/>
  <c r="I209" i="7"/>
  <c r="EQ209" i="7" s="1"/>
  <c r="FO285" i="7"/>
  <c r="FO286" i="7" s="1"/>
  <c r="AJ232" i="7"/>
  <c r="BX259" i="7"/>
  <c r="Q77" i="36"/>
  <c r="T77" i="36" s="1"/>
  <c r="BS62" i="7"/>
  <c r="HC48" i="7"/>
  <c r="GP159" i="7"/>
  <c r="EX177" i="7"/>
  <c r="FJ204" i="7"/>
  <c r="BW210" i="7"/>
  <c r="FD285" i="7"/>
  <c r="FD286" i="7" s="1"/>
  <c r="BM285" i="7"/>
  <c r="AJ236" i="7"/>
  <c r="DE228" i="7"/>
  <c r="BX212" i="7"/>
  <c r="D198" i="45"/>
  <c r="F198" i="45" s="1"/>
  <c r="E196" i="45"/>
  <c r="E198" i="45" s="1"/>
  <c r="X44" i="36"/>
  <c r="T10" i="36"/>
  <c r="I40" i="53"/>
  <c r="GH81" i="7"/>
  <c r="CT155" i="7"/>
  <c r="HE107" i="7"/>
  <c r="FM153" i="7"/>
  <c r="FZ106" i="7"/>
  <c r="FZ176" i="7"/>
  <c r="DN214" i="7"/>
  <c r="BX181" i="7"/>
  <c r="M29" i="44"/>
  <c r="BS280" i="7"/>
  <c r="F11" i="23"/>
  <c r="HE32" i="7"/>
  <c r="FJ40" i="7"/>
  <c r="FJ126" i="7"/>
  <c r="F42" i="40"/>
  <c r="F42" i="41"/>
  <c r="E47" i="40"/>
  <c r="E47" i="41"/>
  <c r="H54" i="40"/>
  <c r="AE44" i="26"/>
  <c r="AE196" i="26"/>
  <c r="T196" i="26"/>
  <c r="GK82" i="7"/>
  <c r="HC151" i="7"/>
  <c r="GZ129" i="7"/>
  <c r="HC125" i="7"/>
  <c r="GZ122" i="7"/>
  <c r="EY133" i="7"/>
  <c r="HC111" i="7"/>
  <c r="FH133" i="7"/>
  <c r="FQ153" i="7"/>
  <c r="BX159" i="7"/>
  <c r="GD165" i="7"/>
  <c r="BW165" i="7"/>
  <c r="GD170" i="7"/>
  <c r="FG177" i="7"/>
  <c r="CB185" i="7"/>
  <c r="EL185" i="7"/>
  <c r="AL214" i="7"/>
  <c r="AL287" i="7" s="1"/>
  <c r="DK214" i="7"/>
  <c r="DK287" i="7" s="1"/>
  <c r="GN214" i="7"/>
  <c r="GN287" i="7" s="1"/>
  <c r="BU192" i="7"/>
  <c r="F203" i="7"/>
  <c r="CH202" i="7"/>
  <c r="H209" i="7"/>
  <c r="BS210" i="7"/>
  <c r="I84" i="54"/>
  <c r="CH220" i="7"/>
  <c r="EN220" i="7"/>
  <c r="R285" i="7"/>
  <c r="DD285" i="7"/>
  <c r="BX241" i="7"/>
  <c r="BX226" i="7"/>
  <c r="BX196" i="7"/>
  <c r="FB243" i="7"/>
  <c r="EW189" i="7"/>
  <c r="BT272" i="7"/>
  <c r="BK305" i="7"/>
  <c r="BK293" i="7" s="1"/>
  <c r="H177" i="36"/>
  <c r="S177" i="36" s="1"/>
  <c r="EG248" i="7"/>
  <c r="GX268" i="7"/>
  <c r="E188" i="45"/>
  <c r="E189" i="45" s="1"/>
  <c r="W15" i="21"/>
  <c r="C394" i="25"/>
  <c r="FR43" i="7"/>
  <c r="CV84" i="7"/>
  <c r="GH125" i="7"/>
  <c r="EW133" i="7"/>
  <c r="FR103" i="7"/>
  <c r="F165" i="7"/>
  <c r="E32" i="56" s="1"/>
  <c r="FR176" i="7"/>
  <c r="CN180" i="7"/>
  <c r="CO180" i="7"/>
  <c r="DB214" i="7"/>
  <c r="DB287" i="7" s="1"/>
  <c r="F191" i="7"/>
  <c r="F192" i="7" s="1"/>
  <c r="CH190" i="7"/>
  <c r="T192" i="7"/>
  <c r="AZ192" i="7"/>
  <c r="AB207" i="7"/>
  <c r="AH285" i="7"/>
  <c r="AB240" i="7"/>
  <c r="BX250" i="7"/>
  <c r="FB245" i="7"/>
  <c r="EW232" i="7"/>
  <c r="HA229" i="7"/>
  <c r="HC202" i="7"/>
  <c r="EY204" i="7"/>
  <c r="HC204" i="7" s="1"/>
  <c r="EV189" i="7"/>
  <c r="T276" i="7"/>
  <c r="DE248" i="7"/>
  <c r="FJ260" i="7"/>
  <c r="G43" i="40"/>
  <c r="G43" i="41"/>
  <c r="GH40" i="7"/>
  <c r="GH33" i="7"/>
  <c r="DY84" i="7"/>
  <c r="AB82" i="7"/>
  <c r="HC51" i="7"/>
  <c r="FJ48" i="7"/>
  <c r="DS117" i="7"/>
  <c r="GH132" i="7"/>
  <c r="BX122" i="7"/>
  <c r="BX112" i="7"/>
  <c r="BX102" i="7"/>
  <c r="HD151" i="7"/>
  <c r="HC123" i="7"/>
  <c r="EV133" i="7"/>
  <c r="FJ151" i="7"/>
  <c r="FJ119" i="7"/>
  <c r="FR110" i="7"/>
  <c r="FZ130" i="7"/>
  <c r="E165" i="7"/>
  <c r="D32" i="56" s="1"/>
  <c r="GO165" i="7"/>
  <c r="I51" i="53"/>
  <c r="EM173" i="7"/>
  <c r="CC173" i="7"/>
  <c r="EP176" i="7"/>
  <c r="DA214" i="7"/>
  <c r="DA287" i="7" s="1"/>
  <c r="FN214" i="7"/>
  <c r="FN287" i="7" s="1"/>
  <c r="E191" i="7"/>
  <c r="E192" i="7" s="1"/>
  <c r="BT198" i="7"/>
  <c r="FJ198" i="7"/>
  <c r="GP198" i="7"/>
  <c r="H203" i="7"/>
  <c r="BS204" i="7"/>
  <c r="GH240" i="7"/>
  <c r="BR244" i="7"/>
  <c r="C33" i="33"/>
  <c r="EV232" i="7"/>
  <c r="GZ232" i="7" s="1"/>
  <c r="GZ229" i="7"/>
  <c r="HB202" i="7"/>
  <c r="EX204" i="7"/>
  <c r="HB204" i="7" s="1"/>
  <c r="BU268" i="7"/>
  <c r="AR264" i="7"/>
  <c r="CF333" i="7"/>
  <c r="S29" i="36"/>
  <c r="X30" i="36"/>
  <c r="H38" i="36"/>
  <c r="S38" i="36" s="1"/>
  <c r="B153" i="21"/>
  <c r="B84" i="23"/>
  <c r="C9" i="39"/>
  <c r="L36" i="33"/>
  <c r="HC57" i="7"/>
  <c r="GS154" i="7"/>
  <c r="GS155" i="7" s="1"/>
  <c r="HA112" i="7"/>
  <c r="HB105" i="7"/>
  <c r="HC128" i="7"/>
  <c r="HD163" i="7"/>
  <c r="FB160" i="7"/>
  <c r="FR163" i="7"/>
  <c r="FU165" i="7"/>
  <c r="HD174" i="7"/>
  <c r="CJ182" i="7"/>
  <c r="EN182" i="7"/>
  <c r="CK182" i="7"/>
  <c r="DV214" i="7"/>
  <c r="DV287" i="7" s="1"/>
  <c r="AR189" i="7"/>
  <c r="BH210" i="7"/>
  <c r="BX220" i="7"/>
  <c r="FA256" i="7"/>
  <c r="HE256" i="7" s="1"/>
  <c r="HE253" i="7"/>
  <c r="EG252" i="7"/>
  <c r="D189" i="45"/>
  <c r="F189" i="45" s="1"/>
  <c r="C42" i="40"/>
  <c r="C42" i="41"/>
  <c r="H49" i="40"/>
  <c r="H49" i="41"/>
  <c r="G6" i="39"/>
  <c r="B6" i="44"/>
  <c r="HB57" i="7"/>
  <c r="EG133" i="7"/>
  <c r="GR154" i="7"/>
  <c r="GR155" i="7" s="1"/>
  <c r="HC129" i="7"/>
  <c r="FB119" i="7"/>
  <c r="HD115" i="7"/>
  <c r="FB112" i="7"/>
  <c r="HC163" i="7"/>
  <c r="GJ170" i="7"/>
  <c r="I79" i="53"/>
  <c r="F177" i="7"/>
  <c r="E33" i="56" s="1"/>
  <c r="AF214" i="7"/>
  <c r="AF287" i="7" s="1"/>
  <c r="BL214" i="7"/>
  <c r="BL287" i="7" s="1"/>
  <c r="DU214" i="7"/>
  <c r="DU287" i="7" s="1"/>
  <c r="BU198" i="7"/>
  <c r="GD285" i="7"/>
  <c r="GD286" i="7" s="1"/>
  <c r="AZ240" i="7"/>
  <c r="DE213" i="7"/>
  <c r="EG189" i="7"/>
  <c r="EV268" i="7"/>
  <c r="GZ268" i="7" s="1"/>
  <c r="BZ302" i="7"/>
  <c r="CI333" i="7"/>
  <c r="T11" i="36"/>
  <c r="X45" i="36"/>
  <c r="Q18" i="36"/>
  <c r="T18" i="36" s="1"/>
  <c r="H17" i="36"/>
  <c r="AZ153" i="7"/>
  <c r="BX152" i="7"/>
  <c r="BX116" i="7"/>
  <c r="G177" i="7"/>
  <c r="F33" i="56" s="1"/>
  <c r="EA214" i="7"/>
  <c r="FL214" i="7"/>
  <c r="FL287" i="7" s="1"/>
  <c r="GR214" i="7"/>
  <c r="GR287" i="7" s="1"/>
  <c r="EJ211" i="7"/>
  <c r="AR236" i="7"/>
  <c r="DS244" i="7"/>
  <c r="BX230" i="7"/>
  <c r="BX223" i="7"/>
  <c r="BX202" i="7"/>
  <c r="FA228" i="7"/>
  <c r="HC184" i="7"/>
  <c r="EY186" i="7"/>
  <c r="HC150" i="7"/>
  <c r="HB123" i="7"/>
  <c r="FJ164" i="7"/>
  <c r="C27" i="41"/>
  <c r="I80" i="53"/>
  <c r="CH174" i="7"/>
  <c r="FT177" i="7"/>
  <c r="AJ177" i="7"/>
  <c r="DZ214" i="7"/>
  <c r="DZ287" i="7" s="1"/>
  <c r="I204" i="7"/>
  <c r="A50" i="33"/>
  <c r="A66" i="33"/>
  <c r="EJ208" i="7"/>
  <c r="BV228" i="7"/>
  <c r="AX285" i="7"/>
  <c r="GL285" i="7"/>
  <c r="GL286" i="7" s="1"/>
  <c r="BW244" i="7"/>
  <c r="EZ228" i="7"/>
  <c r="EX186" i="7"/>
  <c r="BU272" i="7"/>
  <c r="DS252" i="7"/>
  <c r="H77" i="36"/>
  <c r="S77" i="36" s="1"/>
  <c r="Q78" i="36"/>
  <c r="T78" i="36" s="1"/>
  <c r="EJ190" i="7"/>
  <c r="CS285" i="7"/>
  <c r="CS286" i="7" s="1"/>
  <c r="FB267" i="7"/>
  <c r="EY192" i="7"/>
  <c r="HC190" i="7"/>
  <c r="BH264" i="7"/>
  <c r="BP252" i="7"/>
  <c r="BX217" i="7"/>
  <c r="FB274" i="7"/>
  <c r="EZ240" i="7"/>
  <c r="HD240" i="7" s="1"/>
  <c r="H138" i="36"/>
  <c r="S138" i="36" s="1"/>
  <c r="CC215" i="7"/>
  <c r="BX235" i="7"/>
  <c r="BX199" i="7"/>
  <c r="EV213" i="7"/>
  <c r="BP256" i="7"/>
  <c r="E202" i="45"/>
  <c r="E204" i="45" s="1"/>
  <c r="D204" i="45"/>
  <c r="F204" i="45" s="1"/>
  <c r="Q157" i="36"/>
  <c r="T157" i="36" s="1"/>
  <c r="BP280" i="7"/>
  <c r="F21" i="41"/>
  <c r="H27" i="41"/>
  <c r="I12" i="53"/>
  <c r="C12" i="44" l="1"/>
  <c r="O12" i="33"/>
  <c r="C12" i="33"/>
  <c r="F12" i="44"/>
  <c r="X12" i="33"/>
  <c r="F12" i="33"/>
  <c r="B30" i="56"/>
  <c r="B29" i="56"/>
  <c r="B26" i="56"/>
  <c r="CV156" i="7"/>
  <c r="DH156" i="7"/>
  <c r="O3" i="23"/>
  <c r="G239" i="23"/>
  <c r="E422" i="56" s="1" a="1"/>
  <c r="E422" i="56" s="1"/>
  <c r="H239" i="23"/>
  <c r="G251" i="23"/>
  <c r="D429" i="56" s="1" a="1"/>
  <c r="D429" i="56" s="1"/>
  <c r="H251" i="23"/>
  <c r="N3" i="25"/>
  <c r="B43" i="25" s="1"/>
  <c r="P46" i="35"/>
  <c r="C415" i="56" a="1"/>
  <c r="C415" i="56" s="1"/>
  <c r="P47" i="35"/>
  <c r="C422" i="56" a="1"/>
  <c r="C422" i="56" s="1"/>
  <c r="G238" i="23"/>
  <c r="D422" i="56" s="1" a="1"/>
  <c r="D422" i="56" s="1"/>
  <c r="D421" i="56" s="1"/>
  <c r="H238" i="23"/>
  <c r="E80" i="7" s="1"/>
  <c r="CF80" i="7" s="1"/>
  <c r="B27" i="56"/>
  <c r="M3" i="26"/>
  <c r="CV288" i="7"/>
  <c r="B25" i="56"/>
  <c r="G225" i="23"/>
  <c r="D415" i="56" s="1" a="1"/>
  <c r="D415" i="56" s="1"/>
  <c r="H225" i="23"/>
  <c r="D162" i="25"/>
  <c r="D191" i="25"/>
  <c r="P14" i="44"/>
  <c r="D423" i="25"/>
  <c r="D336" i="25"/>
  <c r="F386" i="56" a="1"/>
  <c r="F386" i="56" s="1"/>
  <c r="D33" i="56"/>
  <c r="D230" i="23"/>
  <c r="B32" i="56"/>
  <c r="CU291" i="7"/>
  <c r="D278" i="25"/>
  <c r="D365" i="25"/>
  <c r="F394" i="56" a="1"/>
  <c r="F394" i="56" s="1"/>
  <c r="D394" i="25"/>
  <c r="G33" i="56"/>
  <c r="F306" i="56" a="1"/>
  <c r="F306" i="56" s="1"/>
  <c r="C428" i="56"/>
  <c r="AA15" i="44"/>
  <c r="AC15" i="44" s="1"/>
  <c r="H33" i="56"/>
  <c r="D220" i="25"/>
  <c r="E354" i="56" a="1"/>
  <c r="E354" i="56" s="1"/>
  <c r="G9" i="51"/>
  <c r="H43" i="56" a="1"/>
  <c r="H43" i="56" s="1"/>
  <c r="H42" i="56" a="1"/>
  <c r="H42" i="56" s="1"/>
  <c r="H44" i="56" a="1"/>
  <c r="H44" i="56" s="1"/>
  <c r="G8" i="51"/>
  <c r="G43" i="56" a="1"/>
  <c r="G43" i="56" s="1"/>
  <c r="G42" i="56" a="1"/>
  <c r="G42" i="56" s="1"/>
  <c r="G44" i="56" a="1"/>
  <c r="G44" i="56" s="1"/>
  <c r="G7" i="51"/>
  <c r="F43" i="56" a="1"/>
  <c r="F43" i="56" s="1"/>
  <c r="F42" i="56" a="1"/>
  <c r="F42" i="56" s="1"/>
  <c r="F44" i="56" a="1"/>
  <c r="F44" i="56" s="1"/>
  <c r="G5" i="51"/>
  <c r="D43" i="56" a="1"/>
  <c r="D43" i="56" s="1"/>
  <c r="D44" i="56" a="1"/>
  <c r="D44" i="56" s="1"/>
  <c r="D42" i="56" a="1"/>
  <c r="D42" i="56" s="1"/>
  <c r="C44" i="56" a="1"/>
  <c r="C44" i="56" s="1"/>
  <c r="C43" i="56" a="1"/>
  <c r="C43" i="56" s="1"/>
  <c r="C42" i="56" a="1"/>
  <c r="C42" i="56" s="1"/>
  <c r="E43" i="56" a="1"/>
  <c r="E43" i="56" s="1"/>
  <c r="E44" i="56" a="1"/>
  <c r="E44" i="56" s="1"/>
  <c r="E42" i="56" a="1"/>
  <c r="E42" i="56" s="1"/>
  <c r="AE291" i="7"/>
  <c r="CS156" i="7"/>
  <c r="CX156" i="7"/>
  <c r="CM189" i="7"/>
  <c r="Z288" i="7"/>
  <c r="CK287" i="7"/>
  <c r="DD156" i="7"/>
  <c r="DA156" i="7"/>
  <c r="GP177" i="7"/>
  <c r="GH170" i="7"/>
  <c r="CV291" i="7"/>
  <c r="EC286" i="7"/>
  <c r="EC288" i="7" s="1"/>
  <c r="AI43" i="26"/>
  <c r="CU156" i="7"/>
  <c r="EC156" i="7"/>
  <c r="J44" i="26"/>
  <c r="X44" i="26" s="1"/>
  <c r="ER216" i="7"/>
  <c r="HG216" i="7" s="1"/>
  <c r="W29" i="44"/>
  <c r="Q291" i="7"/>
  <c r="P12" i="33"/>
  <c r="CZ288" i="7"/>
  <c r="J194" i="26"/>
  <c r="J195" i="26" s="1"/>
  <c r="X195" i="26" s="1"/>
  <c r="BY222" i="7"/>
  <c r="AD291" i="7"/>
  <c r="GW291" i="7"/>
  <c r="FB260" i="7"/>
  <c r="CP176" i="7"/>
  <c r="BX240" i="7"/>
  <c r="CY288" i="7"/>
  <c r="GV288" i="7"/>
  <c r="EP198" i="7"/>
  <c r="F46" i="33" s="1"/>
  <c r="CW288" i="7"/>
  <c r="EB156" i="7"/>
  <c r="BY220" i="7"/>
  <c r="CB201" i="7"/>
  <c r="BF291" i="7"/>
  <c r="G29" i="33"/>
  <c r="BJ156" i="7"/>
  <c r="C26" i="41" s="1"/>
  <c r="GP82" i="7"/>
  <c r="EO188" i="7"/>
  <c r="EO189" i="7" s="1"/>
  <c r="E43" i="33" s="1"/>
  <c r="DL156" i="7"/>
  <c r="L3" i="23"/>
  <c r="AB14" i="44"/>
  <c r="HF184" i="7"/>
  <c r="GD288" i="7"/>
  <c r="FY291" i="7"/>
  <c r="H195" i="7"/>
  <c r="P14" i="33"/>
  <c r="J3" i="26"/>
  <c r="X15" i="44"/>
  <c r="BY173" i="7"/>
  <c r="P13" i="33"/>
  <c r="P15" i="44"/>
  <c r="F30" i="44"/>
  <c r="CP181" i="7"/>
  <c r="HF203" i="7"/>
  <c r="H4" i="45"/>
  <c r="CP164" i="7"/>
  <c r="ER219" i="7"/>
  <c r="HG219" i="7" s="1"/>
  <c r="DK156" i="7"/>
  <c r="CZ291" i="7"/>
  <c r="DB156" i="7"/>
  <c r="EQ200" i="7"/>
  <c r="EQ201" i="7" s="1"/>
  <c r="G47" i="33" s="1"/>
  <c r="V13" i="33"/>
  <c r="CH198" i="7"/>
  <c r="EQ195" i="7"/>
  <c r="G45" i="33" s="1"/>
  <c r="HF227" i="7"/>
  <c r="J214" i="45"/>
  <c r="V14" i="44"/>
  <c r="J14" i="26"/>
  <c r="X14" i="26" s="1"/>
  <c r="G21" i="55"/>
  <c r="H79" i="52"/>
  <c r="X13" i="26"/>
  <c r="HF209" i="7"/>
  <c r="HF212" i="7"/>
  <c r="CP163" i="7"/>
  <c r="CM213" i="7"/>
  <c r="BF288" i="7"/>
  <c r="X193" i="26"/>
  <c r="AF12" i="26"/>
  <c r="EN177" i="7"/>
  <c r="EA156" i="7"/>
  <c r="ED156" i="7"/>
  <c r="BN288" i="7"/>
  <c r="GU156" i="7"/>
  <c r="DP156" i="7"/>
  <c r="EO165" i="7"/>
  <c r="N14" i="26"/>
  <c r="AB14" i="26" s="1"/>
  <c r="CM203" i="7"/>
  <c r="CM204" i="7" s="1"/>
  <c r="EO203" i="7"/>
  <c r="EO204" i="7" s="1"/>
  <c r="E48" i="33" s="1"/>
  <c r="J177" i="7"/>
  <c r="W33" i="36" s="1"/>
  <c r="Y33" i="36" s="1"/>
  <c r="AP288" i="7"/>
  <c r="DZ156" i="7"/>
  <c r="AF17" i="26"/>
  <c r="EM212" i="7"/>
  <c r="EM213" i="7" s="1"/>
  <c r="C51" i="33" s="1"/>
  <c r="CY291" i="7"/>
  <c r="HF187" i="7"/>
  <c r="EQ198" i="7"/>
  <c r="G46" i="33" s="1"/>
  <c r="J119" i="26"/>
  <c r="AI119" i="26" s="1"/>
  <c r="BE288" i="7"/>
  <c r="I139" i="53"/>
  <c r="I167" i="53"/>
  <c r="EF156" i="7"/>
  <c r="FD288" i="7"/>
  <c r="HF206" i="7"/>
  <c r="CC212" i="7"/>
  <c r="CC213" i="7" s="1"/>
  <c r="G30" i="44"/>
  <c r="BN156" i="7"/>
  <c r="G26" i="41" s="1"/>
  <c r="F213" i="7"/>
  <c r="CP161" i="7"/>
  <c r="I213" i="7"/>
  <c r="HF109" i="7"/>
  <c r="AA288" i="7"/>
  <c r="BC291" i="7"/>
  <c r="G189" i="7"/>
  <c r="HF246" i="7"/>
  <c r="BD286" i="7"/>
  <c r="BD288" i="7" s="1"/>
  <c r="BO291" i="7"/>
  <c r="EN212" i="7"/>
  <c r="EN213" i="7" s="1"/>
  <c r="D51" i="33" s="1"/>
  <c r="ER164" i="7"/>
  <c r="DR156" i="7"/>
  <c r="X118" i="26"/>
  <c r="EO206" i="7"/>
  <c r="EO207" i="7" s="1"/>
  <c r="E49" i="33" s="1"/>
  <c r="BO286" i="7"/>
  <c r="BO288" i="7" s="1"/>
  <c r="H29" i="41" s="1"/>
  <c r="DW156" i="7"/>
  <c r="CZ156" i="7"/>
  <c r="I111" i="53"/>
  <c r="AD288" i="7"/>
  <c r="H77" i="52"/>
  <c r="G210" i="7"/>
  <c r="CM206" i="7"/>
  <c r="CM207" i="7" s="1"/>
  <c r="EL207" i="7"/>
  <c r="B49" i="33" s="1"/>
  <c r="CY156" i="7"/>
  <c r="EO209" i="7"/>
  <c r="EO210" i="7" s="1"/>
  <c r="E50" i="33" s="1"/>
  <c r="GP170" i="7"/>
  <c r="ER208" i="7"/>
  <c r="CC334" i="7"/>
  <c r="DQ156" i="7"/>
  <c r="DG288" i="7"/>
  <c r="AP291" i="7"/>
  <c r="Y288" i="7"/>
  <c r="HF190" i="7"/>
  <c r="C28" i="41"/>
  <c r="EN165" i="7"/>
  <c r="AI286" i="7"/>
  <c r="AI288" i="7" s="1"/>
  <c r="EQ189" i="7"/>
  <c r="G43" i="33" s="1"/>
  <c r="DI288" i="7"/>
  <c r="CB207" i="7"/>
  <c r="HF199" i="7"/>
  <c r="FB236" i="7"/>
  <c r="FB153" i="7"/>
  <c r="HF265" i="7"/>
  <c r="CP187" i="7"/>
  <c r="BJ286" i="7"/>
  <c r="BJ288" i="7" s="1"/>
  <c r="CU288" i="7"/>
  <c r="DJ156" i="7"/>
  <c r="CM210" i="7"/>
  <c r="CS288" i="7"/>
  <c r="CT156" i="7"/>
  <c r="HF269" i="7"/>
  <c r="FZ82" i="7"/>
  <c r="HF130" i="7"/>
  <c r="GV156" i="7"/>
  <c r="H64" i="40"/>
  <c r="EP201" i="7"/>
  <c r="F47" i="33" s="1"/>
  <c r="J74" i="26"/>
  <c r="X74" i="26" s="1"/>
  <c r="BK291" i="7"/>
  <c r="X73" i="26"/>
  <c r="G157" i="21"/>
  <c r="GW288" i="7"/>
  <c r="BX284" i="7"/>
  <c r="GX83" i="7"/>
  <c r="GX84" i="7" s="1"/>
  <c r="CC177" i="7"/>
  <c r="FQ288" i="7"/>
  <c r="EQ177" i="7"/>
  <c r="BE291" i="7"/>
  <c r="HF61" i="7"/>
  <c r="P13" i="44"/>
  <c r="DU291" i="7"/>
  <c r="N15" i="26"/>
  <c r="AB15" i="26" s="1"/>
  <c r="I55" i="53"/>
  <c r="CS291" i="7"/>
  <c r="FB264" i="7"/>
  <c r="AF15" i="26"/>
  <c r="H28" i="52"/>
  <c r="I198" i="7"/>
  <c r="BX201" i="7"/>
  <c r="O291" i="7"/>
  <c r="HF238" i="7"/>
  <c r="DG156" i="7"/>
  <c r="H26" i="52"/>
  <c r="DN156" i="7"/>
  <c r="BY205" i="7"/>
  <c r="E64" i="40"/>
  <c r="DI291" i="7"/>
  <c r="FY288" i="7"/>
  <c r="K3" i="25"/>
  <c r="DI156" i="7"/>
  <c r="AI28" i="26"/>
  <c r="X28" i="26"/>
  <c r="T214" i="7"/>
  <c r="T287" i="7" s="1"/>
  <c r="GZ153" i="7"/>
  <c r="HE153" i="7"/>
  <c r="CK286" i="7"/>
  <c r="CK288" i="7" s="1"/>
  <c r="J200" i="7"/>
  <c r="J201" i="7" s="1"/>
  <c r="GP153" i="7"/>
  <c r="ER175" i="7"/>
  <c r="FR82" i="7"/>
  <c r="GE291" i="7"/>
  <c r="DV156" i="7"/>
  <c r="G27" i="55"/>
  <c r="AA16" i="26"/>
  <c r="AA291" i="7"/>
  <c r="GM288" i="7"/>
  <c r="EG214" i="7"/>
  <c r="EG287" i="7" s="1"/>
  <c r="DS84" i="7"/>
  <c r="B171" i="23"/>
  <c r="DO156" i="7"/>
  <c r="BY215" i="7"/>
  <c r="AO291" i="7"/>
  <c r="HF200" i="7"/>
  <c r="BY162" i="7"/>
  <c r="H192" i="7"/>
  <c r="AF291" i="7"/>
  <c r="H201" i="7"/>
  <c r="HF104" i="7"/>
  <c r="BX276" i="7"/>
  <c r="ER215" i="7"/>
  <c r="HG215" i="7" s="1"/>
  <c r="FW288" i="7"/>
  <c r="AB14" i="33"/>
  <c r="I189" i="7"/>
  <c r="GL291" i="7"/>
  <c r="HF235" i="7"/>
  <c r="O15" i="44"/>
  <c r="G30" i="33"/>
  <c r="HF261" i="7"/>
  <c r="CM201" i="7"/>
  <c r="HF127" i="7"/>
  <c r="HF277" i="7"/>
  <c r="HF225" i="7"/>
  <c r="H198" i="7"/>
  <c r="HF254" i="7"/>
  <c r="GT156" i="7"/>
  <c r="AF14" i="26"/>
  <c r="GV291" i="7"/>
  <c r="HF208" i="7"/>
  <c r="DX156" i="7"/>
  <c r="CP220" i="7"/>
  <c r="AU288" i="7"/>
  <c r="B73" i="23"/>
  <c r="GF291" i="7"/>
  <c r="BK286" i="7"/>
  <c r="BK288" i="7" s="1"/>
  <c r="D29" i="41" s="1"/>
  <c r="FI288" i="7"/>
  <c r="H62" i="52"/>
  <c r="BY199" i="7"/>
  <c r="HF47" i="7"/>
  <c r="C30" i="44"/>
  <c r="HF35" i="7"/>
  <c r="CP219" i="7"/>
  <c r="T29" i="44"/>
  <c r="J134" i="26"/>
  <c r="X134" i="26" s="1"/>
  <c r="HF281" i="7"/>
  <c r="CW156" i="7"/>
  <c r="B230" i="23"/>
  <c r="AA14" i="26"/>
  <c r="BX268" i="7"/>
  <c r="HF107" i="7"/>
  <c r="EP189" i="7"/>
  <c r="F43" i="33" s="1"/>
  <c r="GH285" i="7"/>
  <c r="GH286" i="7" s="1"/>
  <c r="DN291" i="7"/>
  <c r="CP217" i="7"/>
  <c r="HF211" i="7"/>
  <c r="FJ170" i="7"/>
  <c r="EB288" i="7"/>
  <c r="DS285" i="7"/>
  <c r="DS286" i="7" s="1"/>
  <c r="HF102" i="7"/>
  <c r="ER218" i="7"/>
  <c r="HG218" i="7" s="1"/>
  <c r="H9" i="52"/>
  <c r="G28" i="55"/>
  <c r="DJ291" i="7"/>
  <c r="HF152" i="7"/>
  <c r="HD82" i="7"/>
  <c r="FB268" i="7"/>
  <c r="H96" i="52"/>
  <c r="X133" i="26"/>
  <c r="HF113" i="7"/>
  <c r="BX170" i="7"/>
  <c r="W45" i="36" s="1"/>
  <c r="Y45" i="36" s="1"/>
  <c r="DG291" i="7"/>
  <c r="EO195" i="7"/>
  <c r="E45" i="33" s="1"/>
  <c r="BP83" i="7"/>
  <c r="BP84" i="7" s="1"/>
  <c r="DO291" i="7"/>
  <c r="ER211" i="7"/>
  <c r="G64" i="40"/>
  <c r="I55" i="40"/>
  <c r="I50" i="41"/>
  <c r="B115" i="23"/>
  <c r="EM206" i="7"/>
  <c r="EM207" i="7" s="1"/>
  <c r="C49" i="33" s="1"/>
  <c r="CC206" i="7"/>
  <c r="CC207" i="7" s="1"/>
  <c r="E207" i="7"/>
  <c r="EA291" i="7"/>
  <c r="AY291" i="7"/>
  <c r="CW291" i="7"/>
  <c r="L3" i="26"/>
  <c r="N3" i="23"/>
  <c r="M3" i="25"/>
  <c r="B100" i="25" s="1"/>
  <c r="HF159" i="7"/>
  <c r="AJ12" i="26"/>
  <c r="U12" i="26"/>
  <c r="G13" i="26"/>
  <c r="AJ13" i="26" s="1"/>
  <c r="HF108" i="7"/>
  <c r="CF286" i="7"/>
  <c r="CF288" i="7" s="1"/>
  <c r="CF291" i="7"/>
  <c r="AE288" i="7"/>
  <c r="HF34" i="7"/>
  <c r="G32" i="55"/>
  <c r="FB165" i="7"/>
  <c r="BG286" i="7"/>
  <c r="BG288" i="7" s="1"/>
  <c r="BG291" i="7"/>
  <c r="DP286" i="7"/>
  <c r="DP288" i="7" s="1"/>
  <c r="DP291" i="7"/>
  <c r="HF110" i="7"/>
  <c r="CX286" i="7"/>
  <c r="CX288" i="7" s="1"/>
  <c r="CX291" i="7"/>
  <c r="EE156" i="7"/>
  <c r="FZ285" i="7"/>
  <c r="FZ286" i="7" s="1"/>
  <c r="EP192" i="7"/>
  <c r="F44" i="33" s="1"/>
  <c r="ER190" i="7"/>
  <c r="HA133" i="7"/>
  <c r="BP285" i="7"/>
  <c r="BP286" i="7" s="1"/>
  <c r="BX244" i="7"/>
  <c r="CP218" i="7"/>
  <c r="N4" i="21"/>
  <c r="S13" i="33"/>
  <c r="S14" i="44"/>
  <c r="D29" i="33"/>
  <c r="BM156" i="7"/>
  <c r="F26" i="41" s="1"/>
  <c r="EO197" i="7"/>
  <c r="EO198" i="7" s="1"/>
  <c r="E46" i="33" s="1"/>
  <c r="CM197" i="7"/>
  <c r="CM198" i="7" s="1"/>
  <c r="HF268" i="7"/>
  <c r="EO212" i="7"/>
  <c r="EO213" i="7" s="1"/>
  <c r="E51" i="33" s="1"/>
  <c r="J212" i="7"/>
  <c r="J213" i="7" s="1"/>
  <c r="G213" i="7"/>
  <c r="K3" i="26"/>
  <c r="M3" i="23"/>
  <c r="L3" i="25"/>
  <c r="B12" i="25" s="1"/>
  <c r="M4" i="21"/>
  <c r="EQ191" i="7"/>
  <c r="EQ192" i="7" s="1"/>
  <c r="G44" i="33" s="1"/>
  <c r="I192" i="7"/>
  <c r="FW291" i="7"/>
  <c r="FB256" i="7"/>
  <c r="D64" i="40"/>
  <c r="I63" i="40"/>
  <c r="BB286" i="7"/>
  <c r="BB288" i="7" s="1"/>
  <c r="BB291" i="7"/>
  <c r="EP203" i="7"/>
  <c r="H204" i="7"/>
  <c r="FI291" i="7"/>
  <c r="B129" i="21"/>
  <c r="HC153" i="7"/>
  <c r="FB284" i="7"/>
  <c r="ER182" i="7"/>
  <c r="HG182" i="7" s="1"/>
  <c r="BX133" i="7"/>
  <c r="GO287" i="7"/>
  <c r="GO288" i="7"/>
  <c r="T285" i="7"/>
  <c r="T286" i="7" s="1"/>
  <c r="B115" i="21"/>
  <c r="AY288" i="7"/>
  <c r="DH291" i="7"/>
  <c r="DH286" i="7"/>
  <c r="DH288" i="7" s="1"/>
  <c r="BX198" i="7"/>
  <c r="Z29" i="44"/>
  <c r="BX252" i="7"/>
  <c r="HF105" i="7"/>
  <c r="HF51" i="7"/>
  <c r="EM177" i="7"/>
  <c r="FV291" i="7"/>
  <c r="BN291" i="7"/>
  <c r="AQ286" i="7"/>
  <c r="AQ288" i="7" s="1"/>
  <c r="AQ291" i="7"/>
  <c r="CH177" i="7"/>
  <c r="GH214" i="7"/>
  <c r="GH287" i="7" s="1"/>
  <c r="AT288" i="7"/>
  <c r="DS214" i="7"/>
  <c r="DS287" i="7" s="1"/>
  <c r="G28" i="41"/>
  <c r="B31" i="23"/>
  <c r="HA170" i="7"/>
  <c r="HA210" i="7"/>
  <c r="HF210" i="7" s="1"/>
  <c r="FB210" i="7"/>
  <c r="HF164" i="7"/>
  <c r="FV288" i="7"/>
  <c r="FT288" i="7"/>
  <c r="FB272" i="7"/>
  <c r="FZ133" i="7"/>
  <c r="HF59" i="7"/>
  <c r="GO291" i="7"/>
  <c r="HC133" i="7"/>
  <c r="HF81" i="7"/>
  <c r="F56" i="40"/>
  <c r="GH82" i="7"/>
  <c r="H45" i="52"/>
  <c r="HF131" i="7"/>
  <c r="BP214" i="7"/>
  <c r="BP287" i="7" s="1"/>
  <c r="GJ288" i="7"/>
  <c r="HE177" i="7"/>
  <c r="EO177" i="7"/>
  <c r="HF36" i="7"/>
  <c r="FZ153" i="7"/>
  <c r="GR156" i="7"/>
  <c r="FH288" i="7"/>
  <c r="HD170" i="7"/>
  <c r="CM334" i="7"/>
  <c r="I210" i="7"/>
  <c r="FZ214" i="7"/>
  <c r="FZ287" i="7" s="1"/>
  <c r="HF253" i="7"/>
  <c r="CI334" i="7"/>
  <c r="G29" i="55"/>
  <c r="EB291" i="7"/>
  <c r="AB285" i="7"/>
  <c r="AB286" i="7" s="1"/>
  <c r="HF262" i="7"/>
  <c r="GX285" i="7"/>
  <c r="GX286" i="7" s="1"/>
  <c r="HF123" i="7"/>
  <c r="Y14" i="44"/>
  <c r="F29" i="33"/>
  <c r="FT291" i="7"/>
  <c r="HF122" i="7"/>
  <c r="BX264" i="7"/>
  <c r="DC156" i="7"/>
  <c r="FJ285" i="7"/>
  <c r="FJ286" i="7" s="1"/>
  <c r="DJ288" i="7"/>
  <c r="ER223" i="7"/>
  <c r="HG223" i="7" s="1"/>
  <c r="CM165" i="7"/>
  <c r="GP214" i="7"/>
  <c r="GP287" i="7" s="1"/>
  <c r="GX214" i="7"/>
  <c r="GX287" i="7" s="1"/>
  <c r="CM195" i="7"/>
  <c r="ER205" i="7"/>
  <c r="FU291" i="7"/>
  <c r="ER220" i="7"/>
  <c r="HG220" i="7" s="1"/>
  <c r="HF129" i="7"/>
  <c r="CP174" i="7"/>
  <c r="DY288" i="7"/>
  <c r="FM291" i="7"/>
  <c r="HF188" i="7"/>
  <c r="DE155" i="7"/>
  <c r="FJ62" i="7"/>
  <c r="HE82" i="7"/>
  <c r="B129" i="23"/>
  <c r="F110" i="23"/>
  <c r="BL156" i="7"/>
  <c r="E26" i="41" s="1"/>
  <c r="FB170" i="7"/>
  <c r="GK288" i="7"/>
  <c r="GN291" i="7"/>
  <c r="GX154" i="7"/>
  <c r="GX155" i="7" s="1"/>
  <c r="HF41" i="7"/>
  <c r="FP291" i="7"/>
  <c r="EQ210" i="7"/>
  <c r="G50" i="33" s="1"/>
  <c r="FR177" i="7"/>
  <c r="CP222" i="7"/>
  <c r="HF168" i="7"/>
  <c r="FE288" i="7"/>
  <c r="BX256" i="7"/>
  <c r="H11" i="52"/>
  <c r="GU286" i="7"/>
  <c r="GU288" i="7" s="1"/>
  <c r="GU291" i="7"/>
  <c r="HF39" i="7"/>
  <c r="HF112" i="7"/>
  <c r="GC288" i="7"/>
  <c r="DM286" i="7"/>
  <c r="DM288" i="7" s="1"/>
  <c r="DM291" i="7"/>
  <c r="GS156" i="7"/>
  <c r="HA232" i="7"/>
  <c r="HF232" i="7" s="1"/>
  <c r="EW285" i="7"/>
  <c r="HA285" i="7" s="1"/>
  <c r="DE285" i="7"/>
  <c r="FH291" i="7"/>
  <c r="FJ177" i="7"/>
  <c r="HF40" i="7"/>
  <c r="FB186" i="7"/>
  <c r="FU288" i="7"/>
  <c r="HF250" i="7"/>
  <c r="G24" i="55"/>
  <c r="DY156" i="7"/>
  <c r="FB248" i="7"/>
  <c r="H213" i="7"/>
  <c r="EP212" i="7"/>
  <c r="EP213" i="7" s="1"/>
  <c r="F51" i="33" s="1"/>
  <c r="X178" i="26"/>
  <c r="J179" i="26"/>
  <c r="AI178" i="26"/>
  <c r="CP223" i="7"/>
  <c r="HF278" i="7"/>
  <c r="FG288" i="7"/>
  <c r="I35" i="41"/>
  <c r="CH165" i="7"/>
  <c r="HF249" i="7"/>
  <c r="J104" i="26"/>
  <c r="AI103" i="26"/>
  <c r="AF34" i="44"/>
  <c r="HF258" i="7"/>
  <c r="HF245" i="7"/>
  <c r="H94" i="52"/>
  <c r="BP154" i="7"/>
  <c r="BP155" i="7" s="1"/>
  <c r="ER183" i="7"/>
  <c r="HG183" i="7" s="1"/>
  <c r="FZ170" i="7"/>
  <c r="DM156" i="7"/>
  <c r="AG288" i="7"/>
  <c r="FB244" i="7"/>
  <c r="EN209" i="7"/>
  <c r="EN210" i="7" s="1"/>
  <c r="D50" i="33" s="1"/>
  <c r="CH209" i="7"/>
  <c r="CH210" i="7" s="1"/>
  <c r="CM177" i="7"/>
  <c r="GB288" i="7"/>
  <c r="HF30" i="7"/>
  <c r="EQ213" i="7"/>
  <c r="G51" i="33" s="1"/>
  <c r="I44" i="40"/>
  <c r="I48" i="40"/>
  <c r="I48" i="41"/>
  <c r="I29" i="40"/>
  <c r="G51" i="41"/>
  <c r="I61" i="40"/>
  <c r="I45" i="40"/>
  <c r="AA13" i="26"/>
  <c r="N13" i="26"/>
  <c r="AB13" i="26" s="1"/>
  <c r="FB177" i="7"/>
  <c r="H22" i="41"/>
  <c r="CB177" i="7"/>
  <c r="CP173" i="7"/>
  <c r="GS286" i="7"/>
  <c r="GS288" i="7" s="1"/>
  <c r="GS291" i="7"/>
  <c r="BL291" i="7"/>
  <c r="E28" i="41"/>
  <c r="BL286" i="7"/>
  <c r="BL288" i="7" s="1"/>
  <c r="CP182" i="7"/>
  <c r="GD291" i="7"/>
  <c r="BY211" i="7"/>
  <c r="AZ285" i="7"/>
  <c r="AZ286" i="7" s="1"/>
  <c r="I45" i="41"/>
  <c r="CH188" i="7"/>
  <c r="CH189" i="7" s="1"/>
  <c r="EN188" i="7"/>
  <c r="EN189" i="7" s="1"/>
  <c r="D43" i="33" s="1"/>
  <c r="F189" i="7"/>
  <c r="I49" i="40"/>
  <c r="CP221" i="7"/>
  <c r="GH177" i="7"/>
  <c r="HC192" i="7"/>
  <c r="FB192" i="7"/>
  <c r="BX165" i="7"/>
  <c r="BY159" i="7"/>
  <c r="CB213" i="7"/>
  <c r="CP211" i="7"/>
  <c r="O90" i="35"/>
  <c r="BY164" i="7"/>
  <c r="AG291" i="7"/>
  <c r="GF287" i="7"/>
  <c r="GF288" i="7"/>
  <c r="B199" i="21"/>
  <c r="BM291" i="7"/>
  <c r="F28" i="41"/>
  <c r="BM286" i="7"/>
  <c r="BM288" i="7" s="1"/>
  <c r="U13" i="44"/>
  <c r="E28" i="44"/>
  <c r="DR286" i="7"/>
  <c r="DR288" i="7" s="1"/>
  <c r="DR291" i="7"/>
  <c r="G56" i="40"/>
  <c r="B45" i="23"/>
  <c r="BX210" i="7"/>
  <c r="V286" i="7"/>
  <c r="V288" i="7" s="1"/>
  <c r="V291" i="7"/>
  <c r="BU214" i="7"/>
  <c r="Q287" i="7"/>
  <c r="I195" i="7"/>
  <c r="DZ286" i="7"/>
  <c r="DZ288" i="7" s="1"/>
  <c r="DZ291" i="7"/>
  <c r="BY183" i="7"/>
  <c r="O96" i="35"/>
  <c r="F56" i="23"/>
  <c r="B185" i="23"/>
  <c r="Z178" i="26"/>
  <c r="CB192" i="7"/>
  <c r="CP190" i="7"/>
  <c r="G13" i="55"/>
  <c r="HF38" i="7"/>
  <c r="F22" i="41"/>
  <c r="Z121" i="26"/>
  <c r="AE29" i="44"/>
  <c r="ER180" i="7"/>
  <c r="F226" i="23"/>
  <c r="DD286" i="7"/>
  <c r="DD288" i="7" s="1"/>
  <c r="DD291" i="7"/>
  <c r="BY174" i="7"/>
  <c r="BX177" i="7"/>
  <c r="W46" i="36" s="1"/>
  <c r="Y46" i="36" s="1"/>
  <c r="EM197" i="7"/>
  <c r="CC197" i="7"/>
  <c r="J197" i="7"/>
  <c r="BY197" i="7" s="1"/>
  <c r="E198" i="7"/>
  <c r="FB189" i="7"/>
  <c r="GZ189" i="7"/>
  <c r="R286" i="7"/>
  <c r="BV285" i="7"/>
  <c r="R291" i="7"/>
  <c r="G23" i="40"/>
  <c r="D81" i="7"/>
  <c r="D81" i="45"/>
  <c r="E81" i="45" s="1"/>
  <c r="T117" i="36"/>
  <c r="X48" i="36"/>
  <c r="Z29" i="26"/>
  <c r="I49" i="41"/>
  <c r="CP202" i="7"/>
  <c r="CB204" i="7"/>
  <c r="FB201" i="7"/>
  <c r="GZ201" i="7"/>
  <c r="HF201" i="7" s="1"/>
  <c r="HF106" i="7"/>
  <c r="AL286" i="7"/>
  <c r="AL288" i="7" s="1"/>
  <c r="AL291" i="7"/>
  <c r="J209" i="21"/>
  <c r="AO287" i="7"/>
  <c r="AO288" i="7"/>
  <c r="EP185" i="7"/>
  <c r="H186" i="7"/>
  <c r="J185" i="7"/>
  <c r="BY185" i="7" s="1"/>
  <c r="J180" i="21"/>
  <c r="DE214" i="7"/>
  <c r="DE287" i="7" s="1"/>
  <c r="F252" i="23"/>
  <c r="I7" i="55"/>
  <c r="AR214" i="7"/>
  <c r="AR287" i="7" s="1"/>
  <c r="DB286" i="7"/>
  <c r="DB288" i="7" s="1"/>
  <c r="DB291" i="7"/>
  <c r="F51" i="41"/>
  <c r="HF128" i="7"/>
  <c r="EM203" i="7"/>
  <c r="CC203" i="7"/>
  <c r="J203" i="7"/>
  <c r="BY203" i="7" s="1"/>
  <c r="E204" i="7"/>
  <c r="Z209" i="26"/>
  <c r="CH206" i="7"/>
  <c r="EN206" i="7"/>
  <c r="EN207" i="7" s="1"/>
  <c r="D49" i="33" s="1"/>
  <c r="J206" i="7"/>
  <c r="EG285" i="7"/>
  <c r="BY219" i="7"/>
  <c r="O101" i="35"/>
  <c r="AR285" i="7"/>
  <c r="AR286" i="7" s="1"/>
  <c r="HF241" i="7"/>
  <c r="DO287" i="7"/>
  <c r="DO288" i="7"/>
  <c r="GZ244" i="7"/>
  <c r="HF244" i="7" s="1"/>
  <c r="EV285" i="7"/>
  <c r="EV291" i="7" s="1"/>
  <c r="EA288" i="7"/>
  <c r="EA287" i="7"/>
  <c r="J97" i="21"/>
  <c r="FJ214" i="7"/>
  <c r="FJ287" i="7" s="1"/>
  <c r="HF174" i="7"/>
  <c r="EL189" i="7"/>
  <c r="B43" i="33" s="1"/>
  <c r="ER187" i="7"/>
  <c r="V13" i="44"/>
  <c r="V12" i="33"/>
  <c r="E28" i="33"/>
  <c r="BX236" i="7"/>
  <c r="HF252" i="7"/>
  <c r="F207" i="7"/>
  <c r="F139" i="23"/>
  <c r="G17" i="21"/>
  <c r="BP305" i="7"/>
  <c r="BJ293" i="7"/>
  <c r="E30" i="44"/>
  <c r="U15" i="44"/>
  <c r="Z105" i="26"/>
  <c r="CC191" i="7"/>
  <c r="J191" i="7"/>
  <c r="BY191" i="7" s="1"/>
  <c r="EM191" i="7"/>
  <c r="BY187" i="7"/>
  <c r="M14" i="44"/>
  <c r="B29" i="33"/>
  <c r="M13" i="33"/>
  <c r="F16" i="21"/>
  <c r="E16" i="21"/>
  <c r="B17" i="21"/>
  <c r="X17" i="21" s="1"/>
  <c r="X11" i="21"/>
  <c r="CP205" i="7"/>
  <c r="FB195" i="7"/>
  <c r="GZ195" i="7"/>
  <c r="HF195" i="7" s="1"/>
  <c r="GK291" i="7"/>
  <c r="Z195" i="26"/>
  <c r="EL177" i="7"/>
  <c r="ER173" i="7"/>
  <c r="AI208" i="26"/>
  <c r="X208" i="26"/>
  <c r="J209" i="26"/>
  <c r="Z167" i="26"/>
  <c r="EL204" i="7"/>
  <c r="B48" i="33" s="1"/>
  <c r="ER202" i="7"/>
  <c r="HF56" i="7"/>
  <c r="EP209" i="7"/>
  <c r="EP210" i="7" s="1"/>
  <c r="F50" i="33" s="1"/>
  <c r="H210" i="7"/>
  <c r="HD62" i="7"/>
  <c r="AU291" i="7"/>
  <c r="B87" i="21"/>
  <c r="B59" i="23"/>
  <c r="D30" i="33"/>
  <c r="S15" i="44"/>
  <c r="S14" i="33"/>
  <c r="D51" i="41"/>
  <c r="D214" i="45"/>
  <c r="F214" i="45" s="1"/>
  <c r="F186" i="45"/>
  <c r="HF260" i="7"/>
  <c r="AT291" i="7"/>
  <c r="FX286" i="7"/>
  <c r="FX288" i="7" s="1"/>
  <c r="FX291" i="7"/>
  <c r="B17" i="23"/>
  <c r="HB198" i="7"/>
  <c r="HF198" i="7" s="1"/>
  <c r="FB198" i="7"/>
  <c r="BY217" i="7"/>
  <c r="O99" i="35"/>
  <c r="F82" i="23"/>
  <c r="J89" i="26"/>
  <c r="AI88" i="26"/>
  <c r="X88" i="26"/>
  <c r="HF121" i="7"/>
  <c r="F70" i="23"/>
  <c r="F194" i="23"/>
  <c r="HB133" i="7"/>
  <c r="I27" i="41"/>
  <c r="I83" i="53"/>
  <c r="HF229" i="7"/>
  <c r="CH203" i="7"/>
  <c r="CH204" i="7" s="1"/>
  <c r="F204" i="7"/>
  <c r="EN203" i="7"/>
  <c r="EN204" i="7" s="1"/>
  <c r="D48" i="33" s="1"/>
  <c r="HB177" i="7"/>
  <c r="FO288" i="7"/>
  <c r="FO291" i="7"/>
  <c r="HC165" i="7"/>
  <c r="AM286" i="7"/>
  <c r="AM288" i="7" s="1"/>
  <c r="AM291" i="7"/>
  <c r="BY161" i="7"/>
  <c r="O87" i="35"/>
  <c r="X286" i="7"/>
  <c r="X288" i="7" s="1"/>
  <c r="X291" i="7"/>
  <c r="EP206" i="7"/>
  <c r="EP207" i="7" s="1"/>
  <c r="F49" i="33" s="1"/>
  <c r="H207" i="7"/>
  <c r="I207" i="7"/>
  <c r="J164" i="26"/>
  <c r="X163" i="26"/>
  <c r="AI163" i="26"/>
  <c r="AJ214" i="7"/>
  <c r="AJ287" i="7" s="1"/>
  <c r="DY291" i="7"/>
  <c r="CB210" i="7"/>
  <c r="CP208" i="7"/>
  <c r="HF124" i="7"/>
  <c r="HF202" i="7"/>
  <c r="HF248" i="7"/>
  <c r="DX286" i="7"/>
  <c r="DX288" i="7" s="1"/>
  <c r="DX291" i="7"/>
  <c r="Z291" i="7"/>
  <c r="B45" i="21"/>
  <c r="Q286" i="7"/>
  <c r="BU285" i="7"/>
  <c r="ER176" i="7"/>
  <c r="EF286" i="7"/>
  <c r="EF288" i="7" s="1"/>
  <c r="EF291" i="7"/>
  <c r="F28" i="23"/>
  <c r="M11" i="21"/>
  <c r="I11" i="21"/>
  <c r="D4" i="51" s="1"/>
  <c r="HF126" i="7"/>
  <c r="BY180" i="7"/>
  <c r="O93" i="35"/>
  <c r="M13" i="44"/>
  <c r="M12" i="33"/>
  <c r="B28" i="33"/>
  <c r="GZ213" i="7"/>
  <c r="HF213" i="7" s="1"/>
  <c r="FB213" i="7"/>
  <c r="GZ133" i="7"/>
  <c r="FB133" i="7"/>
  <c r="U30" i="44"/>
  <c r="W30" i="44" s="1"/>
  <c r="BX207" i="7"/>
  <c r="EM209" i="7"/>
  <c r="CC209" i="7"/>
  <c r="J209" i="7"/>
  <c r="E210" i="7"/>
  <c r="N28" i="44"/>
  <c r="AD28" i="44"/>
  <c r="AF28" i="44" s="1"/>
  <c r="CC188" i="7"/>
  <c r="EM188" i="7"/>
  <c r="EM189" i="7" s="1"/>
  <c r="C43" i="33" s="1"/>
  <c r="E189" i="7"/>
  <c r="J188" i="7"/>
  <c r="BY188" i="7" s="1"/>
  <c r="HB82" i="7"/>
  <c r="EE286" i="7"/>
  <c r="EE288" i="7" s="1"/>
  <c r="EE291" i="7"/>
  <c r="GZ82" i="7"/>
  <c r="HF79" i="7"/>
  <c r="DU288" i="7"/>
  <c r="HF49" i="7"/>
  <c r="ER193" i="7"/>
  <c r="EN194" i="7"/>
  <c r="EN195" i="7" s="1"/>
  <c r="D45" i="33" s="1"/>
  <c r="CH194" i="7"/>
  <c r="CH195" i="7" s="1"/>
  <c r="F195" i="7"/>
  <c r="J194" i="7"/>
  <c r="HF31" i="7"/>
  <c r="K12" i="21"/>
  <c r="D40" i="56" s="1" a="1"/>
  <c r="D40" i="56" s="1"/>
  <c r="L12" i="21"/>
  <c r="J13" i="21"/>
  <c r="B6" i="51" s="1"/>
  <c r="J142" i="21"/>
  <c r="E51" i="41"/>
  <c r="Z207" i="26"/>
  <c r="CP180" i="7"/>
  <c r="GH153" i="7"/>
  <c r="FJ133" i="7"/>
  <c r="HA62" i="7"/>
  <c r="AW286" i="7"/>
  <c r="AW288" i="7" s="1"/>
  <c r="AW291" i="7"/>
  <c r="BH285" i="7"/>
  <c r="BH286" i="7" s="1"/>
  <c r="I47" i="40"/>
  <c r="FB82" i="7"/>
  <c r="GR286" i="7"/>
  <c r="GR288" i="7" s="1"/>
  <c r="GR291" i="7"/>
  <c r="HF52" i="7"/>
  <c r="EN191" i="7"/>
  <c r="EN192" i="7" s="1"/>
  <c r="D44" i="33" s="1"/>
  <c r="CH191" i="7"/>
  <c r="CH192" i="7" s="1"/>
  <c r="HF256" i="7"/>
  <c r="HF132" i="7"/>
  <c r="ER174" i="7"/>
  <c r="I47" i="41"/>
  <c r="DC286" i="7"/>
  <c r="DC288" i="7" s="1"/>
  <c r="DC291" i="7"/>
  <c r="Z147" i="26"/>
  <c r="CP216" i="7"/>
  <c r="HF284" i="7"/>
  <c r="HF176" i="7"/>
  <c r="GT286" i="7"/>
  <c r="GT288" i="7" s="1"/>
  <c r="GT291" i="7"/>
  <c r="BX260" i="7"/>
  <c r="HF33" i="7"/>
  <c r="HF54" i="7"/>
  <c r="BY160" i="7"/>
  <c r="O86" i="35"/>
  <c r="D133" i="25"/>
  <c r="W13" i="26"/>
  <c r="AH13" i="26"/>
  <c r="I14" i="26"/>
  <c r="HF161" i="7"/>
  <c r="C28" i="44"/>
  <c r="O13" i="44"/>
  <c r="CC162" i="7"/>
  <c r="CC159" i="7"/>
  <c r="HF120" i="7"/>
  <c r="GP285" i="7"/>
  <c r="GP286" i="7" s="1"/>
  <c r="FR133" i="7"/>
  <c r="ER222" i="7"/>
  <c r="HG222" i="7" s="1"/>
  <c r="FP288" i="7"/>
  <c r="CM185" i="7"/>
  <c r="EO185" i="7"/>
  <c r="I21" i="41"/>
  <c r="I22" i="41" s="1"/>
  <c r="B10" i="41" s="1"/>
  <c r="C22" i="41"/>
  <c r="DV286" i="7"/>
  <c r="DV288" i="7" s="1"/>
  <c r="DV291" i="7"/>
  <c r="G14" i="55"/>
  <c r="HE165" i="7"/>
  <c r="AV286" i="7"/>
  <c r="AV288" i="7" s="1"/>
  <c r="AV291" i="7"/>
  <c r="FN288" i="7"/>
  <c r="Z87" i="26"/>
  <c r="FB280" i="7"/>
  <c r="G19" i="55"/>
  <c r="J68" i="21"/>
  <c r="B28" i="44"/>
  <c r="L13" i="44"/>
  <c r="CB162" i="7"/>
  <c r="CB159" i="7"/>
  <c r="K165" i="7"/>
  <c r="S286" i="7"/>
  <c r="BW285" i="7"/>
  <c r="HE170" i="7"/>
  <c r="EQ165" i="7"/>
  <c r="ER159" i="7"/>
  <c r="J153" i="21"/>
  <c r="HF80" i="7"/>
  <c r="AJ285" i="7"/>
  <c r="AJ286" i="7" s="1"/>
  <c r="HB62" i="7"/>
  <c r="DA286" i="7"/>
  <c r="DA288" i="7" s="1"/>
  <c r="DA291" i="7"/>
  <c r="CP215" i="7"/>
  <c r="HD228" i="7"/>
  <c r="EZ285" i="7"/>
  <c r="EY214" i="7"/>
  <c r="HC186" i="7"/>
  <c r="F12" i="23"/>
  <c r="DU156" i="7"/>
  <c r="CP199" i="7"/>
  <c r="J124" i="21"/>
  <c r="FR153" i="7"/>
  <c r="H60" i="52"/>
  <c r="EL195" i="7"/>
  <c r="B45" i="33" s="1"/>
  <c r="HF282" i="7"/>
  <c r="HF60" i="7"/>
  <c r="CT286" i="7"/>
  <c r="CT288" i="7" s="1"/>
  <c r="CT291" i="7"/>
  <c r="FR62" i="7"/>
  <c r="BY181" i="7"/>
  <c r="O94" i="35"/>
  <c r="B199" i="23"/>
  <c r="DQ291" i="7"/>
  <c r="HF37" i="7"/>
  <c r="B101" i="23"/>
  <c r="R30" i="44"/>
  <c r="T30" i="44" s="1"/>
  <c r="X35" i="36"/>
  <c r="S17" i="36"/>
  <c r="GP165" i="7"/>
  <c r="FB204" i="7"/>
  <c r="GZ204" i="7"/>
  <c r="HF204" i="7" s="1"/>
  <c r="I42" i="41"/>
  <c r="ER217" i="7"/>
  <c r="HG217" i="7" s="1"/>
  <c r="BB287" i="7"/>
  <c r="D22" i="41"/>
  <c r="B42" i="44"/>
  <c r="B31" i="44"/>
  <c r="EL186" i="7"/>
  <c r="B42" i="33" s="1"/>
  <c r="ER184" i="7"/>
  <c r="BX192" i="7"/>
  <c r="F153" i="23"/>
  <c r="P286" i="7"/>
  <c r="BT285" i="7"/>
  <c r="CB195" i="7"/>
  <c r="HE192" i="7"/>
  <c r="FA214" i="7"/>
  <c r="N29" i="44"/>
  <c r="AD29" i="44"/>
  <c r="BY223" i="7"/>
  <c r="O105" i="35"/>
  <c r="C5" i="51"/>
  <c r="B171" i="21"/>
  <c r="BT214" i="7"/>
  <c r="P287" i="7"/>
  <c r="BT287" i="7" s="1"/>
  <c r="GZ207" i="7"/>
  <c r="HF207" i="7" s="1"/>
  <c r="FB207" i="7"/>
  <c r="D249" i="25"/>
  <c r="HF125" i="7"/>
  <c r="J165" i="7"/>
  <c r="B143" i="21"/>
  <c r="HF116" i="7"/>
  <c r="HD133" i="7"/>
  <c r="GH133" i="7"/>
  <c r="CE334" i="7"/>
  <c r="Z57" i="26"/>
  <c r="B30" i="44"/>
  <c r="L15" i="44"/>
  <c r="K177" i="7"/>
  <c r="DQ288" i="7"/>
  <c r="X148" i="26"/>
  <c r="AI148" i="26"/>
  <c r="J149" i="26"/>
  <c r="GL288" i="7"/>
  <c r="FA285" i="7"/>
  <c r="FA291" i="7" s="1"/>
  <c r="HE228" i="7"/>
  <c r="I42" i="40"/>
  <c r="HF50" i="7"/>
  <c r="BX272" i="7"/>
  <c r="DL286" i="7"/>
  <c r="DL288" i="7" s="1"/>
  <c r="DL291" i="7"/>
  <c r="EN200" i="7"/>
  <c r="EN201" i="7" s="1"/>
  <c r="D47" i="33" s="1"/>
  <c r="CH200" i="7"/>
  <c r="CH201" i="7" s="1"/>
  <c r="F201" i="7"/>
  <c r="HC62" i="7"/>
  <c r="EO191" i="7"/>
  <c r="EO192" i="7" s="1"/>
  <c r="E44" i="33" s="1"/>
  <c r="CM191" i="7"/>
  <c r="CM192" i="7" s="1"/>
  <c r="GB291" i="7"/>
  <c r="BY184" i="7"/>
  <c r="HF240" i="7"/>
  <c r="G20" i="55"/>
  <c r="FZ62" i="7"/>
  <c r="B256" i="23"/>
  <c r="FR165" i="7"/>
  <c r="E23" i="40"/>
  <c r="B101" i="21"/>
  <c r="G12" i="55"/>
  <c r="I27" i="53"/>
  <c r="BY193" i="7"/>
  <c r="HB165" i="7"/>
  <c r="FJ153" i="7"/>
  <c r="FL288" i="7"/>
  <c r="AN286" i="7"/>
  <c r="AN288" i="7" s="1"/>
  <c r="AN291" i="7"/>
  <c r="AX291" i="7"/>
  <c r="AX286" i="7"/>
  <c r="AX288" i="7" s="1"/>
  <c r="BC287" i="7"/>
  <c r="BC288" i="7"/>
  <c r="BX62" i="7"/>
  <c r="G192" i="7"/>
  <c r="I46" i="41"/>
  <c r="GH165" i="7"/>
  <c r="BX232" i="7"/>
  <c r="HF42" i="7"/>
  <c r="C56" i="40"/>
  <c r="I41" i="40"/>
  <c r="HF205" i="7"/>
  <c r="HF48" i="7"/>
  <c r="B157" i="23"/>
  <c r="FL291" i="7"/>
  <c r="J27" i="21"/>
  <c r="R15" i="44"/>
  <c r="D30" i="44"/>
  <c r="AH286" i="7"/>
  <c r="AH288" i="7" s="1"/>
  <c r="AH291" i="7"/>
  <c r="DN287" i="7"/>
  <c r="DN288" i="7"/>
  <c r="BX280" i="7"/>
  <c r="BY218" i="7"/>
  <c r="O100" i="35"/>
  <c r="F40" i="23"/>
  <c r="O95" i="35"/>
  <c r="BY182" i="7"/>
  <c r="HA189" i="7"/>
  <c r="EW214" i="7"/>
  <c r="S291" i="7"/>
  <c r="BY190" i="7"/>
  <c r="I46" i="40"/>
  <c r="HF103" i="7"/>
  <c r="HF162" i="7"/>
  <c r="HG162" i="7" s="1"/>
  <c r="ED286" i="7"/>
  <c r="ED288" i="7" s="1"/>
  <c r="ED291" i="7"/>
  <c r="I44" i="41"/>
  <c r="Y291" i="7"/>
  <c r="HF264" i="7"/>
  <c r="I41" i="41"/>
  <c r="C51" i="41"/>
  <c r="GZ177" i="7"/>
  <c r="EZ214" i="7"/>
  <c r="I60" i="40"/>
  <c r="C64" i="40"/>
  <c r="B243" i="23"/>
  <c r="AZ214" i="7"/>
  <c r="AZ287" i="7" s="1"/>
  <c r="ER163" i="7"/>
  <c r="I50" i="40"/>
  <c r="FR285" i="7"/>
  <c r="FR286" i="7" s="1"/>
  <c r="W286" i="7"/>
  <c r="W288" i="7" s="1"/>
  <c r="W291" i="7"/>
  <c r="ER161" i="7"/>
  <c r="EL165" i="7"/>
  <c r="G31" i="55"/>
  <c r="EL201" i="7"/>
  <c r="B47" i="33" s="1"/>
  <c r="FG291" i="7"/>
  <c r="I62" i="40"/>
  <c r="H43" i="52"/>
  <c r="O98" i="35"/>
  <c r="BY216" i="7"/>
  <c r="HE62" i="7"/>
  <c r="GN288" i="7"/>
  <c r="FB62" i="7"/>
  <c r="GZ62" i="7"/>
  <c r="EQ207" i="7"/>
  <c r="G49" i="33" s="1"/>
  <c r="DK288" i="7"/>
  <c r="B87" i="23"/>
  <c r="BY175" i="7"/>
  <c r="O122" i="35"/>
  <c r="Z16" i="26"/>
  <c r="N16" i="26"/>
  <c r="AS13" i="26" s="1"/>
  <c r="DK291" i="7"/>
  <c r="EG84" i="7"/>
  <c r="GG291" i="7"/>
  <c r="ER196" i="7"/>
  <c r="EL198" i="7"/>
  <c r="B46" i="33" s="1"/>
  <c r="EX214" i="7"/>
  <c r="HB186" i="7"/>
  <c r="D56" i="40"/>
  <c r="HF173" i="7"/>
  <c r="HE133" i="7"/>
  <c r="GC291" i="7"/>
  <c r="EN185" i="7"/>
  <c r="EN186" i="7" s="1"/>
  <c r="D42" i="33" s="1"/>
  <c r="CH185" i="7"/>
  <c r="O123" i="35"/>
  <c r="BY176" i="7"/>
  <c r="ER181" i="7"/>
  <c r="HG181" i="7" s="1"/>
  <c r="E15" i="21"/>
  <c r="F15" i="21"/>
  <c r="BY202" i="7"/>
  <c r="FQ291" i="7"/>
  <c r="D104" i="25"/>
  <c r="HF32" i="7"/>
  <c r="F208" i="23"/>
  <c r="BX82" i="7"/>
  <c r="HF231" i="7"/>
  <c r="E22" i="41"/>
  <c r="EP177" i="7"/>
  <c r="BK156" i="7"/>
  <c r="D26" i="41" s="1"/>
  <c r="H54" i="33"/>
  <c r="BS214" i="7"/>
  <c r="O287" i="7"/>
  <c r="B157" i="21"/>
  <c r="HA82" i="7"/>
  <c r="FM288" i="7"/>
  <c r="HF57" i="7"/>
  <c r="FB252" i="7"/>
  <c r="ER199" i="7"/>
  <c r="P11" i="35"/>
  <c r="O11" i="21"/>
  <c r="FN291" i="7"/>
  <c r="E14" i="21"/>
  <c r="F14" i="21"/>
  <c r="DW291" i="7"/>
  <c r="CP183" i="7"/>
  <c r="AF288" i="7"/>
  <c r="AB214" i="7"/>
  <c r="I28" i="40"/>
  <c r="B1" i="44"/>
  <c r="B4" i="40"/>
  <c r="B1" i="33"/>
  <c r="B4" i="41"/>
  <c r="EK1" i="7"/>
  <c r="EM200" i="7"/>
  <c r="EM201" i="7" s="1"/>
  <c r="C47" i="33" s="1"/>
  <c r="E201" i="7"/>
  <c r="CC200" i="7"/>
  <c r="CC201" i="7" s="1"/>
  <c r="HC228" i="7"/>
  <c r="EY285" i="7"/>
  <c r="N287" i="7"/>
  <c r="BR214" i="7"/>
  <c r="EP195" i="7"/>
  <c r="F45" i="33" s="1"/>
  <c r="G22" i="55"/>
  <c r="HF175" i="7"/>
  <c r="CC185" i="7"/>
  <c r="CC186" i="7" s="1"/>
  <c r="EM185" i="7"/>
  <c r="HF55" i="7"/>
  <c r="BY221" i="7"/>
  <c r="O103" i="35"/>
  <c r="H58" i="33"/>
  <c r="B68" i="33"/>
  <c r="M15" i="33" s="1"/>
  <c r="AE15" i="33" s="1"/>
  <c r="ER160" i="7"/>
  <c r="Z122" i="26"/>
  <c r="O30" i="44"/>
  <c r="Q30" i="44" s="1"/>
  <c r="R287" i="7"/>
  <c r="BV287" i="7" s="1"/>
  <c r="BV214" i="7"/>
  <c r="GJ291" i="7"/>
  <c r="S287" i="7"/>
  <c r="BW287" i="7" s="1"/>
  <c r="BW214" i="7"/>
  <c r="GE288" i="7"/>
  <c r="F64" i="40"/>
  <c r="AI58" i="26"/>
  <c r="X58" i="26"/>
  <c r="J59" i="26"/>
  <c r="HF272" i="7"/>
  <c r="BX248" i="7"/>
  <c r="HF150" i="7"/>
  <c r="FJ165" i="7"/>
  <c r="Z27" i="26"/>
  <c r="HD165" i="7"/>
  <c r="HF53" i="7"/>
  <c r="HF276" i="7"/>
  <c r="O286" i="7"/>
  <c r="BS285" i="7"/>
  <c r="I43" i="41"/>
  <c r="CF287" i="7"/>
  <c r="ER221" i="7"/>
  <c r="HG221" i="7" s="1"/>
  <c r="I43" i="40"/>
  <c r="M30" i="44"/>
  <c r="AE30" i="44" s="1"/>
  <c r="BX186" i="7"/>
  <c r="EQ185" i="7"/>
  <c r="I186" i="7"/>
  <c r="HF196" i="7"/>
  <c r="BX195" i="7"/>
  <c r="F11" i="21"/>
  <c r="C17" i="21"/>
  <c r="E11" i="21"/>
  <c r="N11" i="21"/>
  <c r="G4" i="51"/>
  <c r="B73" i="21"/>
  <c r="M14" i="33"/>
  <c r="B30" i="33"/>
  <c r="M15" i="44"/>
  <c r="BO156" i="7"/>
  <c r="H26" i="41" s="1"/>
  <c r="BX213" i="7"/>
  <c r="HB170" i="7"/>
  <c r="F28" i="44"/>
  <c r="X13" i="44"/>
  <c r="O3" i="25"/>
  <c r="N3" i="26"/>
  <c r="P4" i="21"/>
  <c r="P3" i="23"/>
  <c r="X29" i="26"/>
  <c r="J30" i="26"/>
  <c r="AI29" i="26"/>
  <c r="BX204" i="7"/>
  <c r="BH214" i="7"/>
  <c r="BH287" i="7" s="1"/>
  <c r="HF115" i="7"/>
  <c r="DW288" i="7"/>
  <c r="HF185" i="7"/>
  <c r="N286" i="7"/>
  <c r="BR285" i="7"/>
  <c r="N291" i="7"/>
  <c r="L30" i="44"/>
  <c r="D214" i="7"/>
  <c r="DP287" i="7"/>
  <c r="FD291" i="7"/>
  <c r="FB276" i="7"/>
  <c r="HC177" i="7"/>
  <c r="G30" i="55"/>
  <c r="FE291" i="7"/>
  <c r="HA165" i="7"/>
  <c r="B213" i="23"/>
  <c r="DE84" i="7"/>
  <c r="HF111" i="7"/>
  <c r="I51" i="40"/>
  <c r="HC170" i="7"/>
  <c r="GP133" i="7"/>
  <c r="B31" i="21"/>
  <c r="BX228" i="7"/>
  <c r="CB186" i="7"/>
  <c r="CP184" i="7"/>
  <c r="HF237" i="7"/>
  <c r="D307" i="25"/>
  <c r="HF273" i="7"/>
  <c r="D28" i="33"/>
  <c r="S13" i="44"/>
  <c r="S12" i="33"/>
  <c r="F30" i="33"/>
  <c r="Y15" i="44"/>
  <c r="Y14" i="33"/>
  <c r="GG288" i="7"/>
  <c r="EX285" i="7"/>
  <c r="HB228" i="7"/>
  <c r="G6" i="51"/>
  <c r="E13" i="21"/>
  <c r="F13" i="21"/>
  <c r="HA153" i="7"/>
  <c r="B59" i="21"/>
  <c r="J83" i="21"/>
  <c r="D75" i="25"/>
  <c r="W17" i="21"/>
  <c r="Y13" i="44"/>
  <c r="F28" i="33"/>
  <c r="Y12" i="33"/>
  <c r="F240" i="23"/>
  <c r="I52" i="40"/>
  <c r="E24" i="40"/>
  <c r="C24" i="40"/>
  <c r="I22" i="40"/>
  <c r="DS155" i="7"/>
  <c r="D28" i="44"/>
  <c r="R13" i="44"/>
  <c r="AB12" i="33"/>
  <c r="G28" i="33"/>
  <c r="AB13" i="44"/>
  <c r="BY208" i="7"/>
  <c r="E214" i="45"/>
  <c r="HA177" i="7"/>
  <c r="FB240" i="7"/>
  <c r="GZ186" i="7"/>
  <c r="EV214" i="7"/>
  <c r="GZ170" i="7"/>
  <c r="HD177" i="7"/>
  <c r="Z17" i="26"/>
  <c r="N17" i="26"/>
  <c r="GW156" i="7"/>
  <c r="HF151" i="7"/>
  <c r="B213" i="21"/>
  <c r="GM291" i="7"/>
  <c r="J41" i="21"/>
  <c r="FZ165" i="7"/>
  <c r="FR214" i="7"/>
  <c r="FR287" i="7" s="1"/>
  <c r="E56" i="40"/>
  <c r="Q3" i="23"/>
  <c r="Q4" i="21"/>
  <c r="O3" i="26"/>
  <c r="AI223" i="26"/>
  <c r="X223" i="26"/>
  <c r="J224" i="26"/>
  <c r="HF43" i="7"/>
  <c r="FR170" i="7"/>
  <c r="FB228" i="7"/>
  <c r="CP193" i="7"/>
  <c r="F96" i="23"/>
  <c r="B185" i="21"/>
  <c r="I34" i="41"/>
  <c r="C36" i="41"/>
  <c r="I36" i="41" s="1"/>
  <c r="B12" i="41" s="1"/>
  <c r="FB232" i="7"/>
  <c r="E30" i="33"/>
  <c r="V15" i="44"/>
  <c r="V14" i="33"/>
  <c r="CP175" i="7"/>
  <c r="HB153" i="7"/>
  <c r="HF236" i="7"/>
  <c r="I53" i="40"/>
  <c r="HF118" i="7"/>
  <c r="H33" i="33"/>
  <c r="H56" i="40"/>
  <c r="FF288" i="7"/>
  <c r="BY163" i="7"/>
  <c r="O89" i="35"/>
  <c r="J168" i="21"/>
  <c r="HD153" i="7"/>
  <c r="HF169" i="7"/>
  <c r="HF280" i="7"/>
  <c r="CC194" i="7"/>
  <c r="EM194" i="7"/>
  <c r="EM195" i="7" s="1"/>
  <c r="C45" i="33" s="1"/>
  <c r="GZ165" i="7"/>
  <c r="E12" i="21"/>
  <c r="F12" i="21"/>
  <c r="B143" i="23"/>
  <c r="AT11" i="26"/>
  <c r="AT13" i="26"/>
  <c r="AT20" i="26"/>
  <c r="AT10" i="26"/>
  <c r="AT23" i="26"/>
  <c r="AT22" i="26"/>
  <c r="AT9" i="26"/>
  <c r="AT12" i="26"/>
  <c r="AT21" i="26"/>
  <c r="AT24" i="26"/>
  <c r="AT14" i="26"/>
  <c r="AT25" i="26"/>
  <c r="Z148" i="26"/>
  <c r="HF193" i="7"/>
  <c r="G15" i="55"/>
  <c r="BX189" i="7"/>
  <c r="HF160" i="7"/>
  <c r="HF114" i="7"/>
  <c r="CP160" i="7"/>
  <c r="H51" i="41"/>
  <c r="FZ177" i="7"/>
  <c r="F166" i="23"/>
  <c r="HF119" i="7"/>
  <c r="J54" i="21"/>
  <c r="GH62" i="7"/>
  <c r="I54" i="40"/>
  <c r="J5" i="36"/>
  <c r="V15" i="36"/>
  <c r="EG155" i="7"/>
  <c r="FJ82" i="7"/>
  <c r="F181" i="23"/>
  <c r="HF163" i="7"/>
  <c r="CP196" i="7"/>
  <c r="CB198" i="7"/>
  <c r="J110" i="21"/>
  <c r="HC82" i="7"/>
  <c r="FF291" i="7"/>
  <c r="F125" i="23"/>
  <c r="BX153" i="7"/>
  <c r="BY196" i="7"/>
  <c r="J197" i="21"/>
  <c r="HF58" i="7"/>
  <c r="G28" i="44"/>
  <c r="AA13" i="44"/>
  <c r="HF29" i="7"/>
  <c r="CV290" i="7" l="1"/>
  <c r="E14" i="44"/>
  <c r="E14" i="33"/>
  <c r="U14" i="33"/>
  <c r="W14" i="33" s="1"/>
  <c r="F14" i="44"/>
  <c r="X14" i="33"/>
  <c r="Z14" i="33" s="1"/>
  <c r="F14" i="33"/>
  <c r="D14" i="44"/>
  <c r="R14" i="33"/>
  <c r="T14" i="33" s="1"/>
  <c r="D14" i="33"/>
  <c r="L14" i="33"/>
  <c r="N14" i="33" s="1"/>
  <c r="B14" i="33"/>
  <c r="G14" i="44"/>
  <c r="AA14" i="33"/>
  <c r="AC14" i="33" s="1"/>
  <c r="G14" i="33"/>
  <c r="C14" i="44"/>
  <c r="C14" i="33"/>
  <c r="O14" i="33"/>
  <c r="E12" i="44"/>
  <c r="U12" i="33"/>
  <c r="W12" i="33" s="1"/>
  <c r="E12" i="33"/>
  <c r="G12" i="44"/>
  <c r="AA12" i="33"/>
  <c r="AC12" i="33" s="1"/>
  <c r="G12" i="33"/>
  <c r="L12" i="33"/>
  <c r="B12" i="33"/>
  <c r="D12" i="44"/>
  <c r="R12" i="33"/>
  <c r="T12" i="33" s="1"/>
  <c r="D12" i="33"/>
  <c r="DH290" i="7"/>
  <c r="B330" i="25"/>
  <c r="Q3" i="25"/>
  <c r="B101" i="25"/>
  <c r="CX290" i="7"/>
  <c r="B217" i="25"/>
  <c r="B159" i="25"/>
  <c r="B362" i="25"/>
  <c r="B72" i="25"/>
  <c r="B246" i="25"/>
  <c r="B304" i="25"/>
  <c r="B275" i="25"/>
  <c r="B188" i="25"/>
  <c r="G29" i="41"/>
  <c r="G30" i="41" s="1"/>
  <c r="B333" i="25"/>
  <c r="B391" i="25"/>
  <c r="B420" i="25"/>
  <c r="B14" i="25"/>
  <c r="B130" i="25"/>
  <c r="G252" i="23"/>
  <c r="E429" i="56" s="1" a="1"/>
  <c r="E429" i="56" s="1"/>
  <c r="H252" i="23"/>
  <c r="B33" i="56"/>
  <c r="G240" i="23"/>
  <c r="F422" i="56" s="1" a="1"/>
  <c r="F422" i="56" s="1"/>
  <c r="H240" i="23"/>
  <c r="B272" i="25"/>
  <c r="Q14" i="33"/>
  <c r="EM80" i="7"/>
  <c r="G226" i="23"/>
  <c r="E415" i="56" s="1" a="1"/>
  <c r="E415" i="56" s="1"/>
  <c r="H226" i="23"/>
  <c r="CD80" i="7"/>
  <c r="CC80" i="7"/>
  <c r="D428" i="56"/>
  <c r="DZ290" i="7"/>
  <c r="CW290" i="7"/>
  <c r="C414" i="56"/>
  <c r="CS290" i="7"/>
  <c r="AF29" i="44"/>
  <c r="HG211" i="7"/>
  <c r="B243" i="25"/>
  <c r="B388" i="25"/>
  <c r="EA290" i="7"/>
  <c r="B40" i="25"/>
  <c r="D40" i="25" s="1"/>
  <c r="DD290" i="7"/>
  <c r="ED290" i="7"/>
  <c r="E79" i="7"/>
  <c r="CD79" i="7" s="1"/>
  <c r="D414" i="56"/>
  <c r="CG80" i="7"/>
  <c r="CE80" i="7"/>
  <c r="F80" i="7"/>
  <c r="CK80" i="7" s="1"/>
  <c r="E421" i="56"/>
  <c r="EF290" i="7"/>
  <c r="CZ290" i="7"/>
  <c r="L4" i="7"/>
  <c r="CU290" i="7"/>
  <c r="DA290" i="7"/>
  <c r="HG190" i="7"/>
  <c r="DB290" i="7"/>
  <c r="DV290" i="7"/>
  <c r="B11" i="25"/>
  <c r="D11" i="25" s="1"/>
  <c r="J196" i="26"/>
  <c r="X196" i="26" s="1"/>
  <c r="J45" i="26"/>
  <c r="AI45" i="26" s="1"/>
  <c r="DL290" i="7"/>
  <c r="B359" i="25"/>
  <c r="B69" i="25"/>
  <c r="AI195" i="26"/>
  <c r="B185" i="25"/>
  <c r="AI44" i="26"/>
  <c r="B214" i="25"/>
  <c r="EB290" i="7"/>
  <c r="B417" i="25"/>
  <c r="CY290" i="7"/>
  <c r="AI194" i="26"/>
  <c r="X194" i="26"/>
  <c r="Q12" i="33"/>
  <c r="EG156" i="7"/>
  <c r="Z15" i="44"/>
  <c r="DR290" i="7"/>
  <c r="DJ290" i="7"/>
  <c r="X119" i="26"/>
  <c r="HG208" i="7"/>
  <c r="AC13" i="44"/>
  <c r="BY212" i="7"/>
  <c r="HF170" i="7"/>
  <c r="ET4" i="7" s="1"/>
  <c r="AI14" i="26"/>
  <c r="J15" i="26"/>
  <c r="J16" i="26" s="1"/>
  <c r="Q15" i="44"/>
  <c r="CT290" i="7"/>
  <c r="EC290" i="7"/>
  <c r="DK290" i="7"/>
  <c r="T15" i="44"/>
  <c r="Q13" i="44"/>
  <c r="DQ290" i="7"/>
  <c r="DS291" i="7"/>
  <c r="DP290" i="7"/>
  <c r="DG290" i="7"/>
  <c r="J120" i="26"/>
  <c r="J121" i="26" s="1"/>
  <c r="J75" i="26"/>
  <c r="J76" i="26" s="1"/>
  <c r="AI74" i="26"/>
  <c r="C29" i="41"/>
  <c r="C30" i="41" s="1"/>
  <c r="AS11" i="26"/>
  <c r="HG164" i="7"/>
  <c r="DC290" i="7"/>
  <c r="CP188" i="7"/>
  <c r="CP189" i="7" s="1"/>
  <c r="BT291" i="7"/>
  <c r="CP212" i="7"/>
  <c r="CP213" i="7" s="1"/>
  <c r="DO290" i="7"/>
  <c r="B129" i="25"/>
  <c r="BP156" i="7"/>
  <c r="BP291" i="7"/>
  <c r="CP162" i="7"/>
  <c r="B274" i="25"/>
  <c r="DM290" i="7"/>
  <c r="BV291" i="7"/>
  <c r="DW290" i="7"/>
  <c r="CC165" i="7"/>
  <c r="B158" i="25"/>
  <c r="B245" i="25"/>
  <c r="ES213" i="7"/>
  <c r="B390" i="25"/>
  <c r="B42" i="25"/>
  <c r="CP206" i="7"/>
  <c r="CP207" i="7" s="1"/>
  <c r="B187" i="25"/>
  <c r="DS288" i="7"/>
  <c r="B71" i="25"/>
  <c r="B157" i="25"/>
  <c r="FJ288" i="7"/>
  <c r="BH291" i="7"/>
  <c r="B302" i="25"/>
  <c r="AI134" i="26"/>
  <c r="B331" i="25"/>
  <c r="DI290" i="7"/>
  <c r="AS12" i="26"/>
  <c r="R4" i="21"/>
  <c r="BY200" i="7"/>
  <c r="W15" i="44"/>
  <c r="B244" i="25"/>
  <c r="B128" i="25"/>
  <c r="B156" i="25"/>
  <c r="B273" i="25"/>
  <c r="BU287" i="7"/>
  <c r="DY290" i="7"/>
  <c r="J192" i="7"/>
  <c r="O110" i="35" s="1"/>
  <c r="B41" i="25"/>
  <c r="E31" i="44"/>
  <c r="B98" i="25"/>
  <c r="DX290" i="7"/>
  <c r="B389" i="25"/>
  <c r="DS156" i="7"/>
  <c r="J186" i="7"/>
  <c r="BY186" i="7" s="1"/>
  <c r="AJ291" i="7"/>
  <c r="EW286" i="7"/>
  <c r="HA286" i="7" s="1"/>
  <c r="DE156" i="7"/>
  <c r="CP177" i="7"/>
  <c r="J135" i="26"/>
  <c r="X135" i="26" s="1"/>
  <c r="K198" i="7"/>
  <c r="DN290" i="7"/>
  <c r="B215" i="25"/>
  <c r="HG175" i="7"/>
  <c r="ER212" i="7"/>
  <c r="HG212" i="7" s="1"/>
  <c r="B70" i="25"/>
  <c r="R3" i="23"/>
  <c r="B360" i="25"/>
  <c r="CP209" i="7"/>
  <c r="CP210" i="7" s="1"/>
  <c r="B186" i="25"/>
  <c r="T288" i="7"/>
  <c r="B301" i="25"/>
  <c r="EW291" i="7"/>
  <c r="HA291" i="7" s="1"/>
  <c r="CC210" i="7"/>
  <c r="B127" i="25"/>
  <c r="BU291" i="7"/>
  <c r="GX288" i="7"/>
  <c r="U13" i="26"/>
  <c r="G14" i="26"/>
  <c r="U14" i="26" s="1"/>
  <c r="FB214" i="7"/>
  <c r="FB287" i="7" s="1"/>
  <c r="BW291" i="7"/>
  <c r="CP197" i="7"/>
  <c r="CP198" i="7" s="1"/>
  <c r="CC198" i="7"/>
  <c r="E214" i="7"/>
  <c r="I42" i="54" s="1"/>
  <c r="GX156" i="7"/>
  <c r="I28" i="41"/>
  <c r="E42" i="44"/>
  <c r="HF165" i="7"/>
  <c r="ET3" i="7" s="1"/>
  <c r="B361" i="25"/>
  <c r="B216" i="25"/>
  <c r="B419" i="25"/>
  <c r="B303" i="25"/>
  <c r="B332" i="25"/>
  <c r="B13" i="25"/>
  <c r="X179" i="26"/>
  <c r="J180" i="26"/>
  <c r="AI179" i="26"/>
  <c r="HE291" i="7"/>
  <c r="DE286" i="7"/>
  <c r="DE288" i="7" s="1"/>
  <c r="DE291" i="7"/>
  <c r="HF228" i="7"/>
  <c r="H51" i="33"/>
  <c r="K213" i="7"/>
  <c r="I23" i="40"/>
  <c r="B12" i="40" s="1"/>
  <c r="HG161" i="7"/>
  <c r="EP204" i="7"/>
  <c r="F48" i="33" s="1"/>
  <c r="F31" i="44"/>
  <c r="CC189" i="7"/>
  <c r="F42" i="44"/>
  <c r="AB291" i="7"/>
  <c r="F29" i="41"/>
  <c r="F30" i="41" s="1"/>
  <c r="AE14" i="33"/>
  <c r="HF153" i="7"/>
  <c r="ER194" i="7"/>
  <c r="HG194" i="7" s="1"/>
  <c r="P3" i="26"/>
  <c r="CH207" i="7"/>
  <c r="AE13" i="33"/>
  <c r="EP186" i="7"/>
  <c r="F42" i="33" s="1"/>
  <c r="HG163" i="7"/>
  <c r="HG205" i="7"/>
  <c r="HG176" i="7"/>
  <c r="H29" i="33"/>
  <c r="F111" i="23"/>
  <c r="ER197" i="7"/>
  <c r="HG197" i="7" s="1"/>
  <c r="AE14" i="44"/>
  <c r="BP288" i="7"/>
  <c r="GP288" i="7"/>
  <c r="EE290" i="7"/>
  <c r="GX291" i="7"/>
  <c r="HF186" i="7"/>
  <c r="BS287" i="7"/>
  <c r="J105" i="26"/>
  <c r="X104" i="26"/>
  <c r="AI104" i="26"/>
  <c r="B99" i="25"/>
  <c r="Z12" i="33"/>
  <c r="J204" i="7"/>
  <c r="BY204" i="7" s="1"/>
  <c r="B418" i="25"/>
  <c r="FZ288" i="7"/>
  <c r="FJ291" i="7"/>
  <c r="FZ291" i="7"/>
  <c r="Z13" i="44"/>
  <c r="DU290" i="7"/>
  <c r="GH288" i="7"/>
  <c r="AS10" i="26"/>
  <c r="F97" i="23"/>
  <c r="J154" i="21"/>
  <c r="AE13" i="44"/>
  <c r="AT26" i="26"/>
  <c r="EX286" i="7"/>
  <c r="HB285" i="7"/>
  <c r="EX291" i="7"/>
  <c r="HB291" i="7" s="1"/>
  <c r="M16" i="44"/>
  <c r="M16" i="33"/>
  <c r="BX285" i="7"/>
  <c r="B32" i="33"/>
  <c r="AB287" i="7"/>
  <c r="AB288" i="7"/>
  <c r="C31" i="33"/>
  <c r="P31" i="44"/>
  <c r="HF177" i="7"/>
  <c r="HG184" i="7"/>
  <c r="BY194" i="7"/>
  <c r="J195" i="7"/>
  <c r="K210" i="7"/>
  <c r="F29" i="23"/>
  <c r="EM198" i="7"/>
  <c r="F167" i="23"/>
  <c r="C18" i="21"/>
  <c r="Q11" i="35" s="1"/>
  <c r="E17" i="21"/>
  <c r="F18" i="21" s="1"/>
  <c r="R11" i="35" s="1"/>
  <c r="GH291" i="7"/>
  <c r="J150" i="26"/>
  <c r="AI149" i="26"/>
  <c r="X149" i="26"/>
  <c r="EL214" i="7"/>
  <c r="G32" i="33"/>
  <c r="AB16" i="33"/>
  <c r="AB16" i="44"/>
  <c r="H45" i="33"/>
  <c r="K195" i="7"/>
  <c r="BY209" i="7"/>
  <c r="J210" i="7"/>
  <c r="F17" i="21"/>
  <c r="I11" i="55"/>
  <c r="BW286" i="7"/>
  <c r="S288" i="7"/>
  <c r="ER188" i="7"/>
  <c r="HG188" i="7" s="1"/>
  <c r="AB17" i="26"/>
  <c r="AS14" i="26"/>
  <c r="D80" i="7"/>
  <c r="D80" i="45"/>
  <c r="E80" i="45" s="1"/>
  <c r="ER209" i="7"/>
  <c r="EM210" i="7"/>
  <c r="CC192" i="7"/>
  <c r="CP191" i="7"/>
  <c r="CP192" i="7" s="1"/>
  <c r="W31" i="36"/>
  <c r="Y31" i="36" s="1"/>
  <c r="K3" i="7"/>
  <c r="F83" i="23"/>
  <c r="J189" i="7"/>
  <c r="K192" i="7"/>
  <c r="E31" i="33"/>
  <c r="V31" i="44"/>
  <c r="F140" i="23"/>
  <c r="BY165" i="7"/>
  <c r="D30" i="41"/>
  <c r="I26" i="41"/>
  <c r="X30" i="26"/>
  <c r="J31" i="26"/>
  <c r="AI30" i="26"/>
  <c r="BS291" i="7"/>
  <c r="ER177" i="7"/>
  <c r="J11" i="55" s="1"/>
  <c r="HG173" i="7"/>
  <c r="GZ285" i="7"/>
  <c r="EV286" i="7"/>
  <c r="HF192" i="7"/>
  <c r="J55" i="21"/>
  <c r="HG199" i="7"/>
  <c r="B12" i="44"/>
  <c r="ES165" i="7"/>
  <c r="EG286" i="7"/>
  <c r="EG288" i="7" s="1"/>
  <c r="EG291" i="7"/>
  <c r="W44" i="36"/>
  <c r="Y44" i="36" s="1"/>
  <c r="L3" i="7"/>
  <c r="P288" i="7"/>
  <c r="BT288" i="7" s="1"/>
  <c r="BT286" i="7"/>
  <c r="N13" i="44"/>
  <c r="AD13" i="44"/>
  <c r="ES177" i="7"/>
  <c r="B14" i="44"/>
  <c r="Y16" i="33"/>
  <c r="F32" i="33"/>
  <c r="Y16" i="44"/>
  <c r="HG187" i="7"/>
  <c r="Y12" i="21"/>
  <c r="N12" i="21"/>
  <c r="O12" i="21"/>
  <c r="J98" i="21"/>
  <c r="FR291" i="7"/>
  <c r="H30" i="41"/>
  <c r="FR288" i="7"/>
  <c r="HD214" i="7"/>
  <c r="EZ287" i="7"/>
  <c r="HD287" i="7" s="1"/>
  <c r="AD15" i="44"/>
  <c r="N15" i="44"/>
  <c r="AJ288" i="7"/>
  <c r="EN214" i="7"/>
  <c r="BV286" i="7"/>
  <c r="R288" i="7"/>
  <c r="BV288" i="7" s="1"/>
  <c r="B52" i="33"/>
  <c r="F13" i="23"/>
  <c r="D14" i="45"/>
  <c r="I14" i="45"/>
  <c r="D14" i="7"/>
  <c r="K189" i="7"/>
  <c r="HG193" i="7"/>
  <c r="CP194" i="7"/>
  <c r="CP195" i="7" s="1"/>
  <c r="CC195" i="7"/>
  <c r="GZ291" i="7"/>
  <c r="ES207" i="7"/>
  <c r="H30" i="44"/>
  <c r="HF189" i="7"/>
  <c r="BR291" i="7"/>
  <c r="T291" i="7"/>
  <c r="ER185" i="7"/>
  <c r="HG185" i="7" s="1"/>
  <c r="ES189" i="7"/>
  <c r="F214" i="7"/>
  <c r="L13" i="21"/>
  <c r="K13" i="21"/>
  <c r="E40" i="56" s="1" a="1"/>
  <c r="E40" i="56" s="1"/>
  <c r="C6" i="51"/>
  <c r="J14" i="21"/>
  <c r="B7" i="51" s="1"/>
  <c r="H4" i="51"/>
  <c r="D29" i="7"/>
  <c r="I29" i="45"/>
  <c r="J29" i="45" s="1"/>
  <c r="D29" i="45"/>
  <c r="E29" i="45" s="1"/>
  <c r="F57" i="23"/>
  <c r="HE214" i="7"/>
  <c r="FA287" i="7"/>
  <c r="HE287" i="7" s="1"/>
  <c r="X209" i="26"/>
  <c r="J210" i="26"/>
  <c r="AI209" i="26"/>
  <c r="J225" i="26"/>
  <c r="X224" i="26"/>
  <c r="AI224" i="26"/>
  <c r="H68" i="33"/>
  <c r="CH186" i="7"/>
  <c r="J69" i="21"/>
  <c r="BY201" i="7"/>
  <c r="O113" i="35"/>
  <c r="E81" i="7"/>
  <c r="CB81" i="7"/>
  <c r="EL81" i="7"/>
  <c r="EM204" i="7"/>
  <c r="C48" i="33" s="1"/>
  <c r="ER203" i="7"/>
  <c r="HG203" i="7" s="1"/>
  <c r="J198" i="21"/>
  <c r="M12" i="21"/>
  <c r="I12" i="21"/>
  <c r="D5" i="51" s="1"/>
  <c r="EM186" i="7"/>
  <c r="C42" i="33" s="1"/>
  <c r="C31" i="44"/>
  <c r="I64" i="40"/>
  <c r="G214" i="7"/>
  <c r="AI164" i="26"/>
  <c r="J165" i="26"/>
  <c r="X164" i="26"/>
  <c r="AT15" i="26"/>
  <c r="J125" i="21"/>
  <c r="K204" i="7"/>
  <c r="J210" i="21"/>
  <c r="ER200" i="7"/>
  <c r="HG200" i="7" s="1"/>
  <c r="F41" i="23"/>
  <c r="I214" i="7"/>
  <c r="AA30" i="44"/>
  <c r="AC30" i="44" s="1"/>
  <c r="K186" i="7"/>
  <c r="C42" i="44"/>
  <c r="G42" i="44"/>
  <c r="EQ186" i="7"/>
  <c r="G31" i="44"/>
  <c r="F209" i="23"/>
  <c r="D42" i="44"/>
  <c r="I7" i="54"/>
  <c r="L31" i="44"/>
  <c r="AB16" i="26"/>
  <c r="I51" i="41"/>
  <c r="F154" i="23"/>
  <c r="HG202" i="7"/>
  <c r="B11" i="40"/>
  <c r="I24" i="40"/>
  <c r="CB214" i="7"/>
  <c r="HA214" i="7"/>
  <c r="EW287" i="7"/>
  <c r="HA287" i="7" s="1"/>
  <c r="S16" i="44"/>
  <c r="S16" i="33"/>
  <c r="D32" i="33"/>
  <c r="CB165" i="7"/>
  <c r="CP159" i="7"/>
  <c r="EM192" i="7"/>
  <c r="ER191" i="7"/>
  <c r="J169" i="21"/>
  <c r="B218" i="25"/>
  <c r="B102" i="25"/>
  <c r="B247" i="25"/>
  <c r="B421" i="25"/>
  <c r="B189" i="25"/>
  <c r="B131" i="25"/>
  <c r="B392" i="25"/>
  <c r="B160" i="25"/>
  <c r="B44" i="25"/>
  <c r="B15" i="25"/>
  <c r="B305" i="25"/>
  <c r="B276" i="25"/>
  <c r="B73" i="25"/>
  <c r="B334" i="25"/>
  <c r="B363" i="25"/>
  <c r="AE15" i="44"/>
  <c r="EY286" i="7"/>
  <c r="HC285" i="7"/>
  <c r="EY291" i="7"/>
  <c r="HC291" i="7" s="1"/>
  <c r="HG196" i="7"/>
  <c r="HG174" i="7"/>
  <c r="D31" i="44"/>
  <c r="BY177" i="7"/>
  <c r="N30" i="44"/>
  <c r="H30" i="33"/>
  <c r="HG160" i="7"/>
  <c r="HE285" i="7"/>
  <c r="FA286" i="7"/>
  <c r="H28" i="44"/>
  <c r="F195" i="23"/>
  <c r="H49" i="33"/>
  <c r="K207" i="7"/>
  <c r="CP203" i="7"/>
  <c r="CP204" i="7" s="1"/>
  <c r="CC204" i="7"/>
  <c r="J84" i="21"/>
  <c r="HB214" i="7"/>
  <c r="EX287" i="7"/>
  <c r="HB287" i="7" s="1"/>
  <c r="ES201" i="7"/>
  <c r="HD285" i="7"/>
  <c r="EZ286" i="7"/>
  <c r="EZ291" i="7"/>
  <c r="HD291" i="7" s="1"/>
  <c r="V16" i="33"/>
  <c r="V16" i="44"/>
  <c r="E32" i="33"/>
  <c r="F71" i="23"/>
  <c r="BY206" i="7"/>
  <c r="J207" i="7"/>
  <c r="F227" i="23"/>
  <c r="F253" i="23"/>
  <c r="J111" i="21"/>
  <c r="F182" i="23"/>
  <c r="G31" i="33"/>
  <c r="AB31" i="44"/>
  <c r="H47" i="33"/>
  <c r="K201" i="7"/>
  <c r="D31" i="33"/>
  <c r="S31" i="44"/>
  <c r="HG159" i="7"/>
  <c r="ER165" i="7"/>
  <c r="BH288" i="7"/>
  <c r="HF82" i="7"/>
  <c r="BU286" i="7"/>
  <c r="Q288" i="7"/>
  <c r="ER206" i="7"/>
  <c r="J181" i="21"/>
  <c r="BR286" i="7"/>
  <c r="N288" i="7"/>
  <c r="HC214" i="7"/>
  <c r="EY287" i="7"/>
  <c r="HC287" i="7" s="1"/>
  <c r="T13" i="44"/>
  <c r="F241" i="23"/>
  <c r="AI59" i="26"/>
  <c r="J60" i="26"/>
  <c r="X59" i="26"/>
  <c r="CP200" i="7"/>
  <c r="CP201" i="7" s="1"/>
  <c r="ES195" i="7"/>
  <c r="CM186" i="7"/>
  <c r="CM214" i="7" s="1"/>
  <c r="HF133" i="7"/>
  <c r="BP293" i="7"/>
  <c r="AR291" i="7"/>
  <c r="HG180" i="7"/>
  <c r="E29" i="41"/>
  <c r="E30" i="41" s="1"/>
  <c r="F126" i="23"/>
  <c r="FB285" i="7"/>
  <c r="FB286" i="7" s="1"/>
  <c r="J42" i="21"/>
  <c r="P16" i="33"/>
  <c r="C32" i="33"/>
  <c r="P16" i="44"/>
  <c r="CP185" i="7"/>
  <c r="CP186" i="7" s="1"/>
  <c r="W13" i="44"/>
  <c r="B132" i="25"/>
  <c r="B248" i="25"/>
  <c r="B277" i="25"/>
  <c r="B45" i="25"/>
  <c r="B364" i="25"/>
  <c r="B422" i="25"/>
  <c r="B335" i="25"/>
  <c r="B74" i="25"/>
  <c r="B219" i="25"/>
  <c r="B161" i="25"/>
  <c r="B393" i="25"/>
  <c r="B16" i="25"/>
  <c r="B190" i="25"/>
  <c r="B103" i="25"/>
  <c r="B306" i="25"/>
  <c r="O288" i="7"/>
  <c r="BS286" i="7"/>
  <c r="GP291" i="7"/>
  <c r="BX214" i="7"/>
  <c r="L5" i="7" s="1"/>
  <c r="B31" i="33"/>
  <c r="M31" i="44"/>
  <c r="J28" i="21"/>
  <c r="EO186" i="7"/>
  <c r="AR288" i="7"/>
  <c r="Y31" i="44"/>
  <c r="F31" i="33"/>
  <c r="BR287" i="7"/>
  <c r="HF62" i="7"/>
  <c r="I56" i="40"/>
  <c r="H28" i="33"/>
  <c r="AI89" i="26"/>
  <c r="X89" i="26"/>
  <c r="J90" i="26"/>
  <c r="I79" i="45"/>
  <c r="D79" i="7"/>
  <c r="D79" i="45"/>
  <c r="X30" i="44"/>
  <c r="Z30" i="44" s="1"/>
  <c r="H214" i="7"/>
  <c r="AZ288" i="7"/>
  <c r="J198" i="7"/>
  <c r="GZ214" i="7"/>
  <c r="EV287" i="7"/>
  <c r="GZ287" i="7" s="1"/>
  <c r="I15" i="26"/>
  <c r="W14" i="26"/>
  <c r="AH14" i="26"/>
  <c r="AE12" i="33"/>
  <c r="AZ291" i="7"/>
  <c r="BY213" i="7"/>
  <c r="O117" i="35"/>
  <c r="AD14" i="33" l="1"/>
  <c r="H14" i="33"/>
  <c r="C306" i="56" a="1"/>
  <c r="C306" i="56" s="1"/>
  <c r="D46" i="25"/>
  <c r="H12" i="44"/>
  <c r="H14" i="44"/>
  <c r="H48" i="33"/>
  <c r="ES210" i="7"/>
  <c r="C50" i="33"/>
  <c r="H50" i="33" s="1"/>
  <c r="ES198" i="7"/>
  <c r="C46" i="33"/>
  <c r="H46" i="33" s="1"/>
  <c r="ES192" i="7"/>
  <c r="C44" i="33"/>
  <c r="H44" i="33" s="1"/>
  <c r="EO214" i="7"/>
  <c r="E42" i="33"/>
  <c r="E52" i="33" s="1"/>
  <c r="EQ214" i="7"/>
  <c r="G42" i="33"/>
  <c r="G52" i="33" s="1"/>
  <c r="D15" i="44"/>
  <c r="R15" i="33"/>
  <c r="T15" i="33" s="1"/>
  <c r="D15" i="33"/>
  <c r="L15" i="33"/>
  <c r="N15" i="33" s="1"/>
  <c r="B15" i="33"/>
  <c r="H12" i="33"/>
  <c r="I28" i="33" s="1"/>
  <c r="AD12" i="33"/>
  <c r="AF12" i="33" s="1"/>
  <c r="N12" i="33"/>
  <c r="C298" i="56" a="1"/>
  <c r="C298" i="56" s="1"/>
  <c r="D17" i="25"/>
  <c r="G253" i="23"/>
  <c r="F429" i="56" s="1" a="1"/>
  <c r="F429" i="56" s="1"/>
  <c r="H253" i="23"/>
  <c r="G241" i="23"/>
  <c r="G422" i="56" s="1" a="1"/>
  <c r="G422" i="56" s="1"/>
  <c r="H241" i="23"/>
  <c r="G227" i="23"/>
  <c r="F415" i="56" s="1" a="1"/>
  <c r="F415" i="56" s="1"/>
  <c r="H227" i="23"/>
  <c r="CF79" i="7"/>
  <c r="EM79" i="7"/>
  <c r="CC79" i="7"/>
  <c r="CG79" i="7"/>
  <c r="C421" i="56"/>
  <c r="E414" i="56"/>
  <c r="J46" i="26"/>
  <c r="X46" i="26" s="1"/>
  <c r="X45" i="26"/>
  <c r="EG290" i="7"/>
  <c r="EG292" i="7" s="1"/>
  <c r="CI80" i="7"/>
  <c r="CE79" i="7"/>
  <c r="EN80" i="7"/>
  <c r="CH80" i="7"/>
  <c r="CJ80" i="7"/>
  <c r="CL80" i="7"/>
  <c r="E82" i="7"/>
  <c r="ES204" i="7"/>
  <c r="F81" i="7"/>
  <c r="CL81" i="7" s="1"/>
  <c r="E428" i="56"/>
  <c r="G80" i="7"/>
  <c r="CO80" i="7" s="1"/>
  <c r="F421" i="56"/>
  <c r="AI196" i="26"/>
  <c r="J197" i="26"/>
  <c r="AI197" i="26" s="1"/>
  <c r="BY192" i="7"/>
  <c r="O108" i="35"/>
  <c r="AI15" i="26"/>
  <c r="X15" i="26"/>
  <c r="K214" i="7"/>
  <c r="O31" i="44"/>
  <c r="Q31" i="44" s="1"/>
  <c r="B220" i="25"/>
  <c r="ER189" i="7"/>
  <c r="HG189" i="7" s="1"/>
  <c r="DS290" i="7"/>
  <c r="DS292" i="7" s="1"/>
  <c r="ER195" i="7"/>
  <c r="HG195" i="7" s="1"/>
  <c r="ER198" i="7"/>
  <c r="HG198" i="7" s="1"/>
  <c r="X120" i="26"/>
  <c r="X75" i="26"/>
  <c r="AI75" i="26"/>
  <c r="AI120" i="26"/>
  <c r="AI135" i="26"/>
  <c r="J136" i="26"/>
  <c r="X136" i="26" s="1"/>
  <c r="B365" i="25"/>
  <c r="B17" i="25"/>
  <c r="AF14" i="33"/>
  <c r="ER213" i="7"/>
  <c r="HG213" i="7" s="1"/>
  <c r="B133" i="25"/>
  <c r="B75" i="25"/>
  <c r="H42" i="44"/>
  <c r="DE290" i="7"/>
  <c r="DE292" i="7" s="1"/>
  <c r="EW288" i="7"/>
  <c r="HA288" i="7" s="1"/>
  <c r="AJ14" i="26"/>
  <c r="G15" i="26"/>
  <c r="U15" i="26" s="1"/>
  <c r="BX291" i="7"/>
  <c r="B104" i="25"/>
  <c r="FB288" i="7"/>
  <c r="B46" i="25"/>
  <c r="F52" i="33"/>
  <c r="O114" i="35"/>
  <c r="B307" i="25"/>
  <c r="B191" i="25"/>
  <c r="B394" i="25"/>
  <c r="X105" i="26"/>
  <c r="AI105" i="26"/>
  <c r="J106" i="26"/>
  <c r="B336" i="25"/>
  <c r="CH214" i="7"/>
  <c r="B423" i="25"/>
  <c r="B278" i="25"/>
  <c r="BX287" i="7"/>
  <c r="B249" i="25"/>
  <c r="CC214" i="7"/>
  <c r="B162" i="25"/>
  <c r="HG177" i="7"/>
  <c r="F112" i="23"/>
  <c r="AD30" i="44"/>
  <c r="AF30" i="44" s="1"/>
  <c r="H32" i="33"/>
  <c r="AE16" i="33"/>
  <c r="H31" i="44"/>
  <c r="EP214" i="7"/>
  <c r="X180" i="26"/>
  <c r="AI180" i="26"/>
  <c r="J181" i="26"/>
  <c r="D52" i="33"/>
  <c r="I29" i="41"/>
  <c r="I30" i="41" s="1"/>
  <c r="B11" i="41" s="1"/>
  <c r="B9" i="41" s="1"/>
  <c r="EZ288" i="7"/>
  <c r="HD288" i="7" s="1"/>
  <c r="HD286" i="7"/>
  <c r="J43" i="21"/>
  <c r="HG191" i="7"/>
  <c r="ER192" i="7"/>
  <c r="HG192" i="7" s="1"/>
  <c r="EL14" i="7"/>
  <c r="J56" i="21"/>
  <c r="EL80" i="7"/>
  <c r="CB80" i="7"/>
  <c r="F98" i="23"/>
  <c r="AI90" i="26"/>
  <c r="J91" i="26"/>
  <c r="X90" i="26"/>
  <c r="I112" i="54"/>
  <c r="U31" i="44"/>
  <c r="W31" i="44" s="1"/>
  <c r="ES310" i="7"/>
  <c r="K310" i="7"/>
  <c r="AE31" i="44"/>
  <c r="BY210" i="7"/>
  <c r="O116" i="35"/>
  <c r="H31" i="33"/>
  <c r="J7" i="55"/>
  <c r="K7" i="55" s="1"/>
  <c r="ES3" i="7"/>
  <c r="F79" i="7"/>
  <c r="J126" i="21"/>
  <c r="ER186" i="7"/>
  <c r="HG165" i="7"/>
  <c r="ER201" i="7"/>
  <c r="HG201" i="7" s="1"/>
  <c r="HF287" i="7"/>
  <c r="J29" i="21"/>
  <c r="J112" i="21"/>
  <c r="EM214" i="7"/>
  <c r="Y17" i="44"/>
  <c r="Y17" i="33"/>
  <c r="AF13" i="44"/>
  <c r="M13" i="21"/>
  <c r="I13" i="21"/>
  <c r="D6" i="51" s="1"/>
  <c r="J61" i="26"/>
  <c r="AI60" i="26"/>
  <c r="X60" i="26"/>
  <c r="I82" i="45"/>
  <c r="J79" i="45"/>
  <c r="J82" i="45" s="1"/>
  <c r="AI165" i="26"/>
  <c r="J166" i="26"/>
  <c r="X165" i="26"/>
  <c r="AI16" i="26"/>
  <c r="X16" i="26"/>
  <c r="J17" i="26"/>
  <c r="E14" i="45"/>
  <c r="F183" i="23"/>
  <c r="AI31" i="26"/>
  <c r="J32" i="26"/>
  <c r="X31" i="26"/>
  <c r="ES186" i="7"/>
  <c r="F168" i="23"/>
  <c r="HF291" i="7"/>
  <c r="I30" i="33"/>
  <c r="X225" i="26"/>
  <c r="J226" i="26"/>
  <c r="AI225" i="26"/>
  <c r="N31" i="44"/>
  <c r="HF214" i="7"/>
  <c r="ET5" i="7" s="1"/>
  <c r="F141" i="23"/>
  <c r="BR288" i="7"/>
  <c r="C30" i="40"/>
  <c r="I182" i="54"/>
  <c r="AA31" i="44"/>
  <c r="AC31" i="44" s="1"/>
  <c r="S17" i="44"/>
  <c r="S17" i="33"/>
  <c r="F210" i="23"/>
  <c r="EV288" i="7"/>
  <c r="GZ288" i="7" s="1"/>
  <c r="GZ286" i="7"/>
  <c r="BW288" i="7"/>
  <c r="H30" i="40"/>
  <c r="B15" i="44"/>
  <c r="D82" i="45"/>
  <c r="F82" i="45" s="1"/>
  <c r="E79" i="45"/>
  <c r="E82" i="45" s="1"/>
  <c r="J170" i="21"/>
  <c r="BU288" i="7"/>
  <c r="F30" i="40"/>
  <c r="H5" i="51"/>
  <c r="E29" i="7"/>
  <c r="EM29" i="7" s="1"/>
  <c r="CG29" i="7"/>
  <c r="CF29" i="7"/>
  <c r="CP214" i="7"/>
  <c r="F42" i="23"/>
  <c r="BY198" i="7"/>
  <c r="O112" i="35"/>
  <c r="J85" i="21"/>
  <c r="F196" i="23"/>
  <c r="J211" i="21"/>
  <c r="AF15" i="44"/>
  <c r="HF285" i="7"/>
  <c r="O13" i="21"/>
  <c r="Y13" i="21"/>
  <c r="N13" i="21"/>
  <c r="BY189" i="7"/>
  <c r="O109" i="35"/>
  <c r="AE16" i="44"/>
  <c r="F155" i="23"/>
  <c r="F228" i="23"/>
  <c r="F127" i="23"/>
  <c r="F14" i="23"/>
  <c r="J182" i="21"/>
  <c r="CP165" i="7"/>
  <c r="ER204" i="7"/>
  <c r="HG204" i="7" s="1"/>
  <c r="X76" i="26"/>
  <c r="AI76" i="26"/>
  <c r="J77" i="26"/>
  <c r="AH15" i="26"/>
  <c r="I16" i="26"/>
  <c r="W15" i="26"/>
  <c r="EY288" i="7"/>
  <c r="HC288" i="7" s="1"/>
  <c r="HC286" i="7"/>
  <c r="I77" i="54"/>
  <c r="R31" i="44"/>
  <c r="T31" i="44" s="1"/>
  <c r="F72" i="23"/>
  <c r="J14" i="45"/>
  <c r="X210" i="26"/>
  <c r="AI210" i="26"/>
  <c r="J211" i="26"/>
  <c r="FA288" i="7"/>
  <c r="HE288" i="7" s="1"/>
  <c r="HE286" i="7"/>
  <c r="I147" i="54"/>
  <c r="X31" i="44"/>
  <c r="Z31" i="44" s="1"/>
  <c r="J70" i="21"/>
  <c r="BY207" i="7"/>
  <c r="O115" i="35"/>
  <c r="J99" i="21"/>
  <c r="HG209" i="7"/>
  <c r="ER210" i="7"/>
  <c r="HG210" i="7" s="1"/>
  <c r="K11" i="55"/>
  <c r="X150" i="26"/>
  <c r="AI150" i="26"/>
  <c r="J151" i="26"/>
  <c r="CB79" i="7"/>
  <c r="EL79" i="7"/>
  <c r="D82" i="7"/>
  <c r="O111" i="35"/>
  <c r="BY195" i="7"/>
  <c r="H43" i="33"/>
  <c r="F242" i="23"/>
  <c r="J122" i="26"/>
  <c r="AI121" i="26"/>
  <c r="X121" i="26"/>
  <c r="J155" i="21"/>
  <c r="CF81" i="7"/>
  <c r="CG81" i="7"/>
  <c r="CD81" i="7"/>
  <c r="CD82" i="7" s="1"/>
  <c r="CC81" i="7"/>
  <c r="CE81" i="7"/>
  <c r="EM81" i="7"/>
  <c r="CD14" i="7"/>
  <c r="E14" i="7"/>
  <c r="CE14" i="7"/>
  <c r="CC14" i="7"/>
  <c r="CG14" i="7"/>
  <c r="CF14" i="7"/>
  <c r="F84" i="23"/>
  <c r="EX288" i="7"/>
  <c r="HB288" i="7" s="1"/>
  <c r="HB286" i="7"/>
  <c r="F58" i="23"/>
  <c r="BS288" i="7"/>
  <c r="D30" i="40"/>
  <c r="BX286" i="7"/>
  <c r="F254" i="23"/>
  <c r="HG206" i="7"/>
  <c r="ER207" i="7"/>
  <c r="HG207" i="7" s="1"/>
  <c r="G30" i="40"/>
  <c r="CB29" i="7"/>
  <c r="EL29" i="7"/>
  <c r="L14" i="21"/>
  <c r="J15" i="21"/>
  <c r="B8" i="51" s="1"/>
  <c r="K14" i="21"/>
  <c r="F40" i="56" s="1" a="1"/>
  <c r="F40" i="56" s="1"/>
  <c r="C7" i="51"/>
  <c r="FB291" i="7"/>
  <c r="J214" i="7"/>
  <c r="F30" i="23"/>
  <c r="E30" i="40"/>
  <c r="C52" i="33" l="1"/>
  <c r="F15" i="44"/>
  <c r="F15" i="33"/>
  <c r="X15" i="33"/>
  <c r="Z15" i="33" s="1"/>
  <c r="G15" i="44"/>
  <c r="AA15" i="33"/>
  <c r="AC15" i="33" s="1"/>
  <c r="G15" i="33"/>
  <c r="C15" i="44"/>
  <c r="O15" i="33"/>
  <c r="Q15" i="33" s="1"/>
  <c r="C15" i="33"/>
  <c r="H42" i="33"/>
  <c r="H52" i="33" s="1"/>
  <c r="E15" i="44"/>
  <c r="U15" i="33"/>
  <c r="W15" i="33" s="1"/>
  <c r="E15" i="33"/>
  <c r="G242" i="23"/>
  <c r="H422" i="56" s="1" a="1"/>
  <c r="H422" i="56" s="1"/>
  <c r="H242" i="23"/>
  <c r="G254" i="23"/>
  <c r="G429" i="56" s="1" a="1"/>
  <c r="G429" i="56" s="1"/>
  <c r="H254" i="23"/>
  <c r="AI46" i="26"/>
  <c r="J47" i="26"/>
  <c r="AI47" i="26" s="1"/>
  <c r="H228" i="23"/>
  <c r="G228" i="23"/>
  <c r="G415" i="56" s="1" a="1"/>
  <c r="G415" i="56" s="1"/>
  <c r="EM82" i="7"/>
  <c r="F24" i="52" s="1"/>
  <c r="CC82" i="7"/>
  <c r="CG82" i="7"/>
  <c r="CF82" i="7"/>
  <c r="CE82" i="7"/>
  <c r="F428" i="56"/>
  <c r="G421" i="56"/>
  <c r="F414" i="56"/>
  <c r="EO80" i="7"/>
  <c r="CN80" i="7"/>
  <c r="CM80" i="7"/>
  <c r="CI81" i="7"/>
  <c r="EN81" i="7"/>
  <c r="CJ81" i="7"/>
  <c r="CK81" i="7"/>
  <c r="CH81" i="7"/>
  <c r="X197" i="26"/>
  <c r="AI136" i="26"/>
  <c r="J137" i="26"/>
  <c r="AI137" i="26" s="1"/>
  <c r="G16" i="26"/>
  <c r="G17" i="26" s="1"/>
  <c r="AJ15" i="26"/>
  <c r="ES214" i="7"/>
  <c r="F113" i="23"/>
  <c r="J107" i="26"/>
  <c r="X106" i="26"/>
  <c r="AI106" i="26"/>
  <c r="G23" i="55"/>
  <c r="AI181" i="26"/>
  <c r="X181" i="26"/>
  <c r="J182" i="26"/>
  <c r="EM14" i="7"/>
  <c r="M17" i="44"/>
  <c r="BX288" i="7"/>
  <c r="M17" i="33"/>
  <c r="L33" i="33"/>
  <c r="W10" i="36"/>
  <c r="AI122" i="26"/>
  <c r="X122" i="26"/>
  <c r="HF288" i="7"/>
  <c r="ET6" i="7" s="1"/>
  <c r="I17" i="26"/>
  <c r="AH16" i="26"/>
  <c r="W16" i="26"/>
  <c r="J227" i="26"/>
  <c r="AI226" i="26"/>
  <c r="X226" i="26"/>
  <c r="J183" i="21"/>
  <c r="J212" i="21"/>
  <c r="F142" i="23"/>
  <c r="F184" i="23"/>
  <c r="J62" i="26"/>
  <c r="X61" i="26"/>
  <c r="AI61" i="26"/>
  <c r="X91" i="26"/>
  <c r="J92" i="26"/>
  <c r="AI91" i="26"/>
  <c r="F128" i="23"/>
  <c r="J30" i="21"/>
  <c r="P17" i="44"/>
  <c r="P17" i="33"/>
  <c r="F14" i="7"/>
  <c r="CH14" i="7"/>
  <c r="CL14" i="7"/>
  <c r="CI14" i="7"/>
  <c r="CK14" i="7"/>
  <c r="CJ14" i="7"/>
  <c r="F99" i="23"/>
  <c r="BY214" i="7"/>
  <c r="K5" i="7"/>
  <c r="V17" i="33"/>
  <c r="V17" i="44"/>
  <c r="X77" i="26"/>
  <c r="AI77" i="26"/>
  <c r="AI32" i="26"/>
  <c r="X32" i="26"/>
  <c r="J167" i="26"/>
  <c r="AI166" i="26"/>
  <c r="X166" i="26"/>
  <c r="J44" i="21"/>
  <c r="AB17" i="44"/>
  <c r="AB17" i="33"/>
  <c r="J156" i="21"/>
  <c r="F169" i="23"/>
  <c r="HG186" i="7"/>
  <c r="ER214" i="7"/>
  <c r="Y14" i="21"/>
  <c r="O14" i="21"/>
  <c r="N14" i="21"/>
  <c r="J100" i="21"/>
  <c r="F229" i="23"/>
  <c r="AI151" i="26"/>
  <c r="X151" i="26"/>
  <c r="J152" i="26"/>
  <c r="EL82" i="7"/>
  <c r="HF286" i="7"/>
  <c r="F85" i="23"/>
  <c r="J16" i="21"/>
  <c r="B9" i="51" s="1"/>
  <c r="K15" i="21"/>
  <c r="G40" i="56" s="1" a="1"/>
  <c r="G40" i="56" s="1"/>
  <c r="L15" i="21"/>
  <c r="C8" i="51"/>
  <c r="F197" i="23"/>
  <c r="J57" i="21"/>
  <c r="H6" i="51"/>
  <c r="CL29" i="7"/>
  <c r="CK29" i="7"/>
  <c r="F29" i="7"/>
  <c r="J71" i="21"/>
  <c r="F156" i="23"/>
  <c r="X17" i="26"/>
  <c r="AI17" i="26"/>
  <c r="J113" i="21"/>
  <c r="I30" i="40"/>
  <c r="J86" i="21"/>
  <c r="J127" i="21"/>
  <c r="M14" i="21"/>
  <c r="I14" i="21"/>
  <c r="D7" i="51" s="1"/>
  <c r="F15" i="23"/>
  <c r="G79" i="7"/>
  <c r="F43" i="23"/>
  <c r="F255" i="23"/>
  <c r="AD31" i="44"/>
  <c r="AF31" i="44" s="1"/>
  <c r="G81" i="7"/>
  <c r="CJ79" i="7"/>
  <c r="CK79" i="7"/>
  <c r="EN79" i="7"/>
  <c r="CH79" i="7"/>
  <c r="CI79" i="7"/>
  <c r="F82" i="7"/>
  <c r="CL79" i="7"/>
  <c r="CL82" i="7" s="1"/>
  <c r="CB82" i="7"/>
  <c r="J212" i="26"/>
  <c r="X211" i="26"/>
  <c r="AI211" i="26"/>
  <c r="H80" i="7"/>
  <c r="F211" i="23"/>
  <c r="H15" i="44" l="1"/>
  <c r="H15" i="33"/>
  <c r="I31" i="33" s="1"/>
  <c r="AD15" i="33"/>
  <c r="AF15" i="33" s="1"/>
  <c r="X47" i="26"/>
  <c r="G255" i="23"/>
  <c r="H429" i="56" s="1" a="1"/>
  <c r="H429" i="56" s="1"/>
  <c r="H255" i="23"/>
  <c r="H229" i="23"/>
  <c r="G229" i="23"/>
  <c r="H415" i="56" s="1" a="1"/>
  <c r="H415" i="56" s="1"/>
  <c r="CP80" i="7"/>
  <c r="CI82" i="7"/>
  <c r="CH82" i="7"/>
  <c r="CK82" i="7"/>
  <c r="EN82" i="7"/>
  <c r="F41" i="52" s="1"/>
  <c r="CJ82" i="7"/>
  <c r="G414" i="56"/>
  <c r="G428" i="56"/>
  <c r="H243" i="23"/>
  <c r="H421" i="56"/>
  <c r="A421" i="56" s="1"/>
  <c r="X137" i="26"/>
  <c r="CP29" i="7"/>
  <c r="AJ16" i="26"/>
  <c r="U16" i="26"/>
  <c r="X107" i="26"/>
  <c r="AI107" i="26"/>
  <c r="F114" i="23"/>
  <c r="X182" i="26"/>
  <c r="AI182" i="26"/>
  <c r="F86" i="23"/>
  <c r="H79" i="7"/>
  <c r="CN14" i="7"/>
  <c r="CO14" i="7"/>
  <c r="CM14" i="7"/>
  <c r="G14" i="7"/>
  <c r="AI92" i="26"/>
  <c r="X92" i="26"/>
  <c r="EP80" i="7"/>
  <c r="CO81" i="7"/>
  <c r="EO81" i="7"/>
  <c r="CM81" i="7"/>
  <c r="CN81" i="7"/>
  <c r="Y15" i="21"/>
  <c r="N15" i="21"/>
  <c r="O15" i="21"/>
  <c r="J72" i="21"/>
  <c r="M15" i="21"/>
  <c r="I15" i="21"/>
  <c r="D8" i="51" s="1"/>
  <c r="K16" i="21"/>
  <c r="H40" i="56" s="1" a="1"/>
  <c r="H40" i="56" s="1"/>
  <c r="L16" i="21"/>
  <c r="C9" i="51"/>
  <c r="F212" i="23"/>
  <c r="AH17" i="26"/>
  <c r="W17" i="26"/>
  <c r="AI167" i="26"/>
  <c r="X167" i="26"/>
  <c r="EN14" i="7"/>
  <c r="X62" i="26"/>
  <c r="AI62" i="26"/>
  <c r="X152" i="26"/>
  <c r="AI152" i="26"/>
  <c r="AE17" i="33"/>
  <c r="X227" i="26"/>
  <c r="AI227" i="26"/>
  <c r="L6" i="7"/>
  <c r="W47" i="36"/>
  <c r="Y47" i="36" s="1"/>
  <c r="J128" i="21"/>
  <c r="EN29" i="7"/>
  <c r="AE17" i="44"/>
  <c r="U17" i="26"/>
  <c r="AJ17" i="26"/>
  <c r="F100" i="23"/>
  <c r="X212" i="26"/>
  <c r="AI212" i="26"/>
  <c r="F7" i="52"/>
  <c r="ES5" i="7"/>
  <c r="HG214" i="7"/>
  <c r="F170" i="23"/>
  <c r="I80" i="7"/>
  <c r="EQ80" i="7" s="1"/>
  <c r="H7" i="51"/>
  <c r="G29" i="7"/>
  <c r="EO29" i="7" s="1"/>
  <c r="J184" i="21"/>
  <c r="F16" i="23"/>
  <c r="F44" i="23"/>
  <c r="F198" i="23"/>
  <c r="J58" i="21"/>
  <c r="H81" i="7"/>
  <c r="EP81" i="7" s="1"/>
  <c r="EO79" i="7"/>
  <c r="G82" i="7"/>
  <c r="CO79" i="7"/>
  <c r="CM79" i="7"/>
  <c r="CN79" i="7"/>
  <c r="J114" i="21"/>
  <c r="H414" i="56" l="1"/>
  <c r="A414" i="56" s="1"/>
  <c r="H428" i="56"/>
  <c r="A428" i="56" s="1"/>
  <c r="CP14" i="7"/>
  <c r="CO82" i="7"/>
  <c r="CP79" i="7"/>
  <c r="J80" i="7"/>
  <c r="BY80" i="7" s="1"/>
  <c r="ER80" i="7"/>
  <c r="HG80" i="7" s="1"/>
  <c r="CP81" i="7"/>
  <c r="I81" i="7"/>
  <c r="EQ81" i="7" s="1"/>
  <c r="ER81" i="7" s="1"/>
  <c r="HG81" i="7" s="1"/>
  <c r="H256" i="23"/>
  <c r="M16" i="21"/>
  <c r="I16" i="21"/>
  <c r="D9" i="51" s="1"/>
  <c r="EP79" i="7"/>
  <c r="EP82" i="7" s="1"/>
  <c r="F75" i="52" s="1"/>
  <c r="H82" i="7"/>
  <c r="O16" i="21"/>
  <c r="Y16" i="21"/>
  <c r="N16" i="21"/>
  <c r="N17" i="21" s="1"/>
  <c r="F29" i="45" s="1"/>
  <c r="EO14" i="7"/>
  <c r="CN82" i="7"/>
  <c r="H8" i="51"/>
  <c r="H29" i="7"/>
  <c r="I79" i="7"/>
  <c r="J79" i="7" s="1"/>
  <c r="CM82" i="7"/>
  <c r="H230" i="23"/>
  <c r="H14" i="7"/>
  <c r="EO82" i="7"/>
  <c r="CP82" i="7" l="1"/>
  <c r="EQ79" i="7"/>
  <c r="I82" i="7"/>
  <c r="K82" i="7" s="1"/>
  <c r="EP29" i="7"/>
  <c r="H9" i="51"/>
  <c r="I29" i="7"/>
  <c r="EQ29" i="7" s="1"/>
  <c r="EP14" i="7"/>
  <c r="F58" i="52"/>
  <c r="I14" i="7"/>
  <c r="J14" i="7" s="1"/>
  <c r="O17" i="21"/>
  <c r="BY79" i="7"/>
  <c r="Y17" i="21"/>
  <c r="J81" i="7"/>
  <c r="BY81" i="7" s="1"/>
  <c r="ER29" i="7" l="1"/>
  <c r="HG29" i="7" s="1"/>
  <c r="K14" i="7"/>
  <c r="J82" i="7"/>
  <c r="BY82" i="7" s="1"/>
  <c r="EQ82" i="7"/>
  <c r="ER79" i="7"/>
  <c r="EQ14" i="7"/>
  <c r="J29" i="7"/>
  <c r="HG79" i="7" l="1"/>
  <c r="ER82" i="7"/>
  <c r="HG82" i="7" s="1"/>
  <c r="K29" i="7"/>
  <c r="BY29" i="7"/>
  <c r="F92" i="52"/>
  <c r="ES82" i="7"/>
  <c r="ER14" i="7"/>
  <c r="C90" i="52" l="1"/>
  <c r="C73" i="52"/>
  <c r="C56" i="52"/>
  <c r="C39" i="52"/>
  <c r="C22" i="52"/>
  <c r="C5" i="52"/>
  <c r="B128" i="51"/>
  <c r="B119" i="51"/>
  <c r="B110" i="51"/>
  <c r="B101" i="51"/>
  <c r="B92" i="51"/>
  <c r="B83" i="51"/>
  <c r="B74" i="51"/>
  <c r="B65" i="51"/>
  <c r="B56" i="51"/>
  <c r="B47" i="51"/>
  <c r="B38" i="51"/>
  <c r="B29" i="51"/>
  <c r="B20" i="51"/>
  <c r="B11" i="51"/>
  <c r="B2" i="51"/>
  <c r="J9" i="21" l="1"/>
  <c r="A17" i="52"/>
  <c r="A34" i="52"/>
  <c r="A68" i="52"/>
  <c r="A102" i="52"/>
  <c r="A85" i="52"/>
  <c r="A51" i="52"/>
  <c r="G5" i="55" l="1"/>
  <c r="F6" i="23"/>
  <c r="F20" i="23"/>
  <c r="F34" i="23"/>
  <c r="F48" i="23"/>
  <c r="F62" i="23"/>
  <c r="F76" i="23"/>
  <c r="F90" i="23"/>
  <c r="F104" i="23"/>
  <c r="F118" i="23"/>
  <c r="F132" i="23"/>
  <c r="F146" i="23"/>
  <c r="F160" i="23"/>
  <c r="F174" i="23"/>
  <c r="F188" i="23"/>
  <c r="F202" i="23"/>
  <c r="C292" i="45"/>
  <c r="D21" i="22"/>
  <c r="C7" i="25"/>
  <c r="F7" i="25"/>
  <c r="H7" i="25"/>
  <c r="T6" i="25" s="1"/>
  <c r="U6" i="25" s="1"/>
  <c r="C36" i="25"/>
  <c r="F36" i="25"/>
  <c r="H36" i="25"/>
  <c r="T7" i="25" s="1"/>
  <c r="C65" i="25"/>
  <c r="F65" i="25"/>
  <c r="H65" i="25"/>
  <c r="T8" i="25" s="1"/>
  <c r="C94" i="25"/>
  <c r="F94" i="25"/>
  <c r="H94" i="25"/>
  <c r="T9" i="25" s="1"/>
  <c r="C123" i="25"/>
  <c r="F123" i="25"/>
  <c r="H123" i="25"/>
  <c r="T10" i="25" s="1"/>
  <c r="C152" i="25"/>
  <c r="F152" i="25"/>
  <c r="H152" i="25"/>
  <c r="T11" i="25" s="1"/>
  <c r="C181" i="25"/>
  <c r="F181" i="25"/>
  <c r="H181" i="25"/>
  <c r="T12" i="25" s="1"/>
  <c r="C210" i="25"/>
  <c r="F210" i="25"/>
  <c r="H210" i="25"/>
  <c r="T13" i="25" s="1"/>
  <c r="C239" i="25"/>
  <c r="F239" i="25"/>
  <c r="H239" i="25"/>
  <c r="T14" i="25" s="1"/>
  <c r="C268" i="25"/>
  <c r="F268" i="25"/>
  <c r="H268" i="25"/>
  <c r="T15" i="25" s="1"/>
  <c r="C297" i="25"/>
  <c r="F297" i="25"/>
  <c r="H297" i="25"/>
  <c r="T16" i="25" s="1"/>
  <c r="C326" i="25"/>
  <c r="F326" i="25"/>
  <c r="H326" i="25"/>
  <c r="T17" i="25" s="1"/>
  <c r="C355" i="25"/>
  <c r="F355" i="25"/>
  <c r="H355" i="25"/>
  <c r="T18" i="25" s="1"/>
  <c r="C384" i="25"/>
  <c r="F384" i="25"/>
  <c r="H384" i="25"/>
  <c r="T19" i="25" s="1"/>
  <c r="C413" i="25"/>
  <c r="F413" i="25"/>
  <c r="H413" i="25"/>
  <c r="T20" i="25" s="1"/>
  <c r="K6" i="23"/>
  <c r="I6" i="23"/>
  <c r="K20" i="23"/>
  <c r="I20" i="23"/>
  <c r="K34" i="23"/>
  <c r="I34" i="23"/>
  <c r="K48" i="23"/>
  <c r="I48" i="23"/>
  <c r="K62" i="23"/>
  <c r="I62" i="23"/>
  <c r="K76" i="23"/>
  <c r="I76" i="23"/>
  <c r="K90" i="23"/>
  <c r="I90" i="23"/>
  <c r="K104" i="23"/>
  <c r="I104" i="23"/>
  <c r="K118" i="23"/>
  <c r="I118" i="23"/>
  <c r="K132" i="23"/>
  <c r="I132" i="23"/>
  <c r="K146" i="23"/>
  <c r="I146" i="23"/>
  <c r="K160" i="23"/>
  <c r="I160" i="23"/>
  <c r="K174" i="23"/>
  <c r="I174" i="23"/>
  <c r="K188" i="23"/>
  <c r="I188" i="23"/>
  <c r="K202" i="23"/>
  <c r="I202" i="23"/>
  <c r="A19" i="26"/>
  <c r="L5" i="26"/>
  <c r="L20" i="26"/>
  <c r="N34" i="26" s="1"/>
  <c r="L35" i="26"/>
  <c r="N49" i="26" s="1"/>
  <c r="L50" i="26"/>
  <c r="N64" i="26" s="1"/>
  <c r="L65" i="26"/>
  <c r="N79" i="26" s="1"/>
  <c r="L80" i="26"/>
  <c r="N94" i="26" s="1"/>
  <c r="L95" i="26"/>
  <c r="N109" i="26" s="1"/>
  <c r="L110" i="26"/>
  <c r="L125" i="26"/>
  <c r="N139" i="26" s="1"/>
  <c r="L140" i="26"/>
  <c r="N154" i="26" s="1"/>
  <c r="L155" i="26"/>
  <c r="N169" i="26" s="1"/>
  <c r="L170" i="26"/>
  <c r="N184" i="26" s="1"/>
  <c r="L185" i="26"/>
  <c r="N199" i="26" s="1"/>
  <c r="L200" i="26"/>
  <c r="N214" i="26" s="1"/>
  <c r="L215" i="26"/>
  <c r="N229" i="26" s="1"/>
  <c r="C6" i="35"/>
  <c r="O29" i="22"/>
  <c r="P65" i="22"/>
  <c r="Z49" i="25" s="1"/>
  <c r="Z48" i="25" s="1"/>
  <c r="Q66" i="22"/>
  <c r="AA50" i="25" s="1"/>
  <c r="Q67" i="22"/>
  <c r="AA51" i="25" s="1"/>
  <c r="Q22" i="22"/>
  <c r="AA6" i="25" s="1"/>
  <c r="A412" i="25"/>
  <c r="A383" i="25"/>
  <c r="A354" i="25"/>
  <c r="A325" i="25"/>
  <c r="A296" i="25"/>
  <c r="A267" i="25"/>
  <c r="A238" i="25"/>
  <c r="A209" i="25"/>
  <c r="A180" i="25"/>
  <c r="A151" i="25"/>
  <c r="A122" i="25"/>
  <c r="A93" i="25"/>
  <c r="A64" i="25"/>
  <c r="A35" i="25"/>
  <c r="A6" i="25"/>
  <c r="A245" i="23"/>
  <c r="A232" i="23"/>
  <c r="A219" i="23"/>
  <c r="D6" i="45"/>
  <c r="P49" i="22"/>
  <c r="Z33" i="25" s="1"/>
  <c r="P48" i="22"/>
  <c r="Z32" i="25" s="1"/>
  <c r="P59" i="22"/>
  <c r="Z43" i="25" s="1"/>
  <c r="Z42" i="25" s="1"/>
  <c r="P53" i="22"/>
  <c r="Z37" i="25" s="1"/>
  <c r="Z36" i="25" s="1"/>
  <c r="P47" i="22"/>
  <c r="Z31" i="25" s="1"/>
  <c r="Z30" i="25" s="1"/>
  <c r="P41" i="22"/>
  <c r="Z25" i="25" s="1"/>
  <c r="Z24" i="25" s="1"/>
  <c r="Q23" i="22"/>
  <c r="AA7" i="25" s="1"/>
  <c r="Q24" i="22"/>
  <c r="AA8" i="25" s="1"/>
  <c r="B49" i="22"/>
  <c r="B50" i="22"/>
  <c r="C292" i="7"/>
  <c r="C16" i="41"/>
  <c r="S219" i="26"/>
  <c r="S204" i="26"/>
  <c r="S189" i="26"/>
  <c r="S174" i="26"/>
  <c r="S159" i="26"/>
  <c r="S144" i="26"/>
  <c r="S114" i="26"/>
  <c r="S129" i="26"/>
  <c r="L23" i="22"/>
  <c r="L11" i="22"/>
  <c r="L10" i="22"/>
  <c r="V3" i="26" s="1"/>
  <c r="HG305" i="7"/>
  <c r="F48" i="22"/>
  <c r="S6" i="22"/>
  <c r="U6" i="22" s="1"/>
  <c r="V6" i="22" s="1"/>
  <c r="S5" i="22"/>
  <c r="U5" i="22" s="1"/>
  <c r="V5" i="22" s="1"/>
  <c r="Q60" i="22"/>
  <c r="AA44" i="25" s="1"/>
  <c r="Q61" i="22"/>
  <c r="AA45" i="25" s="1"/>
  <c r="Q54" i="22"/>
  <c r="AA38" i="25" s="1"/>
  <c r="Q42" i="22"/>
  <c r="AA26" i="25" s="1"/>
  <c r="Q43" i="22"/>
  <c r="AA27" i="25" s="1"/>
  <c r="S2" i="26"/>
  <c r="K13" i="22"/>
  <c r="U6" i="26" s="1"/>
  <c r="W2" i="22"/>
  <c r="V2" i="22"/>
  <c r="W35" i="21"/>
  <c r="S24" i="26"/>
  <c r="W63" i="21"/>
  <c r="W203" i="21"/>
  <c r="W189" i="21"/>
  <c r="W175" i="21"/>
  <c r="W161" i="21"/>
  <c r="W147" i="21"/>
  <c r="W133" i="21"/>
  <c r="W119" i="21"/>
  <c r="W105" i="21"/>
  <c r="W91" i="21"/>
  <c r="W77" i="21"/>
  <c r="W49" i="21"/>
  <c r="W21" i="21"/>
  <c r="W7" i="21"/>
  <c r="Q202" i="21"/>
  <c r="Q188" i="21"/>
  <c r="Q174" i="21"/>
  <c r="Q160" i="21"/>
  <c r="Q146" i="21"/>
  <c r="Q132" i="21"/>
  <c r="Q118" i="21"/>
  <c r="Q104" i="21"/>
  <c r="Q90" i="21"/>
  <c r="Q76" i="21"/>
  <c r="Q62" i="21"/>
  <c r="Q48" i="21"/>
  <c r="Q34" i="21"/>
  <c r="Q20" i="21"/>
  <c r="K5" i="21"/>
  <c r="AA3" i="21"/>
  <c r="C294" i="7"/>
  <c r="B246" i="23"/>
  <c r="B233" i="23"/>
  <c r="B220" i="23"/>
  <c r="D6" i="7"/>
  <c r="S99" i="26"/>
  <c r="S84" i="26"/>
  <c r="S69" i="26"/>
  <c r="S54" i="26"/>
  <c r="S39" i="26"/>
  <c r="S9" i="26"/>
  <c r="A19" i="21"/>
  <c r="O20" i="21" s="1"/>
  <c r="Q23" i="21" s="1"/>
  <c r="S23" i="21" s="1"/>
  <c r="D1" i="41"/>
  <c r="B5" i="41" s="1"/>
  <c r="P21" i="22"/>
  <c r="Z5" i="25" s="1"/>
  <c r="U3" i="21"/>
  <c r="U4" i="23" l="1"/>
  <c r="X4" i="23" s="1"/>
  <c r="T3" i="25"/>
  <c r="W3" i="25" s="1"/>
  <c r="S7" i="23"/>
  <c r="L205" i="23"/>
  <c r="S203" i="23"/>
  <c r="L191" i="23"/>
  <c r="S189" i="23"/>
  <c r="L177" i="23"/>
  <c r="S175" i="23"/>
  <c r="L163" i="23"/>
  <c r="S161" i="23"/>
  <c r="L149" i="23"/>
  <c r="K151" i="23" s="1"/>
  <c r="S147" i="23"/>
  <c r="L135" i="23"/>
  <c r="S133" i="23"/>
  <c r="L121" i="23"/>
  <c r="S119" i="23"/>
  <c r="L107" i="23"/>
  <c r="S105" i="23"/>
  <c r="L93" i="23"/>
  <c r="S91" i="23"/>
  <c r="L79" i="23"/>
  <c r="S77" i="23"/>
  <c r="L65" i="23"/>
  <c r="S63" i="23"/>
  <c r="L51" i="23"/>
  <c r="S49" i="23"/>
  <c r="L37" i="23"/>
  <c r="S35" i="23"/>
  <c r="L23" i="23"/>
  <c r="S21" i="23"/>
  <c r="L9" i="23"/>
  <c r="E201" i="56" a="1"/>
  <c r="E201" i="56" s="1"/>
  <c r="G202" i="56" a="1"/>
  <c r="G202" i="56" s="1"/>
  <c r="E202" i="56" a="1"/>
  <c r="E202" i="56" s="1"/>
  <c r="C202" i="56" a="1"/>
  <c r="C202" i="56" s="1"/>
  <c r="C201" i="56" a="1"/>
  <c r="C201" i="56" s="1"/>
  <c r="D202" i="56" a="1"/>
  <c r="D202" i="56" s="1"/>
  <c r="H201" i="56" a="1"/>
  <c r="H201" i="56" s="1"/>
  <c r="H202" i="56" a="1"/>
  <c r="H202" i="56" s="1"/>
  <c r="F201" i="56" a="1"/>
  <c r="F201" i="56" s="1"/>
  <c r="F202" i="56" a="1"/>
  <c r="F202" i="56" s="1"/>
  <c r="D201" i="56" a="1"/>
  <c r="D201" i="56" s="1"/>
  <c r="G201" i="56" a="1"/>
  <c r="G201" i="56" s="1"/>
  <c r="F193" i="56" a="1"/>
  <c r="F193" i="56" s="1"/>
  <c r="D193" i="56" a="1"/>
  <c r="D193" i="56" s="1"/>
  <c r="H193" i="56" a="1"/>
  <c r="H193" i="56" s="1"/>
  <c r="G194" i="56" a="1"/>
  <c r="G194" i="56" s="1"/>
  <c r="E194" i="56" a="1"/>
  <c r="E194" i="56" s="1"/>
  <c r="G193" i="56" a="1"/>
  <c r="G193" i="56" s="1"/>
  <c r="E193" i="56" a="1"/>
  <c r="E193" i="56" s="1"/>
  <c r="D194" i="56" a="1"/>
  <c r="D194" i="56" s="1"/>
  <c r="C194" i="56" a="1"/>
  <c r="C194" i="56" s="1"/>
  <c r="C193" i="56" a="1"/>
  <c r="C193" i="56" s="1"/>
  <c r="F194" i="56" a="1"/>
  <c r="F194" i="56" s="1"/>
  <c r="H194" i="56" a="1"/>
  <c r="H194" i="56" s="1"/>
  <c r="H281" i="56" a="1"/>
  <c r="H281" i="56" s="1"/>
  <c r="H282" i="56" a="1"/>
  <c r="H282" i="56" s="1"/>
  <c r="F281" i="56" a="1"/>
  <c r="F281" i="56" s="1"/>
  <c r="E281" i="56" a="1"/>
  <c r="E281" i="56" s="1"/>
  <c r="E282" i="56" a="1"/>
  <c r="E282" i="56" s="1"/>
  <c r="C281" i="56" a="1"/>
  <c r="C281" i="56" s="1"/>
  <c r="C282" i="56" a="1"/>
  <c r="C282" i="56" s="1"/>
  <c r="F282" i="56" a="1"/>
  <c r="F282" i="56" s="1"/>
  <c r="D281" i="56" a="1"/>
  <c r="D281" i="56" s="1"/>
  <c r="G281" i="56" a="1"/>
  <c r="G281" i="56" s="1"/>
  <c r="D282" i="56" a="1"/>
  <c r="D282" i="56" s="1"/>
  <c r="G282" i="56" a="1"/>
  <c r="G282" i="56" s="1"/>
  <c r="G274" i="56" a="1"/>
  <c r="G274" i="56" s="1"/>
  <c r="G273" i="56" a="1"/>
  <c r="G273" i="56" s="1"/>
  <c r="H274" i="56" a="1"/>
  <c r="H274" i="56" s="1"/>
  <c r="C273" i="56" a="1"/>
  <c r="C273" i="56" s="1"/>
  <c r="D273" i="56" a="1"/>
  <c r="D273" i="56" s="1"/>
  <c r="D274" i="56" a="1"/>
  <c r="D274" i="56" s="1"/>
  <c r="F274" i="56" a="1"/>
  <c r="F274" i="56" s="1"/>
  <c r="F273" i="56" a="1"/>
  <c r="F273" i="56" s="1"/>
  <c r="E273" i="56" a="1"/>
  <c r="E273" i="56" s="1"/>
  <c r="C274" i="56" a="1"/>
  <c r="C274" i="56" s="1"/>
  <c r="E274" i="56" a="1"/>
  <c r="E274" i="56" s="1"/>
  <c r="H273" i="56" a="1"/>
  <c r="H273" i="56" s="1"/>
  <c r="C258" i="56" a="1"/>
  <c r="C258" i="56" s="1"/>
  <c r="C257" i="56" a="1"/>
  <c r="C257" i="56" s="1"/>
  <c r="H257" i="56" a="1"/>
  <c r="H257" i="56" s="1"/>
  <c r="F258" i="56" a="1"/>
  <c r="F258" i="56" s="1"/>
  <c r="F257" i="56" a="1"/>
  <c r="F257" i="56" s="1"/>
  <c r="H258" i="56" a="1"/>
  <c r="H258" i="56" s="1"/>
  <c r="D258" i="56" a="1"/>
  <c r="D258" i="56" s="1"/>
  <c r="G257" i="56" a="1"/>
  <c r="G257" i="56" s="1"/>
  <c r="D257" i="56" a="1"/>
  <c r="D257" i="56" s="1"/>
  <c r="G258" i="56" a="1"/>
  <c r="G258" i="56" s="1"/>
  <c r="E257" i="56" a="1"/>
  <c r="E257" i="56" s="1"/>
  <c r="E258" i="56" a="1"/>
  <c r="E258" i="56" s="1"/>
  <c r="F250" i="56" a="1"/>
  <c r="F250" i="56" s="1"/>
  <c r="F249" i="56" a="1"/>
  <c r="F249" i="56" s="1"/>
  <c r="C249" i="56" a="1"/>
  <c r="C249" i="56" s="1"/>
  <c r="D250" i="56" a="1"/>
  <c r="D250" i="56" s="1"/>
  <c r="H250" i="56" a="1"/>
  <c r="H250" i="56" s="1"/>
  <c r="H249" i="56" a="1"/>
  <c r="H249" i="56" s="1"/>
  <c r="G250" i="56" a="1"/>
  <c r="G250" i="56" s="1"/>
  <c r="E250" i="56" a="1"/>
  <c r="E250" i="56" s="1"/>
  <c r="G249" i="56" a="1"/>
  <c r="G249" i="56" s="1"/>
  <c r="E249" i="56" a="1"/>
  <c r="E249" i="56" s="1"/>
  <c r="C250" i="56" a="1"/>
  <c r="C250" i="56" s="1"/>
  <c r="D249" i="56" a="1"/>
  <c r="D249" i="56" s="1"/>
  <c r="D185" i="56" a="1"/>
  <c r="D185" i="56" s="1"/>
  <c r="E186" i="56" a="1"/>
  <c r="E186" i="56" s="1"/>
  <c r="E185" i="56" a="1"/>
  <c r="E185" i="56" s="1"/>
  <c r="G185" i="56" a="1"/>
  <c r="G185" i="56" s="1"/>
  <c r="F185" i="56" a="1"/>
  <c r="F185" i="56" s="1"/>
  <c r="C186" i="56" a="1"/>
  <c r="C186" i="56" s="1"/>
  <c r="G186" i="56" a="1"/>
  <c r="G186" i="56" s="1"/>
  <c r="C185" i="56" a="1"/>
  <c r="C185" i="56" s="1"/>
  <c r="D186" i="56" a="1"/>
  <c r="D186" i="56" s="1"/>
  <c r="H185" i="56" a="1"/>
  <c r="H185" i="56" s="1"/>
  <c r="H186" i="56" a="1"/>
  <c r="H186" i="56" s="1"/>
  <c r="F186" i="56" a="1"/>
  <c r="F186" i="56" s="1"/>
  <c r="G266" i="56" a="1"/>
  <c r="G266" i="56" s="1"/>
  <c r="F266" i="56" a="1"/>
  <c r="F266" i="56" s="1"/>
  <c r="F265" i="56" a="1"/>
  <c r="F265" i="56" s="1"/>
  <c r="G265" i="56" a="1"/>
  <c r="G265" i="56" s="1"/>
  <c r="H265" i="56" a="1"/>
  <c r="H265" i="56" s="1"/>
  <c r="E266" i="56" a="1"/>
  <c r="E266" i="56" s="1"/>
  <c r="D265" i="56" a="1"/>
  <c r="D265" i="56" s="1"/>
  <c r="H266" i="56" a="1"/>
  <c r="H266" i="56" s="1"/>
  <c r="E265" i="56" a="1"/>
  <c r="E265" i="56" s="1"/>
  <c r="C265" i="56" a="1"/>
  <c r="C265" i="56" s="1"/>
  <c r="D266" i="56" a="1"/>
  <c r="D266" i="56" s="1"/>
  <c r="C266" i="56" a="1"/>
  <c r="C266" i="56" s="1"/>
  <c r="G234" i="56" a="1"/>
  <c r="G234" i="56" s="1"/>
  <c r="C233" i="56" a="1"/>
  <c r="C233" i="56" s="1"/>
  <c r="C234" i="56" a="1"/>
  <c r="C234" i="56" s="1"/>
  <c r="F234" i="56" a="1"/>
  <c r="F234" i="56" s="1"/>
  <c r="H234" i="56" a="1"/>
  <c r="H234" i="56" s="1"/>
  <c r="H233" i="56" a="1"/>
  <c r="H233" i="56" s="1"/>
  <c r="F233" i="56" a="1"/>
  <c r="F233" i="56" s="1"/>
  <c r="E233" i="56" a="1"/>
  <c r="E233" i="56" s="1"/>
  <c r="E234" i="56" a="1"/>
  <c r="E234" i="56" s="1"/>
  <c r="D233" i="56" a="1"/>
  <c r="D233" i="56" s="1"/>
  <c r="D234" i="56" a="1"/>
  <c r="D234" i="56" s="1"/>
  <c r="G233" i="56" a="1"/>
  <c r="G233" i="56" s="1"/>
  <c r="D289" i="56" a="1"/>
  <c r="D289" i="56" s="1"/>
  <c r="C290" i="56" a="1"/>
  <c r="C290" i="56" s="1"/>
  <c r="C289" i="56" a="1"/>
  <c r="C289" i="56" s="1"/>
  <c r="E290" i="56" a="1"/>
  <c r="E290" i="56" s="1"/>
  <c r="G289" i="56" a="1"/>
  <c r="G289" i="56" s="1"/>
  <c r="G290" i="56" a="1"/>
  <c r="G290" i="56" s="1"/>
  <c r="F290" i="56" a="1"/>
  <c r="F290" i="56" s="1"/>
  <c r="F289" i="56" a="1"/>
  <c r="F289" i="56" s="1"/>
  <c r="H289" i="56" a="1"/>
  <c r="H289" i="56" s="1"/>
  <c r="D290" i="56" a="1"/>
  <c r="D290" i="56" s="1"/>
  <c r="E289" i="56" a="1"/>
  <c r="E289" i="56" s="1"/>
  <c r="H290" i="56" a="1"/>
  <c r="H290" i="56" s="1"/>
  <c r="C226" i="56" a="1"/>
  <c r="C226" i="56" s="1"/>
  <c r="D226" i="56" a="1"/>
  <c r="D226" i="56" s="1"/>
  <c r="E226" i="56" a="1"/>
  <c r="E226" i="56" s="1"/>
  <c r="F225" i="56" a="1"/>
  <c r="F225" i="56" s="1"/>
  <c r="E225" i="56" a="1"/>
  <c r="E225" i="56" s="1"/>
  <c r="F226" i="56" a="1"/>
  <c r="F226" i="56" s="1"/>
  <c r="G226" i="56" a="1"/>
  <c r="G226" i="56" s="1"/>
  <c r="H226" i="56" a="1"/>
  <c r="H226" i="56" s="1"/>
  <c r="C225" i="56" a="1"/>
  <c r="C225" i="56" s="1"/>
  <c r="H225" i="56" a="1"/>
  <c r="H225" i="56" s="1"/>
  <c r="G225" i="56" a="1"/>
  <c r="G225" i="56" s="1"/>
  <c r="D225" i="56" a="1"/>
  <c r="D225" i="56" s="1"/>
  <c r="E210" i="56" a="1"/>
  <c r="E210" i="56" s="1"/>
  <c r="G210" i="56" a="1"/>
  <c r="G210" i="56" s="1"/>
  <c r="F209" i="56" a="1"/>
  <c r="F209" i="56" s="1"/>
  <c r="H210" i="56" a="1"/>
  <c r="H210" i="56" s="1"/>
  <c r="H209" i="56" a="1"/>
  <c r="H209" i="56" s="1"/>
  <c r="E209" i="56" a="1"/>
  <c r="E209" i="56" s="1"/>
  <c r="G209" i="56" a="1"/>
  <c r="G209" i="56" s="1"/>
  <c r="C209" i="56" a="1"/>
  <c r="C209" i="56" s="1"/>
  <c r="C210" i="56" a="1"/>
  <c r="C210" i="56" s="1"/>
  <c r="F210" i="56" a="1"/>
  <c r="F210" i="56" s="1"/>
  <c r="D210" i="56" a="1"/>
  <c r="D210" i="56" s="1"/>
  <c r="D209" i="56" a="1"/>
  <c r="D209" i="56" s="1"/>
  <c r="D217" i="56" a="1"/>
  <c r="D217" i="56" s="1"/>
  <c r="E217" i="56" a="1"/>
  <c r="E217" i="56" s="1"/>
  <c r="E218" i="56" a="1"/>
  <c r="E218" i="56" s="1"/>
  <c r="G218" i="56" a="1"/>
  <c r="G218" i="56" s="1"/>
  <c r="C217" i="56" a="1"/>
  <c r="C217" i="56" s="1"/>
  <c r="G217" i="56" a="1"/>
  <c r="G217" i="56" s="1"/>
  <c r="C218" i="56" a="1"/>
  <c r="C218" i="56" s="1"/>
  <c r="F218" i="56" a="1"/>
  <c r="F218" i="56" s="1"/>
  <c r="F217" i="56" a="1"/>
  <c r="F217" i="56" s="1"/>
  <c r="H218" i="56" a="1"/>
  <c r="H218" i="56" s="1"/>
  <c r="D218" i="56" a="1"/>
  <c r="D218" i="56" s="1"/>
  <c r="H217" i="56" a="1"/>
  <c r="H217" i="56" s="1"/>
  <c r="E242" i="56" a="1"/>
  <c r="E242" i="56" s="1"/>
  <c r="H241" i="56" a="1"/>
  <c r="H241" i="56" s="1"/>
  <c r="C241" i="56" a="1"/>
  <c r="C241" i="56" s="1"/>
  <c r="D241" i="56" a="1"/>
  <c r="D241" i="56" s="1"/>
  <c r="H242" i="56" a="1"/>
  <c r="H242" i="56" s="1"/>
  <c r="D242" i="56" a="1"/>
  <c r="D242" i="56" s="1"/>
  <c r="E241" i="56" a="1"/>
  <c r="E241" i="56" s="1"/>
  <c r="C242" i="56" a="1"/>
  <c r="C242" i="56" s="1"/>
  <c r="F241" i="56" a="1"/>
  <c r="F241" i="56" s="1"/>
  <c r="F242" i="56" a="1"/>
  <c r="F242" i="56" s="1"/>
  <c r="G241" i="56" a="1"/>
  <c r="G241" i="56" s="1"/>
  <c r="G242" i="56" a="1"/>
  <c r="G242" i="56" s="1"/>
  <c r="D177" i="56" a="1"/>
  <c r="D177" i="56" s="1"/>
  <c r="D178" i="56" a="1"/>
  <c r="D178" i="56" s="1"/>
  <c r="F177" i="56" a="1"/>
  <c r="F177" i="56" s="1"/>
  <c r="G177" i="56" a="1"/>
  <c r="G177" i="56" s="1"/>
  <c r="F178" i="56" a="1"/>
  <c r="F178" i="56" s="1"/>
  <c r="E177" i="56" a="1"/>
  <c r="E177" i="56" s="1"/>
  <c r="C177" i="56" a="1"/>
  <c r="C177" i="56" s="1"/>
  <c r="E178" i="56" a="1"/>
  <c r="E178" i="56" s="1"/>
  <c r="C178" i="56" a="1"/>
  <c r="C178" i="56" s="1"/>
  <c r="G178" i="56" a="1"/>
  <c r="G178" i="56" s="1"/>
  <c r="H177" i="56" a="1"/>
  <c r="H177" i="56" s="1"/>
  <c r="H178" i="56" a="1"/>
  <c r="H178" i="56" s="1"/>
  <c r="P29" i="22"/>
  <c r="Z13" i="25" s="1"/>
  <c r="Q65" i="22"/>
  <c r="AA49" i="25" s="1"/>
  <c r="AA48" i="25" s="1"/>
  <c r="B233" i="45"/>
  <c r="B233" i="7"/>
  <c r="EJ233" i="7" s="1"/>
  <c r="C49" i="45"/>
  <c r="C120" i="7"/>
  <c r="EK120" i="7" s="1"/>
  <c r="C49" i="7"/>
  <c r="EK49" i="7" s="1"/>
  <c r="C120" i="45"/>
  <c r="O196" i="23"/>
  <c r="D193" i="23"/>
  <c r="D195" i="23"/>
  <c r="O195" i="23"/>
  <c r="O193" i="23"/>
  <c r="I76" i="45" s="1"/>
  <c r="J76" i="45" s="1"/>
  <c r="D198" i="23"/>
  <c r="O197" i="23"/>
  <c r="D194" i="23"/>
  <c r="D197" i="23"/>
  <c r="O198" i="23"/>
  <c r="D196" i="23"/>
  <c r="O194" i="23"/>
  <c r="P198" i="23"/>
  <c r="P193" i="23"/>
  <c r="C200" i="23"/>
  <c r="P196" i="23"/>
  <c r="P197" i="23"/>
  <c r="P194" i="23"/>
  <c r="P195" i="23"/>
  <c r="P199" i="23"/>
  <c r="E190" i="25"/>
  <c r="F186" i="25"/>
  <c r="E188" i="25"/>
  <c r="F188" i="25"/>
  <c r="E185" i="25"/>
  <c r="F185" i="25"/>
  <c r="E187" i="25"/>
  <c r="F187" i="25"/>
  <c r="F190" i="25"/>
  <c r="E186" i="25"/>
  <c r="F189" i="25"/>
  <c r="E189" i="25"/>
  <c r="C122" i="45"/>
  <c r="B241" i="45"/>
  <c r="B241" i="7"/>
  <c r="EJ241" i="7" s="1"/>
  <c r="C51" i="7"/>
  <c r="EK51" i="7" s="1"/>
  <c r="C51" i="45"/>
  <c r="C122" i="7"/>
  <c r="EK122" i="7" s="1"/>
  <c r="L177" i="26"/>
  <c r="Q177" i="26"/>
  <c r="FY294" i="7"/>
  <c r="DV294" i="7"/>
  <c r="DP294" i="7"/>
  <c r="CX294" i="7"/>
  <c r="AP294" i="7"/>
  <c r="BY294" i="7"/>
  <c r="FZ294" i="7"/>
  <c r="DW294" i="7"/>
  <c r="DQ294" i="7"/>
  <c r="CY294" i="7"/>
  <c r="AQ294" i="7"/>
  <c r="D303" i="7"/>
  <c r="GM294" i="7"/>
  <c r="FR294" i="7"/>
  <c r="ED294" i="7"/>
  <c r="DK295" i="7"/>
  <c r="CB294" i="7"/>
  <c r="BD294" i="7"/>
  <c r="AI294" i="7"/>
  <c r="GH294" i="7"/>
  <c r="FA294" i="7"/>
  <c r="DR294" i="7"/>
  <c r="DC294" i="7"/>
  <c r="BB294" i="7"/>
  <c r="V294" i="7"/>
  <c r="FN294" i="7"/>
  <c r="EC294" i="7"/>
  <c r="DN295" i="7"/>
  <c r="CH294" i="7"/>
  <c r="AV294" i="7"/>
  <c r="O294" i="7"/>
  <c r="FP294" i="7"/>
  <c r="CP294" i="7"/>
  <c r="AD294" i="7"/>
  <c r="D294" i="7"/>
  <c r="FQ294" i="7"/>
  <c r="AE294" i="7"/>
  <c r="GO294" i="7"/>
  <c r="FJ294" i="7"/>
  <c r="DL294" i="7"/>
  <c r="DA294" i="7"/>
  <c r="BC294" i="7"/>
  <c r="Y294" i="7"/>
  <c r="GK294" i="7"/>
  <c r="EV294" i="7"/>
  <c r="DS294" i="7"/>
  <c r="DS293" i="7" s="1"/>
  <c r="CF294" i="7"/>
  <c r="AZ294" i="7"/>
  <c r="GL294" i="7"/>
  <c r="EW294" i="7"/>
  <c r="DG295" i="7"/>
  <c r="CG294" i="7"/>
  <c r="AL294" i="7"/>
  <c r="GF294" i="7"/>
  <c r="DY294" i="7"/>
  <c r="DP295" i="7"/>
  <c r="CO294" i="7"/>
  <c r="AH294" i="7"/>
  <c r="FU294" i="7"/>
  <c r="EG294" i="7"/>
  <c r="EG293" i="7" s="1"/>
  <c r="EG295" i="7" s="1"/>
  <c r="DA302" i="7" s="1"/>
  <c r="CZ294" i="7"/>
  <c r="AU294" i="7"/>
  <c r="FE294" i="7"/>
  <c r="DN294" i="7"/>
  <c r="CJ294" i="7"/>
  <c r="AF294" i="7"/>
  <c r="FF294" i="7"/>
  <c r="DO294" i="7"/>
  <c r="CK294" i="7"/>
  <c r="AG294" i="7"/>
  <c r="EX294" i="7"/>
  <c r="DQ295" i="7"/>
  <c r="BE294" i="7"/>
  <c r="EY294" i="7"/>
  <c r="DR295" i="7"/>
  <c r="BF294" i="7"/>
  <c r="EZ294" i="7"/>
  <c r="DS295" i="7"/>
  <c r="CZ302" i="7" s="1"/>
  <c r="BG294" i="7"/>
  <c r="GB294" i="7"/>
  <c r="EB294" i="7"/>
  <c r="DB294" i="7"/>
  <c r="AM294" i="7"/>
  <c r="GC294" i="7"/>
  <c r="EE294" i="7"/>
  <c r="DD294" i="7"/>
  <c r="AN294" i="7"/>
  <c r="FL294" i="7"/>
  <c r="DM295" i="7"/>
  <c r="AX294" i="7"/>
  <c r="FO294" i="7"/>
  <c r="CS294" i="7"/>
  <c r="AO294" i="7"/>
  <c r="FM294" i="7"/>
  <c r="DO295" i="7"/>
  <c r="AY294" i="7"/>
  <c r="FD294" i="7"/>
  <c r="CT294" i="7"/>
  <c r="AR294" i="7"/>
  <c r="DU294" i="7"/>
  <c r="CC294" i="7"/>
  <c r="AA294" i="7"/>
  <c r="DX294" i="7"/>
  <c r="CD294" i="7"/>
  <c r="AB294" i="7"/>
  <c r="DZ294" i="7"/>
  <c r="CE294" i="7"/>
  <c r="N294" i="7"/>
  <c r="FI294" i="7"/>
  <c r="EF294" i="7"/>
  <c r="C17" i="41"/>
  <c r="DG294" i="7"/>
  <c r="BH294" i="7"/>
  <c r="FB294" i="7"/>
  <c r="EA294" i="7"/>
  <c r="E303" i="7"/>
  <c r="DJ294" i="7"/>
  <c r="AJ294" i="7"/>
  <c r="DK294" i="7"/>
  <c r="W294" i="7"/>
  <c r="GR294" i="7"/>
  <c r="GS294" i="7" s="1"/>
  <c r="GT294" i="7" s="1"/>
  <c r="GU294" i="7" s="1"/>
  <c r="GV294" i="7" s="1"/>
  <c r="GW294" i="7" s="1"/>
  <c r="GX294" i="7" s="1"/>
  <c r="DM294" i="7"/>
  <c r="X294" i="7"/>
  <c r="DH295" i="7"/>
  <c r="Z294" i="7"/>
  <c r="GJ294" i="7"/>
  <c r="DI295" i="7"/>
  <c r="P294" i="7"/>
  <c r="DJ295" i="7"/>
  <c r="CU294" i="7"/>
  <c r="CV294" i="7"/>
  <c r="CW294" i="7"/>
  <c r="DE294" i="7"/>
  <c r="DE293" i="7" s="1"/>
  <c r="DE295" i="7" s="1"/>
  <c r="CY302" i="7" s="1"/>
  <c r="CI294" i="7"/>
  <c r="CL294" i="7"/>
  <c r="DL295" i="7"/>
  <c r="CM294" i="7"/>
  <c r="GN294" i="7"/>
  <c r="GP294" i="7"/>
  <c r="GE294" i="7"/>
  <c r="GG294" i="7"/>
  <c r="AT294" i="7"/>
  <c r="CN294" i="7"/>
  <c r="GD294" i="7"/>
  <c r="FT294" i="7"/>
  <c r="S294" i="7"/>
  <c r="T294" i="7"/>
  <c r="FH294" i="7"/>
  <c r="DH294" i="7"/>
  <c r="DI294" i="7"/>
  <c r="Q294" i="7"/>
  <c r="R294" i="7"/>
  <c r="FV294" i="7"/>
  <c r="FW294" i="7"/>
  <c r="FX294" i="7"/>
  <c r="FG294" i="7"/>
  <c r="AW294" i="7"/>
  <c r="O181" i="23"/>
  <c r="O184" i="23"/>
  <c r="D180" i="23"/>
  <c r="D179" i="23"/>
  <c r="O183" i="23"/>
  <c r="O182" i="23"/>
  <c r="D182" i="23"/>
  <c r="D183" i="23"/>
  <c r="O179" i="23"/>
  <c r="D181" i="23"/>
  <c r="P181" i="23"/>
  <c r="O180" i="23"/>
  <c r="D184" i="23"/>
  <c r="P182" i="23"/>
  <c r="P180" i="23"/>
  <c r="P179" i="23"/>
  <c r="P185" i="23"/>
  <c r="C186" i="23"/>
  <c r="P183" i="23"/>
  <c r="P184" i="23"/>
  <c r="B47" i="45"/>
  <c r="B118" i="45"/>
  <c r="B227" i="45"/>
  <c r="B118" i="7"/>
  <c r="EJ118" i="7" s="1"/>
  <c r="B227" i="7"/>
  <c r="EJ227" i="7" s="1"/>
  <c r="B47" i="7"/>
  <c r="EJ47" i="7" s="1"/>
  <c r="Q147" i="26"/>
  <c r="L147" i="26"/>
  <c r="G53" i="23"/>
  <c r="H54" i="23"/>
  <c r="H53" i="23"/>
  <c r="J49" i="23"/>
  <c r="G54" i="23"/>
  <c r="H55" i="23"/>
  <c r="G55" i="23"/>
  <c r="G56" i="23"/>
  <c r="H56" i="23"/>
  <c r="H57" i="23"/>
  <c r="G57" i="23"/>
  <c r="G58" i="23"/>
  <c r="H58" i="23"/>
  <c r="E161" i="25"/>
  <c r="E156" i="25"/>
  <c r="F160" i="25"/>
  <c r="F159" i="25"/>
  <c r="F156" i="25"/>
  <c r="F157" i="25"/>
  <c r="E160" i="25"/>
  <c r="F161" i="25"/>
  <c r="E159" i="25"/>
  <c r="E158" i="25"/>
  <c r="E157" i="25"/>
  <c r="F158" i="25"/>
  <c r="Q102" i="26"/>
  <c r="L102" i="26"/>
  <c r="B52" i="45"/>
  <c r="B247" i="45"/>
  <c r="B247" i="7"/>
  <c r="EJ247" i="7" s="1"/>
  <c r="J152" i="25"/>
  <c r="H156" i="25" s="1"/>
  <c r="B123" i="45"/>
  <c r="B52" i="7"/>
  <c r="EJ52" i="7" s="1"/>
  <c r="B123" i="7"/>
  <c r="EJ123" i="7" s="1"/>
  <c r="J35" i="23"/>
  <c r="G39" i="23"/>
  <c r="H39" i="23"/>
  <c r="H40" i="23"/>
  <c r="G40" i="23"/>
  <c r="H41" i="23"/>
  <c r="G41" i="23"/>
  <c r="H42" i="23"/>
  <c r="G42" i="23"/>
  <c r="H43" i="23"/>
  <c r="G43" i="23"/>
  <c r="G44" i="23"/>
  <c r="H44" i="23"/>
  <c r="Q72" i="26"/>
  <c r="L72" i="26"/>
  <c r="J123" i="25"/>
  <c r="H127" i="25" s="1"/>
  <c r="B243" i="45"/>
  <c r="B122" i="45"/>
  <c r="B51" i="45"/>
  <c r="B243" i="7"/>
  <c r="EJ243" i="7" s="1"/>
  <c r="B51" i="7"/>
  <c r="EJ51" i="7" s="1"/>
  <c r="B122" i="7"/>
  <c r="EJ122" i="7" s="1"/>
  <c r="O138" i="23"/>
  <c r="O139" i="23"/>
  <c r="O140" i="23"/>
  <c r="O137" i="23"/>
  <c r="P139" i="23"/>
  <c r="D138" i="23"/>
  <c r="D141" i="23"/>
  <c r="D137" i="23"/>
  <c r="D140" i="23"/>
  <c r="D139" i="23"/>
  <c r="P140" i="23"/>
  <c r="O142" i="23"/>
  <c r="P138" i="23"/>
  <c r="D142" i="23"/>
  <c r="O141" i="23"/>
  <c r="P137" i="23"/>
  <c r="C144" i="23"/>
  <c r="P142" i="23"/>
  <c r="P141" i="23"/>
  <c r="P143" i="23"/>
  <c r="Q12" i="26"/>
  <c r="N19" i="26"/>
  <c r="L12" i="26"/>
  <c r="E275" i="25"/>
  <c r="F272" i="25"/>
  <c r="F275" i="25"/>
  <c r="F277" i="25"/>
  <c r="F274" i="25"/>
  <c r="E272" i="25"/>
  <c r="E274" i="25"/>
  <c r="E277" i="25"/>
  <c r="F276" i="25"/>
  <c r="E276" i="25"/>
  <c r="F273" i="25"/>
  <c r="E273" i="25"/>
  <c r="R61" i="22"/>
  <c r="AB45" i="25" s="1"/>
  <c r="L13" i="22"/>
  <c r="V6" i="26" s="1"/>
  <c r="V4" i="26"/>
  <c r="D7" i="26" s="1"/>
  <c r="H12" i="26" s="1"/>
  <c r="D29" i="26"/>
  <c r="E29" i="26"/>
  <c r="D31" i="26"/>
  <c r="E31" i="26"/>
  <c r="F22" i="26"/>
  <c r="I27" i="26" s="1"/>
  <c r="D27" i="26"/>
  <c r="B21" i="26"/>
  <c r="E27" i="26"/>
  <c r="D28" i="26"/>
  <c r="E28" i="26"/>
  <c r="D30" i="26"/>
  <c r="E30" i="26"/>
  <c r="D32" i="26"/>
  <c r="E32" i="26"/>
  <c r="H123" i="23"/>
  <c r="J119" i="23"/>
  <c r="G123" i="23"/>
  <c r="G124" i="23"/>
  <c r="H124" i="23"/>
  <c r="H125" i="23"/>
  <c r="G125" i="23"/>
  <c r="G126" i="23"/>
  <c r="H126" i="23"/>
  <c r="H127" i="23"/>
  <c r="G127" i="23"/>
  <c r="H128" i="23"/>
  <c r="G128" i="23"/>
  <c r="B239" i="45"/>
  <c r="B50" i="45"/>
  <c r="B121" i="7"/>
  <c r="EJ121" i="7" s="1"/>
  <c r="B50" i="7"/>
  <c r="EJ50" i="7" s="1"/>
  <c r="B121" i="45"/>
  <c r="B239" i="7"/>
  <c r="EJ239" i="7" s="1"/>
  <c r="J94" i="25"/>
  <c r="H98" i="25" s="1"/>
  <c r="Q21" i="22"/>
  <c r="AA5" i="25" s="1"/>
  <c r="D126" i="23"/>
  <c r="O124" i="23"/>
  <c r="O123" i="23"/>
  <c r="O125" i="23"/>
  <c r="O128" i="23"/>
  <c r="D125" i="23"/>
  <c r="O126" i="23"/>
  <c r="D124" i="23"/>
  <c r="D128" i="23"/>
  <c r="P123" i="23"/>
  <c r="O127" i="23"/>
  <c r="D127" i="23"/>
  <c r="P124" i="23"/>
  <c r="D123" i="23"/>
  <c r="P125" i="23"/>
  <c r="C130" i="23"/>
  <c r="P126" i="23"/>
  <c r="P127" i="23"/>
  <c r="P128" i="23"/>
  <c r="P129" i="23"/>
  <c r="J7" i="23"/>
  <c r="G11" i="23"/>
  <c r="H11" i="23"/>
  <c r="H12" i="23"/>
  <c r="G12" i="23"/>
  <c r="G13" i="23"/>
  <c r="H13" i="23"/>
  <c r="G14" i="23"/>
  <c r="H14" i="23"/>
  <c r="G15" i="23"/>
  <c r="H15" i="23"/>
  <c r="G16" i="23"/>
  <c r="H16" i="23"/>
  <c r="B263" i="7"/>
  <c r="EJ263" i="7" s="1"/>
  <c r="B127" i="45"/>
  <c r="B263" i="45"/>
  <c r="B56" i="7"/>
  <c r="EJ56" i="7" s="1"/>
  <c r="B127" i="7"/>
  <c r="EJ127" i="7" s="1"/>
  <c r="B56" i="45"/>
  <c r="J268" i="25"/>
  <c r="H272" i="25" s="1"/>
  <c r="J175" i="23"/>
  <c r="G179" i="23"/>
  <c r="H179" i="23"/>
  <c r="G180" i="23"/>
  <c r="H180" i="23"/>
  <c r="G181" i="23"/>
  <c r="H181" i="23"/>
  <c r="H182" i="23"/>
  <c r="G182" i="23"/>
  <c r="G183" i="23"/>
  <c r="H183" i="23"/>
  <c r="H184" i="23"/>
  <c r="G184" i="23"/>
  <c r="O69" i="23"/>
  <c r="O71" i="23"/>
  <c r="D69" i="23"/>
  <c r="D70" i="23"/>
  <c r="P67" i="23"/>
  <c r="O68" i="23"/>
  <c r="P68" i="23"/>
  <c r="D72" i="23"/>
  <c r="O72" i="23"/>
  <c r="O67" i="23"/>
  <c r="I67" i="45" s="1"/>
  <c r="J67" i="45" s="1"/>
  <c r="D71" i="23"/>
  <c r="O70" i="23"/>
  <c r="P70" i="23"/>
  <c r="D68" i="23"/>
  <c r="D67" i="23"/>
  <c r="P69" i="23"/>
  <c r="P71" i="23"/>
  <c r="C74" i="23"/>
  <c r="P72" i="23"/>
  <c r="P73" i="23"/>
  <c r="B249" i="7"/>
  <c r="EJ249" i="7" s="1"/>
  <c r="C124" i="45"/>
  <c r="C124" i="7"/>
  <c r="EK124" i="7" s="1"/>
  <c r="C53" i="7"/>
  <c r="EK53" i="7" s="1"/>
  <c r="B249" i="45"/>
  <c r="C53" i="45"/>
  <c r="P199" i="36"/>
  <c r="P19" i="36"/>
  <c r="B179" i="36"/>
  <c r="P99" i="36"/>
  <c r="B79" i="36"/>
  <c r="B80" i="36" s="1"/>
  <c r="F39" i="36"/>
  <c r="F40" i="36" s="1"/>
  <c r="F41" i="36" s="1"/>
  <c r="G39" i="36"/>
  <c r="G40" i="36" s="1"/>
  <c r="G41" i="36" s="1"/>
  <c r="C59" i="36"/>
  <c r="C60" i="36" s="1"/>
  <c r="C61" i="36" s="1"/>
  <c r="L39" i="36"/>
  <c r="F59" i="36"/>
  <c r="F60" i="36" s="1"/>
  <c r="F61" i="36" s="1"/>
  <c r="K179" i="36"/>
  <c r="C79" i="36"/>
  <c r="C80" i="36" s="1"/>
  <c r="C81" i="36" s="1"/>
  <c r="L119" i="36"/>
  <c r="N79" i="36"/>
  <c r="D17" i="41"/>
  <c r="O199" i="36"/>
  <c r="N39" i="36"/>
  <c r="D79" i="36"/>
  <c r="D80" i="36" s="1"/>
  <c r="D81" i="36" s="1"/>
  <c r="B119" i="36"/>
  <c r="K19" i="36"/>
  <c r="K20" i="36" s="1"/>
  <c r="P139" i="36"/>
  <c r="L19" i="36"/>
  <c r="O79" i="36"/>
  <c r="E159" i="36"/>
  <c r="E160" i="36" s="1"/>
  <c r="E161" i="36" s="1"/>
  <c r="P79" i="36"/>
  <c r="F159" i="36"/>
  <c r="F160" i="36" s="1"/>
  <c r="F161" i="36" s="1"/>
  <c r="B99" i="36"/>
  <c r="F99" i="36"/>
  <c r="F100" i="36" s="1"/>
  <c r="F101" i="36" s="1"/>
  <c r="K59" i="36"/>
  <c r="K60" i="36" s="1"/>
  <c r="O39" i="36"/>
  <c r="M19" i="36"/>
  <c r="K119" i="36"/>
  <c r="O99" i="36"/>
  <c r="N179" i="36"/>
  <c r="B159" i="36"/>
  <c r="M119" i="36"/>
  <c r="K99" i="36"/>
  <c r="C39" i="36"/>
  <c r="C40" i="36" s="1"/>
  <c r="C41" i="36" s="1"/>
  <c r="O19" i="36"/>
  <c r="M39" i="36"/>
  <c r="K159" i="36"/>
  <c r="K160" i="36" s="1"/>
  <c r="L59" i="36"/>
  <c r="M159" i="36"/>
  <c r="B59" i="36"/>
  <c r="B60" i="36" s="1"/>
  <c r="E79" i="36"/>
  <c r="E80" i="36" s="1"/>
  <c r="E81" i="36" s="1"/>
  <c r="N139" i="36"/>
  <c r="F79" i="36"/>
  <c r="F80" i="36" s="1"/>
  <c r="F81" i="36" s="1"/>
  <c r="L159" i="36"/>
  <c r="E59" i="36"/>
  <c r="E60" i="36" s="1"/>
  <c r="E61" i="36" s="1"/>
  <c r="P159" i="36"/>
  <c r="G19" i="36"/>
  <c r="G20" i="36" s="1"/>
  <c r="G21" i="36" s="1"/>
  <c r="F19" i="36"/>
  <c r="F20" i="36" s="1"/>
  <c r="F21" i="36" s="1"/>
  <c r="F139" i="36"/>
  <c r="F140" i="36" s="1"/>
  <c r="F141" i="36" s="1"/>
  <c r="D199" i="36"/>
  <c r="D200" i="36" s="1"/>
  <c r="D201" i="36" s="1"/>
  <c r="N159" i="36"/>
  <c r="L179" i="36"/>
  <c r="P119" i="36"/>
  <c r="E39" i="36"/>
  <c r="E40" i="36" s="1"/>
  <c r="E41" i="36" s="1"/>
  <c r="C19" i="36"/>
  <c r="C20" i="36" s="1"/>
  <c r="C21" i="36" s="1"/>
  <c r="E199" i="36"/>
  <c r="E200" i="36" s="1"/>
  <c r="E201" i="36" s="1"/>
  <c r="G179" i="36"/>
  <c r="G180" i="36" s="1"/>
  <c r="G181" i="36" s="1"/>
  <c r="N19" i="36"/>
  <c r="N199" i="36"/>
  <c r="K139" i="36"/>
  <c r="K140" i="36" s="1"/>
  <c r="L79" i="36"/>
  <c r="D119" i="36"/>
  <c r="D120" i="36" s="1"/>
  <c r="D121" i="36" s="1"/>
  <c r="C199" i="36"/>
  <c r="C200" i="36" s="1"/>
  <c r="C201" i="36" s="1"/>
  <c r="L199" i="36"/>
  <c r="G59" i="36"/>
  <c r="G60" i="36" s="1"/>
  <c r="G61" i="36" s="1"/>
  <c r="O119" i="36"/>
  <c r="D19" i="36"/>
  <c r="D20" i="36" s="1"/>
  <c r="D21" i="36" s="1"/>
  <c r="O139" i="36"/>
  <c r="D179" i="36"/>
  <c r="D180" i="36" s="1"/>
  <c r="D181" i="36" s="1"/>
  <c r="M179" i="36"/>
  <c r="K39" i="36"/>
  <c r="K40" i="36" s="1"/>
  <c r="E179" i="36"/>
  <c r="E180" i="36" s="1"/>
  <c r="E181" i="36" s="1"/>
  <c r="G79" i="36"/>
  <c r="G80" i="36" s="1"/>
  <c r="G81" i="36" s="1"/>
  <c r="M99" i="36"/>
  <c r="G199" i="36"/>
  <c r="G200" i="36" s="1"/>
  <c r="G201" i="36" s="1"/>
  <c r="C159" i="36"/>
  <c r="C160" i="36" s="1"/>
  <c r="C161" i="36" s="1"/>
  <c r="L139" i="36"/>
  <c r="E99" i="36"/>
  <c r="E100" i="36" s="1"/>
  <c r="E101" i="36" s="1"/>
  <c r="B19" i="36"/>
  <c r="E19" i="36"/>
  <c r="E20" i="36" s="1"/>
  <c r="E21" i="36" s="1"/>
  <c r="F119" i="36"/>
  <c r="F120" i="36" s="1"/>
  <c r="F121" i="36" s="1"/>
  <c r="N119" i="36"/>
  <c r="N99" i="36"/>
  <c r="M59" i="36"/>
  <c r="G99" i="36"/>
  <c r="G100" i="36" s="1"/>
  <c r="G101" i="36" s="1"/>
  <c r="C99" i="36"/>
  <c r="C100" i="36" s="1"/>
  <c r="C101" i="36" s="1"/>
  <c r="B139" i="36"/>
  <c r="G159" i="36"/>
  <c r="G160" i="36" s="1"/>
  <c r="G161" i="36" s="1"/>
  <c r="F199" i="36"/>
  <c r="F200" i="36" s="1"/>
  <c r="F201" i="36" s="1"/>
  <c r="C119" i="36"/>
  <c r="C120" i="36" s="1"/>
  <c r="C121" i="36" s="1"/>
  <c r="G139" i="36"/>
  <c r="G140" i="36" s="1"/>
  <c r="G141" i="36" s="1"/>
  <c r="P39" i="36"/>
  <c r="B199" i="36"/>
  <c r="M79" i="36"/>
  <c r="E139" i="36"/>
  <c r="E140" i="36" s="1"/>
  <c r="E141" i="36" s="1"/>
  <c r="F179" i="36"/>
  <c r="F180" i="36" s="1"/>
  <c r="F181" i="36" s="1"/>
  <c r="D39" i="36"/>
  <c r="D40" i="36" s="1"/>
  <c r="D41" i="36" s="1"/>
  <c r="D99" i="36"/>
  <c r="D100" i="36" s="1"/>
  <c r="D101" i="36" s="1"/>
  <c r="M139" i="36"/>
  <c r="M199" i="36"/>
  <c r="C139" i="36"/>
  <c r="C140" i="36" s="1"/>
  <c r="C141" i="36" s="1"/>
  <c r="N59" i="36"/>
  <c r="O59" i="36"/>
  <c r="O159" i="36"/>
  <c r="K199" i="36"/>
  <c r="K200" i="36" s="1"/>
  <c r="D59" i="36"/>
  <c r="D60" i="36" s="1"/>
  <c r="D61" i="36" s="1"/>
  <c r="B39" i="36"/>
  <c r="B40" i="36" s="1"/>
  <c r="D159" i="36"/>
  <c r="D160" i="36" s="1"/>
  <c r="D161" i="36" s="1"/>
  <c r="K79" i="36"/>
  <c r="K80" i="36" s="1"/>
  <c r="P179" i="36"/>
  <c r="G119" i="36"/>
  <c r="G120" i="36" s="1"/>
  <c r="G121" i="36" s="1"/>
  <c r="D139" i="36"/>
  <c r="D140" i="36" s="1"/>
  <c r="D141" i="36" s="1"/>
  <c r="O179" i="36"/>
  <c r="L99" i="36"/>
  <c r="C179" i="36"/>
  <c r="C180" i="36" s="1"/>
  <c r="C181" i="36" s="1"/>
  <c r="P59" i="36"/>
  <c r="E119" i="36"/>
  <c r="E120" i="36" s="1"/>
  <c r="E121" i="36" s="1"/>
  <c r="CZ292" i="7"/>
  <c r="EB292" i="7"/>
  <c r="EB293" i="7" s="1"/>
  <c r="EB295" i="7" s="1"/>
  <c r="CY292" i="7"/>
  <c r="DJ292" i="7"/>
  <c r="EC292" i="7"/>
  <c r="CV292" i="7"/>
  <c r="CW292" i="7"/>
  <c r="CX292" i="7"/>
  <c r="DM292" i="7"/>
  <c r="DR292" i="7"/>
  <c r="DH292" i="7"/>
  <c r="DV292" i="7"/>
  <c r="DN292" i="7"/>
  <c r="ED292" i="7"/>
  <c r="DB292" i="7"/>
  <c r="EA292" i="7"/>
  <c r="CS292" i="7"/>
  <c r="DU292" i="7"/>
  <c r="DW292" i="7"/>
  <c r="DI292" i="7"/>
  <c r="DY292" i="7"/>
  <c r="DA292" i="7"/>
  <c r="EF292" i="7"/>
  <c r="DQ292" i="7"/>
  <c r="DG292" i="7"/>
  <c r="DP292" i="7"/>
  <c r="DX292" i="7"/>
  <c r="DL292" i="7"/>
  <c r="EE292" i="7"/>
  <c r="DK292" i="7"/>
  <c r="CU292" i="7"/>
  <c r="CT292" i="7"/>
  <c r="DO292" i="7"/>
  <c r="DD292" i="7"/>
  <c r="DZ292" i="7"/>
  <c r="DC292" i="7"/>
  <c r="C125" i="45"/>
  <c r="C125" i="7"/>
  <c r="EK125" i="7" s="1"/>
  <c r="C54" i="7"/>
  <c r="EK54" i="7" s="1"/>
  <c r="C54" i="45"/>
  <c r="B253" i="45"/>
  <c r="B253" i="7"/>
  <c r="EJ253" i="7" s="1"/>
  <c r="J161" i="23"/>
  <c r="G165" i="23"/>
  <c r="H165" i="23"/>
  <c r="H166" i="23"/>
  <c r="G166" i="23"/>
  <c r="H167" i="23"/>
  <c r="G167" i="23"/>
  <c r="H168" i="23"/>
  <c r="G168" i="23"/>
  <c r="H169" i="23"/>
  <c r="G169" i="23"/>
  <c r="G170" i="23"/>
  <c r="H170" i="23"/>
  <c r="C126" i="45"/>
  <c r="C55" i="7"/>
  <c r="EK55" i="7" s="1"/>
  <c r="B257" i="45"/>
  <c r="C55" i="45"/>
  <c r="C126" i="7"/>
  <c r="EK126" i="7" s="1"/>
  <c r="B257" i="7"/>
  <c r="EJ257" i="7" s="1"/>
  <c r="O54" i="23"/>
  <c r="D56" i="23"/>
  <c r="O55" i="23"/>
  <c r="D57" i="23"/>
  <c r="O53" i="23"/>
  <c r="D58" i="23"/>
  <c r="O58" i="23"/>
  <c r="O57" i="23"/>
  <c r="D55" i="23"/>
  <c r="D54" i="23"/>
  <c r="O56" i="23"/>
  <c r="P53" i="23"/>
  <c r="P54" i="23"/>
  <c r="P55" i="23"/>
  <c r="D53" i="23"/>
  <c r="C60" i="23"/>
  <c r="P58" i="23"/>
  <c r="P57" i="23"/>
  <c r="P56" i="23"/>
  <c r="P59" i="23"/>
  <c r="B58" i="45"/>
  <c r="B271" i="45"/>
  <c r="B129" i="45"/>
  <c r="B58" i="7"/>
  <c r="EJ58" i="7" s="1"/>
  <c r="J326" i="25"/>
  <c r="H330" i="25" s="1"/>
  <c r="B129" i="7"/>
  <c r="EJ129" i="7" s="1"/>
  <c r="B271" i="7"/>
  <c r="EJ271" i="7" s="1"/>
  <c r="C128" i="45"/>
  <c r="C57" i="45"/>
  <c r="B265" i="7"/>
  <c r="EJ265" i="7" s="1"/>
  <c r="B265" i="45"/>
  <c r="C128" i="7"/>
  <c r="EK128" i="7" s="1"/>
  <c r="C57" i="7"/>
  <c r="EK57" i="7" s="1"/>
  <c r="R23" i="22"/>
  <c r="AB7" i="25" s="1"/>
  <c r="E305" i="25"/>
  <c r="F305" i="25"/>
  <c r="F306" i="25"/>
  <c r="E302" i="25"/>
  <c r="F301" i="25"/>
  <c r="F302" i="25"/>
  <c r="E306" i="25"/>
  <c r="E303" i="25"/>
  <c r="F303" i="25"/>
  <c r="E301" i="25"/>
  <c r="E304" i="25"/>
  <c r="F304" i="25"/>
  <c r="C130" i="45"/>
  <c r="B273" i="45"/>
  <c r="C59" i="7"/>
  <c r="EK59" i="7" s="1"/>
  <c r="C130" i="7"/>
  <c r="EK130" i="7" s="1"/>
  <c r="B273" i="7"/>
  <c r="EJ273" i="7" s="1"/>
  <c r="C59" i="45"/>
  <c r="C60" i="45"/>
  <c r="C131" i="45"/>
  <c r="C60" i="7"/>
  <c r="EK60" i="7" s="1"/>
  <c r="C131" i="7"/>
  <c r="EK131" i="7" s="1"/>
  <c r="B277" i="45"/>
  <c r="B277" i="7"/>
  <c r="EJ277" i="7" s="1"/>
  <c r="J133" i="23"/>
  <c r="H137" i="23"/>
  <c r="G137" i="23"/>
  <c r="G138" i="23"/>
  <c r="H138" i="23"/>
  <c r="H139" i="23"/>
  <c r="G139" i="23"/>
  <c r="G140" i="23"/>
  <c r="H140" i="23"/>
  <c r="G141" i="23"/>
  <c r="H141" i="23"/>
  <c r="G142" i="23"/>
  <c r="H142" i="23"/>
  <c r="B128" i="45"/>
  <c r="B267" i="7"/>
  <c r="EJ267" i="7" s="1"/>
  <c r="B57" i="45"/>
  <c r="B57" i="7"/>
  <c r="EJ57" i="7" s="1"/>
  <c r="B267" i="45"/>
  <c r="J297" i="25"/>
  <c r="H301" i="25" s="1"/>
  <c r="B128" i="7"/>
  <c r="EJ128" i="7" s="1"/>
  <c r="E72" i="25"/>
  <c r="F72" i="25"/>
  <c r="E70" i="25"/>
  <c r="E74" i="25"/>
  <c r="E71" i="25"/>
  <c r="F71" i="25"/>
  <c r="E73" i="25"/>
  <c r="F74" i="25"/>
  <c r="F73" i="25"/>
  <c r="F70" i="25"/>
  <c r="E69" i="25"/>
  <c r="F69" i="25"/>
  <c r="F247" i="25"/>
  <c r="E247" i="25"/>
  <c r="E243" i="25"/>
  <c r="F243" i="25"/>
  <c r="F248" i="25"/>
  <c r="E248" i="25"/>
  <c r="E245" i="25"/>
  <c r="F245" i="25"/>
  <c r="E246" i="25"/>
  <c r="F246" i="25"/>
  <c r="F244" i="25"/>
  <c r="E244" i="25"/>
  <c r="D112" i="23"/>
  <c r="D113" i="23"/>
  <c r="O112" i="23"/>
  <c r="O114" i="23"/>
  <c r="O109" i="23"/>
  <c r="D110" i="23"/>
  <c r="D114" i="23"/>
  <c r="O110" i="23"/>
  <c r="O111" i="23"/>
  <c r="P112" i="23"/>
  <c r="D109" i="23"/>
  <c r="P111" i="23"/>
  <c r="P110" i="23"/>
  <c r="O113" i="23"/>
  <c r="D111" i="23"/>
  <c r="P109" i="23"/>
  <c r="P113" i="23"/>
  <c r="P115" i="23"/>
  <c r="P114" i="23"/>
  <c r="C116" i="23"/>
  <c r="B120" i="45"/>
  <c r="J65" i="25"/>
  <c r="H69" i="25" s="1"/>
  <c r="B120" i="7"/>
  <c r="EJ120" i="7" s="1"/>
  <c r="B49" i="45"/>
  <c r="B49" i="7"/>
  <c r="EJ49" i="7" s="1"/>
  <c r="B235" i="45"/>
  <c r="B235" i="7"/>
  <c r="EJ235" i="7" s="1"/>
  <c r="C151" i="45"/>
  <c r="C151" i="7"/>
  <c r="EK151" i="7" s="1"/>
  <c r="C80" i="7"/>
  <c r="EK80" i="7" s="1"/>
  <c r="C80" i="45"/>
  <c r="J91" i="23"/>
  <c r="H95" i="23"/>
  <c r="G95" i="23"/>
  <c r="H96" i="23"/>
  <c r="G96" i="23"/>
  <c r="G97" i="23"/>
  <c r="H97" i="23"/>
  <c r="G98" i="23"/>
  <c r="H98" i="23"/>
  <c r="H99" i="23"/>
  <c r="G99" i="23"/>
  <c r="G100" i="23"/>
  <c r="H100" i="23"/>
  <c r="C152" i="7"/>
  <c r="EK152" i="7" s="1"/>
  <c r="C152" i="45"/>
  <c r="C81" i="7"/>
  <c r="EK81" i="7" s="1"/>
  <c r="C81" i="45"/>
  <c r="O207" i="23"/>
  <c r="D207" i="23"/>
  <c r="O211" i="23"/>
  <c r="D210" i="23"/>
  <c r="P210" i="23"/>
  <c r="D211" i="23"/>
  <c r="O210" i="23"/>
  <c r="D212" i="23"/>
  <c r="D209" i="23"/>
  <c r="O208" i="23"/>
  <c r="P208" i="23"/>
  <c r="D208" i="23"/>
  <c r="O212" i="23"/>
  <c r="O209" i="23"/>
  <c r="P209" i="23"/>
  <c r="P212" i="23"/>
  <c r="P211" i="23"/>
  <c r="P207" i="23"/>
  <c r="C214" i="23"/>
  <c r="P213" i="23"/>
  <c r="D95" i="23"/>
  <c r="O100" i="23"/>
  <c r="D98" i="23"/>
  <c r="D99" i="23"/>
  <c r="O97" i="23"/>
  <c r="D100" i="23"/>
  <c r="O95" i="23"/>
  <c r="D96" i="23"/>
  <c r="O96" i="23"/>
  <c r="P96" i="23"/>
  <c r="D97" i="23"/>
  <c r="O99" i="23"/>
  <c r="O98" i="23"/>
  <c r="P95" i="23"/>
  <c r="P98" i="23"/>
  <c r="P97" i="23"/>
  <c r="P100" i="23"/>
  <c r="P99" i="23"/>
  <c r="C102" i="23"/>
  <c r="P101" i="23"/>
  <c r="E392" i="25"/>
  <c r="F392" i="25"/>
  <c r="E393" i="25"/>
  <c r="F391" i="25"/>
  <c r="F388" i="25"/>
  <c r="E390" i="25"/>
  <c r="E388" i="25"/>
  <c r="F390" i="25"/>
  <c r="E391" i="25"/>
  <c r="F393" i="25"/>
  <c r="E389" i="25"/>
  <c r="F389" i="25"/>
  <c r="E219" i="25"/>
  <c r="E214" i="25"/>
  <c r="F214" i="25"/>
  <c r="E215" i="25"/>
  <c r="F215" i="25"/>
  <c r="E218" i="25"/>
  <c r="F218" i="25"/>
  <c r="F217" i="25"/>
  <c r="E217" i="25"/>
  <c r="F219" i="25"/>
  <c r="E216" i="25"/>
  <c r="F216" i="25"/>
  <c r="Q207" i="26"/>
  <c r="L207" i="26"/>
  <c r="O86" i="23"/>
  <c r="O83" i="23"/>
  <c r="O84" i="23"/>
  <c r="D85" i="23"/>
  <c r="D82" i="23"/>
  <c r="D83" i="23"/>
  <c r="D86" i="23"/>
  <c r="O85" i="23"/>
  <c r="O81" i="23"/>
  <c r="I68" i="45" s="1"/>
  <c r="J68" i="45" s="1"/>
  <c r="P86" i="23"/>
  <c r="P83" i="23"/>
  <c r="P84" i="23"/>
  <c r="D84" i="23"/>
  <c r="D81" i="23"/>
  <c r="O82" i="23"/>
  <c r="C88" i="23"/>
  <c r="P82" i="23"/>
  <c r="P81" i="23"/>
  <c r="P87" i="23"/>
  <c r="P85" i="23"/>
  <c r="B237" i="7"/>
  <c r="EJ237" i="7" s="1"/>
  <c r="C50" i="45"/>
  <c r="C121" i="7"/>
  <c r="EK121" i="7" s="1"/>
  <c r="C50" i="7"/>
  <c r="EK50" i="7" s="1"/>
  <c r="B237" i="45"/>
  <c r="C121" i="45"/>
  <c r="L192" i="26"/>
  <c r="Q192" i="26"/>
  <c r="F360" i="25"/>
  <c r="E363" i="25"/>
  <c r="E360" i="25"/>
  <c r="F361" i="25"/>
  <c r="E361" i="25"/>
  <c r="E359" i="25"/>
  <c r="F363" i="25"/>
  <c r="F359" i="25"/>
  <c r="F364" i="25"/>
  <c r="E364" i="25"/>
  <c r="F362" i="25"/>
  <c r="E362" i="25"/>
  <c r="J63" i="23"/>
  <c r="G67" i="23"/>
  <c r="H67" i="23"/>
  <c r="H68" i="23"/>
  <c r="G69" i="23"/>
  <c r="H69" i="23"/>
  <c r="G68" i="23"/>
  <c r="H70" i="23"/>
  <c r="G70" i="23"/>
  <c r="H71" i="23"/>
  <c r="G71" i="23"/>
  <c r="G72" i="23"/>
  <c r="H72" i="23"/>
  <c r="B251" i="45"/>
  <c r="B124" i="45"/>
  <c r="B251" i="7"/>
  <c r="EJ251" i="7" s="1"/>
  <c r="B53" i="7"/>
  <c r="EJ53" i="7" s="1"/>
  <c r="J181" i="25"/>
  <c r="H185" i="25" s="1"/>
  <c r="B53" i="45"/>
  <c r="B124" i="7"/>
  <c r="EJ124" i="7" s="1"/>
  <c r="L132" i="26"/>
  <c r="Q132" i="26"/>
  <c r="N124" i="26"/>
  <c r="Q117" i="26"/>
  <c r="L117" i="26"/>
  <c r="O169" i="23"/>
  <c r="O165" i="23"/>
  <c r="D169" i="23"/>
  <c r="D165" i="23"/>
  <c r="D167" i="23"/>
  <c r="O170" i="23"/>
  <c r="D170" i="23"/>
  <c r="O166" i="23"/>
  <c r="O168" i="23"/>
  <c r="D168" i="23"/>
  <c r="D166" i="23"/>
  <c r="P167" i="23"/>
  <c r="O167" i="23"/>
  <c r="P165" i="23"/>
  <c r="P171" i="23"/>
  <c r="C172" i="23"/>
  <c r="P166" i="23"/>
  <c r="P170" i="23"/>
  <c r="P168" i="23"/>
  <c r="P169" i="23"/>
  <c r="B261" i="45"/>
  <c r="B261" i="7"/>
  <c r="EJ261" i="7" s="1"/>
  <c r="C127" i="45"/>
  <c r="C127" i="7"/>
  <c r="EK127" i="7" s="1"/>
  <c r="C56" i="7"/>
  <c r="EK56" i="7" s="1"/>
  <c r="C56" i="45"/>
  <c r="Q87" i="26"/>
  <c r="L87" i="26"/>
  <c r="G151" i="23"/>
  <c r="H151" i="23"/>
  <c r="J147" i="23"/>
  <c r="G152" i="23"/>
  <c r="H152" i="23"/>
  <c r="G153" i="23"/>
  <c r="H153" i="23"/>
  <c r="H154" i="23"/>
  <c r="G154" i="23"/>
  <c r="G155" i="23"/>
  <c r="H155" i="23"/>
  <c r="H156" i="23"/>
  <c r="G156" i="23"/>
  <c r="E132" i="25"/>
  <c r="E130" i="25"/>
  <c r="F130" i="25"/>
  <c r="F132" i="25"/>
  <c r="E127" i="25"/>
  <c r="F127" i="25"/>
  <c r="E131" i="25"/>
  <c r="F131" i="25"/>
  <c r="E129" i="25"/>
  <c r="F129" i="25"/>
  <c r="F128" i="25"/>
  <c r="E128" i="25"/>
  <c r="C58" i="45"/>
  <c r="B269" i="7"/>
  <c r="EJ269" i="7" s="1"/>
  <c r="C129" i="7"/>
  <c r="EK129" i="7" s="1"/>
  <c r="B269" i="45"/>
  <c r="C58" i="7"/>
  <c r="EK58" i="7" s="1"/>
  <c r="C129" i="45"/>
  <c r="O156" i="23"/>
  <c r="O151" i="23"/>
  <c r="I73" i="45" s="1"/>
  <c r="J73" i="45" s="1"/>
  <c r="O155" i="23"/>
  <c r="O153" i="23"/>
  <c r="O154" i="23"/>
  <c r="O152" i="23"/>
  <c r="D151" i="23"/>
  <c r="D155" i="23"/>
  <c r="P152" i="23"/>
  <c r="D153" i="23"/>
  <c r="D156" i="23"/>
  <c r="P151" i="23"/>
  <c r="P154" i="23"/>
  <c r="P153" i="23"/>
  <c r="D152" i="23"/>
  <c r="D154" i="23"/>
  <c r="C158" i="23"/>
  <c r="P155" i="23"/>
  <c r="P156" i="23"/>
  <c r="P157" i="23"/>
  <c r="O40" i="23"/>
  <c r="O41" i="23"/>
  <c r="O42" i="23"/>
  <c r="O44" i="23"/>
  <c r="D41" i="23"/>
  <c r="D43" i="23"/>
  <c r="P40" i="23"/>
  <c r="O39" i="23"/>
  <c r="P42" i="23"/>
  <c r="D40" i="23"/>
  <c r="P39" i="23"/>
  <c r="D39" i="23"/>
  <c r="D42" i="23"/>
  <c r="O43" i="23"/>
  <c r="D44" i="23"/>
  <c r="P44" i="23"/>
  <c r="C46" i="23"/>
  <c r="P43" i="23"/>
  <c r="P41" i="23"/>
  <c r="P45" i="23"/>
  <c r="L57" i="26"/>
  <c r="Q57" i="26"/>
  <c r="Q42" i="26"/>
  <c r="L42" i="26"/>
  <c r="B281" i="45"/>
  <c r="C61" i="45"/>
  <c r="C132" i="45"/>
  <c r="C61" i="7"/>
  <c r="EK61" i="7" s="1"/>
  <c r="B281" i="7"/>
  <c r="EJ281" i="7" s="1"/>
  <c r="C132" i="7"/>
  <c r="EK132" i="7" s="1"/>
  <c r="Q27" i="26"/>
  <c r="L27" i="26"/>
  <c r="O29" i="23"/>
  <c r="O27" i="23"/>
  <c r="O25" i="23"/>
  <c r="O28" i="23"/>
  <c r="D26" i="23"/>
  <c r="O30" i="23"/>
  <c r="D30" i="23"/>
  <c r="P25" i="23"/>
  <c r="D25" i="23"/>
  <c r="D28" i="23"/>
  <c r="D29" i="23"/>
  <c r="P29" i="23"/>
  <c r="P28" i="23"/>
  <c r="D27" i="23"/>
  <c r="O26" i="23"/>
  <c r="P26" i="23"/>
  <c r="C32" i="23"/>
  <c r="P31" i="23"/>
  <c r="P30" i="23"/>
  <c r="P27" i="23"/>
  <c r="E102" i="25"/>
  <c r="F102" i="25"/>
  <c r="E100" i="25"/>
  <c r="F100" i="25"/>
  <c r="E101" i="25"/>
  <c r="F101" i="25"/>
  <c r="E103" i="25"/>
  <c r="F103" i="25"/>
  <c r="E99" i="25"/>
  <c r="F99" i="25"/>
  <c r="F98" i="25"/>
  <c r="E98" i="25"/>
  <c r="O11" i="23"/>
  <c r="O12" i="23"/>
  <c r="O16" i="23"/>
  <c r="D16" i="23"/>
  <c r="D12" i="23"/>
  <c r="P13" i="23"/>
  <c r="O13" i="23"/>
  <c r="O14" i="23"/>
  <c r="P14" i="23"/>
  <c r="D15" i="23"/>
  <c r="O15" i="23"/>
  <c r="D13" i="23"/>
  <c r="D14" i="23"/>
  <c r="D11" i="23"/>
  <c r="P11" i="23"/>
  <c r="P12" i="23"/>
  <c r="P17" i="23"/>
  <c r="C18" i="23"/>
  <c r="P15" i="23"/>
  <c r="P16" i="23"/>
  <c r="J105" i="23"/>
  <c r="H109" i="23"/>
  <c r="G109" i="23"/>
  <c r="H110" i="23"/>
  <c r="G110" i="23"/>
  <c r="H111" i="23"/>
  <c r="G111" i="23"/>
  <c r="H112" i="23"/>
  <c r="G112" i="23"/>
  <c r="H113" i="23"/>
  <c r="G113" i="23"/>
  <c r="G114" i="23"/>
  <c r="H114" i="23"/>
  <c r="F420" i="25"/>
  <c r="E420" i="25"/>
  <c r="F421" i="25"/>
  <c r="E422" i="25"/>
  <c r="F422" i="25"/>
  <c r="E417" i="25"/>
  <c r="E418" i="25"/>
  <c r="F418" i="25"/>
  <c r="E419" i="25"/>
  <c r="F419" i="25"/>
  <c r="E421" i="25"/>
  <c r="F417" i="25"/>
  <c r="C150" i="45"/>
  <c r="C150" i="7"/>
  <c r="EK150" i="7" s="1"/>
  <c r="C79" i="45"/>
  <c r="C79" i="7"/>
  <c r="EK79" i="7" s="1"/>
  <c r="B61" i="7"/>
  <c r="EJ61" i="7" s="1"/>
  <c r="B283" i="7"/>
  <c r="EJ283" i="7" s="1"/>
  <c r="B132" i="7"/>
  <c r="EJ132" i="7" s="1"/>
  <c r="B283" i="45"/>
  <c r="J413" i="25"/>
  <c r="H417" i="25" s="1"/>
  <c r="B61" i="45"/>
  <c r="B132" i="45"/>
  <c r="B259" i="45"/>
  <c r="J239" i="25"/>
  <c r="H243" i="25" s="1"/>
  <c r="B126" i="7"/>
  <c r="EJ126" i="7" s="1"/>
  <c r="B126" i="45"/>
  <c r="B55" i="45"/>
  <c r="B55" i="7"/>
  <c r="EJ55" i="7" s="1"/>
  <c r="B259" i="7"/>
  <c r="EJ259" i="7" s="1"/>
  <c r="C118" i="45"/>
  <c r="B225" i="7"/>
  <c r="EJ225" i="7" s="1"/>
  <c r="C47" i="45"/>
  <c r="C118" i="7"/>
  <c r="EK118" i="7" s="1"/>
  <c r="B225" i="45"/>
  <c r="C47" i="7"/>
  <c r="EK47" i="7" s="1"/>
  <c r="C5" i="45"/>
  <c r="C5" i="7"/>
  <c r="B119" i="45"/>
  <c r="B48" i="45"/>
  <c r="B231" i="7"/>
  <c r="EJ231" i="7" s="1"/>
  <c r="B231" i="45"/>
  <c r="B119" i="7"/>
  <c r="EJ119" i="7" s="1"/>
  <c r="B48" i="7"/>
  <c r="EJ48" i="7" s="1"/>
  <c r="E15" i="25"/>
  <c r="E14" i="25"/>
  <c r="F15" i="25"/>
  <c r="F16" i="25"/>
  <c r="E16" i="25"/>
  <c r="E13" i="25"/>
  <c r="F13" i="25"/>
  <c r="F14" i="25"/>
  <c r="E11" i="25"/>
  <c r="E12" i="25"/>
  <c r="F11" i="25"/>
  <c r="F12" i="25"/>
  <c r="B245" i="45"/>
  <c r="C52" i="45"/>
  <c r="C52" i="7"/>
  <c r="EK52" i="7" s="1"/>
  <c r="B245" i="7"/>
  <c r="EJ245" i="7" s="1"/>
  <c r="C123" i="45"/>
  <c r="C123" i="7"/>
  <c r="EK123" i="7" s="1"/>
  <c r="Q162" i="26"/>
  <c r="L162" i="26"/>
  <c r="B59" i="45"/>
  <c r="B59" i="7"/>
  <c r="EJ59" i="7" s="1"/>
  <c r="B275" i="45"/>
  <c r="B275" i="7"/>
  <c r="EJ275" i="7" s="1"/>
  <c r="B130" i="7"/>
  <c r="EJ130" i="7" s="1"/>
  <c r="B130" i="45"/>
  <c r="J355" i="25"/>
  <c r="H359" i="25" s="1"/>
  <c r="U4" i="21"/>
  <c r="E332" i="25"/>
  <c r="E334" i="25"/>
  <c r="F334" i="25"/>
  <c r="E335" i="25"/>
  <c r="F331" i="25"/>
  <c r="E331" i="25"/>
  <c r="E330" i="25"/>
  <c r="F330" i="25"/>
  <c r="F335" i="25"/>
  <c r="F332" i="25"/>
  <c r="E333" i="25"/>
  <c r="F333" i="25"/>
  <c r="H26" i="23"/>
  <c r="G25" i="23"/>
  <c r="H25" i="23"/>
  <c r="J21" i="23"/>
  <c r="G26" i="23"/>
  <c r="G27" i="23"/>
  <c r="H27" i="23"/>
  <c r="G28" i="23"/>
  <c r="H28" i="23"/>
  <c r="H29" i="23"/>
  <c r="G29" i="23"/>
  <c r="G30" i="23"/>
  <c r="H30" i="23"/>
  <c r="J203" i="23"/>
  <c r="H207" i="23"/>
  <c r="G207" i="23"/>
  <c r="H208" i="23"/>
  <c r="G208" i="23"/>
  <c r="G209" i="23"/>
  <c r="H209" i="23"/>
  <c r="H210" i="23"/>
  <c r="G210" i="23"/>
  <c r="H211" i="23"/>
  <c r="G211" i="23"/>
  <c r="H212" i="23"/>
  <c r="G212" i="23"/>
  <c r="E44" i="25"/>
  <c r="F44" i="25"/>
  <c r="F45" i="25"/>
  <c r="E40" i="25"/>
  <c r="F40" i="25"/>
  <c r="F42" i="25"/>
  <c r="E45" i="25"/>
  <c r="E42" i="25"/>
  <c r="E41" i="25"/>
  <c r="F41" i="25"/>
  <c r="F43" i="25"/>
  <c r="E43" i="25"/>
  <c r="B20" i="21"/>
  <c r="B21" i="21"/>
  <c r="F20" i="21"/>
  <c r="F21" i="21"/>
  <c r="B229" i="7"/>
  <c r="EJ229" i="7" s="1"/>
  <c r="B229" i="45"/>
  <c r="C48" i="45"/>
  <c r="C119" i="45"/>
  <c r="C119" i="7"/>
  <c r="EK119" i="7" s="1"/>
  <c r="C48" i="7"/>
  <c r="EK48" i="7" s="1"/>
  <c r="Q222" i="26"/>
  <c r="L222" i="26"/>
  <c r="J189" i="23"/>
  <c r="H193" i="23"/>
  <c r="G193" i="23"/>
  <c r="H194" i="23"/>
  <c r="G194" i="23"/>
  <c r="G195" i="23"/>
  <c r="H195" i="23"/>
  <c r="G196" i="23"/>
  <c r="H196" i="23"/>
  <c r="G197" i="23"/>
  <c r="H197" i="23"/>
  <c r="G198" i="23"/>
  <c r="H198" i="23"/>
  <c r="J77" i="23"/>
  <c r="G81" i="23"/>
  <c r="H81" i="23"/>
  <c r="H82" i="23"/>
  <c r="G82" i="23"/>
  <c r="G83" i="23"/>
  <c r="H83" i="23"/>
  <c r="G84" i="23"/>
  <c r="H84" i="23"/>
  <c r="G85" i="23"/>
  <c r="H85" i="23"/>
  <c r="H86" i="23"/>
  <c r="G86" i="23"/>
  <c r="B131" i="45"/>
  <c r="B279" i="45"/>
  <c r="B60" i="45"/>
  <c r="B131" i="7"/>
  <c r="EJ131" i="7" s="1"/>
  <c r="B60" i="7"/>
  <c r="EJ60" i="7" s="1"/>
  <c r="B279" i="7"/>
  <c r="EJ279" i="7" s="1"/>
  <c r="J384" i="25"/>
  <c r="H388" i="25" s="1"/>
  <c r="B125" i="7"/>
  <c r="EJ125" i="7" s="1"/>
  <c r="B54" i="7"/>
  <c r="EJ54" i="7" s="1"/>
  <c r="B125" i="45"/>
  <c r="B255" i="45"/>
  <c r="B54" i="45"/>
  <c r="J210" i="25"/>
  <c r="H214" i="25" s="1"/>
  <c r="B255" i="7"/>
  <c r="EJ255" i="7" s="1"/>
  <c r="R54" i="22"/>
  <c r="AB38" i="25" s="1"/>
  <c r="R60" i="22"/>
  <c r="AB44" i="25" s="1"/>
  <c r="E43" i="22"/>
  <c r="E41" i="22"/>
  <c r="E44" i="22"/>
  <c r="E40" i="22"/>
  <c r="E42" i="22"/>
  <c r="R66" i="22"/>
  <c r="AB50" i="25" s="1"/>
  <c r="Q55" i="22"/>
  <c r="AA39" i="25" s="1"/>
  <c r="Q48" i="22"/>
  <c r="AA32" i="25" s="1"/>
  <c r="Q41" i="22"/>
  <c r="AA25" i="25" s="1"/>
  <c r="AA24" i="25" s="1"/>
  <c r="G9" i="21"/>
  <c r="D9" i="21"/>
  <c r="P40" i="22"/>
  <c r="A33" i="21"/>
  <c r="O34" i="21" s="1"/>
  <c r="Q37" i="21" s="1"/>
  <c r="S37" i="21" s="1"/>
  <c r="P64" i="22"/>
  <c r="T6" i="22"/>
  <c r="A34" i="26"/>
  <c r="Q49" i="22"/>
  <c r="AA33" i="25" s="1"/>
  <c r="EK294" i="7"/>
  <c r="C304" i="7"/>
  <c r="EK292" i="7"/>
  <c r="EK304" i="7" s="1"/>
  <c r="Q47" i="22"/>
  <c r="AA31" i="25" s="1"/>
  <c r="AA30" i="25" s="1"/>
  <c r="P46" i="22"/>
  <c r="Q59" i="22"/>
  <c r="AA43" i="25" s="1"/>
  <c r="AA42" i="25" s="1"/>
  <c r="P58" i="22"/>
  <c r="D11" i="45"/>
  <c r="R42" i="22"/>
  <c r="AB26" i="25" s="1"/>
  <c r="Q53" i="22"/>
  <c r="AA37" i="25" s="1"/>
  <c r="AA36" i="25" s="1"/>
  <c r="P52" i="22"/>
  <c r="E46" i="22"/>
  <c r="E45" i="22"/>
  <c r="F39" i="41"/>
  <c r="EV10" i="7"/>
  <c r="N10" i="7"/>
  <c r="F43" i="22"/>
  <c r="T5" i="22"/>
  <c r="F40" i="22"/>
  <c r="F44" i="22"/>
  <c r="F46" i="22"/>
  <c r="F41" i="22"/>
  <c r="F42" i="22"/>
  <c r="F45" i="22"/>
  <c r="R24" i="22"/>
  <c r="AB8" i="25" s="1"/>
  <c r="R22" i="22"/>
  <c r="AB6" i="25" s="1"/>
  <c r="R43" i="22"/>
  <c r="AB27" i="25" s="1"/>
  <c r="D8" i="41"/>
  <c r="D57" i="41"/>
  <c r="R67" i="22"/>
  <c r="AB51" i="25" s="1"/>
  <c r="H13" i="26" l="1"/>
  <c r="K12" i="26"/>
  <c r="V12" i="26" s="1"/>
  <c r="M12" i="26"/>
  <c r="AG12" i="26"/>
  <c r="AK12" i="26" s="1"/>
  <c r="K179" i="23"/>
  <c r="K11" i="23"/>
  <c r="H11" i="25"/>
  <c r="J36" i="25"/>
  <c r="H40" i="25" s="1"/>
  <c r="I40" i="25" s="1"/>
  <c r="C304" i="56" s="1" a="1"/>
  <c r="C304" i="56" s="1"/>
  <c r="K25" i="23"/>
  <c r="K26" i="23" s="1"/>
  <c r="K27" i="23" s="1"/>
  <c r="K28" i="23" s="1"/>
  <c r="K29" i="23" s="1"/>
  <c r="K30" i="23" s="1"/>
  <c r="K193" i="23"/>
  <c r="K194" i="23" s="1"/>
  <c r="K195" i="23" s="1"/>
  <c r="K196" i="23" s="1"/>
  <c r="K197" i="23" s="1"/>
  <c r="K198" i="23" s="1"/>
  <c r="DV293" i="7"/>
  <c r="DV295" i="7" s="1"/>
  <c r="CZ293" i="7"/>
  <c r="CZ295" i="7" s="1"/>
  <c r="K165" i="23"/>
  <c r="K166" i="23" s="1"/>
  <c r="K167" i="23" s="1"/>
  <c r="K168" i="23" s="1"/>
  <c r="K169" i="23" s="1"/>
  <c r="K170" i="23" s="1"/>
  <c r="K39" i="23"/>
  <c r="K40" i="23" s="1"/>
  <c r="K41" i="23" s="1"/>
  <c r="K42" i="23" s="1"/>
  <c r="K43" i="23" s="1"/>
  <c r="K44" i="23" s="1"/>
  <c r="K207" i="23"/>
  <c r="K208" i="23" s="1"/>
  <c r="K209" i="23" s="1"/>
  <c r="K210" i="23" s="1"/>
  <c r="K211" i="23" s="1"/>
  <c r="K212" i="23" s="1"/>
  <c r="K81" i="23"/>
  <c r="M81" i="23" s="1"/>
  <c r="K95" i="23"/>
  <c r="K96" i="23" s="1"/>
  <c r="K97" i="23" s="1"/>
  <c r="K98" i="23" s="1"/>
  <c r="K99" i="23" s="1"/>
  <c r="K100" i="23" s="1"/>
  <c r="K67" i="23"/>
  <c r="K68" i="23" s="1"/>
  <c r="K69" i="23" s="1"/>
  <c r="K70" i="23" s="1"/>
  <c r="K71" i="23" s="1"/>
  <c r="K72" i="23" s="1"/>
  <c r="K109" i="23"/>
  <c r="K110" i="23" s="1"/>
  <c r="K111" i="23" s="1"/>
  <c r="K112" i="23" s="1"/>
  <c r="K113" i="23" s="1"/>
  <c r="K114" i="23" s="1"/>
  <c r="K123" i="23"/>
  <c r="M123" i="23" s="1"/>
  <c r="K137" i="23"/>
  <c r="M137" i="23" s="1"/>
  <c r="K53" i="23"/>
  <c r="M53" i="23" s="1"/>
  <c r="K12" i="23"/>
  <c r="K13" i="23" s="1"/>
  <c r="K14" i="23" s="1"/>
  <c r="K15" i="23" s="1"/>
  <c r="K16" i="23" s="1"/>
  <c r="M179" i="23"/>
  <c r="M151" i="23"/>
  <c r="J23" i="21"/>
  <c r="A250" i="56"/>
  <c r="A265" i="56"/>
  <c r="A193" i="56"/>
  <c r="A266" i="56"/>
  <c r="A210" i="56"/>
  <c r="A209" i="56"/>
  <c r="A273" i="56"/>
  <c r="A241" i="56"/>
  <c r="A249" i="56"/>
  <c r="A290" i="56"/>
  <c r="A274" i="56"/>
  <c r="A177" i="56"/>
  <c r="A282" i="56"/>
  <c r="A202" i="56"/>
  <c r="A178" i="56"/>
  <c r="A225" i="56"/>
  <c r="A218" i="56"/>
  <c r="A233" i="56"/>
  <c r="A281" i="56"/>
  <c r="A217" i="56"/>
  <c r="A201" i="56"/>
  <c r="A234" i="56"/>
  <c r="A242" i="56"/>
  <c r="A185" i="56"/>
  <c r="A186" i="56"/>
  <c r="A257" i="56"/>
  <c r="A194" i="56"/>
  <c r="A289" i="56"/>
  <c r="A226" i="56"/>
  <c r="A258" i="56"/>
  <c r="I112" i="23"/>
  <c r="F231" i="56" a="1"/>
  <c r="F231" i="56" s="1"/>
  <c r="I68" i="23"/>
  <c r="D207" i="56" a="1"/>
  <c r="D207" i="56" s="1"/>
  <c r="I39" i="23"/>
  <c r="C191" i="56" a="1"/>
  <c r="C191" i="56" s="1"/>
  <c r="I111" i="23"/>
  <c r="E231" i="56" a="1"/>
  <c r="E231" i="56" s="1"/>
  <c r="I69" i="23"/>
  <c r="E207" i="56" a="1"/>
  <c r="E207" i="56" s="1"/>
  <c r="I11" i="23"/>
  <c r="C175" i="56" a="1"/>
  <c r="C175" i="56" s="1"/>
  <c r="I57" i="23"/>
  <c r="G199" i="56" a="1"/>
  <c r="G199" i="56" s="1"/>
  <c r="I193" i="23"/>
  <c r="C279" i="56" a="1"/>
  <c r="C279" i="56" s="1"/>
  <c r="I27" i="23"/>
  <c r="E183" i="56" a="1"/>
  <c r="E183" i="56" s="1"/>
  <c r="I141" i="23"/>
  <c r="G247" i="56" a="1"/>
  <c r="G247" i="56" s="1"/>
  <c r="I86" i="23"/>
  <c r="H215" i="56" a="1"/>
  <c r="H215" i="56" s="1"/>
  <c r="I26" i="23"/>
  <c r="D183" i="56" a="1"/>
  <c r="D183" i="56" s="1"/>
  <c r="I56" i="23"/>
  <c r="F199" i="56" a="1"/>
  <c r="F199" i="56" s="1"/>
  <c r="I109" i="23"/>
  <c r="C231" i="56" a="1"/>
  <c r="C231" i="56" s="1"/>
  <c r="I139" i="23"/>
  <c r="E247" i="56" a="1"/>
  <c r="E247" i="56" s="1"/>
  <c r="I179" i="23"/>
  <c r="C271" i="56" a="1"/>
  <c r="C271" i="56" s="1"/>
  <c r="I55" i="23"/>
  <c r="E199" i="56" a="1"/>
  <c r="E199" i="56" s="1"/>
  <c r="I212" i="23"/>
  <c r="H287" i="56" a="1"/>
  <c r="H287" i="56" s="1"/>
  <c r="I84" i="23"/>
  <c r="F215" i="56" a="1"/>
  <c r="F215" i="56" s="1"/>
  <c r="I211" i="23"/>
  <c r="G287" i="56" a="1"/>
  <c r="G287" i="56" s="1"/>
  <c r="I138" i="23"/>
  <c r="D247" i="56" a="1"/>
  <c r="D247" i="56" s="1"/>
  <c r="I170" i="23"/>
  <c r="H263" i="56" a="1"/>
  <c r="H263" i="56" s="1"/>
  <c r="I169" i="23"/>
  <c r="G263" i="56" a="1"/>
  <c r="G263" i="56" s="1"/>
  <c r="I127" i="23"/>
  <c r="G239" i="56" a="1"/>
  <c r="G239" i="56" s="1"/>
  <c r="I82" i="23"/>
  <c r="D215" i="56" a="1"/>
  <c r="D215" i="56" s="1"/>
  <c r="I156" i="23"/>
  <c r="H255" i="56" a="1"/>
  <c r="H255" i="56" s="1"/>
  <c r="I168" i="23"/>
  <c r="F263" i="56" a="1"/>
  <c r="F263" i="56" s="1"/>
  <c r="I208" i="23"/>
  <c r="D287" i="56" a="1"/>
  <c r="D287" i="56" s="1"/>
  <c r="I167" i="23"/>
  <c r="E263" i="56" a="1"/>
  <c r="E263" i="56" s="1"/>
  <c r="I125" i="23"/>
  <c r="E239" i="56" a="1"/>
  <c r="E239" i="56" s="1"/>
  <c r="I43" i="23"/>
  <c r="G191" i="56" a="1"/>
  <c r="G191" i="56" s="1"/>
  <c r="I155" i="23"/>
  <c r="G255" i="56" a="1"/>
  <c r="G255" i="56" s="1"/>
  <c r="I154" i="23"/>
  <c r="F255" i="56" a="1"/>
  <c r="F255" i="56" s="1"/>
  <c r="I166" i="23"/>
  <c r="D263" i="56" a="1"/>
  <c r="D263" i="56" s="1"/>
  <c r="I42" i="23"/>
  <c r="F191" i="56" a="1"/>
  <c r="F191" i="56" s="1"/>
  <c r="I198" i="23"/>
  <c r="H279" i="56" a="1"/>
  <c r="H279" i="56" s="1"/>
  <c r="I72" i="23"/>
  <c r="H207" i="56" a="1"/>
  <c r="H207" i="56" s="1"/>
  <c r="I123" i="23"/>
  <c r="C239" i="56" a="1"/>
  <c r="C239" i="56" s="1"/>
  <c r="I41" i="23"/>
  <c r="E191" i="56" a="1"/>
  <c r="E191" i="56" s="1"/>
  <c r="I197" i="23"/>
  <c r="G279" i="56" a="1"/>
  <c r="G279" i="56" s="1"/>
  <c r="I98" i="23"/>
  <c r="F223" i="56" a="1"/>
  <c r="F223" i="56" s="1"/>
  <c r="I165" i="23"/>
  <c r="C263" i="56" a="1"/>
  <c r="C263" i="56" s="1"/>
  <c r="I14" i="23"/>
  <c r="F175" i="56" a="1"/>
  <c r="F175" i="56" s="1"/>
  <c r="I30" i="23"/>
  <c r="H183" i="56" a="1"/>
  <c r="H183" i="56" s="1"/>
  <c r="I114" i="23"/>
  <c r="H231" i="56" a="1"/>
  <c r="H231" i="56" s="1"/>
  <c r="I40" i="23"/>
  <c r="D191" i="56" a="1"/>
  <c r="D191" i="56" s="1"/>
  <c r="I96" i="23"/>
  <c r="D223" i="56" a="1"/>
  <c r="D223" i="56" s="1"/>
  <c r="I182" i="23"/>
  <c r="F271" i="56" a="1"/>
  <c r="F271" i="56" s="1"/>
  <c r="I12" i="23"/>
  <c r="D175" i="56" a="1"/>
  <c r="D175" i="56" s="1"/>
  <c r="I195" i="23"/>
  <c r="E279" i="56" a="1"/>
  <c r="E279" i="56" s="1"/>
  <c r="I194" i="23"/>
  <c r="D279" i="56" a="1"/>
  <c r="D279" i="56" s="1"/>
  <c r="I28" i="23"/>
  <c r="F183" i="56" a="1"/>
  <c r="F183" i="56" s="1"/>
  <c r="I151" i="23"/>
  <c r="C255" i="56" a="1"/>
  <c r="C255" i="56" s="1"/>
  <c r="I95" i="23"/>
  <c r="C223" i="56" a="1"/>
  <c r="C223" i="56" s="1"/>
  <c r="I142" i="23"/>
  <c r="H247" i="56" a="1"/>
  <c r="H247" i="56" s="1"/>
  <c r="I58" i="23"/>
  <c r="H199" i="56" a="1"/>
  <c r="H199" i="56" s="1"/>
  <c r="I181" i="23"/>
  <c r="E271" i="56" a="1"/>
  <c r="E271" i="56" s="1"/>
  <c r="I110" i="23"/>
  <c r="D231" i="56" a="1"/>
  <c r="D231" i="56" s="1"/>
  <c r="I180" i="23"/>
  <c r="D271" i="56" a="1"/>
  <c r="D271" i="56" s="1"/>
  <c r="I67" i="23"/>
  <c r="C207" i="56" a="1"/>
  <c r="C207" i="56" s="1"/>
  <c r="I140" i="23"/>
  <c r="F247" i="56" a="1"/>
  <c r="F247" i="56" s="1"/>
  <c r="I85" i="23"/>
  <c r="G215" i="56" a="1"/>
  <c r="G215" i="56" s="1"/>
  <c r="I25" i="23"/>
  <c r="C183" i="56" a="1"/>
  <c r="C183" i="56" s="1"/>
  <c r="I54" i="23"/>
  <c r="D199" i="56" a="1"/>
  <c r="D199" i="56" s="1"/>
  <c r="I128" i="23"/>
  <c r="H239" i="56" a="1"/>
  <c r="H239" i="56" s="1"/>
  <c r="I137" i="23"/>
  <c r="C247" i="56" a="1"/>
  <c r="C247" i="56" s="1"/>
  <c r="I83" i="23"/>
  <c r="E215" i="56" a="1"/>
  <c r="E215" i="56" s="1"/>
  <c r="I210" i="23"/>
  <c r="F287" i="56" a="1"/>
  <c r="F287" i="56" s="1"/>
  <c r="I53" i="23"/>
  <c r="C199" i="56" a="1"/>
  <c r="C199" i="56" s="1"/>
  <c r="I209" i="23"/>
  <c r="E287" i="56" a="1"/>
  <c r="E287" i="56" s="1"/>
  <c r="I126" i="23"/>
  <c r="F239" i="56" a="1"/>
  <c r="F239" i="56" s="1"/>
  <c r="I44" i="23"/>
  <c r="H191" i="56" a="1"/>
  <c r="H191" i="56" s="1"/>
  <c r="I81" i="23"/>
  <c r="C215" i="56" a="1"/>
  <c r="C215" i="56" s="1"/>
  <c r="I100" i="23"/>
  <c r="H223" i="56" a="1"/>
  <c r="H223" i="56" s="1"/>
  <c r="I16" i="23"/>
  <c r="H175" i="56" a="1"/>
  <c r="H175" i="56" s="1"/>
  <c r="I207" i="23"/>
  <c r="C287" i="56" a="1"/>
  <c r="C287" i="56" s="1"/>
  <c r="I99" i="23"/>
  <c r="G223" i="56" a="1"/>
  <c r="G223" i="56" s="1"/>
  <c r="I15" i="23"/>
  <c r="G175" i="56" a="1"/>
  <c r="G175" i="56" s="1"/>
  <c r="I124" i="23"/>
  <c r="D239" i="56" a="1"/>
  <c r="D239" i="56" s="1"/>
  <c r="I184" i="23"/>
  <c r="H271" i="56" a="1"/>
  <c r="H271" i="56" s="1"/>
  <c r="I153" i="23"/>
  <c r="E255" i="56" a="1"/>
  <c r="E255" i="56" s="1"/>
  <c r="I71" i="23"/>
  <c r="G207" i="56" a="1"/>
  <c r="G207" i="56" s="1"/>
  <c r="I196" i="23"/>
  <c r="F279" i="56" a="1"/>
  <c r="F279" i="56" s="1"/>
  <c r="I29" i="23"/>
  <c r="G183" i="56" a="1"/>
  <c r="G183" i="56" s="1"/>
  <c r="I113" i="23"/>
  <c r="G231" i="56" a="1"/>
  <c r="G231" i="56" s="1"/>
  <c r="I152" i="23"/>
  <c r="D255" i="56" a="1"/>
  <c r="D255" i="56" s="1"/>
  <c r="I70" i="23"/>
  <c r="F207" i="56" a="1"/>
  <c r="F207" i="56" s="1"/>
  <c r="I97" i="23"/>
  <c r="E223" i="56" a="1"/>
  <c r="E223" i="56" s="1"/>
  <c r="I183" i="23"/>
  <c r="G271" i="56" a="1"/>
  <c r="G271" i="56" s="1"/>
  <c r="I13" i="23"/>
  <c r="E175" i="56" a="1"/>
  <c r="E175" i="56" s="1"/>
  <c r="DP293" i="7"/>
  <c r="R65" i="22"/>
  <c r="AB49" i="25" s="1"/>
  <c r="AB48" i="25" s="1"/>
  <c r="Q64" i="22"/>
  <c r="L11" i="25"/>
  <c r="L388" i="25"/>
  <c r="L359" i="25"/>
  <c r="L185" i="25"/>
  <c r="L127" i="25"/>
  <c r="L98" i="25"/>
  <c r="L272" i="25"/>
  <c r="L330" i="25"/>
  <c r="L417" i="25"/>
  <c r="L69" i="25"/>
  <c r="L156" i="25"/>
  <c r="L40" i="25"/>
  <c r="L243" i="25"/>
  <c r="L301" i="25"/>
  <c r="L214" i="25"/>
  <c r="DM293" i="7"/>
  <c r="CT293" i="7"/>
  <c r="CT295" i="7" s="1"/>
  <c r="L180" i="36"/>
  <c r="L181" i="36" s="1"/>
  <c r="CX293" i="7"/>
  <c r="CX295" i="7" s="1"/>
  <c r="CU293" i="7"/>
  <c r="CU295" i="7" s="1"/>
  <c r="DW293" i="7"/>
  <c r="DW295" i="7" s="1"/>
  <c r="L200" i="36"/>
  <c r="L201" i="36" s="1"/>
  <c r="X4" i="21"/>
  <c r="R39" i="21"/>
  <c r="R40" i="21" s="1"/>
  <c r="R41" i="21" s="1"/>
  <c r="R42" i="21" s="1"/>
  <c r="R43" i="21" s="1"/>
  <c r="R44" i="21" s="1"/>
  <c r="R25" i="21"/>
  <c r="R26" i="21" s="1"/>
  <c r="R27" i="21" s="1"/>
  <c r="R28" i="21" s="1"/>
  <c r="R29" i="21" s="1"/>
  <c r="R30" i="21" s="1"/>
  <c r="P39" i="21"/>
  <c r="P11" i="21"/>
  <c r="R11" i="21"/>
  <c r="R12" i="21" s="1"/>
  <c r="R13" i="21" s="1"/>
  <c r="R14" i="21" s="1"/>
  <c r="R15" i="21" s="1"/>
  <c r="R16" i="21" s="1"/>
  <c r="P25" i="21"/>
  <c r="DU293" i="7"/>
  <c r="DU295" i="7" s="1"/>
  <c r="P30" i="22"/>
  <c r="Z14" i="25" s="1"/>
  <c r="Q29" i="22"/>
  <c r="AA13" i="25" s="1"/>
  <c r="B310" i="25"/>
  <c r="B311" i="25" s="1"/>
  <c r="B312" i="25" s="1"/>
  <c r="B313" i="25" s="1"/>
  <c r="B314" i="25" s="1"/>
  <c r="B315" i="25" s="1"/>
  <c r="B316" i="25" s="1"/>
  <c r="B317" i="25" s="1"/>
  <c r="B318" i="25" s="1"/>
  <c r="B319" i="25" s="1"/>
  <c r="B320" i="25" s="1"/>
  <c r="B321" i="25" s="1"/>
  <c r="B339" i="25"/>
  <c r="B340" i="25" s="1"/>
  <c r="B341" i="25" s="1"/>
  <c r="B342" i="25" s="1"/>
  <c r="B343" i="25" s="1"/>
  <c r="B344" i="25" s="1"/>
  <c r="B345" i="25" s="1"/>
  <c r="B346" i="25" s="1"/>
  <c r="B347" i="25" s="1"/>
  <c r="B348" i="25" s="1"/>
  <c r="B349" i="25" s="1"/>
  <c r="B350" i="25" s="1"/>
  <c r="B252" i="25"/>
  <c r="B253" i="25" s="1"/>
  <c r="B254" i="25" s="1"/>
  <c r="B255" i="25" s="1"/>
  <c r="B256" i="25" s="1"/>
  <c r="B257" i="25" s="1"/>
  <c r="B258" i="25" s="1"/>
  <c r="B259" i="25" s="1"/>
  <c r="B260" i="25" s="1"/>
  <c r="B261" i="25" s="1"/>
  <c r="B262" i="25" s="1"/>
  <c r="B263" i="25" s="1"/>
  <c r="B165" i="25"/>
  <c r="B166" i="25" s="1"/>
  <c r="B167" i="25" s="1"/>
  <c r="B168" i="25" s="1"/>
  <c r="B169" i="25" s="1"/>
  <c r="B170" i="25" s="1"/>
  <c r="B171" i="25" s="1"/>
  <c r="B172" i="25" s="1"/>
  <c r="B173" i="25" s="1"/>
  <c r="B174" i="25" s="1"/>
  <c r="B175" i="25" s="1"/>
  <c r="B176" i="25" s="1"/>
  <c r="B426" i="25"/>
  <c r="B427" i="25" s="1"/>
  <c r="B428" i="25" s="1"/>
  <c r="B429" i="25" s="1"/>
  <c r="B430" i="25" s="1"/>
  <c r="B431" i="25" s="1"/>
  <c r="B432" i="25" s="1"/>
  <c r="B433" i="25" s="1"/>
  <c r="B434" i="25" s="1"/>
  <c r="B435" i="25" s="1"/>
  <c r="B436" i="25" s="1"/>
  <c r="B437" i="25" s="1"/>
  <c r="B49" i="25"/>
  <c r="B50" i="25" s="1"/>
  <c r="B51" i="25" s="1"/>
  <c r="B52" i="25" s="1"/>
  <c r="B53" i="25" s="1"/>
  <c r="B54" i="25" s="1"/>
  <c r="B55" i="25" s="1"/>
  <c r="B56" i="25" s="1"/>
  <c r="B57" i="25" s="1"/>
  <c r="B58" i="25" s="1"/>
  <c r="B59" i="25" s="1"/>
  <c r="B60" i="25" s="1"/>
  <c r="B223" i="25"/>
  <c r="B224" i="25" s="1"/>
  <c r="B225" i="25" s="1"/>
  <c r="B226" i="25" s="1"/>
  <c r="B227" i="25" s="1"/>
  <c r="B228" i="25" s="1"/>
  <c r="B229" i="25" s="1"/>
  <c r="B230" i="25" s="1"/>
  <c r="B231" i="25" s="1"/>
  <c r="B232" i="25" s="1"/>
  <c r="B233" i="25" s="1"/>
  <c r="B234" i="25" s="1"/>
  <c r="B397" i="25"/>
  <c r="B398" i="25" s="1"/>
  <c r="B399" i="25" s="1"/>
  <c r="B400" i="25" s="1"/>
  <c r="B401" i="25" s="1"/>
  <c r="B402" i="25" s="1"/>
  <c r="B403" i="25" s="1"/>
  <c r="B404" i="25" s="1"/>
  <c r="B405" i="25" s="1"/>
  <c r="B406" i="25" s="1"/>
  <c r="B407" i="25" s="1"/>
  <c r="B408" i="25" s="1"/>
  <c r="B20" i="25"/>
  <c r="B21" i="25" s="1"/>
  <c r="B22" i="25" s="1"/>
  <c r="B23" i="25" s="1"/>
  <c r="B24" i="25" s="1"/>
  <c r="B25" i="25" s="1"/>
  <c r="B26" i="25" s="1"/>
  <c r="B27" i="25" s="1"/>
  <c r="B28" i="25" s="1"/>
  <c r="B29" i="25" s="1"/>
  <c r="B30" i="25" s="1"/>
  <c r="B31" i="25" s="1"/>
  <c r="B194" i="25"/>
  <c r="B195" i="25" s="1"/>
  <c r="B196" i="25" s="1"/>
  <c r="B197" i="25" s="1"/>
  <c r="B198" i="25" s="1"/>
  <c r="B199" i="25" s="1"/>
  <c r="B200" i="25" s="1"/>
  <c r="B201" i="25" s="1"/>
  <c r="B202" i="25" s="1"/>
  <c r="B203" i="25" s="1"/>
  <c r="B204" i="25" s="1"/>
  <c r="B205" i="25" s="1"/>
  <c r="B281" i="25"/>
  <c r="B282" i="25" s="1"/>
  <c r="B283" i="25" s="1"/>
  <c r="B284" i="25" s="1"/>
  <c r="B285" i="25" s="1"/>
  <c r="B286" i="25" s="1"/>
  <c r="B287" i="25" s="1"/>
  <c r="B288" i="25" s="1"/>
  <c r="B289" i="25" s="1"/>
  <c r="B290" i="25" s="1"/>
  <c r="B291" i="25" s="1"/>
  <c r="B292" i="25" s="1"/>
  <c r="B368" i="25"/>
  <c r="B369" i="25" s="1"/>
  <c r="B370" i="25" s="1"/>
  <c r="B371" i="25" s="1"/>
  <c r="B372" i="25" s="1"/>
  <c r="B373" i="25" s="1"/>
  <c r="B374" i="25" s="1"/>
  <c r="B375" i="25" s="1"/>
  <c r="B376" i="25" s="1"/>
  <c r="B377" i="25" s="1"/>
  <c r="B378" i="25" s="1"/>
  <c r="B379" i="25" s="1"/>
  <c r="B78" i="25"/>
  <c r="B79" i="25" s="1"/>
  <c r="B80" i="25" s="1"/>
  <c r="B81" i="25" s="1"/>
  <c r="B82" i="25" s="1"/>
  <c r="B83" i="25" s="1"/>
  <c r="B84" i="25" s="1"/>
  <c r="B85" i="25" s="1"/>
  <c r="B86" i="25" s="1"/>
  <c r="B87" i="25" s="1"/>
  <c r="B88" i="25" s="1"/>
  <c r="B89" i="25" s="1"/>
  <c r="B107" i="25"/>
  <c r="B108" i="25" s="1"/>
  <c r="B109" i="25" s="1"/>
  <c r="B110" i="25" s="1"/>
  <c r="B111" i="25" s="1"/>
  <c r="B112" i="25" s="1"/>
  <c r="B113" i="25" s="1"/>
  <c r="B114" i="25" s="1"/>
  <c r="B115" i="25" s="1"/>
  <c r="B116" i="25" s="1"/>
  <c r="B117" i="25" s="1"/>
  <c r="B118" i="25" s="1"/>
  <c r="B136" i="25"/>
  <c r="B137" i="25" s="1"/>
  <c r="B138" i="25" s="1"/>
  <c r="B139" i="25" s="1"/>
  <c r="B140" i="25" s="1"/>
  <c r="B141" i="25" s="1"/>
  <c r="B142" i="25" s="1"/>
  <c r="B143" i="25" s="1"/>
  <c r="B144" i="25" s="1"/>
  <c r="B145" i="25" s="1"/>
  <c r="B146" i="25" s="1"/>
  <c r="B147" i="25" s="1"/>
  <c r="F29" i="26"/>
  <c r="AF29" i="26" s="1"/>
  <c r="R25" i="22"/>
  <c r="AB9" i="25" s="1"/>
  <c r="F220" i="25"/>
  <c r="E220" i="25"/>
  <c r="F30" i="26"/>
  <c r="AF30" i="26" s="1"/>
  <c r="F31" i="26"/>
  <c r="N31" i="26" s="1"/>
  <c r="AB31" i="26" s="1"/>
  <c r="DF311" i="7"/>
  <c r="EC293" i="7"/>
  <c r="EC295" i="7" s="1"/>
  <c r="F32" i="26"/>
  <c r="AA32" i="26" s="1"/>
  <c r="O87" i="23"/>
  <c r="F75" i="25"/>
  <c r="O31" i="23"/>
  <c r="EA293" i="7"/>
  <c r="EA295" i="7" s="1"/>
  <c r="DC293" i="7"/>
  <c r="DC295" i="7" s="1"/>
  <c r="DZ293" i="7"/>
  <c r="DZ295" i="7" s="1"/>
  <c r="DH293" i="7"/>
  <c r="Q179" i="36"/>
  <c r="T179" i="36" s="1"/>
  <c r="CW293" i="7"/>
  <c r="CW295" i="7" s="1"/>
  <c r="DK293" i="7"/>
  <c r="DC311" i="7"/>
  <c r="DJ293" i="7"/>
  <c r="CS293" i="7"/>
  <c r="CS295" i="7" s="1"/>
  <c r="DD293" i="7"/>
  <c r="DD295" i="7" s="1"/>
  <c r="DO293" i="7"/>
  <c r="CV293" i="7"/>
  <c r="CV295" i="7" s="1"/>
  <c r="DR293" i="7"/>
  <c r="H159" i="36"/>
  <c r="S159" i="36" s="1"/>
  <c r="S61" i="22"/>
  <c r="D87" i="23"/>
  <c r="E191" i="25"/>
  <c r="E162" i="25"/>
  <c r="O73" i="23"/>
  <c r="K21" i="36"/>
  <c r="K81" i="36"/>
  <c r="B41" i="36"/>
  <c r="H41" i="36" s="1"/>
  <c r="H40" i="36"/>
  <c r="S40" i="36" s="1"/>
  <c r="K61" i="36"/>
  <c r="Q30" i="23"/>
  <c r="J30" i="23"/>
  <c r="I64" i="7" s="1"/>
  <c r="EQ64" i="7" s="1"/>
  <c r="F95" i="52" s="1"/>
  <c r="J69" i="25"/>
  <c r="H70" i="25"/>
  <c r="I69" i="25"/>
  <c r="C312" i="56" s="1" a="1"/>
  <c r="C312" i="56" s="1"/>
  <c r="Q11" i="23"/>
  <c r="P51" i="35"/>
  <c r="J11" i="23"/>
  <c r="Q43" i="23"/>
  <c r="J43" i="23"/>
  <c r="H65" i="7" s="1"/>
  <c r="EP65" i="7" s="1"/>
  <c r="H80" i="36"/>
  <c r="S80" i="36" s="1"/>
  <c r="B81" i="36"/>
  <c r="H81" i="36" s="1"/>
  <c r="J196" i="23"/>
  <c r="G76" i="7" s="1"/>
  <c r="Q196" i="23"/>
  <c r="Y147" i="26"/>
  <c r="L148" i="26"/>
  <c r="K161" i="36"/>
  <c r="F17" i="25"/>
  <c r="Q43" i="26"/>
  <c r="Q148" i="26"/>
  <c r="Q149" i="26" s="1"/>
  <c r="J29" i="23"/>
  <c r="H64" i="7" s="1"/>
  <c r="EP64" i="7" s="1"/>
  <c r="F78" i="52" s="1"/>
  <c r="Q29" i="23"/>
  <c r="J112" i="23"/>
  <c r="G70" i="7" s="1"/>
  <c r="Q112" i="23"/>
  <c r="Q193" i="26"/>
  <c r="B160" i="36"/>
  <c r="J28" i="23"/>
  <c r="G64" i="7" s="1"/>
  <c r="Q28" i="23"/>
  <c r="E17" i="25"/>
  <c r="L193" i="26"/>
  <c r="Y192" i="26"/>
  <c r="J97" i="23"/>
  <c r="F69" i="7" s="1"/>
  <c r="Q97" i="23"/>
  <c r="Q170" i="23"/>
  <c r="J170" i="23"/>
  <c r="I74" i="7" s="1"/>
  <c r="EQ74" i="7" s="1"/>
  <c r="K120" i="36"/>
  <c r="Q119" i="36"/>
  <c r="T119" i="36" s="1"/>
  <c r="I72" i="45"/>
  <c r="J72" i="45" s="1"/>
  <c r="O143" i="23"/>
  <c r="D171" i="23"/>
  <c r="D59" i="23"/>
  <c r="Q159" i="36"/>
  <c r="T159" i="36" s="1"/>
  <c r="D31" i="23"/>
  <c r="Q88" i="26"/>
  <c r="Q70" i="23"/>
  <c r="J70" i="23"/>
  <c r="G67" i="7" s="1"/>
  <c r="S23" i="22"/>
  <c r="AC7" i="25" s="1"/>
  <c r="F162" i="25"/>
  <c r="D185" i="23"/>
  <c r="J169" i="23"/>
  <c r="H74" i="7" s="1"/>
  <c r="EP74" i="7" s="1"/>
  <c r="Q169" i="23"/>
  <c r="DL293" i="7"/>
  <c r="H79" i="36"/>
  <c r="S79" i="36" s="1"/>
  <c r="J193" i="23"/>
  <c r="Q193" i="23"/>
  <c r="P64" i="35"/>
  <c r="E104" i="25"/>
  <c r="J69" i="23"/>
  <c r="F67" i="7" s="1"/>
  <c r="Q69" i="23"/>
  <c r="DX293" i="7"/>
  <c r="DX295" i="7" s="1"/>
  <c r="CY293" i="7"/>
  <c r="CY295" i="7" s="1"/>
  <c r="F27" i="26"/>
  <c r="P27" i="26" s="1"/>
  <c r="H12" i="25"/>
  <c r="J11" i="25"/>
  <c r="I11" i="25"/>
  <c r="C296" i="56" s="1" a="1"/>
  <c r="C296" i="56" s="1"/>
  <c r="L60" i="36"/>
  <c r="L61" i="36" s="1"/>
  <c r="L20" i="36"/>
  <c r="L21" i="36" s="1"/>
  <c r="L80" i="36"/>
  <c r="L81" i="36" s="1"/>
  <c r="L120" i="36"/>
  <c r="L121" i="36" s="1"/>
  <c r="E294" i="7"/>
  <c r="L40" i="36"/>
  <c r="L41" i="36" s="1"/>
  <c r="EL294" i="7"/>
  <c r="L160" i="36"/>
  <c r="L161" i="36" s="1"/>
  <c r="L100" i="36"/>
  <c r="L101" i="36" s="1"/>
  <c r="L140" i="36"/>
  <c r="L141" i="36" s="1"/>
  <c r="H389" i="25"/>
  <c r="J388" i="25"/>
  <c r="I388" i="25"/>
  <c r="C400" i="56" s="1" a="1"/>
  <c r="C400" i="56" s="1"/>
  <c r="J99" i="23"/>
  <c r="H69" i="7" s="1"/>
  <c r="EP69" i="7" s="1"/>
  <c r="Q99" i="23"/>
  <c r="H19" i="36"/>
  <c r="Q123" i="23"/>
  <c r="J123" i="23"/>
  <c r="P59" i="35"/>
  <c r="I75" i="45"/>
  <c r="J75" i="45" s="1"/>
  <c r="O185" i="23"/>
  <c r="J42" i="23"/>
  <c r="G65" i="7" s="1"/>
  <c r="Q42" i="23"/>
  <c r="Y177" i="26"/>
  <c r="L178" i="26"/>
  <c r="Q195" i="23"/>
  <c r="J195" i="23"/>
  <c r="F76" i="7" s="1"/>
  <c r="Q58" i="26"/>
  <c r="L58" i="26"/>
  <c r="Y57" i="26"/>
  <c r="J71" i="23"/>
  <c r="H67" i="7" s="1"/>
  <c r="EP67" i="7" s="1"/>
  <c r="Q71" i="23"/>
  <c r="J41" i="23"/>
  <c r="F65" i="7" s="1"/>
  <c r="Q41" i="23"/>
  <c r="K180" i="36"/>
  <c r="Q111" i="23"/>
  <c r="J111" i="23"/>
  <c r="F70" i="7" s="1"/>
  <c r="Y87" i="26"/>
  <c r="L88" i="26"/>
  <c r="J194" i="23"/>
  <c r="E76" i="7" s="1"/>
  <c r="Q194" i="23"/>
  <c r="Q27" i="23"/>
  <c r="J27" i="23"/>
  <c r="F64" i="7" s="1"/>
  <c r="EE293" i="7"/>
  <c r="EE295" i="7" s="1"/>
  <c r="H99" i="25"/>
  <c r="I98" i="25"/>
  <c r="C320" i="56" s="1" a="1"/>
  <c r="C320" i="56" s="1"/>
  <c r="J98" i="25"/>
  <c r="J40" i="23"/>
  <c r="E65" i="7" s="1"/>
  <c r="Q40" i="23"/>
  <c r="DB302" i="7"/>
  <c r="O199" i="23"/>
  <c r="J110" i="23"/>
  <c r="E70" i="7" s="1"/>
  <c r="Q110" i="23"/>
  <c r="I74" i="45"/>
  <c r="J74" i="45" s="1"/>
  <c r="O171" i="23"/>
  <c r="Q96" i="23"/>
  <c r="J96" i="23"/>
  <c r="E69" i="7" s="1"/>
  <c r="E249" i="25"/>
  <c r="H273" i="25"/>
  <c r="I272" i="25"/>
  <c r="C368" i="56" s="1" a="1"/>
  <c r="C368" i="56" s="1"/>
  <c r="J272" i="25"/>
  <c r="F28" i="26"/>
  <c r="J39" i="23"/>
  <c r="P53" i="35"/>
  <c r="Q39" i="23"/>
  <c r="J86" i="23"/>
  <c r="I68" i="7" s="1"/>
  <c r="EQ68" i="7" s="1"/>
  <c r="Q86" i="23"/>
  <c r="H360" i="25"/>
  <c r="I359" i="25"/>
  <c r="C392" i="56" s="1" a="1"/>
  <c r="C392" i="56" s="1"/>
  <c r="J359" i="25"/>
  <c r="Q109" i="23"/>
  <c r="J109" i="23"/>
  <c r="P58" i="35"/>
  <c r="F104" i="25"/>
  <c r="F133" i="25"/>
  <c r="L118" i="26"/>
  <c r="Y117" i="26"/>
  <c r="P57" i="35"/>
  <c r="Q95" i="23"/>
  <c r="J95" i="23"/>
  <c r="J301" i="25"/>
  <c r="H302" i="25"/>
  <c r="I301" i="25"/>
  <c r="C376" i="56" s="1" a="1"/>
  <c r="C376" i="56" s="1"/>
  <c r="J168" i="23"/>
  <c r="G74" i="7" s="1"/>
  <c r="Q168" i="23"/>
  <c r="Q39" i="36"/>
  <c r="T39" i="36" s="1"/>
  <c r="H99" i="36"/>
  <c r="S99" i="36" s="1"/>
  <c r="H179" i="36"/>
  <c r="S179" i="36" s="1"/>
  <c r="B22" i="26"/>
  <c r="G27" i="26" s="1"/>
  <c r="D22" i="26"/>
  <c r="H27" i="26" s="1"/>
  <c r="I20" i="26"/>
  <c r="L13" i="26"/>
  <c r="Y12" i="26"/>
  <c r="AL12" i="26"/>
  <c r="AM12" i="26" s="1"/>
  <c r="DD311" i="7"/>
  <c r="J113" i="23"/>
  <c r="H70" i="7" s="1"/>
  <c r="EP70" i="7" s="1"/>
  <c r="Q113" i="23"/>
  <c r="P60" i="35"/>
  <c r="Q137" i="23"/>
  <c r="J137" i="23"/>
  <c r="Q151" i="23"/>
  <c r="J151" i="23"/>
  <c r="P61" i="35"/>
  <c r="J85" i="23"/>
  <c r="H68" i="7" s="1"/>
  <c r="EP68" i="7" s="1"/>
  <c r="Q85" i="23"/>
  <c r="Q25" i="23"/>
  <c r="J25" i="23"/>
  <c r="P52" i="35"/>
  <c r="E133" i="25"/>
  <c r="Q118" i="26"/>
  <c r="Q68" i="23"/>
  <c r="J68" i="23"/>
  <c r="E67" i="7" s="1"/>
  <c r="DG293" i="7"/>
  <c r="K41" i="36"/>
  <c r="R48" i="22"/>
  <c r="AB32" i="25" s="1"/>
  <c r="Q223" i="26"/>
  <c r="P55" i="35"/>
  <c r="J67" i="23"/>
  <c r="Q67" i="23"/>
  <c r="D115" i="23"/>
  <c r="Q167" i="23"/>
  <c r="J167" i="23"/>
  <c r="F74" i="7" s="1"/>
  <c r="DQ293" i="7"/>
  <c r="H199" i="36"/>
  <c r="S199" i="36" s="1"/>
  <c r="W27" i="26"/>
  <c r="AH27" i="26"/>
  <c r="I28" i="26"/>
  <c r="P12" i="26"/>
  <c r="Q13" i="26"/>
  <c r="J84" i="23"/>
  <c r="G68" i="7" s="1"/>
  <c r="Q84" i="23"/>
  <c r="Q212" i="23"/>
  <c r="J212" i="23"/>
  <c r="I77" i="7" s="1"/>
  <c r="EQ77" i="7" s="1"/>
  <c r="J26" i="23"/>
  <c r="E64" i="7" s="1"/>
  <c r="Q26" i="23"/>
  <c r="Q133" i="26"/>
  <c r="E75" i="25"/>
  <c r="EF293" i="7"/>
  <c r="EF295" i="7" s="1"/>
  <c r="J58" i="23"/>
  <c r="I66" i="7" s="1"/>
  <c r="EQ66" i="7" s="1"/>
  <c r="F93" i="52" s="1"/>
  <c r="Q58" i="23"/>
  <c r="F336" i="25"/>
  <c r="F423" i="25"/>
  <c r="Y132" i="26"/>
  <c r="L133" i="26"/>
  <c r="Q166" i="23"/>
  <c r="J166" i="23"/>
  <c r="E74" i="7" s="1"/>
  <c r="DA293" i="7"/>
  <c r="DA295" i="7" s="1"/>
  <c r="Q83" i="23"/>
  <c r="J83" i="23"/>
  <c r="F68" i="7" s="1"/>
  <c r="J211" i="23"/>
  <c r="H77" i="7" s="1"/>
  <c r="EP77" i="7" s="1"/>
  <c r="Q211" i="23"/>
  <c r="E336" i="25"/>
  <c r="E423" i="25"/>
  <c r="D157" i="23"/>
  <c r="E365" i="25"/>
  <c r="P62" i="35"/>
  <c r="Q165" i="23"/>
  <c r="J165" i="23"/>
  <c r="DY293" i="7"/>
  <c r="DY295" i="7" s="1"/>
  <c r="J16" i="23"/>
  <c r="I63" i="7" s="1"/>
  <c r="Q16" i="23"/>
  <c r="Q128" i="23"/>
  <c r="J128" i="23"/>
  <c r="I71" i="7" s="1"/>
  <c r="EQ71" i="7" s="1"/>
  <c r="S66" i="22"/>
  <c r="AC50" i="25" s="1"/>
  <c r="I214" i="25"/>
  <c r="C352" i="56" s="1" a="1"/>
  <c r="C352" i="56" s="1"/>
  <c r="H215" i="25"/>
  <c r="J214" i="25"/>
  <c r="J243" i="25"/>
  <c r="I243" i="25"/>
  <c r="C360" i="56" s="1" a="1"/>
  <c r="C360" i="56" s="1"/>
  <c r="H244" i="25"/>
  <c r="O157" i="23"/>
  <c r="F365" i="25"/>
  <c r="O101" i="23"/>
  <c r="I69" i="45"/>
  <c r="J69" i="45" s="1"/>
  <c r="Q142" i="23"/>
  <c r="J142" i="23"/>
  <c r="I72" i="7" s="1"/>
  <c r="EQ72" i="7" s="1"/>
  <c r="I66" i="45"/>
  <c r="J66" i="45" s="1"/>
  <c r="O59" i="23"/>
  <c r="DI293" i="7"/>
  <c r="J184" i="23"/>
  <c r="I75" i="7" s="1"/>
  <c r="EQ75" i="7" s="1"/>
  <c r="Q184" i="23"/>
  <c r="D129" i="23"/>
  <c r="J57" i="23"/>
  <c r="H66" i="7" s="1"/>
  <c r="EP66" i="7" s="1"/>
  <c r="F76" i="52" s="1"/>
  <c r="Q57" i="23"/>
  <c r="F191" i="25"/>
  <c r="J152" i="23"/>
  <c r="E73" i="7" s="1"/>
  <c r="Q152" i="23"/>
  <c r="Q179" i="23"/>
  <c r="J179" i="23"/>
  <c r="P63" i="35"/>
  <c r="B61" i="36"/>
  <c r="H61" i="36" s="1"/>
  <c r="H60" i="36"/>
  <c r="S60" i="36" s="1"/>
  <c r="L43" i="26"/>
  <c r="Y42" i="26"/>
  <c r="Q72" i="23"/>
  <c r="J72" i="23"/>
  <c r="I67" i="7" s="1"/>
  <c r="EQ67" i="7" s="1"/>
  <c r="Q178" i="26"/>
  <c r="J98" i="23"/>
  <c r="G69" i="7" s="1"/>
  <c r="Q98" i="23"/>
  <c r="Q59" i="36"/>
  <c r="T59" i="36" s="1"/>
  <c r="K141" i="36"/>
  <c r="Y222" i="26"/>
  <c r="L223" i="26"/>
  <c r="J210" i="23"/>
  <c r="G77" i="7" s="1"/>
  <c r="Q210" i="23"/>
  <c r="D213" i="23"/>
  <c r="F307" i="25"/>
  <c r="H59" i="36"/>
  <c r="S59" i="36" s="1"/>
  <c r="J183" i="23"/>
  <c r="H75" i="7" s="1"/>
  <c r="EP75" i="7" s="1"/>
  <c r="Q183" i="23"/>
  <c r="J15" i="23"/>
  <c r="H63" i="7" s="1"/>
  <c r="Q15" i="23"/>
  <c r="J127" i="23"/>
  <c r="H71" i="7" s="1"/>
  <c r="EP71" i="7" s="1"/>
  <c r="Q127" i="23"/>
  <c r="J56" i="23"/>
  <c r="G66" i="7" s="1"/>
  <c r="Q56" i="23"/>
  <c r="B20" i="36"/>
  <c r="D199" i="23"/>
  <c r="HG294" i="7"/>
  <c r="EL303" i="7"/>
  <c r="EM303" i="7"/>
  <c r="J82" i="23"/>
  <c r="E68" i="7" s="1"/>
  <c r="Q82" i="23"/>
  <c r="J209" i="23"/>
  <c r="F77" i="7" s="1"/>
  <c r="Q209" i="23"/>
  <c r="Y162" i="26"/>
  <c r="L163" i="26"/>
  <c r="L28" i="26"/>
  <c r="Y27" i="26"/>
  <c r="I65" i="45"/>
  <c r="J65" i="45" s="1"/>
  <c r="O45" i="23"/>
  <c r="J156" i="23"/>
  <c r="I73" i="7" s="1"/>
  <c r="EQ73" i="7" s="1"/>
  <c r="Q156" i="23"/>
  <c r="I77" i="45"/>
  <c r="J77" i="45" s="1"/>
  <c r="O213" i="23"/>
  <c r="I70" i="45"/>
  <c r="J70" i="45" s="1"/>
  <c r="O115" i="23"/>
  <c r="Q141" i="23"/>
  <c r="J141" i="23"/>
  <c r="H72" i="7" s="1"/>
  <c r="EP72" i="7" s="1"/>
  <c r="E307" i="25"/>
  <c r="H139" i="36"/>
  <c r="S139" i="36" s="1"/>
  <c r="H119" i="36"/>
  <c r="S119" i="36" s="1"/>
  <c r="Q126" i="23"/>
  <c r="J126" i="23"/>
  <c r="G71" i="7" s="1"/>
  <c r="H157" i="25"/>
  <c r="I156" i="25"/>
  <c r="J156" i="25"/>
  <c r="B140" i="36"/>
  <c r="P56" i="35"/>
  <c r="Q81" i="23"/>
  <c r="J81" i="23"/>
  <c r="W30" i="21"/>
  <c r="G27" i="21"/>
  <c r="G29" i="21"/>
  <c r="W27" i="21"/>
  <c r="W28" i="21"/>
  <c r="G30" i="21"/>
  <c r="X26" i="21"/>
  <c r="X28" i="21"/>
  <c r="G25" i="21"/>
  <c r="X27" i="21"/>
  <c r="W29" i="21"/>
  <c r="G28" i="21"/>
  <c r="W26" i="21"/>
  <c r="G26" i="21"/>
  <c r="W25" i="21"/>
  <c r="X30" i="21"/>
  <c r="X25" i="21"/>
  <c r="X29" i="21"/>
  <c r="X31" i="21"/>
  <c r="J32" i="21" s="1"/>
  <c r="Q163" i="26"/>
  <c r="D17" i="23"/>
  <c r="Q28" i="26"/>
  <c r="J155" i="23"/>
  <c r="H73" i="7" s="1"/>
  <c r="EP73" i="7" s="1"/>
  <c r="Q155" i="23"/>
  <c r="E394" i="25"/>
  <c r="Q14" i="23"/>
  <c r="J14" i="23"/>
  <c r="G63" i="7" s="1"/>
  <c r="J127" i="25"/>
  <c r="I127" i="25"/>
  <c r="C328" i="56" s="1" a="1"/>
  <c r="C328" i="56" s="1"/>
  <c r="H128" i="25"/>
  <c r="B200" i="36"/>
  <c r="D45" i="26"/>
  <c r="E42" i="26"/>
  <c r="E47" i="26"/>
  <c r="D42" i="26"/>
  <c r="D47" i="26"/>
  <c r="B36" i="26"/>
  <c r="E43" i="26"/>
  <c r="E45" i="26"/>
  <c r="E46" i="26"/>
  <c r="D46" i="26"/>
  <c r="F37" i="26"/>
  <c r="I42" i="26" s="1"/>
  <c r="D44" i="26"/>
  <c r="D43" i="26"/>
  <c r="E44" i="26"/>
  <c r="J330" i="25"/>
  <c r="I330" i="25"/>
  <c r="C384" i="56" s="1" a="1"/>
  <c r="C384" i="56" s="1"/>
  <c r="H331" i="25"/>
  <c r="DE311" i="7"/>
  <c r="F394" i="25"/>
  <c r="DB293" i="7"/>
  <c r="DB295" i="7" s="1"/>
  <c r="J125" i="23"/>
  <c r="F71" i="7" s="1"/>
  <c r="Q125" i="23"/>
  <c r="Q73" i="26"/>
  <c r="Q198" i="23"/>
  <c r="J198" i="23"/>
  <c r="I76" i="7" s="1"/>
  <c r="EQ76" i="7" s="1"/>
  <c r="C88" i="7"/>
  <c r="EK88" i="7" s="1"/>
  <c r="C15" i="7"/>
  <c r="EK15" i="7" s="1"/>
  <c r="A25" i="36"/>
  <c r="C88" i="45"/>
  <c r="C30" i="7"/>
  <c r="EK30" i="7" s="1"/>
  <c r="C30" i="45"/>
  <c r="A42" i="41"/>
  <c r="A42" i="40"/>
  <c r="C15" i="45"/>
  <c r="C103" i="45"/>
  <c r="C103" i="7"/>
  <c r="EK103" i="7" s="1"/>
  <c r="O17" i="23"/>
  <c r="J154" i="23"/>
  <c r="G73" i="7" s="1"/>
  <c r="Q154" i="23"/>
  <c r="D101" i="23"/>
  <c r="ED293" i="7"/>
  <c r="ED295" i="7" s="1"/>
  <c r="H39" i="36"/>
  <c r="S39" i="36" s="1"/>
  <c r="Q124" i="23"/>
  <c r="J124" i="23"/>
  <c r="E71" i="7" s="1"/>
  <c r="Q44" i="23"/>
  <c r="J44" i="23"/>
  <c r="I65" i="7" s="1"/>
  <c r="EQ65" i="7" s="1"/>
  <c r="Y102" i="26"/>
  <c r="L103" i="26"/>
  <c r="B120" i="36"/>
  <c r="F18" i="51"/>
  <c r="L21" i="21"/>
  <c r="E13" i="51"/>
  <c r="B16" i="51"/>
  <c r="F17" i="51"/>
  <c r="C27" i="21"/>
  <c r="C29" i="21"/>
  <c r="F14" i="51"/>
  <c r="B14" i="51"/>
  <c r="B17" i="51"/>
  <c r="B18" i="51"/>
  <c r="E14" i="51"/>
  <c r="C28" i="21"/>
  <c r="E16" i="51"/>
  <c r="K25" i="21"/>
  <c r="L25" i="21"/>
  <c r="F13" i="51"/>
  <c r="E17" i="51"/>
  <c r="E18" i="51"/>
  <c r="C30" i="21"/>
  <c r="U23" i="21"/>
  <c r="C13" i="51"/>
  <c r="O23" i="21"/>
  <c r="B15" i="51"/>
  <c r="E15" i="51"/>
  <c r="B13" i="51"/>
  <c r="F15" i="51"/>
  <c r="C25" i="21"/>
  <c r="C26" i="21"/>
  <c r="F16" i="51"/>
  <c r="L26" i="21"/>
  <c r="K26" i="21"/>
  <c r="C14" i="51"/>
  <c r="L27" i="21"/>
  <c r="C15" i="51"/>
  <c r="K27" i="21"/>
  <c r="K28" i="21"/>
  <c r="C16" i="51"/>
  <c r="L28" i="21"/>
  <c r="K29" i="21"/>
  <c r="G49" i="56" s="1" a="1"/>
  <c r="G49" i="56" s="1"/>
  <c r="L29" i="21"/>
  <c r="C17" i="51"/>
  <c r="L30" i="21"/>
  <c r="K30" i="21"/>
  <c r="C18" i="51"/>
  <c r="Q182" i="23"/>
  <c r="J182" i="23"/>
  <c r="G75" i="7" s="1"/>
  <c r="J55" i="23"/>
  <c r="F66" i="7" s="1"/>
  <c r="Q55" i="23"/>
  <c r="J208" i="23"/>
  <c r="E77" i="7" s="1"/>
  <c r="Q208" i="23"/>
  <c r="I185" i="25"/>
  <c r="C344" i="56" s="1" a="1"/>
  <c r="C344" i="56" s="1"/>
  <c r="J185" i="25"/>
  <c r="H186" i="25"/>
  <c r="Q13" i="23"/>
  <c r="J13" i="23"/>
  <c r="F63" i="7" s="1"/>
  <c r="I71" i="45"/>
  <c r="J71" i="45" s="1"/>
  <c r="O129" i="23"/>
  <c r="K201" i="36"/>
  <c r="E46" i="25"/>
  <c r="P65" i="35"/>
  <c r="Q207" i="23"/>
  <c r="J207" i="23"/>
  <c r="F2" i="21"/>
  <c r="F2" i="23"/>
  <c r="B5" i="33"/>
  <c r="F2" i="25"/>
  <c r="E5" i="41"/>
  <c r="E5" i="39"/>
  <c r="E5" i="40"/>
  <c r="B5" i="44"/>
  <c r="EK5" i="7"/>
  <c r="Q114" i="23"/>
  <c r="J114" i="23"/>
  <c r="I70" i="7" s="1"/>
  <c r="EQ70" i="7" s="1"/>
  <c r="J153" i="23"/>
  <c r="F73" i="7" s="1"/>
  <c r="Q153" i="23"/>
  <c r="Y207" i="26"/>
  <c r="L208" i="26"/>
  <c r="Q100" i="23"/>
  <c r="J100" i="23"/>
  <c r="I69" i="7" s="1"/>
  <c r="EQ69" i="7" s="1"/>
  <c r="Q139" i="23"/>
  <c r="J139" i="23"/>
  <c r="F72" i="7" s="1"/>
  <c r="DN293" i="7"/>
  <c r="Q19" i="36"/>
  <c r="J180" i="23"/>
  <c r="E75" i="7" s="1"/>
  <c r="Q180" i="23"/>
  <c r="E278" i="25"/>
  <c r="D143" i="23"/>
  <c r="Q103" i="26"/>
  <c r="J53" i="23"/>
  <c r="P54" i="35"/>
  <c r="Q53" i="23"/>
  <c r="B100" i="36"/>
  <c r="J140" i="23"/>
  <c r="G72" i="7" s="1"/>
  <c r="Q140" i="23"/>
  <c r="Q79" i="36"/>
  <c r="T79" i="36" s="1"/>
  <c r="Y72" i="26"/>
  <c r="L73" i="26"/>
  <c r="B25" i="36"/>
  <c r="K25" i="36" s="1"/>
  <c r="B42" i="40"/>
  <c r="B42" i="41"/>
  <c r="D45" i="23"/>
  <c r="Q139" i="36"/>
  <c r="T139" i="36" s="1"/>
  <c r="Q181" i="23"/>
  <c r="J181" i="23"/>
  <c r="F75" i="7" s="1"/>
  <c r="A47" i="21"/>
  <c r="B34" i="21"/>
  <c r="F34" i="21"/>
  <c r="F35" i="21"/>
  <c r="B35" i="21"/>
  <c r="Q197" i="23"/>
  <c r="J197" i="23"/>
  <c r="H76" i="7" s="1"/>
  <c r="EP76" i="7" s="1"/>
  <c r="F46" i="25"/>
  <c r="I417" i="25"/>
  <c r="C408" i="56" s="1" a="1"/>
  <c r="C408" i="56" s="1"/>
  <c r="J417" i="25"/>
  <c r="H418" i="25"/>
  <c r="Q208" i="26"/>
  <c r="F249" i="25"/>
  <c r="J138" i="23"/>
  <c r="E72" i="7" s="1"/>
  <c r="Q138" i="23"/>
  <c r="Q199" i="36"/>
  <c r="T199" i="36" s="1"/>
  <c r="K100" i="36"/>
  <c r="Q99" i="36"/>
  <c r="T99" i="36" s="1"/>
  <c r="D73" i="23"/>
  <c r="J12" i="23"/>
  <c r="E63" i="7" s="1"/>
  <c r="Q12" i="23"/>
  <c r="F278" i="25"/>
  <c r="J54" i="23"/>
  <c r="E66" i="7" s="1"/>
  <c r="Q54" i="23"/>
  <c r="B180" i="36"/>
  <c r="A18" i="39"/>
  <c r="J304" i="7"/>
  <c r="S135" i="7"/>
  <c r="S139" i="7"/>
  <c r="S143" i="7"/>
  <c r="S147" i="7"/>
  <c r="N136" i="7"/>
  <c r="N140" i="7"/>
  <c r="N144" i="7"/>
  <c r="N148" i="7"/>
  <c r="S137" i="7"/>
  <c r="O142" i="7"/>
  <c r="Q146" i="7"/>
  <c r="R91" i="7"/>
  <c r="R95" i="7"/>
  <c r="R99" i="7"/>
  <c r="N138" i="7"/>
  <c r="P142" i="7"/>
  <c r="R146" i="7"/>
  <c r="S91" i="7"/>
  <c r="S95" i="7"/>
  <c r="S99" i="7"/>
  <c r="R136" i="7"/>
  <c r="P141" i="7"/>
  <c r="N146" i="7"/>
  <c r="N88" i="7"/>
  <c r="P92" i="7"/>
  <c r="R96" i="7"/>
  <c r="N101" i="7"/>
  <c r="S64" i="7"/>
  <c r="S68" i="7"/>
  <c r="S72" i="7"/>
  <c r="S76" i="7"/>
  <c r="Q15" i="7"/>
  <c r="Q19" i="7"/>
  <c r="Q23" i="7"/>
  <c r="Q27" i="7"/>
  <c r="S136" i="7"/>
  <c r="Q141" i="7"/>
  <c r="O146" i="7"/>
  <c r="O88" i="7"/>
  <c r="Q92" i="7"/>
  <c r="S96" i="7"/>
  <c r="O101" i="7"/>
  <c r="N65" i="7"/>
  <c r="N69" i="7"/>
  <c r="N73" i="7"/>
  <c r="N77" i="7"/>
  <c r="R15" i="7"/>
  <c r="R19" i="7"/>
  <c r="R23" i="7"/>
  <c r="R27" i="7"/>
  <c r="ER304" i="7"/>
  <c r="EW304" i="7" s="1"/>
  <c r="P136" i="7"/>
  <c r="R141" i="7"/>
  <c r="N147" i="7"/>
  <c r="P91" i="7"/>
  <c r="P96" i="7"/>
  <c r="P101" i="7"/>
  <c r="Q64" i="7"/>
  <c r="O69" i="7"/>
  <c r="Q73" i="7"/>
  <c r="S77" i="7"/>
  <c r="P16" i="7"/>
  <c r="R20" i="7"/>
  <c r="N25" i="7"/>
  <c r="Q136" i="7"/>
  <c r="S141" i="7"/>
  <c r="O147" i="7"/>
  <c r="Q91" i="7"/>
  <c r="Q96" i="7"/>
  <c r="Q101" i="7"/>
  <c r="R64" i="7"/>
  <c r="P69" i="7"/>
  <c r="R73" i="7"/>
  <c r="Q16" i="7"/>
  <c r="S20" i="7"/>
  <c r="O25" i="7"/>
  <c r="P137" i="7"/>
  <c r="N143" i="7"/>
  <c r="R148" i="7"/>
  <c r="S88" i="7"/>
  <c r="S93" i="7"/>
  <c r="S98" i="7"/>
  <c r="O66" i="7"/>
  <c r="S70" i="7"/>
  <c r="Q75" i="7"/>
  <c r="Q18" i="7"/>
  <c r="O23" i="7"/>
  <c r="O28" i="7"/>
  <c r="O14" i="7"/>
  <c r="S18" i="7"/>
  <c r="S23" i="7"/>
  <c r="Q28" i="7"/>
  <c r="Q143" i="7"/>
  <c r="P89" i="7"/>
  <c r="P99" i="7"/>
  <c r="P71" i="7"/>
  <c r="P138" i="7"/>
  <c r="Q89" i="7"/>
  <c r="Q99" i="7"/>
  <c r="O76" i="7"/>
  <c r="Q137" i="7"/>
  <c r="O143" i="7"/>
  <c r="S148" i="7"/>
  <c r="N89" i="7"/>
  <c r="N94" i="7"/>
  <c r="N99" i="7"/>
  <c r="P66" i="7"/>
  <c r="N71" i="7"/>
  <c r="R75" i="7"/>
  <c r="N14" i="7"/>
  <c r="R18" i="7"/>
  <c r="P23" i="7"/>
  <c r="P28" i="7"/>
  <c r="R137" i="7"/>
  <c r="P143" i="7"/>
  <c r="O89" i="7"/>
  <c r="O94" i="7"/>
  <c r="O99" i="7"/>
  <c r="Q66" i="7"/>
  <c r="O71" i="7"/>
  <c r="S75" i="7"/>
  <c r="O138" i="7"/>
  <c r="P94" i="7"/>
  <c r="R66" i="7"/>
  <c r="N76" i="7"/>
  <c r="P14" i="7"/>
  <c r="N19" i="7"/>
  <c r="N24" i="7"/>
  <c r="R28" i="7"/>
  <c r="R143" i="7"/>
  <c r="Q94" i="7"/>
  <c r="S66" i="7"/>
  <c r="Q71" i="7"/>
  <c r="N134" i="7"/>
  <c r="Q140" i="7"/>
  <c r="R147" i="7"/>
  <c r="Q90" i="7"/>
  <c r="P97" i="7"/>
  <c r="Q67" i="7"/>
  <c r="P73" i="7"/>
  <c r="O19" i="7"/>
  <c r="S24" i="7"/>
  <c r="S140" i="7"/>
  <c r="R97" i="7"/>
  <c r="Q25" i="7"/>
  <c r="N141" i="7"/>
  <c r="N91" i="7"/>
  <c r="O74" i="7"/>
  <c r="R25" i="7"/>
  <c r="R134" i="7"/>
  <c r="O91" i="7"/>
  <c r="O68" i="7"/>
  <c r="O20" i="7"/>
  <c r="S134" i="7"/>
  <c r="N92" i="7"/>
  <c r="P68" i="7"/>
  <c r="Q74" i="7"/>
  <c r="R14" i="7"/>
  <c r="P20" i="7"/>
  <c r="N135" i="7"/>
  <c r="O92" i="7"/>
  <c r="N63" i="7"/>
  <c r="R74" i="7"/>
  <c r="O134" i="7"/>
  <c r="R140" i="7"/>
  <c r="O148" i="7"/>
  <c r="R90" i="7"/>
  <c r="Q97" i="7"/>
  <c r="R67" i="7"/>
  <c r="S73" i="7"/>
  <c r="P19" i="7"/>
  <c r="P25" i="7"/>
  <c r="P134" i="7"/>
  <c r="P148" i="7"/>
  <c r="S90" i="7"/>
  <c r="S67" i="7"/>
  <c r="N74" i="7"/>
  <c r="S19" i="7"/>
  <c r="Q134" i="7"/>
  <c r="Q148" i="7"/>
  <c r="S97" i="7"/>
  <c r="N68" i="7"/>
  <c r="N20" i="7"/>
  <c r="O141" i="7"/>
  <c r="N98" i="7"/>
  <c r="P74" i="7"/>
  <c r="Q14" i="7"/>
  <c r="S25" i="7"/>
  <c r="N142" i="7"/>
  <c r="O98" i="7"/>
  <c r="N26" i="7"/>
  <c r="Q142" i="7"/>
  <c r="P98" i="7"/>
  <c r="Q68" i="7"/>
  <c r="L2" i="40"/>
  <c r="D1" i="40" s="1"/>
  <c r="B5" i="40" s="1"/>
  <c r="Q144" i="7"/>
  <c r="R88" i="7"/>
  <c r="R98" i="7"/>
  <c r="P64" i="7"/>
  <c r="Q72" i="7"/>
  <c r="S138" i="7"/>
  <c r="Q95" i="7"/>
  <c r="Q65" i="7"/>
  <c r="N75" i="7"/>
  <c r="R21" i="7"/>
  <c r="N139" i="7"/>
  <c r="N96" i="7"/>
  <c r="R65" i="7"/>
  <c r="O75" i="7"/>
  <c r="S14" i="7"/>
  <c r="S21" i="7"/>
  <c r="O139" i="7"/>
  <c r="O96" i="7"/>
  <c r="S65" i="7"/>
  <c r="P75" i="7"/>
  <c r="N15" i="7"/>
  <c r="N22" i="7"/>
  <c r="P144" i="7"/>
  <c r="N97" i="7"/>
  <c r="R63" i="7"/>
  <c r="R72" i="7"/>
  <c r="Q21" i="7"/>
  <c r="N145" i="7"/>
  <c r="O65" i="7"/>
  <c r="O15" i="7"/>
  <c r="P145" i="7"/>
  <c r="P100" i="7"/>
  <c r="P15" i="7"/>
  <c r="Q145" i="7"/>
  <c r="Q88" i="7"/>
  <c r="N66" i="7"/>
  <c r="S15" i="7"/>
  <c r="O135" i="7"/>
  <c r="R89" i="7"/>
  <c r="R144" i="7"/>
  <c r="O97" i="7"/>
  <c r="S63" i="7"/>
  <c r="O73" i="7"/>
  <c r="O22" i="7"/>
  <c r="N100" i="7"/>
  <c r="P76" i="7"/>
  <c r="O145" i="7"/>
  <c r="R22" i="7"/>
  <c r="P88" i="7"/>
  <c r="P65" i="7"/>
  <c r="S22" i="7"/>
  <c r="Q100" i="7"/>
  <c r="O77" i="7"/>
  <c r="R145" i="7"/>
  <c r="P77" i="7"/>
  <c r="O24" i="7"/>
  <c r="S144" i="7"/>
  <c r="Q98" i="7"/>
  <c r="N64" i="7"/>
  <c r="S74" i="7"/>
  <c r="P22" i="7"/>
  <c r="O64" i="7"/>
  <c r="Q22" i="7"/>
  <c r="O100" i="7"/>
  <c r="Q76" i="7"/>
  <c r="R76" i="7"/>
  <c r="N23" i="7"/>
  <c r="R100" i="7"/>
  <c r="N67" i="7"/>
  <c r="N16" i="7"/>
  <c r="O136" i="7"/>
  <c r="O137" i="7"/>
  <c r="S26" i="7"/>
  <c r="S142" i="7"/>
  <c r="N93" i="7"/>
  <c r="S69" i="7"/>
  <c r="S100" i="7"/>
  <c r="R77" i="7"/>
  <c r="O21" i="7"/>
  <c r="R101" i="7"/>
  <c r="P21" i="7"/>
  <c r="S101" i="7"/>
  <c r="P24" i="7"/>
  <c r="R138" i="7"/>
  <c r="O90" i="7"/>
  <c r="Q69" i="7"/>
  <c r="R16" i="7"/>
  <c r="P27" i="7"/>
  <c r="P93" i="7"/>
  <c r="O67" i="7"/>
  <c r="O27" i="7"/>
  <c r="R69" i="7"/>
  <c r="S28" i="7"/>
  <c r="O16" i="7"/>
  <c r="Q93" i="7"/>
  <c r="P67" i="7"/>
  <c r="S27" i="7"/>
  <c r="P135" i="7"/>
  <c r="S94" i="7"/>
  <c r="R93" i="7"/>
  <c r="R68" i="7"/>
  <c r="N28" i="7"/>
  <c r="R94" i="7"/>
  <c r="N70" i="7"/>
  <c r="O93" i="7"/>
  <c r="O95" i="7"/>
  <c r="P95" i="7"/>
  <c r="Q138" i="7"/>
  <c r="Q70" i="7"/>
  <c r="O18" i="7"/>
  <c r="R92" i="7"/>
  <c r="R71" i="7"/>
  <c r="S92" i="7"/>
  <c r="S71" i="7"/>
  <c r="P18" i="7"/>
  <c r="N95" i="7"/>
  <c r="O72" i="7"/>
  <c r="N21" i="7"/>
  <c r="R70" i="7"/>
  <c r="N137" i="7"/>
  <c r="P139" i="7"/>
  <c r="N72" i="7"/>
  <c r="R135" i="7"/>
  <c r="P72" i="7"/>
  <c r="Q77" i="7"/>
  <c r="Q135" i="7"/>
  <c r="P140" i="7"/>
  <c r="P17" i="7"/>
  <c r="R142" i="7"/>
  <c r="Q17" i="7"/>
  <c r="O144" i="7"/>
  <c r="R17" i="7"/>
  <c r="S145" i="7"/>
  <c r="S17" i="7"/>
  <c r="P146" i="7"/>
  <c r="N18" i="7"/>
  <c r="S146" i="7"/>
  <c r="P26" i="7"/>
  <c r="Q26" i="7"/>
  <c r="R26" i="7"/>
  <c r="N27" i="7"/>
  <c r="Q139" i="7"/>
  <c r="R139" i="7"/>
  <c r="O140" i="7"/>
  <c r="P147" i="7"/>
  <c r="Q147" i="7"/>
  <c r="O63" i="7"/>
  <c r="S16" i="7"/>
  <c r="N90" i="7"/>
  <c r="Q63" i="7"/>
  <c r="R24" i="7"/>
  <c r="P90" i="7"/>
  <c r="O70" i="7"/>
  <c r="O26" i="7"/>
  <c r="P70" i="7"/>
  <c r="O17" i="7"/>
  <c r="Q20" i="7"/>
  <c r="S89" i="7"/>
  <c r="N17" i="7"/>
  <c r="Q24" i="7"/>
  <c r="P63" i="7"/>
  <c r="E49" i="22"/>
  <c r="E50" i="22"/>
  <c r="S54" i="22"/>
  <c r="AC38" i="25" s="1"/>
  <c r="E55" i="22"/>
  <c r="E51" i="22"/>
  <c r="D23" i="21"/>
  <c r="G23" i="21"/>
  <c r="E47" i="22"/>
  <c r="E56" i="22"/>
  <c r="E54" i="22"/>
  <c r="E53" i="22"/>
  <c r="S60" i="22"/>
  <c r="AC44" i="25" s="1"/>
  <c r="A49" i="26"/>
  <c r="A64" i="26" s="1"/>
  <c r="R55" i="22"/>
  <c r="AB39" i="25" s="1"/>
  <c r="J18" i="21"/>
  <c r="I116" i="23"/>
  <c r="Q40" i="22"/>
  <c r="R41" i="22"/>
  <c r="AB25" i="25" s="1"/>
  <c r="AB24" i="25" s="1"/>
  <c r="R49" i="22"/>
  <c r="AB33" i="25" s="1"/>
  <c r="S42" i="22"/>
  <c r="AC26" i="25" s="1"/>
  <c r="R47" i="22"/>
  <c r="AB31" i="25" s="1"/>
  <c r="AB30" i="25" s="1"/>
  <c r="Q46" i="22"/>
  <c r="R53" i="22"/>
  <c r="AB37" i="25" s="1"/>
  <c r="AB36" i="25" s="1"/>
  <c r="Q52" i="22"/>
  <c r="F74" i="23"/>
  <c r="Q58" i="22"/>
  <c r="R59" i="22"/>
  <c r="AB43" i="25" s="1"/>
  <c r="AB42" i="25" s="1"/>
  <c r="R26" i="22"/>
  <c r="AB10" i="25" s="1"/>
  <c r="S22" i="22"/>
  <c r="AC6" i="25" s="1"/>
  <c r="R21" i="22"/>
  <c r="AB5" i="25" s="1"/>
  <c r="F102" i="23"/>
  <c r="S43" i="22"/>
  <c r="AC27" i="25" s="1"/>
  <c r="S67" i="22"/>
  <c r="AC51" i="25" s="1"/>
  <c r="F144" i="23"/>
  <c r="F88" i="23"/>
  <c r="F32" i="23"/>
  <c r="S24" i="22"/>
  <c r="AC8" i="25" s="1"/>
  <c r="F49" i="22"/>
  <c r="F56" i="22"/>
  <c r="F50" i="22"/>
  <c r="F47" i="22"/>
  <c r="F53" i="22"/>
  <c r="F55" i="22"/>
  <c r="F51" i="22"/>
  <c r="F54" i="22"/>
  <c r="F186" i="23"/>
  <c r="F172" i="23"/>
  <c r="FD10" i="7"/>
  <c r="V10" i="7"/>
  <c r="F60" i="23"/>
  <c r="H41" i="25" l="1"/>
  <c r="Z12" i="26"/>
  <c r="N12" i="26"/>
  <c r="K13" i="26"/>
  <c r="AG13" i="26" s="1"/>
  <c r="AK13" i="26" s="1"/>
  <c r="H14" i="26"/>
  <c r="V13" i="26"/>
  <c r="J40" i="25"/>
  <c r="M207" i="23"/>
  <c r="M39" i="23"/>
  <c r="L207" i="23"/>
  <c r="L67" i="23"/>
  <c r="K54" i="23"/>
  <c r="K55" i="23" s="1"/>
  <c r="K56" i="23" s="1"/>
  <c r="K57" i="23" s="1"/>
  <c r="K58" i="23" s="1"/>
  <c r="K124" i="23"/>
  <c r="K125" i="23" s="1"/>
  <c r="K126" i="23" s="1"/>
  <c r="K127" i="23" s="1"/>
  <c r="K128" i="23" s="1"/>
  <c r="T61" i="22"/>
  <c r="AD45" i="25" s="1"/>
  <c r="AC45" i="25"/>
  <c r="M109" i="23"/>
  <c r="L109" i="23"/>
  <c r="M67" i="23"/>
  <c r="L123" i="23"/>
  <c r="L53" i="23"/>
  <c r="M25" i="23"/>
  <c r="L25" i="23"/>
  <c r="L151" i="23"/>
  <c r="L39" i="23"/>
  <c r="L179" i="23"/>
  <c r="L193" i="23"/>
  <c r="L95" i="23"/>
  <c r="M165" i="23"/>
  <c r="K152" i="23"/>
  <c r="K153" i="23" s="1"/>
  <c r="K154" i="23" s="1"/>
  <c r="K155" i="23" s="1"/>
  <c r="K156" i="23" s="1"/>
  <c r="K180" i="23"/>
  <c r="K181" i="23" s="1"/>
  <c r="K182" i="23" s="1"/>
  <c r="K183" i="23" s="1"/>
  <c r="K184" i="23" s="1"/>
  <c r="L137" i="23"/>
  <c r="M193" i="23"/>
  <c r="M95" i="23"/>
  <c r="K82" i="23"/>
  <c r="K83" i="23" s="1"/>
  <c r="K84" i="23" s="1"/>
  <c r="K85" i="23" s="1"/>
  <c r="K86" i="23" s="1"/>
  <c r="L81" i="23"/>
  <c r="L165" i="23"/>
  <c r="K138" i="23"/>
  <c r="K139" i="23" s="1"/>
  <c r="K140" i="23" s="1"/>
  <c r="K141" i="23" s="1"/>
  <c r="K142" i="23" s="1"/>
  <c r="A61" i="21"/>
  <c r="O62" i="21" s="1"/>
  <c r="Q65" i="21" s="1"/>
  <c r="O48" i="21"/>
  <c r="Q51" i="21" s="1"/>
  <c r="S65" i="22"/>
  <c r="T65" i="22" s="1"/>
  <c r="AD49" i="25" s="1"/>
  <c r="AD48" i="25" s="1"/>
  <c r="R64" i="22"/>
  <c r="L99" i="25"/>
  <c r="C321" i="56" a="1"/>
  <c r="C321" i="56" s="1"/>
  <c r="L128" i="25"/>
  <c r="C329" i="56" a="1"/>
  <c r="C329" i="56" s="1"/>
  <c r="P26" i="21"/>
  <c r="C50" i="56" a="1"/>
  <c r="C50" i="56" s="1"/>
  <c r="L389" i="25"/>
  <c r="C401" i="56" a="1"/>
  <c r="C401" i="56" s="1"/>
  <c r="L12" i="25"/>
  <c r="C297" i="56" a="1"/>
  <c r="C297" i="56" s="1"/>
  <c r="P12" i="21"/>
  <c r="C41" i="56" a="1"/>
  <c r="C41" i="56" s="1"/>
  <c r="L360" i="25"/>
  <c r="C393" i="56" a="1"/>
  <c r="C393" i="56" s="1"/>
  <c r="L186" i="25"/>
  <c r="C345" i="56" a="1"/>
  <c r="C345" i="56" s="1"/>
  <c r="L215" i="25"/>
  <c r="C353" i="56" a="1"/>
  <c r="C353" i="56" s="1"/>
  <c r="P40" i="21"/>
  <c r="C59" i="56" a="1"/>
  <c r="C59" i="56" s="1"/>
  <c r="L302" i="25"/>
  <c r="C377" i="56" a="1"/>
  <c r="C377" i="56" s="1"/>
  <c r="L41" i="25"/>
  <c r="C305" i="56" a="1"/>
  <c r="C305" i="56" s="1"/>
  <c r="L331" i="25"/>
  <c r="C385" i="56" a="1"/>
  <c r="C385" i="56" s="1"/>
  <c r="L244" i="25"/>
  <c r="C361" i="56" a="1"/>
  <c r="C361" i="56" s="1"/>
  <c r="L157" i="25"/>
  <c r="C337" i="56" a="1"/>
  <c r="C337" i="56" s="1"/>
  <c r="L70" i="25"/>
  <c r="C313" i="56" a="1"/>
  <c r="C313" i="56" s="1"/>
  <c r="L418" i="25"/>
  <c r="C409" i="56" a="1"/>
  <c r="C409" i="56" s="1"/>
  <c r="L273" i="25"/>
  <c r="C369" i="56" a="1"/>
  <c r="C369" i="56" s="1"/>
  <c r="I26" i="21"/>
  <c r="D14" i="51" s="1"/>
  <c r="D49" i="56" a="1"/>
  <c r="D49" i="56" s="1"/>
  <c r="D52" i="56" a="1"/>
  <c r="D52" i="56" s="1"/>
  <c r="D53" i="56" a="1"/>
  <c r="D53" i="56" s="1"/>
  <c r="D51" i="56" a="1"/>
  <c r="D51" i="56" s="1"/>
  <c r="G15" i="51"/>
  <c r="E52" i="56" a="1"/>
  <c r="E52" i="56" s="1"/>
  <c r="E53" i="56" a="1"/>
  <c r="E53" i="56" s="1"/>
  <c r="E51" i="56" a="1"/>
  <c r="E51" i="56" s="1"/>
  <c r="C336" i="56" a="1"/>
  <c r="C336" i="56" s="1"/>
  <c r="I30" i="21"/>
  <c r="D18" i="51" s="1"/>
  <c r="H49" i="56" a="1"/>
  <c r="H49" i="56" s="1"/>
  <c r="C224" i="56" a="1"/>
  <c r="C224" i="56" s="1"/>
  <c r="C216" i="56" a="1"/>
  <c r="C216" i="56" s="1"/>
  <c r="C272" i="56" a="1"/>
  <c r="C272" i="56" s="1"/>
  <c r="I25" i="21"/>
  <c r="D13" i="51" s="1"/>
  <c r="C49" i="56" a="1"/>
  <c r="C49" i="56" s="1"/>
  <c r="C264" i="56" a="1"/>
  <c r="C264" i="56" s="1"/>
  <c r="I28" i="21"/>
  <c r="D16" i="51" s="1"/>
  <c r="F49" i="56" a="1"/>
  <c r="F49" i="56" s="1"/>
  <c r="C256" i="56" a="1"/>
  <c r="C256" i="56" s="1"/>
  <c r="I27" i="21"/>
  <c r="D15" i="51" s="1"/>
  <c r="E49" i="56" a="1"/>
  <c r="E49" i="56" s="1"/>
  <c r="F53" i="56" a="1"/>
  <c r="F53" i="56" s="1"/>
  <c r="F51" i="56" a="1"/>
  <c r="F51" i="56" s="1"/>
  <c r="F52" i="56" a="1"/>
  <c r="F52" i="56" s="1"/>
  <c r="C192" i="56" a="1"/>
  <c r="C192" i="56" s="1"/>
  <c r="C248" i="56" a="1"/>
  <c r="C248" i="56" s="1"/>
  <c r="C184" i="56" a="1"/>
  <c r="C184" i="56" s="1"/>
  <c r="C176" i="56" a="1"/>
  <c r="C176" i="56" s="1"/>
  <c r="C232" i="56" a="1"/>
  <c r="C232" i="56" s="1"/>
  <c r="C52" i="56" a="1"/>
  <c r="C52" i="56" s="1"/>
  <c r="C51" i="56" a="1"/>
  <c r="C51" i="56" s="1"/>
  <c r="C53" i="56" a="1"/>
  <c r="C53" i="56" s="1"/>
  <c r="G51" i="56" a="1"/>
  <c r="G51" i="56" s="1"/>
  <c r="G53" i="56" a="1"/>
  <c r="G53" i="56" s="1"/>
  <c r="G52" i="56" a="1"/>
  <c r="G52" i="56" s="1"/>
  <c r="C208" i="56" a="1"/>
  <c r="C208" i="56" s="1"/>
  <c r="H53" i="56" a="1"/>
  <c r="H53" i="56" s="1"/>
  <c r="H52" i="56" a="1"/>
  <c r="H52" i="56" s="1"/>
  <c r="H51" i="56" a="1"/>
  <c r="H51" i="56" s="1"/>
  <c r="C288" i="56" a="1"/>
  <c r="C288" i="56" s="1"/>
  <c r="C280" i="56" a="1"/>
  <c r="C280" i="56" s="1"/>
  <c r="C200" i="56" a="1"/>
  <c r="C200" i="56" s="1"/>
  <c r="C240" i="56" a="1"/>
  <c r="C240" i="56" s="1"/>
  <c r="DG311" i="7"/>
  <c r="CY311" i="7"/>
  <c r="S25" i="22"/>
  <c r="AC9" i="25" s="1"/>
  <c r="Q30" i="22"/>
  <c r="AA14" i="25" s="1"/>
  <c r="R29" i="22"/>
  <c r="AB13" i="25" s="1"/>
  <c r="EV304" i="7" a="1"/>
  <c r="EV304" i="7" s="1"/>
  <c r="P34" i="22"/>
  <c r="P31" i="22"/>
  <c r="Z15" i="25" s="1"/>
  <c r="N29" i="26"/>
  <c r="AB29" i="26" s="1"/>
  <c r="AA29" i="26"/>
  <c r="DI311" i="7"/>
  <c r="N30" i="26"/>
  <c r="AB30" i="26" s="1"/>
  <c r="AA30" i="26"/>
  <c r="CZ311" i="7"/>
  <c r="DD312" i="7"/>
  <c r="AF31" i="26"/>
  <c r="F44" i="26"/>
  <c r="N44" i="26" s="1"/>
  <c r="AB44" i="26" s="1"/>
  <c r="AA31" i="26"/>
  <c r="AF32" i="26"/>
  <c r="N32" i="26"/>
  <c r="AB32" i="26" s="1"/>
  <c r="DB311" i="7"/>
  <c r="DH311" i="7"/>
  <c r="F45" i="26"/>
  <c r="AA45" i="26" s="1"/>
  <c r="DA311" i="7"/>
  <c r="F47" i="26"/>
  <c r="AA47" i="26" s="1"/>
  <c r="Q31" i="23"/>
  <c r="N27" i="21"/>
  <c r="G31" i="21"/>
  <c r="I273" i="25"/>
  <c r="J273" i="25"/>
  <c r="H274" i="25"/>
  <c r="CD74" i="7"/>
  <c r="CG74" i="7"/>
  <c r="EM74" i="7"/>
  <c r="CF74" i="7"/>
  <c r="CE74" i="7"/>
  <c r="CC74" i="7"/>
  <c r="J302" i="25"/>
  <c r="H303" i="25"/>
  <c r="I302" i="25"/>
  <c r="X36" i="36"/>
  <c r="S19" i="36"/>
  <c r="J12" i="25"/>
  <c r="H13" i="25"/>
  <c r="I12" i="25"/>
  <c r="EO68" i="7"/>
  <c r="CO68" i="7"/>
  <c r="CM68" i="7"/>
  <c r="CN68" i="7"/>
  <c r="CH74" i="7"/>
  <c r="EN74" i="7"/>
  <c r="CK74" i="7"/>
  <c r="CL74" i="7"/>
  <c r="CI74" i="7"/>
  <c r="CJ74" i="7"/>
  <c r="D59" i="26"/>
  <c r="F52" i="26"/>
  <c r="I57" i="26" s="1"/>
  <c r="E59" i="26"/>
  <c r="D58" i="26"/>
  <c r="D60" i="26"/>
  <c r="E58" i="26"/>
  <c r="E60" i="26"/>
  <c r="D62" i="26"/>
  <c r="E62" i="26"/>
  <c r="B51" i="26"/>
  <c r="D57" i="26"/>
  <c r="E57" i="26"/>
  <c r="E61" i="26"/>
  <c r="D61" i="26"/>
  <c r="K185" i="25"/>
  <c r="M185" i="25" s="1"/>
  <c r="P35" i="35"/>
  <c r="Q101" i="23"/>
  <c r="EN65" i="7"/>
  <c r="CI65" i="7"/>
  <c r="CJ65" i="7"/>
  <c r="CK65" i="7"/>
  <c r="CH65" i="7"/>
  <c r="CL65" i="7"/>
  <c r="K240" i="23"/>
  <c r="J240" i="23"/>
  <c r="CO72" i="7"/>
  <c r="CM72" i="7"/>
  <c r="EO72" i="7"/>
  <c r="CN72" i="7"/>
  <c r="J237" i="23"/>
  <c r="K237" i="23"/>
  <c r="T60" i="22"/>
  <c r="AD44" i="25" s="1"/>
  <c r="K417" i="25"/>
  <c r="M417" i="25" s="1"/>
  <c r="P43" i="35"/>
  <c r="CH67" i="7"/>
  <c r="CI67" i="7"/>
  <c r="CK67" i="7"/>
  <c r="CL67" i="7"/>
  <c r="EN67" i="7"/>
  <c r="CJ67" i="7"/>
  <c r="Y118" i="26"/>
  <c r="L119" i="26"/>
  <c r="I389" i="25"/>
  <c r="J389" i="25"/>
  <c r="H390" i="25"/>
  <c r="J239" i="23"/>
  <c r="K239" i="23"/>
  <c r="EO75" i="7"/>
  <c r="CN75" i="7"/>
  <c r="CO75" i="7"/>
  <c r="CM75" i="7"/>
  <c r="D67" i="45"/>
  <c r="E67" i="45" s="1"/>
  <c r="D67" i="7"/>
  <c r="J73" i="23"/>
  <c r="K241" i="23"/>
  <c r="J241" i="23"/>
  <c r="H151" i="7" s="1"/>
  <c r="EP151" i="7" s="1"/>
  <c r="B45" i="36"/>
  <c r="K45" i="36" s="1"/>
  <c r="B43" i="40"/>
  <c r="B43" i="41"/>
  <c r="D74" i="7"/>
  <c r="D74" i="45"/>
  <c r="E74" i="45" s="1"/>
  <c r="J171" i="23"/>
  <c r="D76" i="45"/>
  <c r="E76" i="45" s="1"/>
  <c r="D76" i="7"/>
  <c r="J199" i="23"/>
  <c r="L35" i="21"/>
  <c r="E24" i="51"/>
  <c r="F27" i="51"/>
  <c r="E27" i="51"/>
  <c r="F23" i="51"/>
  <c r="F26" i="51"/>
  <c r="B22" i="51"/>
  <c r="E26" i="51"/>
  <c r="E23" i="51"/>
  <c r="B26" i="51"/>
  <c r="B25" i="51"/>
  <c r="O37" i="21"/>
  <c r="E25" i="51"/>
  <c r="C42" i="21"/>
  <c r="K39" i="21"/>
  <c r="L39" i="21"/>
  <c r="F24" i="51"/>
  <c r="F25" i="51"/>
  <c r="C41" i="21"/>
  <c r="U37" i="21"/>
  <c r="B27" i="51"/>
  <c r="C43" i="21"/>
  <c r="C39" i="21"/>
  <c r="C40" i="21"/>
  <c r="C22" i="51"/>
  <c r="B23" i="51"/>
  <c r="B24" i="51"/>
  <c r="C44" i="21"/>
  <c r="E22" i="51"/>
  <c r="C23" i="51"/>
  <c r="F22" i="51"/>
  <c r="K40" i="21"/>
  <c r="L40" i="21"/>
  <c r="K41" i="21"/>
  <c r="C24" i="51"/>
  <c r="L41" i="21"/>
  <c r="L42" i="21"/>
  <c r="C25" i="51"/>
  <c r="K42" i="21"/>
  <c r="K43" i="21"/>
  <c r="L43" i="21"/>
  <c r="C26" i="51"/>
  <c r="L44" i="21"/>
  <c r="C27" i="51"/>
  <c r="K44" i="21"/>
  <c r="M28" i="21"/>
  <c r="F30" i="21"/>
  <c r="E30" i="21"/>
  <c r="B121" i="36"/>
  <c r="H121" i="36" s="1"/>
  <c r="H120" i="36"/>
  <c r="S120" i="36" s="1"/>
  <c r="B141" i="36"/>
  <c r="H141" i="36" s="1"/>
  <c r="H140" i="36"/>
  <c r="S140" i="36" s="1"/>
  <c r="L164" i="26"/>
  <c r="Y163" i="26"/>
  <c r="J252" i="23"/>
  <c r="K252" i="23"/>
  <c r="Q224" i="26"/>
  <c r="Q143" i="23"/>
  <c r="Q115" i="23"/>
  <c r="L149" i="26"/>
  <c r="Y148" i="26"/>
  <c r="K227" i="23"/>
  <c r="J227" i="23"/>
  <c r="CF66" i="7"/>
  <c r="EM66" i="7"/>
  <c r="F25" i="52" s="1"/>
  <c r="CD66" i="7"/>
  <c r="CC66" i="7"/>
  <c r="CG66" i="7"/>
  <c r="CE66" i="7"/>
  <c r="C89" i="7"/>
  <c r="EK89" i="7" s="1"/>
  <c r="C16" i="7"/>
  <c r="EK16" i="7" s="1"/>
  <c r="C31" i="45"/>
  <c r="C31" i="7"/>
  <c r="EK31" i="7" s="1"/>
  <c r="A45" i="36"/>
  <c r="C104" i="45"/>
  <c r="C16" i="45"/>
  <c r="C89" i="45"/>
  <c r="A43" i="40"/>
  <c r="A43" i="41"/>
  <c r="C104" i="7"/>
  <c r="EK104" i="7" s="1"/>
  <c r="M27" i="21"/>
  <c r="L104" i="26"/>
  <c r="Y103" i="26"/>
  <c r="F43" i="26"/>
  <c r="P43" i="26" s="1"/>
  <c r="Q164" i="26"/>
  <c r="CG65" i="7"/>
  <c r="EM65" i="7"/>
  <c r="CD65" i="7"/>
  <c r="CE65" i="7"/>
  <c r="CF65" i="7"/>
  <c r="CC65" i="7"/>
  <c r="Q59" i="26"/>
  <c r="K229" i="23"/>
  <c r="J229" i="23"/>
  <c r="I150" i="7" s="1"/>
  <c r="J37" i="21"/>
  <c r="F48" i="21"/>
  <c r="F49" i="21"/>
  <c r="B48" i="21"/>
  <c r="B49" i="21"/>
  <c r="B37" i="26"/>
  <c r="G42" i="26" s="1"/>
  <c r="D37" i="26"/>
  <c r="H42" i="26" s="1"/>
  <c r="I35" i="26"/>
  <c r="P34" i="35"/>
  <c r="K156" i="25"/>
  <c r="M156" i="25" s="1"/>
  <c r="S48" i="22"/>
  <c r="AC32" i="25" s="1"/>
  <c r="K359" i="25"/>
  <c r="M359" i="25" s="1"/>
  <c r="P41" i="35"/>
  <c r="CI76" i="7"/>
  <c r="CJ76" i="7"/>
  <c r="CK76" i="7"/>
  <c r="CL76" i="7"/>
  <c r="EN76" i="7"/>
  <c r="CH76" i="7"/>
  <c r="K228" i="23"/>
  <c r="J228" i="23"/>
  <c r="H150" i="7" s="1"/>
  <c r="CG75" i="7"/>
  <c r="CD75" i="7"/>
  <c r="EM75" i="7"/>
  <c r="CC75" i="7"/>
  <c r="CE75" i="7"/>
  <c r="CF75" i="7"/>
  <c r="D77" i="7"/>
  <c r="D77" i="45"/>
  <c r="E77" i="45" s="1"/>
  <c r="J213" i="23"/>
  <c r="N30" i="21"/>
  <c r="I157" i="25"/>
  <c r="H158" i="25"/>
  <c r="J157" i="25"/>
  <c r="CI77" i="7"/>
  <c r="CK77" i="7"/>
  <c r="CH77" i="7"/>
  <c r="CL77" i="7"/>
  <c r="EN77" i="7"/>
  <c r="CJ77" i="7"/>
  <c r="AL13" i="26"/>
  <c r="Y13" i="26"/>
  <c r="L14" i="26"/>
  <c r="I360" i="25"/>
  <c r="J360" i="25"/>
  <c r="H361" i="25"/>
  <c r="P32" i="35"/>
  <c r="K98" i="25"/>
  <c r="M98" i="25" s="1"/>
  <c r="CL69" i="7"/>
  <c r="CH69" i="7"/>
  <c r="CJ69" i="7"/>
  <c r="EN69" i="7"/>
  <c r="CI69" i="7"/>
  <c r="CK69" i="7"/>
  <c r="CN76" i="7"/>
  <c r="CM76" i="7"/>
  <c r="CO76" i="7"/>
  <c r="EO76" i="7"/>
  <c r="K226" i="23"/>
  <c r="J226" i="23"/>
  <c r="D75" i="26"/>
  <c r="E75" i="26"/>
  <c r="E72" i="26"/>
  <c r="D73" i="26"/>
  <c r="B66" i="26"/>
  <c r="E73" i="26"/>
  <c r="E74" i="26"/>
  <c r="D72" i="26"/>
  <c r="D74" i="26"/>
  <c r="F67" i="26"/>
  <c r="I72" i="26" s="1"/>
  <c r="E76" i="26"/>
  <c r="D77" i="26"/>
  <c r="E77" i="26"/>
  <c r="D76" i="26"/>
  <c r="M29" i="21"/>
  <c r="T66" i="22"/>
  <c r="AD50" i="25" s="1"/>
  <c r="CL70" i="7"/>
  <c r="CH70" i="7"/>
  <c r="CI70" i="7"/>
  <c r="EN70" i="7"/>
  <c r="CJ70" i="7"/>
  <c r="CK70" i="7"/>
  <c r="H71" i="25"/>
  <c r="I70" i="25"/>
  <c r="J70" i="25"/>
  <c r="CO73" i="7"/>
  <c r="EO73" i="7"/>
  <c r="CN73" i="7"/>
  <c r="CM73" i="7"/>
  <c r="CM70" i="7"/>
  <c r="CO70" i="7"/>
  <c r="CN70" i="7"/>
  <c r="EO70" i="7"/>
  <c r="H187" i="25"/>
  <c r="I186" i="25"/>
  <c r="J186" i="25"/>
  <c r="F26" i="21"/>
  <c r="E26" i="21"/>
  <c r="I331" i="25"/>
  <c r="J331" i="25"/>
  <c r="H332" i="25"/>
  <c r="AF27" i="26"/>
  <c r="AL27" i="26" s="1"/>
  <c r="AA27" i="26"/>
  <c r="N27" i="26"/>
  <c r="EN73" i="7"/>
  <c r="CH73" i="7"/>
  <c r="CJ73" i="7"/>
  <c r="CL73" i="7"/>
  <c r="CI73" i="7"/>
  <c r="CK73" i="7"/>
  <c r="CM66" i="7"/>
  <c r="EO66" i="7"/>
  <c r="F59" i="52" s="1"/>
  <c r="CO66" i="7"/>
  <c r="CN66" i="7"/>
  <c r="G13" i="51"/>
  <c r="F25" i="21"/>
  <c r="C31" i="21"/>
  <c r="E25" i="21"/>
  <c r="CN69" i="7"/>
  <c r="CM69" i="7"/>
  <c r="CO69" i="7"/>
  <c r="EO69" i="7"/>
  <c r="B101" i="36"/>
  <c r="H101" i="36" s="1"/>
  <c r="H100" i="36"/>
  <c r="S100" i="36" s="1"/>
  <c r="Q157" i="23"/>
  <c r="Q129" i="23"/>
  <c r="D73" i="7"/>
  <c r="D73" i="45"/>
  <c r="E73" i="45" s="1"/>
  <c r="J157" i="23"/>
  <c r="K388" i="25"/>
  <c r="M388" i="25" s="1"/>
  <c r="P42" i="35"/>
  <c r="Q59" i="23"/>
  <c r="J251" i="23"/>
  <c r="K251" i="23"/>
  <c r="K242" i="23"/>
  <c r="J242" i="23"/>
  <c r="I151" i="7" s="1"/>
  <c r="EQ151" i="7" s="1"/>
  <c r="CH66" i="7"/>
  <c r="CI66" i="7"/>
  <c r="CJ66" i="7"/>
  <c r="CK66" i="7"/>
  <c r="CL66" i="7"/>
  <c r="EN66" i="7"/>
  <c r="F42" i="52" s="1"/>
  <c r="Q73" i="23"/>
  <c r="O28" i="21"/>
  <c r="Y28" i="21"/>
  <c r="Q29" i="26"/>
  <c r="P28" i="26"/>
  <c r="AU21" i="26" s="1"/>
  <c r="Q199" i="23"/>
  <c r="Q171" i="23"/>
  <c r="T19" i="36"/>
  <c r="X49" i="36"/>
  <c r="Q45" i="23"/>
  <c r="CN71" i="7"/>
  <c r="CM71" i="7"/>
  <c r="EO71" i="7"/>
  <c r="CO71" i="7"/>
  <c r="H42" i="25"/>
  <c r="J41" i="25"/>
  <c r="I41" i="25"/>
  <c r="CG71" i="7"/>
  <c r="CD71" i="7"/>
  <c r="EM71" i="7"/>
  <c r="CC71" i="7"/>
  <c r="CF71" i="7"/>
  <c r="CE71" i="7"/>
  <c r="I120" i="45"/>
  <c r="J120" i="45" s="1"/>
  <c r="K27" i="26"/>
  <c r="V27" i="26" s="1"/>
  <c r="H28" i="26"/>
  <c r="K40" i="25"/>
  <c r="M40" i="25" s="1"/>
  <c r="P30" i="35"/>
  <c r="AJ27" i="26"/>
  <c r="U27" i="26"/>
  <c r="G28" i="26"/>
  <c r="CL64" i="7"/>
  <c r="EN64" i="7"/>
  <c r="F44" i="52" s="1"/>
  <c r="CK64" i="7"/>
  <c r="CH64" i="7"/>
  <c r="CJ64" i="7"/>
  <c r="CI64" i="7"/>
  <c r="G16" i="51"/>
  <c r="E28" i="21"/>
  <c r="F28" i="21"/>
  <c r="Q74" i="26"/>
  <c r="CN77" i="7"/>
  <c r="CO77" i="7"/>
  <c r="CM77" i="7"/>
  <c r="EO77" i="7"/>
  <c r="Q14" i="26"/>
  <c r="P13" i="26"/>
  <c r="AS21" i="26" s="1"/>
  <c r="D65" i="45"/>
  <c r="E65" i="45" s="1"/>
  <c r="D65" i="7"/>
  <c r="J45" i="23"/>
  <c r="T23" i="22"/>
  <c r="AD7" i="25" s="1"/>
  <c r="EO64" i="7"/>
  <c r="F61" i="52" s="1"/>
  <c r="CN64" i="7"/>
  <c r="CM64" i="7"/>
  <c r="CO64" i="7"/>
  <c r="S49" i="22"/>
  <c r="AC33" i="25" s="1"/>
  <c r="G18" i="51"/>
  <c r="H200" i="36"/>
  <c r="S200" i="36" s="1"/>
  <c r="B201" i="36"/>
  <c r="H201" i="36" s="1"/>
  <c r="Q185" i="23"/>
  <c r="I215" i="25"/>
  <c r="H216" i="25"/>
  <c r="J215" i="25"/>
  <c r="F78" i="7"/>
  <c r="F83" i="7" s="1"/>
  <c r="CI68" i="7"/>
  <c r="CJ68" i="7"/>
  <c r="CK68" i="7"/>
  <c r="EN68" i="7"/>
  <c r="CH68" i="7"/>
  <c r="CL68" i="7"/>
  <c r="AS20" i="26"/>
  <c r="AA28" i="26"/>
  <c r="AF28" i="26"/>
  <c r="AL28" i="26" s="1"/>
  <c r="N28" i="26"/>
  <c r="AB28" i="26" s="1"/>
  <c r="CC76" i="7"/>
  <c r="CG76" i="7"/>
  <c r="CD76" i="7"/>
  <c r="EM76" i="7"/>
  <c r="CE76" i="7"/>
  <c r="CF76" i="7"/>
  <c r="CO67" i="7"/>
  <c r="EO67" i="7"/>
  <c r="CM67" i="7"/>
  <c r="CN67" i="7"/>
  <c r="B161" i="36"/>
  <c r="H161" i="36" s="1"/>
  <c r="H160" i="36"/>
  <c r="S160" i="36" s="1"/>
  <c r="L74" i="26"/>
  <c r="Y73" i="26"/>
  <c r="I119" i="45"/>
  <c r="J119" i="45" s="1"/>
  <c r="EO63" i="7"/>
  <c r="F56" i="52" s="1"/>
  <c r="G78" i="7"/>
  <c r="G83" i="7" s="1"/>
  <c r="CO63" i="7"/>
  <c r="CM63" i="7"/>
  <c r="CN63" i="7"/>
  <c r="B21" i="36"/>
  <c r="H21" i="36" s="1"/>
  <c r="H20" i="36"/>
  <c r="S61" i="36"/>
  <c r="W17" i="36"/>
  <c r="K330" i="25"/>
  <c r="M330" i="25" s="1"/>
  <c r="P40" i="35"/>
  <c r="E29" i="21"/>
  <c r="F29" i="21"/>
  <c r="I122" i="45"/>
  <c r="J122" i="45" s="1"/>
  <c r="CC77" i="7"/>
  <c r="CD77" i="7"/>
  <c r="CF77" i="7"/>
  <c r="EM77" i="7"/>
  <c r="CE77" i="7"/>
  <c r="CG77" i="7"/>
  <c r="Q179" i="26"/>
  <c r="Q150" i="26"/>
  <c r="D66" i="45"/>
  <c r="E66" i="45" s="1"/>
  <c r="D66" i="7"/>
  <c r="J59" i="23"/>
  <c r="G41" i="21"/>
  <c r="G39" i="21"/>
  <c r="G40" i="21"/>
  <c r="W40" i="21"/>
  <c r="W42" i="21"/>
  <c r="G44" i="21"/>
  <c r="W39" i="21"/>
  <c r="X41" i="21"/>
  <c r="W44" i="21"/>
  <c r="G42" i="21"/>
  <c r="X44" i="21"/>
  <c r="G43" i="21"/>
  <c r="X43" i="21"/>
  <c r="W43" i="21"/>
  <c r="X39" i="21"/>
  <c r="W41" i="21"/>
  <c r="X42" i="21"/>
  <c r="X40" i="21"/>
  <c r="X45" i="21"/>
  <c r="J46" i="21" s="1"/>
  <c r="J25" i="36"/>
  <c r="V16" i="36"/>
  <c r="L29" i="26"/>
  <c r="Y28" i="26"/>
  <c r="K253" i="23"/>
  <c r="J253" i="23"/>
  <c r="D72" i="7"/>
  <c r="D72" i="45"/>
  <c r="E72" i="45" s="1"/>
  <c r="J143" i="23"/>
  <c r="Y58" i="26"/>
  <c r="L59" i="26"/>
  <c r="K121" i="36"/>
  <c r="EM63" i="7"/>
  <c r="F22" i="52" s="1"/>
  <c r="CC63" i="7"/>
  <c r="CE63" i="7"/>
  <c r="CF63" i="7"/>
  <c r="CG63" i="7"/>
  <c r="E78" i="7"/>
  <c r="E83" i="7" s="1"/>
  <c r="CD63" i="7"/>
  <c r="CI75" i="7"/>
  <c r="EN75" i="7"/>
  <c r="CJ75" i="7"/>
  <c r="CH75" i="7"/>
  <c r="CK75" i="7"/>
  <c r="CL75" i="7"/>
  <c r="Q213" i="23"/>
  <c r="Y27" i="21"/>
  <c r="O27" i="21"/>
  <c r="P12" i="35"/>
  <c r="Y25" i="21"/>
  <c r="O25" i="21"/>
  <c r="L179" i="26"/>
  <c r="Y178" i="26"/>
  <c r="S81" i="36"/>
  <c r="W18" i="36"/>
  <c r="G17" i="51"/>
  <c r="M140" i="36"/>
  <c r="M100" i="36"/>
  <c r="M101" i="36" s="1"/>
  <c r="M20" i="36"/>
  <c r="M21" i="36" s="1"/>
  <c r="M180" i="36"/>
  <c r="M181" i="36" s="1"/>
  <c r="M40" i="36"/>
  <c r="M41" i="36" s="1"/>
  <c r="F294" i="7"/>
  <c r="M160" i="36"/>
  <c r="M120" i="36"/>
  <c r="M121" i="36" s="1"/>
  <c r="M80" i="36"/>
  <c r="M81" i="36" s="1"/>
  <c r="EM294" i="7"/>
  <c r="M200" i="36"/>
  <c r="M60" i="36"/>
  <c r="M30" i="21"/>
  <c r="F42" i="26"/>
  <c r="N26" i="21"/>
  <c r="N25" i="21"/>
  <c r="Q25" i="21" s="1"/>
  <c r="DJ311" i="7"/>
  <c r="D75" i="45"/>
  <c r="E75" i="45" s="1"/>
  <c r="D75" i="7"/>
  <c r="J185" i="23"/>
  <c r="Q119" i="26"/>
  <c r="CF72" i="7"/>
  <c r="CG72" i="7"/>
  <c r="EM72" i="7"/>
  <c r="CC72" i="7"/>
  <c r="CE72" i="7"/>
  <c r="CD72" i="7"/>
  <c r="L209" i="26"/>
  <c r="Y208" i="26"/>
  <c r="N28" i="21"/>
  <c r="M26" i="21"/>
  <c r="CJ71" i="7"/>
  <c r="CK71" i="7"/>
  <c r="CI71" i="7"/>
  <c r="CL71" i="7"/>
  <c r="EN71" i="7"/>
  <c r="CH71" i="7"/>
  <c r="H129" i="25"/>
  <c r="I128" i="25"/>
  <c r="J128" i="25"/>
  <c r="L224" i="26"/>
  <c r="Y223" i="26"/>
  <c r="P36" i="35"/>
  <c r="K214" i="25"/>
  <c r="M214" i="25" s="1"/>
  <c r="EM64" i="7"/>
  <c r="F27" i="52" s="1"/>
  <c r="CC64" i="7"/>
  <c r="CG64" i="7"/>
  <c r="CE64" i="7"/>
  <c r="CD64" i="7"/>
  <c r="CF64" i="7"/>
  <c r="I29" i="26"/>
  <c r="AH28" i="26"/>
  <c r="W28" i="26"/>
  <c r="L89" i="26"/>
  <c r="Y88" i="26"/>
  <c r="Q17" i="23"/>
  <c r="CI63" i="7"/>
  <c r="CL63" i="7"/>
  <c r="EN63" i="7"/>
  <c r="F39" i="52" s="1"/>
  <c r="CJ63" i="7"/>
  <c r="CK63" i="7"/>
  <c r="CH63" i="7"/>
  <c r="D64" i="7"/>
  <c r="I64" i="45"/>
  <c r="J64" i="45" s="1"/>
  <c r="D64" i="45"/>
  <c r="E64" i="45" s="1"/>
  <c r="J31" i="23"/>
  <c r="P39" i="35"/>
  <c r="K301" i="25"/>
  <c r="M301" i="25" s="1"/>
  <c r="Q209" i="26"/>
  <c r="CE69" i="7"/>
  <c r="CF69" i="7"/>
  <c r="EM69" i="7"/>
  <c r="CC69" i="7"/>
  <c r="CD69" i="7"/>
  <c r="CG69" i="7"/>
  <c r="K181" i="36"/>
  <c r="D69" i="7"/>
  <c r="D69" i="45"/>
  <c r="E69" i="45" s="1"/>
  <c r="J101" i="23"/>
  <c r="J418" i="25"/>
  <c r="H419" i="25"/>
  <c r="I418" i="25"/>
  <c r="I121" i="45"/>
  <c r="J121" i="45" s="1"/>
  <c r="Y133" i="26"/>
  <c r="L134" i="26"/>
  <c r="F27" i="21"/>
  <c r="E27" i="21"/>
  <c r="J238" i="23"/>
  <c r="K238" i="23"/>
  <c r="EP63" i="7"/>
  <c r="F80" i="52" s="1"/>
  <c r="H78" i="7"/>
  <c r="H83" i="7" s="1"/>
  <c r="CG70" i="7"/>
  <c r="CC70" i="7"/>
  <c r="CF70" i="7"/>
  <c r="CE70" i="7"/>
  <c r="EM70" i="7"/>
  <c r="CD70" i="7"/>
  <c r="K250" i="23"/>
  <c r="J250" i="23"/>
  <c r="EQ63" i="7"/>
  <c r="F97" i="52" s="1"/>
  <c r="I78" i="7"/>
  <c r="I83" i="7" s="1"/>
  <c r="Q44" i="26"/>
  <c r="I43" i="26"/>
  <c r="W42" i="26"/>
  <c r="AH42" i="26"/>
  <c r="D68" i="45"/>
  <c r="E68" i="45" s="1"/>
  <c r="D68" i="7"/>
  <c r="J87" i="23"/>
  <c r="K255" i="23"/>
  <c r="J255" i="23"/>
  <c r="I152" i="7" s="1"/>
  <c r="EQ152" i="7" s="1"/>
  <c r="Q87" i="23"/>
  <c r="K254" i="23"/>
  <c r="J254" i="23"/>
  <c r="H152" i="7" s="1"/>
  <c r="EP152" i="7" s="1"/>
  <c r="K224" i="23"/>
  <c r="J224" i="23"/>
  <c r="H180" i="36"/>
  <c r="S180" i="36" s="1"/>
  <c r="B181" i="36"/>
  <c r="H181" i="36" s="1"/>
  <c r="Q104" i="26"/>
  <c r="F46" i="26"/>
  <c r="D70" i="7"/>
  <c r="D70" i="45"/>
  <c r="E70" i="45" s="1"/>
  <c r="J115" i="23"/>
  <c r="J225" i="23"/>
  <c r="K225" i="23"/>
  <c r="N29" i="21"/>
  <c r="L44" i="26"/>
  <c r="Y43" i="26"/>
  <c r="BJ24" i="26"/>
  <c r="AU20" i="26"/>
  <c r="BJ21" i="26"/>
  <c r="AV20" i="26"/>
  <c r="BJ22" i="26"/>
  <c r="AV24" i="26"/>
  <c r="BJ20" i="26"/>
  <c r="AV25" i="26"/>
  <c r="AV23" i="26"/>
  <c r="AV13" i="26"/>
  <c r="AV10" i="26"/>
  <c r="AV14" i="26"/>
  <c r="AV12" i="26"/>
  <c r="BJ23" i="26"/>
  <c r="AV22" i="26"/>
  <c r="AV21" i="26"/>
  <c r="BJ25" i="26"/>
  <c r="AV9" i="26"/>
  <c r="AV11" i="26"/>
  <c r="AU13" i="26"/>
  <c r="I99" i="25"/>
  <c r="J99" i="25"/>
  <c r="H100" i="25"/>
  <c r="M25" i="21"/>
  <c r="CG68" i="7"/>
  <c r="EM68" i="7"/>
  <c r="CE68" i="7"/>
  <c r="CC68" i="7"/>
  <c r="CD68" i="7"/>
  <c r="CF68" i="7"/>
  <c r="I244" i="25"/>
  <c r="J244" i="25"/>
  <c r="H245" i="25"/>
  <c r="L194" i="26"/>
  <c r="Y193" i="26"/>
  <c r="CH72" i="7"/>
  <c r="EN72" i="7"/>
  <c r="CK72" i="7"/>
  <c r="CL72" i="7"/>
  <c r="CI72" i="7"/>
  <c r="CJ72" i="7"/>
  <c r="W31" i="21"/>
  <c r="P37" i="35"/>
  <c r="K243" i="25"/>
  <c r="M243" i="25" s="1"/>
  <c r="CD67" i="7"/>
  <c r="CE67" i="7"/>
  <c r="CC67" i="7"/>
  <c r="EM67" i="7"/>
  <c r="CG67" i="7"/>
  <c r="CF67" i="7"/>
  <c r="K101" i="36"/>
  <c r="Y30" i="21"/>
  <c r="O30" i="21"/>
  <c r="CO65" i="7"/>
  <c r="CM65" i="7"/>
  <c r="CN65" i="7"/>
  <c r="EO65" i="7"/>
  <c r="S41" i="36"/>
  <c r="W16" i="36"/>
  <c r="I29" i="21"/>
  <c r="D17" i="51" s="1"/>
  <c r="Q134" i="26"/>
  <c r="D63" i="7"/>
  <c r="I63" i="45"/>
  <c r="D63" i="45"/>
  <c r="J17" i="23"/>
  <c r="O29" i="21"/>
  <c r="H15" i="7" s="1"/>
  <c r="Y29" i="21"/>
  <c r="O26" i="21"/>
  <c r="Y26" i="21"/>
  <c r="G14" i="51"/>
  <c r="P33" i="35"/>
  <c r="K127" i="25"/>
  <c r="M127" i="25" s="1"/>
  <c r="EM73" i="7"/>
  <c r="CG73" i="7"/>
  <c r="CC73" i="7"/>
  <c r="CF73" i="7"/>
  <c r="CE73" i="7"/>
  <c r="CD73" i="7"/>
  <c r="CO74" i="7"/>
  <c r="EO74" i="7"/>
  <c r="CM74" i="7"/>
  <c r="CN74" i="7"/>
  <c r="P38" i="35"/>
  <c r="K272" i="25"/>
  <c r="M272" i="25" s="1"/>
  <c r="D71" i="45"/>
  <c r="E71" i="45" s="1"/>
  <c r="D71" i="7"/>
  <c r="J129" i="23"/>
  <c r="P29" i="35"/>
  <c r="K11" i="25"/>
  <c r="Q89" i="26"/>
  <c r="Q194" i="26"/>
  <c r="K69" i="25"/>
  <c r="M69" i="25" s="1"/>
  <c r="P31" i="35"/>
  <c r="T15" i="7"/>
  <c r="EV15" i="7"/>
  <c r="EZ96" i="7"/>
  <c r="EX98" i="7"/>
  <c r="EZ73" i="7"/>
  <c r="T88" i="7"/>
  <c r="EV88" i="7"/>
  <c r="FA140" i="7"/>
  <c r="EZ144" i="7"/>
  <c r="EX141" i="7"/>
  <c r="FA89" i="7"/>
  <c r="EW64" i="7"/>
  <c r="T73" i="7"/>
  <c r="EV73" i="7"/>
  <c r="EY91" i="7"/>
  <c r="EX143" i="7"/>
  <c r="T66" i="7"/>
  <c r="EV66" i="7"/>
  <c r="EY88" i="7"/>
  <c r="EX21" i="7"/>
  <c r="T135" i="7"/>
  <c r="EV135" i="7"/>
  <c r="EZ20" i="7"/>
  <c r="N44" i="7"/>
  <c r="EV14" i="7"/>
  <c r="T14" i="7"/>
  <c r="EW146" i="7"/>
  <c r="T138" i="7"/>
  <c r="EV138" i="7"/>
  <c r="EY63" i="7"/>
  <c r="Q78" i="7"/>
  <c r="Q83" i="7" s="1"/>
  <c r="EY135" i="7"/>
  <c r="EV28" i="7"/>
  <c r="T28" i="7"/>
  <c r="EZ77" i="7"/>
  <c r="EZ145" i="7"/>
  <c r="EX145" i="7"/>
  <c r="EZ21" i="7"/>
  <c r="FA97" i="7"/>
  <c r="EY74" i="7"/>
  <c r="EY71" i="7"/>
  <c r="EZ75" i="7"/>
  <c r="EY75" i="7"/>
  <c r="FA77" i="7"/>
  <c r="EY141" i="7"/>
  <c r="EZ99" i="7"/>
  <c r="EV141" i="7"/>
  <c r="T141" i="7"/>
  <c r="EZ67" i="7"/>
  <c r="EZ97" i="7"/>
  <c r="EW100" i="7"/>
  <c r="EW99" i="7"/>
  <c r="EW18" i="7"/>
  <c r="EW139" i="7"/>
  <c r="FA25" i="7"/>
  <c r="EZ138" i="7"/>
  <c r="EY67" i="7"/>
  <c r="EX74" i="7"/>
  <c r="EY17" i="7"/>
  <c r="EW92" i="7"/>
  <c r="A19" i="39"/>
  <c r="ER305" i="7"/>
  <c r="EW305" i="7" s="1"/>
  <c r="AA136" i="7"/>
  <c r="FI136" i="7" s="1"/>
  <c r="AA140" i="7"/>
  <c r="FI140" i="7" s="1"/>
  <c r="AA144" i="7"/>
  <c r="FI144" i="7" s="1"/>
  <c r="AA148" i="7"/>
  <c r="FI148" i="7" s="1"/>
  <c r="J305" i="7"/>
  <c r="V137" i="7"/>
  <c r="V141" i="7"/>
  <c r="V145" i="7"/>
  <c r="Y137" i="7"/>
  <c r="FG137" i="7" s="1"/>
  <c r="AA141" i="7"/>
  <c r="FI141" i="7" s="1"/>
  <c r="W146" i="7"/>
  <c r="FE146" i="7" s="1"/>
  <c r="Z90" i="7"/>
  <c r="FH90" i="7" s="1"/>
  <c r="Z94" i="7"/>
  <c r="FH94" i="7" s="1"/>
  <c r="Z98" i="7"/>
  <c r="FH98" i="7" s="1"/>
  <c r="Z137" i="7"/>
  <c r="FH137" i="7" s="1"/>
  <c r="V142" i="7"/>
  <c r="X146" i="7"/>
  <c r="FF146" i="7" s="1"/>
  <c r="AA90" i="7"/>
  <c r="FI90" i="7" s="1"/>
  <c r="AA94" i="7"/>
  <c r="FI94" i="7" s="1"/>
  <c r="AA98" i="7"/>
  <c r="FI98" i="7" s="1"/>
  <c r="V135" i="7"/>
  <c r="Z139" i="7"/>
  <c r="FH139" i="7" s="1"/>
  <c r="X144" i="7"/>
  <c r="FF144" i="7" s="1"/>
  <c r="Z89" i="7"/>
  <c r="FH89" i="7" s="1"/>
  <c r="V94" i="7"/>
  <c r="X98" i="7"/>
  <c r="FF98" i="7" s="1"/>
  <c r="AA65" i="7"/>
  <c r="FI65" i="7" s="1"/>
  <c r="AA69" i="7"/>
  <c r="FI69" i="7" s="1"/>
  <c r="AA73" i="7"/>
  <c r="FI73" i="7" s="1"/>
  <c r="AA77" i="7"/>
  <c r="FI77" i="7" s="1"/>
  <c r="Y14" i="7"/>
  <c r="Y18" i="7"/>
  <c r="FG18" i="7" s="1"/>
  <c r="Y22" i="7"/>
  <c r="FG22" i="7" s="1"/>
  <c r="Y26" i="7"/>
  <c r="FG26" i="7" s="1"/>
  <c r="W135" i="7"/>
  <c r="FE135" i="7" s="1"/>
  <c r="AA139" i="7"/>
  <c r="FI139" i="7" s="1"/>
  <c r="Y144" i="7"/>
  <c r="FG144" i="7" s="1"/>
  <c r="AA89" i="7"/>
  <c r="FI89" i="7" s="1"/>
  <c r="W94" i="7"/>
  <c r="FE94" i="7" s="1"/>
  <c r="Y98" i="7"/>
  <c r="FG98" i="7" s="1"/>
  <c r="V66" i="7"/>
  <c r="V70" i="7"/>
  <c r="V74" i="7"/>
  <c r="Z14" i="7"/>
  <c r="Z18" i="7"/>
  <c r="FH18" i="7" s="1"/>
  <c r="Z22" i="7"/>
  <c r="FH22" i="7" s="1"/>
  <c r="Z26" i="7"/>
  <c r="FH26" i="7" s="1"/>
  <c r="X138" i="7"/>
  <c r="FF138" i="7" s="1"/>
  <c r="X143" i="7"/>
  <c r="FF143" i="7" s="1"/>
  <c r="X148" i="7"/>
  <c r="FF148" i="7" s="1"/>
  <c r="Z87" i="7"/>
  <c r="X92" i="7"/>
  <c r="FF92" i="7" s="1"/>
  <c r="V97" i="7"/>
  <c r="Z101" i="7"/>
  <c r="FH101" i="7" s="1"/>
  <c r="W64" i="7"/>
  <c r="FE64" i="7" s="1"/>
  <c r="Y68" i="7"/>
  <c r="FG68" i="7" s="1"/>
  <c r="AA72" i="7"/>
  <c r="FI72" i="7" s="1"/>
  <c r="W77" i="7"/>
  <c r="FE77" i="7" s="1"/>
  <c r="V18" i="7"/>
  <c r="X22" i="7"/>
  <c r="FF22" i="7" s="1"/>
  <c r="V27" i="7"/>
  <c r="Y138" i="7"/>
  <c r="FG138" i="7" s="1"/>
  <c r="Y143" i="7"/>
  <c r="FG143" i="7" s="1"/>
  <c r="Y148" i="7"/>
  <c r="FG148" i="7" s="1"/>
  <c r="AA87" i="7"/>
  <c r="Y92" i="7"/>
  <c r="FG92" i="7" s="1"/>
  <c r="W97" i="7"/>
  <c r="FE97" i="7" s="1"/>
  <c r="AA101" i="7"/>
  <c r="FI101" i="7" s="1"/>
  <c r="X64" i="7"/>
  <c r="FF64" i="7" s="1"/>
  <c r="Z68" i="7"/>
  <c r="FH68" i="7" s="1"/>
  <c r="V73" i="7"/>
  <c r="X77" i="7"/>
  <c r="FF77" i="7" s="1"/>
  <c r="W18" i="7"/>
  <c r="FE18" i="7" s="1"/>
  <c r="AA22" i="7"/>
  <c r="FI22" i="7" s="1"/>
  <c r="W27" i="7"/>
  <c r="FE27" i="7" s="1"/>
  <c r="X137" i="7"/>
  <c r="FF137" i="7" s="1"/>
  <c r="V143" i="7"/>
  <c r="Z148" i="7"/>
  <c r="FH148" i="7" s="1"/>
  <c r="W88" i="7"/>
  <c r="FE88" i="7" s="1"/>
  <c r="W93" i="7"/>
  <c r="FE93" i="7" s="1"/>
  <c r="W98" i="7"/>
  <c r="FE98" i="7" s="1"/>
  <c r="AA63" i="7"/>
  <c r="AA68" i="7"/>
  <c r="FI68" i="7" s="1"/>
  <c r="Y73" i="7"/>
  <c r="FG73" i="7" s="1"/>
  <c r="AA14" i="7"/>
  <c r="Y19" i="7"/>
  <c r="FG19" i="7" s="1"/>
  <c r="W24" i="7"/>
  <c r="FE24" i="7" s="1"/>
  <c r="AA28" i="7"/>
  <c r="FI28" i="7" s="1"/>
  <c r="W15" i="7"/>
  <c r="FE15" i="7" s="1"/>
  <c r="AA19" i="7"/>
  <c r="FI19" i="7" s="1"/>
  <c r="Y24" i="7"/>
  <c r="FG24" i="7" s="1"/>
  <c r="AA143" i="7"/>
  <c r="FI143" i="7" s="1"/>
  <c r="Z93" i="7"/>
  <c r="FH93" i="7" s="1"/>
  <c r="X69" i="7"/>
  <c r="FF69" i="7" s="1"/>
  <c r="Z138" i="7"/>
  <c r="FH138" i="7" s="1"/>
  <c r="AA93" i="7"/>
  <c r="FI93" i="7" s="1"/>
  <c r="AA64" i="7"/>
  <c r="FI64" i="7" s="1"/>
  <c r="AA137" i="7"/>
  <c r="FI137" i="7" s="1"/>
  <c r="W143" i="7"/>
  <c r="FE143" i="7" s="1"/>
  <c r="X88" i="7"/>
  <c r="FF88" i="7" s="1"/>
  <c r="X93" i="7"/>
  <c r="FF93" i="7" s="1"/>
  <c r="V99" i="7"/>
  <c r="V64" i="7"/>
  <c r="V69" i="7"/>
  <c r="Z73" i="7"/>
  <c r="FH73" i="7" s="1"/>
  <c r="V15" i="7"/>
  <c r="Z19" i="7"/>
  <c r="FH19" i="7" s="1"/>
  <c r="X24" i="7"/>
  <c r="FF24" i="7" s="1"/>
  <c r="V138" i="7"/>
  <c r="Z143" i="7"/>
  <c r="FH143" i="7" s="1"/>
  <c r="Y88" i="7"/>
  <c r="FG88" i="7" s="1"/>
  <c r="Y93" i="7"/>
  <c r="FG93" i="7" s="1"/>
  <c r="W99" i="7"/>
  <c r="FE99" i="7" s="1"/>
  <c r="Y64" i="7"/>
  <c r="FG64" i="7" s="1"/>
  <c r="W69" i="7"/>
  <c r="FE69" i="7" s="1"/>
  <c r="W74" i="7"/>
  <c r="FE74" i="7" s="1"/>
  <c r="W138" i="7"/>
  <c r="FE138" i="7" s="1"/>
  <c r="Z88" i="7"/>
  <c r="FH88" i="7" s="1"/>
  <c r="X99" i="7"/>
  <c r="FF99" i="7" s="1"/>
  <c r="Z64" i="7"/>
  <c r="FH64" i="7" s="1"/>
  <c r="X74" i="7"/>
  <c r="FF74" i="7" s="1"/>
  <c r="X15" i="7"/>
  <c r="FF15" i="7" s="1"/>
  <c r="V20" i="7"/>
  <c r="Z24" i="7"/>
  <c r="FH24" i="7" s="1"/>
  <c r="V144" i="7"/>
  <c r="AA88" i="7"/>
  <c r="FI88" i="7" s="1"/>
  <c r="Y99" i="7"/>
  <c r="FG99" i="7" s="1"/>
  <c r="Y69" i="7"/>
  <c r="FG69" i="7" s="1"/>
  <c r="Y74" i="7"/>
  <c r="FG74" i="7" s="1"/>
  <c r="X136" i="7"/>
  <c r="FF136" i="7" s="1"/>
  <c r="Z144" i="7"/>
  <c r="FH144" i="7" s="1"/>
  <c r="V92" i="7"/>
  <c r="Z99" i="7"/>
  <c r="FH99" i="7" s="1"/>
  <c r="AA66" i="7"/>
  <c r="FI66" i="7" s="1"/>
  <c r="X72" i="7"/>
  <c r="FF72" i="7" s="1"/>
  <c r="AA16" i="7"/>
  <c r="FI16" i="7" s="1"/>
  <c r="W22" i="7"/>
  <c r="FE22" i="7" s="1"/>
  <c r="W28" i="7"/>
  <c r="FE28" i="7" s="1"/>
  <c r="Z136" i="7"/>
  <c r="FH136" i="7" s="1"/>
  <c r="V100" i="7"/>
  <c r="W17" i="7"/>
  <c r="FE17" i="7" s="1"/>
  <c r="Y28" i="7"/>
  <c r="FG28" i="7" s="1"/>
  <c r="Y145" i="7"/>
  <c r="FG145" i="7" s="1"/>
  <c r="X67" i="7"/>
  <c r="FF67" i="7" s="1"/>
  <c r="X17" i="7"/>
  <c r="FF17" i="7" s="1"/>
  <c r="Z28" i="7"/>
  <c r="FH28" i="7" s="1"/>
  <c r="Z145" i="7"/>
  <c r="FH145" i="7" s="1"/>
  <c r="V93" i="7"/>
  <c r="X73" i="7"/>
  <c r="FF73" i="7" s="1"/>
  <c r="Y23" i="7"/>
  <c r="FG23" i="7" s="1"/>
  <c r="X94" i="7"/>
  <c r="FF94" i="7" s="1"/>
  <c r="Z74" i="7"/>
  <c r="FH74" i="7" s="1"/>
  <c r="Z17" i="7"/>
  <c r="FH17" i="7" s="1"/>
  <c r="W139" i="7"/>
  <c r="FE139" i="7" s="1"/>
  <c r="Y94" i="7"/>
  <c r="FG94" i="7" s="1"/>
  <c r="AA74" i="7"/>
  <c r="FI74" i="7" s="1"/>
  <c r="Y136" i="7"/>
  <c r="FG136" i="7" s="1"/>
  <c r="W145" i="7"/>
  <c r="FE145" i="7" s="1"/>
  <c r="W92" i="7"/>
  <c r="FE92" i="7" s="1"/>
  <c r="AA99" i="7"/>
  <c r="FI99" i="7" s="1"/>
  <c r="V67" i="7"/>
  <c r="Y72" i="7"/>
  <c r="FG72" i="7" s="1"/>
  <c r="V17" i="7"/>
  <c r="V23" i="7"/>
  <c r="X28" i="7"/>
  <c r="FF28" i="7" s="1"/>
  <c r="X145" i="7"/>
  <c r="FF145" i="7" s="1"/>
  <c r="Z92" i="7"/>
  <c r="FH92" i="7" s="1"/>
  <c r="W67" i="7"/>
  <c r="FE67" i="7" s="1"/>
  <c r="Z72" i="7"/>
  <c r="FH72" i="7" s="1"/>
  <c r="W23" i="7"/>
  <c r="FE23" i="7" s="1"/>
  <c r="W137" i="7"/>
  <c r="FE137" i="7" s="1"/>
  <c r="AA92" i="7"/>
  <c r="FI92" i="7" s="1"/>
  <c r="W100" i="7"/>
  <c r="FE100" i="7" s="1"/>
  <c r="W73" i="7"/>
  <c r="FE73" i="7" s="1"/>
  <c r="X23" i="7"/>
  <c r="FF23" i="7" s="1"/>
  <c r="AA138" i="7"/>
  <c r="FI138" i="7" s="1"/>
  <c r="X100" i="7"/>
  <c r="FF100" i="7" s="1"/>
  <c r="Y67" i="7"/>
  <c r="FG67" i="7" s="1"/>
  <c r="Y17" i="7"/>
  <c r="FG17" i="7" s="1"/>
  <c r="V139" i="7"/>
  <c r="AA145" i="7"/>
  <c r="FI145" i="7" s="1"/>
  <c r="V87" i="7"/>
  <c r="Y100" i="7"/>
  <c r="FG100" i="7" s="1"/>
  <c r="Z67" i="7"/>
  <c r="FH67" i="7" s="1"/>
  <c r="Z23" i="7"/>
  <c r="FH23" i="7" s="1"/>
  <c r="V146" i="7"/>
  <c r="W87" i="7"/>
  <c r="Z100" i="7"/>
  <c r="FH100" i="7" s="1"/>
  <c r="AA67" i="7"/>
  <c r="FI67" i="7" s="1"/>
  <c r="W141" i="7"/>
  <c r="FE141" i="7" s="1"/>
  <c r="Z95" i="7"/>
  <c r="FH95" i="7" s="1"/>
  <c r="Z66" i="7"/>
  <c r="FH66" i="7" s="1"/>
  <c r="V76" i="7"/>
  <c r="X135" i="7"/>
  <c r="FF135" i="7" s="1"/>
  <c r="AA146" i="7"/>
  <c r="FI146" i="7" s="1"/>
  <c r="X91" i="7"/>
  <c r="FF91" i="7" s="1"/>
  <c r="Y101" i="7"/>
  <c r="FG101" i="7" s="1"/>
  <c r="V68" i="7"/>
  <c r="X76" i="7"/>
  <c r="FF76" i="7" s="1"/>
  <c r="V21" i="7"/>
  <c r="V28" i="7"/>
  <c r="Y135" i="7"/>
  <c r="FG135" i="7" s="1"/>
  <c r="V147" i="7"/>
  <c r="Y91" i="7"/>
  <c r="FG91" i="7" s="1"/>
  <c r="W68" i="7"/>
  <c r="FE68" i="7" s="1"/>
  <c r="Y76" i="7"/>
  <c r="FG76" i="7" s="1"/>
  <c r="W21" i="7"/>
  <c r="FE21" i="7" s="1"/>
  <c r="Z135" i="7"/>
  <c r="FH135" i="7" s="1"/>
  <c r="W147" i="7"/>
  <c r="FE147" i="7" s="1"/>
  <c r="Z91" i="7"/>
  <c r="FH91" i="7" s="1"/>
  <c r="X68" i="7"/>
  <c r="FF68" i="7" s="1"/>
  <c r="Z76" i="7"/>
  <c r="FH76" i="7" s="1"/>
  <c r="V14" i="7"/>
  <c r="X21" i="7"/>
  <c r="FF21" i="7" s="1"/>
  <c r="W136" i="7"/>
  <c r="FE136" i="7" s="1"/>
  <c r="W148" i="7"/>
  <c r="FE148" i="7" s="1"/>
  <c r="V90" i="7"/>
  <c r="V101" i="7"/>
  <c r="W63" i="7"/>
  <c r="V72" i="7"/>
  <c r="W19" i="7"/>
  <c r="FE19" i="7" s="1"/>
  <c r="X27" i="7"/>
  <c r="FF27" i="7" s="1"/>
  <c r="W75" i="7"/>
  <c r="FE75" i="7" s="1"/>
  <c r="AA27" i="7"/>
  <c r="FI27" i="7" s="1"/>
  <c r="V91" i="7"/>
  <c r="V65" i="7"/>
  <c r="X140" i="7"/>
  <c r="FF140" i="7" s="1"/>
  <c r="Y75" i="7"/>
  <c r="FG75" i="7" s="1"/>
  <c r="Z140" i="7"/>
  <c r="FH140" i="7" s="1"/>
  <c r="AA75" i="7"/>
  <c r="FI75" i="7" s="1"/>
  <c r="X139" i="7"/>
  <c r="FF139" i="7" s="1"/>
  <c r="W90" i="7"/>
  <c r="FE90" i="7" s="1"/>
  <c r="W101" i="7"/>
  <c r="FE101" i="7" s="1"/>
  <c r="X63" i="7"/>
  <c r="W72" i="7"/>
  <c r="FE72" i="7" s="1"/>
  <c r="X19" i="7"/>
  <c r="FF19" i="7" s="1"/>
  <c r="Y27" i="7"/>
  <c r="FG27" i="7" s="1"/>
  <c r="Y90" i="7"/>
  <c r="FG90" i="7" s="1"/>
  <c r="Z63" i="7"/>
  <c r="X20" i="7"/>
  <c r="FF20" i="7" s="1"/>
  <c r="W140" i="7"/>
  <c r="FE140" i="7" s="1"/>
  <c r="X75" i="7"/>
  <c r="FF75" i="7" s="1"/>
  <c r="Y20" i="7"/>
  <c r="FG20" i="7" s="1"/>
  <c r="W65" i="7"/>
  <c r="FE65" i="7" s="1"/>
  <c r="Y140" i="7"/>
  <c r="FG140" i="7" s="1"/>
  <c r="X65" i="7"/>
  <c r="FF65" i="7" s="1"/>
  <c r="AA20" i="7"/>
  <c r="FI20" i="7" s="1"/>
  <c r="V95" i="7"/>
  <c r="Y21" i="7"/>
  <c r="FG21" i="7" s="1"/>
  <c r="Y139" i="7"/>
  <c r="FG139" i="7" s="1"/>
  <c r="X90" i="7"/>
  <c r="FF90" i="7" s="1"/>
  <c r="X101" i="7"/>
  <c r="FF101" i="7" s="1"/>
  <c r="Y63" i="7"/>
  <c r="V75" i="7"/>
  <c r="W20" i="7"/>
  <c r="FE20" i="7" s="1"/>
  <c r="Z27" i="7"/>
  <c r="FH27" i="7" s="1"/>
  <c r="V140" i="7"/>
  <c r="W91" i="7"/>
  <c r="FE91" i="7" s="1"/>
  <c r="Z20" i="7"/>
  <c r="FH20" i="7" s="1"/>
  <c r="AA91" i="7"/>
  <c r="FI91" i="7" s="1"/>
  <c r="Z75" i="7"/>
  <c r="FH75" i="7" s="1"/>
  <c r="Y65" i="7"/>
  <c r="FG65" i="7" s="1"/>
  <c r="Y141" i="7"/>
  <c r="FG141" i="7" s="1"/>
  <c r="Y97" i="7"/>
  <c r="FG97" i="7" s="1"/>
  <c r="W142" i="7"/>
  <c r="FE142" i="7" s="1"/>
  <c r="AA97" i="7"/>
  <c r="FI97" i="7" s="1"/>
  <c r="Z69" i="7"/>
  <c r="FH69" i="7" s="1"/>
  <c r="V16" i="7"/>
  <c r="AA26" i="7"/>
  <c r="FI26" i="7" s="1"/>
  <c r="Y147" i="7"/>
  <c r="FG147" i="7" s="1"/>
  <c r="X89" i="7"/>
  <c r="FF89" i="7" s="1"/>
  <c r="Y71" i="7"/>
  <c r="FG71" i="7" s="1"/>
  <c r="W96" i="7"/>
  <c r="FE96" i="7" s="1"/>
  <c r="AA24" i="7"/>
  <c r="FI24" i="7" s="1"/>
  <c r="X96" i="7"/>
  <c r="FF96" i="7" s="1"/>
  <c r="V63" i="7"/>
  <c r="V25" i="7"/>
  <c r="Y96" i="7"/>
  <c r="FG96" i="7" s="1"/>
  <c r="Z65" i="7"/>
  <c r="FH65" i="7" s="1"/>
  <c r="W25" i="7"/>
  <c r="FE25" i="7" s="1"/>
  <c r="X141" i="7"/>
  <c r="FF141" i="7" s="1"/>
  <c r="V71" i="7"/>
  <c r="W16" i="7"/>
  <c r="FE16" i="7" s="1"/>
  <c r="X70" i="7"/>
  <c r="FF70" i="7" s="1"/>
  <c r="AA25" i="7"/>
  <c r="FI25" i="7" s="1"/>
  <c r="V88" i="7"/>
  <c r="X134" i="7"/>
  <c r="V89" i="7"/>
  <c r="X87" i="7"/>
  <c r="Y70" i="7"/>
  <c r="FG70" i="7" s="1"/>
  <c r="V26" i="7"/>
  <c r="AA70" i="7"/>
  <c r="FI70" i="7" s="1"/>
  <c r="W71" i="7"/>
  <c r="FE71" i="7" s="1"/>
  <c r="V134" i="7"/>
  <c r="Y87" i="7"/>
  <c r="Z70" i="7"/>
  <c r="FH70" i="7" s="1"/>
  <c r="W26" i="7"/>
  <c r="FE26" i="7" s="1"/>
  <c r="W134" i="7"/>
  <c r="X26" i="7"/>
  <c r="FF26" i="7" s="1"/>
  <c r="W14" i="7"/>
  <c r="AA147" i="7"/>
  <c r="FI147" i="7" s="1"/>
  <c r="X25" i="7"/>
  <c r="FF25" i="7" s="1"/>
  <c r="V148" i="7"/>
  <c r="Y25" i="7"/>
  <c r="FG25" i="7" s="1"/>
  <c r="Z25" i="7"/>
  <c r="FH25" i="7" s="1"/>
  <c r="AA134" i="7"/>
  <c r="V96" i="7"/>
  <c r="X66" i="7"/>
  <c r="FF66" i="7" s="1"/>
  <c r="AA15" i="7"/>
  <c r="FI15" i="7" s="1"/>
  <c r="X147" i="7"/>
  <c r="FF147" i="7" s="1"/>
  <c r="Y66" i="7"/>
  <c r="FG66" i="7" s="1"/>
  <c r="Z147" i="7"/>
  <c r="FH147" i="7" s="1"/>
  <c r="W70" i="7"/>
  <c r="FE70" i="7" s="1"/>
  <c r="Z71" i="7"/>
  <c r="FH71" i="7" s="1"/>
  <c r="Y15" i="7"/>
  <c r="FG15" i="7" s="1"/>
  <c r="X18" i="7"/>
  <c r="FF18" i="7" s="1"/>
  <c r="W76" i="7"/>
  <c r="FE76" i="7" s="1"/>
  <c r="AA76" i="7"/>
  <c r="FI76" i="7" s="1"/>
  <c r="AA18" i="7"/>
  <c r="FI18" i="7" s="1"/>
  <c r="X71" i="7"/>
  <c r="FF71" i="7" s="1"/>
  <c r="Y89" i="7"/>
  <c r="FG89" i="7" s="1"/>
  <c r="V22" i="7"/>
  <c r="W95" i="7"/>
  <c r="FE95" i="7" s="1"/>
  <c r="AA23" i="7"/>
  <c r="FI23" i="7" s="1"/>
  <c r="V19" i="7"/>
  <c r="W66" i="7"/>
  <c r="FE66" i="7" s="1"/>
  <c r="Z21" i="7"/>
  <c r="FH21" i="7" s="1"/>
  <c r="W89" i="7"/>
  <c r="FE89" i="7" s="1"/>
  <c r="AA21" i="7"/>
  <c r="FI21" i="7" s="1"/>
  <c r="AA71" i="7"/>
  <c r="FI71" i="7" s="1"/>
  <c r="X95" i="7"/>
  <c r="FF95" i="7" s="1"/>
  <c r="V24" i="7"/>
  <c r="Z134" i="7"/>
  <c r="AA96" i="7"/>
  <c r="FI96" i="7" s="1"/>
  <c r="AA135" i="7"/>
  <c r="FI135" i="7" s="1"/>
  <c r="X97" i="7"/>
  <c r="FF97" i="7" s="1"/>
  <c r="V136" i="7"/>
  <c r="Z97" i="7"/>
  <c r="FH97" i="7" s="1"/>
  <c r="Z141" i="7"/>
  <c r="FH141" i="7" s="1"/>
  <c r="V98" i="7"/>
  <c r="X142" i="7"/>
  <c r="FF142" i="7" s="1"/>
  <c r="AA100" i="7"/>
  <c r="FI100" i="7" s="1"/>
  <c r="Y142" i="7"/>
  <c r="FG142" i="7" s="1"/>
  <c r="Z15" i="7"/>
  <c r="FH15" i="7" s="1"/>
  <c r="Y95" i="7"/>
  <c r="FG95" i="7" s="1"/>
  <c r="X16" i="7"/>
  <c r="FF16" i="7" s="1"/>
  <c r="Y16" i="7"/>
  <c r="FG16" i="7" s="1"/>
  <c r="Z16" i="7"/>
  <c r="FH16" i="7" s="1"/>
  <c r="AA17" i="7"/>
  <c r="FI17" i="7" s="1"/>
  <c r="Z142" i="7"/>
  <c r="FH142" i="7" s="1"/>
  <c r="AA142" i="7"/>
  <c r="FI142" i="7" s="1"/>
  <c r="V77" i="7"/>
  <c r="Y77" i="7"/>
  <c r="FG77" i="7" s="1"/>
  <c r="Z77" i="7"/>
  <c r="FH77" i="7" s="1"/>
  <c r="X14" i="7"/>
  <c r="AA95" i="7"/>
  <c r="FI95" i="7" s="1"/>
  <c r="Y134" i="7"/>
  <c r="W144" i="7"/>
  <c r="FE144" i="7" s="1"/>
  <c r="Y146" i="7"/>
  <c r="FG146" i="7" s="1"/>
  <c r="Z146" i="7"/>
  <c r="FH146" i="7" s="1"/>
  <c r="Z96" i="7"/>
  <c r="FH96" i="7" s="1"/>
  <c r="EZ147" i="7"/>
  <c r="EX17" i="7"/>
  <c r="EY18" i="7"/>
  <c r="EY65" i="7"/>
  <c r="T92" i="7"/>
  <c r="EV92" i="7"/>
  <c r="EY94" i="7"/>
  <c r="EX66" i="7"/>
  <c r="EW66" i="7"/>
  <c r="EW69" i="7"/>
  <c r="EY27" i="7"/>
  <c r="EZ91" i="7"/>
  <c r="EW27" i="7"/>
  <c r="EX92" i="7"/>
  <c r="EY76" i="7"/>
  <c r="EW96" i="7"/>
  <c r="EW19" i="7"/>
  <c r="EY28" i="7"/>
  <c r="EY138" i="7"/>
  <c r="EW147" i="7"/>
  <c r="EW75" i="7"/>
  <c r="FA101" i="7"/>
  <c r="O44" i="7"/>
  <c r="EW14" i="7"/>
  <c r="EV96" i="7"/>
  <c r="T96" i="7"/>
  <c r="EW24" i="7"/>
  <c r="EY140" i="7"/>
  <c r="EW21" i="7"/>
  <c r="FA66" i="7"/>
  <c r="FA22" i="7"/>
  <c r="T99" i="7"/>
  <c r="EV99" i="7"/>
  <c r="FA98" i="7"/>
  <c r="EY64" i="7"/>
  <c r="EY23" i="7"/>
  <c r="EV23" i="7"/>
  <c r="T23" i="7"/>
  <c r="EY89" i="7"/>
  <c r="EX26" i="7"/>
  <c r="EY25" i="7"/>
  <c r="EX93" i="7"/>
  <c r="FA139" i="7"/>
  <c r="EW97" i="7"/>
  <c r="EV146" i="7"/>
  <c r="T146" i="7"/>
  <c r="EX146" i="7"/>
  <c r="EW148" i="7"/>
  <c r="K27" i="33"/>
  <c r="O304" i="7"/>
  <c r="V4" i="36"/>
  <c r="EW135" i="7"/>
  <c r="EW17" i="7"/>
  <c r="S44" i="7"/>
  <c r="FA14" i="7"/>
  <c r="EZ74" i="7"/>
  <c r="EX95" i="7"/>
  <c r="FA91" i="7"/>
  <c r="T98" i="7"/>
  <c r="EV98" i="7"/>
  <c r="EZ142" i="7"/>
  <c r="EW28" i="7"/>
  <c r="T70" i="7"/>
  <c r="EV70" i="7"/>
  <c r="R44" i="7"/>
  <c r="EZ14" i="7"/>
  <c r="EV90" i="7"/>
  <c r="T90" i="7"/>
  <c r="EV75" i="7"/>
  <c r="T75" i="7"/>
  <c r="FA70" i="7"/>
  <c r="FA16" i="7"/>
  <c r="EY134" i="7"/>
  <c r="Q149" i="7"/>
  <c r="Q154" i="7" s="1"/>
  <c r="EZ135" i="7"/>
  <c r="EY147" i="7"/>
  <c r="EV72" i="7"/>
  <c r="T72" i="7"/>
  <c r="EX135" i="7"/>
  <c r="FA142" i="7"/>
  <c r="EX65" i="7"/>
  <c r="T145" i="7"/>
  <c r="EV145" i="7"/>
  <c r="FA138" i="7"/>
  <c r="EV74" i="7"/>
  <c r="T74" i="7"/>
  <c r="EW20" i="7"/>
  <c r="EZ28" i="7"/>
  <c r="EV94" i="7"/>
  <c r="T94" i="7"/>
  <c r="FA93" i="7"/>
  <c r="EX101" i="7"/>
  <c r="EY19" i="7"/>
  <c r="EY146" i="7"/>
  <c r="EY26" i="7"/>
  <c r="EY16" i="7"/>
  <c r="EZ76" i="7"/>
  <c r="EX63" i="7"/>
  <c r="P78" i="7"/>
  <c r="P83" i="7" s="1"/>
  <c r="EY142" i="7"/>
  <c r="EW71" i="7"/>
  <c r="EX27" i="7"/>
  <c r="FA135" i="7"/>
  <c r="EZ16" i="7"/>
  <c r="EX89" i="7"/>
  <c r="EW94" i="7"/>
  <c r="EX22" i="7"/>
  <c r="EV69" i="7"/>
  <c r="T69" i="7"/>
  <c r="T64" i="7"/>
  <c r="EV64" i="7"/>
  <c r="FA141" i="7"/>
  <c r="EY136" i="7"/>
  <c r="EW141" i="7"/>
  <c r="EW23" i="7"/>
  <c r="EX16" i="7"/>
  <c r="EY77" i="7"/>
  <c r="EX68" i="7"/>
  <c r="EY73" i="7"/>
  <c r="EZ93" i="7"/>
  <c r="FA94" i="7"/>
  <c r="EX147" i="7"/>
  <c r="EX139" i="7"/>
  <c r="FA27" i="7"/>
  <c r="FA26" i="7"/>
  <c r="EX88" i="7"/>
  <c r="EY21" i="7"/>
  <c r="EY72" i="7"/>
  <c r="FA67" i="7"/>
  <c r="EW68" i="7"/>
  <c r="T24" i="7"/>
  <c r="EV24" i="7"/>
  <c r="EV89" i="7"/>
  <c r="T89" i="7"/>
  <c r="FA88" i="7"/>
  <c r="EX96" i="7"/>
  <c r="EY15" i="7"/>
  <c r="EW142" i="7"/>
  <c r="EW22" i="7"/>
  <c r="EW73" i="7"/>
  <c r="FA75" i="7"/>
  <c r="EY97" i="7"/>
  <c r="EZ71" i="7"/>
  <c r="EX99" i="7"/>
  <c r="EY22" i="7"/>
  <c r="T77" i="7"/>
  <c r="EV77" i="7"/>
  <c r="EY69" i="7"/>
  <c r="EY143" i="7"/>
  <c r="EY20" i="7"/>
  <c r="O149" i="7"/>
  <c r="O154" i="7" s="1"/>
  <c r="EW134" i="7"/>
  <c r="EW144" i="7"/>
  <c r="FA18" i="7"/>
  <c r="EX23" i="7"/>
  <c r="EZ101" i="7"/>
  <c r="EX140" i="7"/>
  <c r="EV68" i="7"/>
  <c r="T68" i="7"/>
  <c r="FA100" i="7"/>
  <c r="T71" i="7"/>
  <c r="EV71" i="7"/>
  <c r="FA136" i="7"/>
  <c r="EY100" i="7"/>
  <c r="EY95" i="7"/>
  <c r="EW140" i="7"/>
  <c r="EV137" i="7"/>
  <c r="T137" i="7"/>
  <c r="EX67" i="7"/>
  <c r="EW137" i="7"/>
  <c r="EZ22" i="7"/>
  <c r="EZ72" i="7"/>
  <c r="EX64" i="7"/>
  <c r="FA90" i="7"/>
  <c r="EW91" i="7"/>
  <c r="T19" i="7"/>
  <c r="EV19" i="7"/>
  <c r="FA148" i="7"/>
  <c r="EZ148" i="7"/>
  <c r="EX91" i="7"/>
  <c r="FA76" i="7"/>
  <c r="FA137" i="7"/>
  <c r="EY68" i="7"/>
  <c r="FA147" i="7"/>
  <c r="FA71" i="7"/>
  <c r="EZ23" i="7"/>
  <c r="FA146" i="7"/>
  <c r="EZ19" i="7"/>
  <c r="EV18" i="7"/>
  <c r="T18" i="7"/>
  <c r="EY66" i="7"/>
  <c r="EV17" i="7"/>
  <c r="T17" i="7"/>
  <c r="T142" i="7"/>
  <c r="EV142" i="7"/>
  <c r="FA21" i="7"/>
  <c r="FA74" i="7"/>
  <c r="FA95" i="7"/>
  <c r="EX70" i="7"/>
  <c r="EW101" i="7"/>
  <c r="EW26" i="7"/>
  <c r="EY90" i="7"/>
  <c r="EY145" i="7"/>
  <c r="EX15" i="7"/>
  <c r="EZ18" i="7"/>
  <c r="EZ24" i="7"/>
  <c r="T134" i="7"/>
  <c r="N149" i="7"/>
  <c r="N154" i="7" s="1"/>
  <c r="EV134" i="7"/>
  <c r="EY148" i="7"/>
  <c r="EX72" i="7"/>
  <c r="FA19" i="7"/>
  <c r="EZ139" i="7"/>
  <c r="EZ70" i="7"/>
  <c r="EY93" i="7"/>
  <c r="EW136" i="7"/>
  <c r="EZ63" i="7"/>
  <c r="R78" i="7"/>
  <c r="R83" i="7" s="1"/>
  <c r="EZ98" i="7"/>
  <c r="EX148" i="7"/>
  <c r="EZ134" i="7"/>
  <c r="R149" i="7"/>
  <c r="R154" i="7" s="1"/>
  <c r="P44" i="7"/>
  <c r="EX14" i="7"/>
  <c r="EW143" i="7"/>
  <c r="EV143" i="7"/>
  <c r="T143" i="7"/>
  <c r="T147" i="7"/>
  <c r="EV147" i="7"/>
  <c r="FA72" i="7"/>
  <c r="T148" i="7"/>
  <c r="EV148" i="7"/>
  <c r="EX18" i="7"/>
  <c r="EW138" i="7"/>
  <c r="FA65" i="7"/>
  <c r="EX69" i="7"/>
  <c r="T26" i="7"/>
  <c r="EV26" i="7"/>
  <c r="EW98" i="7"/>
  <c r="EY96" i="7"/>
  <c r="EY70" i="7"/>
  <c r="EX73" i="7"/>
  <c r="FA15" i="7"/>
  <c r="T65" i="7"/>
  <c r="EV65" i="7"/>
  <c r="EX24" i="7"/>
  <c r="EZ137" i="7"/>
  <c r="EW95" i="7"/>
  <c r="EW70" i="7"/>
  <c r="EV25" i="7"/>
  <c r="T25" i="7"/>
  <c r="EX90" i="7"/>
  <c r="T20" i="7"/>
  <c r="EV20" i="7"/>
  <c r="EX142" i="7"/>
  <c r="EX100" i="7"/>
  <c r="EW15" i="7"/>
  <c r="EZ95" i="7"/>
  <c r="EW65" i="7"/>
  <c r="EW63" i="7"/>
  <c r="O78" i="7"/>
  <c r="O83" i="7" s="1"/>
  <c r="EZ143" i="7"/>
  <c r="EY139" i="7"/>
  <c r="EV21" i="7"/>
  <c r="T21" i="7"/>
  <c r="EW16" i="7"/>
  <c r="EV16" i="7"/>
  <c r="T16" i="7"/>
  <c r="EW145" i="7"/>
  <c r="EV97" i="7"/>
  <c r="T97" i="7"/>
  <c r="EZ88" i="7"/>
  <c r="P149" i="7"/>
  <c r="P154" i="7" s="1"/>
  <c r="EX134" i="7"/>
  <c r="EZ25" i="7"/>
  <c r="EV76" i="7"/>
  <c r="T76" i="7"/>
  <c r="EY137" i="7"/>
  <c r="EX137" i="7"/>
  <c r="EZ141" i="7"/>
  <c r="FA68" i="7"/>
  <c r="T144" i="7"/>
  <c r="EV144" i="7"/>
  <c r="EZ27" i="7"/>
  <c r="EX75" i="7"/>
  <c r="EX138" i="7"/>
  <c r="FA63" i="7"/>
  <c r="S78" i="7"/>
  <c r="S83" i="7" s="1"/>
  <c r="EZ90" i="7"/>
  <c r="EZ64" i="7"/>
  <c r="EZ92" i="7"/>
  <c r="EY101" i="7"/>
  <c r="FA17" i="7"/>
  <c r="EZ89" i="7"/>
  <c r="EZ136" i="7"/>
  <c r="EW90" i="7"/>
  <c r="FA99" i="7"/>
  <c r="EZ17" i="7"/>
  <c r="FA23" i="7"/>
  <c r="EX97" i="7"/>
  <c r="EY98" i="7"/>
  <c r="EZ65" i="7"/>
  <c r="FA96" i="7"/>
  <c r="EW93" i="7"/>
  <c r="EY92" i="7"/>
  <c r="EW88" i="7"/>
  <c r="EZ94" i="7"/>
  <c r="T139" i="7"/>
  <c r="EV139" i="7"/>
  <c r="EZ68" i="7"/>
  <c r="FA69" i="7"/>
  <c r="EV93" i="7"/>
  <c r="T93" i="7"/>
  <c r="S149" i="7"/>
  <c r="S154" i="7" s="1"/>
  <c r="FA134" i="7"/>
  <c r="EV27" i="7"/>
  <c r="T27" i="7"/>
  <c r="EW72" i="7"/>
  <c r="FA28" i="7"/>
  <c r="EV67" i="7"/>
  <c r="T67" i="7"/>
  <c r="EX76" i="7"/>
  <c r="EX144" i="7"/>
  <c r="EY144" i="7"/>
  <c r="EX25" i="7"/>
  <c r="EW74" i="7"/>
  <c r="EZ66" i="7"/>
  <c r="EW76" i="7"/>
  <c r="EW25" i="7"/>
  <c r="EX136" i="7"/>
  <c r="FA64" i="7"/>
  <c r="T140" i="7"/>
  <c r="EV140" i="7"/>
  <c r="FA73" i="7"/>
  <c r="EW67" i="7"/>
  <c r="FA143" i="7"/>
  <c r="FA92" i="7"/>
  <c r="EX71" i="7"/>
  <c r="EY24" i="7"/>
  <c r="EZ15" i="7"/>
  <c r="FA24" i="7"/>
  <c r="EZ140" i="7"/>
  <c r="FA145" i="7"/>
  <c r="EW89" i="7"/>
  <c r="Q44" i="7"/>
  <c r="EY14" i="7"/>
  <c r="N78" i="7"/>
  <c r="N83" i="7" s="1"/>
  <c r="EV63" i="7"/>
  <c r="T63" i="7"/>
  <c r="EX28" i="7"/>
  <c r="FA144" i="7"/>
  <c r="EZ146" i="7"/>
  <c r="EX20" i="7"/>
  <c r="EX77" i="7"/>
  <c r="EW77" i="7"/>
  <c r="EZ26" i="7"/>
  <c r="EV95" i="7"/>
  <c r="T95" i="7"/>
  <c r="EZ69" i="7"/>
  <c r="EZ100" i="7"/>
  <c r="T100" i="7"/>
  <c r="EV100" i="7"/>
  <c r="T22" i="7"/>
  <c r="EV22" i="7"/>
  <c r="EX19" i="7"/>
  <c r="T91" i="7"/>
  <c r="EV91" i="7"/>
  <c r="EX94" i="7"/>
  <c r="EY99" i="7"/>
  <c r="FA20" i="7"/>
  <c r="EV101" i="7"/>
  <c r="T101" i="7"/>
  <c r="T136" i="7"/>
  <c r="EV136" i="7"/>
  <c r="T54" i="22"/>
  <c r="AD38" i="25" s="1"/>
  <c r="I18" i="23"/>
  <c r="D37" i="21"/>
  <c r="G37" i="21"/>
  <c r="F116" i="23"/>
  <c r="F214" i="23"/>
  <c r="F46" i="23"/>
  <c r="S55" i="22"/>
  <c r="AC39" i="25" s="1"/>
  <c r="I46" i="23"/>
  <c r="I214" i="23"/>
  <c r="R40" i="22"/>
  <c r="S41" i="22"/>
  <c r="AC25" i="25" s="1"/>
  <c r="AC24" i="25" s="1"/>
  <c r="F18" i="23"/>
  <c r="I74" i="23"/>
  <c r="T42" i="22"/>
  <c r="AD26" i="25" s="1"/>
  <c r="I186" i="23"/>
  <c r="S47" i="22"/>
  <c r="AC31" i="25" s="1"/>
  <c r="AC30" i="25" s="1"/>
  <c r="R46" i="22"/>
  <c r="S59" i="22"/>
  <c r="AC43" i="25" s="1"/>
  <c r="AC42" i="25" s="1"/>
  <c r="R58" i="22"/>
  <c r="I172" i="23"/>
  <c r="I144" i="23"/>
  <c r="S53" i="22"/>
  <c r="AC37" i="25" s="1"/>
  <c r="AC36" i="25" s="1"/>
  <c r="R52" i="22"/>
  <c r="F200" i="23"/>
  <c r="I200" i="23"/>
  <c r="I60" i="23"/>
  <c r="T67" i="22"/>
  <c r="AD51" i="25" s="1"/>
  <c r="I32" i="23"/>
  <c r="T43" i="22"/>
  <c r="AD27" i="25" s="1"/>
  <c r="I88" i="23"/>
  <c r="I130" i="23"/>
  <c r="S26" i="22"/>
  <c r="AC10" i="25" s="1"/>
  <c r="A79" i="26"/>
  <c r="FL10" i="7"/>
  <c r="AD10" i="7"/>
  <c r="I102" i="23"/>
  <c r="T22" i="22"/>
  <c r="AD6" i="25" s="1"/>
  <c r="S21" i="22"/>
  <c r="AC5" i="25" s="1"/>
  <c r="F130" i="23"/>
  <c r="D71" i="40"/>
  <c r="F39" i="40"/>
  <c r="D8" i="40"/>
  <c r="F58" i="40"/>
  <c r="I158" i="23"/>
  <c r="T24" i="22"/>
  <c r="AD8" i="25" s="1"/>
  <c r="F158" i="23"/>
  <c r="AM13" i="26" l="1"/>
  <c r="AB12" i="26"/>
  <c r="N18" i="26"/>
  <c r="P68" i="35" s="1"/>
  <c r="Q68" i="35"/>
  <c r="AS9" i="26"/>
  <c r="AS15" i="26" s="1"/>
  <c r="K14" i="26"/>
  <c r="V14" i="26" s="1"/>
  <c r="H15" i="26"/>
  <c r="AG14" i="26"/>
  <c r="AK14" i="26" s="1"/>
  <c r="S64" i="22"/>
  <c r="F63" i="52"/>
  <c r="T25" i="22"/>
  <c r="AD9" i="25" s="1"/>
  <c r="U61" i="22"/>
  <c r="AE45" i="25" s="1"/>
  <c r="Z18" i="25"/>
  <c r="C49" i="25" s="1"/>
  <c r="K49" i="25" s="1"/>
  <c r="AC49" i="25"/>
  <c r="I166" i="25" s="1"/>
  <c r="I167" i="25" s="1"/>
  <c r="I168" i="25" s="1"/>
  <c r="I169" i="25" s="1"/>
  <c r="I195" i="25"/>
  <c r="I196" i="25" s="1"/>
  <c r="I197" i="25" s="1"/>
  <c r="I198" i="25" s="1"/>
  <c r="F63" i="21"/>
  <c r="G71" i="21" s="1"/>
  <c r="B63" i="21"/>
  <c r="B45" i="41" s="1"/>
  <c r="A75" i="21"/>
  <c r="O76" i="21" s="1"/>
  <c r="Q79" i="21" s="1"/>
  <c r="S79" i="21" s="1"/>
  <c r="B62" i="21"/>
  <c r="C33" i="7" s="1"/>
  <c r="EK33" i="7" s="1"/>
  <c r="F62" i="21"/>
  <c r="J65" i="21" s="1"/>
  <c r="S51" i="21"/>
  <c r="R53" i="21"/>
  <c r="R54" i="21" s="1"/>
  <c r="R55" i="21" s="1"/>
  <c r="R56" i="21" s="1"/>
  <c r="R57" i="21" s="1"/>
  <c r="R58" i="21" s="1"/>
  <c r="P53" i="21"/>
  <c r="S65" i="21"/>
  <c r="R67" i="21"/>
  <c r="R68" i="21" s="1"/>
  <c r="R69" i="21" s="1"/>
  <c r="R70" i="21" s="1"/>
  <c r="R71" i="21" s="1"/>
  <c r="R72" i="21" s="1"/>
  <c r="P67" i="21"/>
  <c r="F29" i="52"/>
  <c r="F46" i="52"/>
  <c r="R30" i="22"/>
  <c r="AB14" i="25" s="1"/>
  <c r="Q26" i="21"/>
  <c r="L245" i="25"/>
  <c r="D361" i="56" a="1"/>
  <c r="D361" i="56" s="1"/>
  <c r="L332" i="25"/>
  <c r="D385" i="56" a="1"/>
  <c r="D385" i="56" s="1"/>
  <c r="C368" i="25"/>
  <c r="K368" i="25" s="1"/>
  <c r="L42" i="25"/>
  <c r="D305" i="56" a="1"/>
  <c r="D305" i="56" s="1"/>
  <c r="L303" i="25"/>
  <c r="D377" i="56" a="1"/>
  <c r="D377" i="56" s="1"/>
  <c r="P13" i="21"/>
  <c r="D41" i="56" a="1"/>
  <c r="D41" i="56" s="1"/>
  <c r="L361" i="25"/>
  <c r="N361" i="25" s="1"/>
  <c r="D393" i="56" a="1"/>
  <c r="D393" i="56" s="1"/>
  <c r="L274" i="25"/>
  <c r="D369" i="56" a="1"/>
  <c r="D369" i="56" s="1"/>
  <c r="P41" i="21"/>
  <c r="D59" i="56" a="1"/>
  <c r="D59" i="56" s="1"/>
  <c r="L13" i="25"/>
  <c r="N13" i="25" s="1"/>
  <c r="D297" i="56" a="1"/>
  <c r="D297" i="56" s="1"/>
  <c r="L216" i="25"/>
  <c r="D353" i="56" a="1"/>
  <c r="D353" i="56" s="1"/>
  <c r="L187" i="25"/>
  <c r="D345" i="56" a="1"/>
  <c r="D345" i="56" s="1"/>
  <c r="L158" i="25"/>
  <c r="D337" i="56" a="1"/>
  <c r="D337" i="56" s="1"/>
  <c r="L129" i="25"/>
  <c r="D329" i="56" a="1"/>
  <c r="D329" i="56" s="1"/>
  <c r="L390" i="25"/>
  <c r="D401" i="56" a="1"/>
  <c r="D401" i="56" s="1"/>
  <c r="L419" i="25"/>
  <c r="D409" i="56" a="1"/>
  <c r="D409" i="56" s="1"/>
  <c r="L71" i="25"/>
  <c r="D313" i="56" a="1"/>
  <c r="D313" i="56" s="1"/>
  <c r="P27" i="21"/>
  <c r="Q27" i="21" s="1"/>
  <c r="D50" i="56" a="1"/>
  <c r="D50" i="56" s="1"/>
  <c r="L100" i="25"/>
  <c r="D321" i="56" a="1"/>
  <c r="D321" i="56" s="1"/>
  <c r="G27" i="51"/>
  <c r="H60" i="56" a="1"/>
  <c r="H60" i="56" s="1"/>
  <c r="H62" i="56" a="1"/>
  <c r="H62" i="56" s="1"/>
  <c r="H61" i="56" a="1"/>
  <c r="H61" i="56" s="1"/>
  <c r="L181" i="23"/>
  <c r="F146" i="7" s="1"/>
  <c r="EN146" i="7" s="1"/>
  <c r="D272" i="56" a="1"/>
  <c r="D272" i="56" s="1"/>
  <c r="I44" i="21"/>
  <c r="D27" i="51" s="1"/>
  <c r="H58" i="56" a="1"/>
  <c r="H58" i="56" s="1"/>
  <c r="K273" i="25"/>
  <c r="M273" i="25" s="1"/>
  <c r="D368" i="56" a="1"/>
  <c r="D368" i="56" s="1"/>
  <c r="D176" i="56" a="1"/>
  <c r="D176" i="56" s="1"/>
  <c r="K331" i="25"/>
  <c r="M331" i="25" s="1"/>
  <c r="D384" i="56" a="1"/>
  <c r="D384" i="56" s="1"/>
  <c r="L97" i="23"/>
  <c r="F140" i="7" s="1"/>
  <c r="EN140" i="7" s="1"/>
  <c r="D224" i="56" a="1"/>
  <c r="D224" i="56" s="1"/>
  <c r="D184" i="56" a="1"/>
  <c r="D184" i="56" s="1"/>
  <c r="K99" i="25"/>
  <c r="M99" i="25" s="1"/>
  <c r="D320" i="56" a="1"/>
  <c r="D320" i="56" s="1"/>
  <c r="R55" i="23"/>
  <c r="S55" i="23" s="1"/>
  <c r="T55" i="23" s="1"/>
  <c r="D200" i="56" a="1"/>
  <c r="D200" i="56" s="1"/>
  <c r="R41" i="23"/>
  <c r="S41" i="23" s="1"/>
  <c r="T41" i="23" s="1"/>
  <c r="D192" i="56" a="1"/>
  <c r="D192" i="56" s="1"/>
  <c r="K12" i="25"/>
  <c r="CC47" i="7" s="1"/>
  <c r="D296" i="56" a="1"/>
  <c r="D296" i="56" s="1"/>
  <c r="G25" i="51"/>
  <c r="F60" i="56" a="1"/>
  <c r="F60" i="56" s="1"/>
  <c r="F61" i="56" a="1"/>
  <c r="F61" i="56" s="1"/>
  <c r="F62" i="56" a="1"/>
  <c r="F62" i="56" s="1"/>
  <c r="D288" i="56" a="1"/>
  <c r="D288" i="56" s="1"/>
  <c r="K41" i="25"/>
  <c r="M41" i="25" s="1"/>
  <c r="D304" i="56" a="1"/>
  <c r="D304" i="56" s="1"/>
  <c r="I40" i="21"/>
  <c r="D23" i="51" s="1"/>
  <c r="D58" i="56" a="1"/>
  <c r="D58" i="56" s="1"/>
  <c r="K302" i="25"/>
  <c r="M302" i="25" s="1"/>
  <c r="D376" i="56" a="1"/>
  <c r="D376" i="56" s="1"/>
  <c r="M153" i="23"/>
  <c r="D256" i="56" a="1"/>
  <c r="D256" i="56" s="1"/>
  <c r="K70" i="25"/>
  <c r="M70" i="25" s="1"/>
  <c r="D312" i="56" a="1"/>
  <c r="D312" i="56" s="1"/>
  <c r="D264" i="56" a="1"/>
  <c r="D264" i="56" s="1"/>
  <c r="K244" i="25"/>
  <c r="M244" i="25" s="1"/>
  <c r="D360" i="56" a="1"/>
  <c r="D360" i="56" s="1"/>
  <c r="G23" i="51"/>
  <c r="D61" i="56" a="1"/>
  <c r="D61" i="56" s="1"/>
  <c r="D60" i="56" a="1"/>
  <c r="D60" i="56" s="1"/>
  <c r="D62" i="56" a="1"/>
  <c r="D62" i="56" s="1"/>
  <c r="K389" i="25"/>
  <c r="M389" i="25" s="1"/>
  <c r="D400" i="56" a="1"/>
  <c r="D400" i="56" s="1"/>
  <c r="L111" i="23"/>
  <c r="F141" i="7" s="1"/>
  <c r="EN141" i="7" s="1"/>
  <c r="D232" i="56" a="1"/>
  <c r="D232" i="56" s="1"/>
  <c r="K157" i="25"/>
  <c r="M157" i="25" s="1"/>
  <c r="D336" i="56" a="1"/>
  <c r="D336" i="56" s="1"/>
  <c r="C62" i="56" a="1"/>
  <c r="C62" i="56" s="1"/>
  <c r="C61" i="56" a="1"/>
  <c r="C61" i="56" s="1"/>
  <c r="C60" i="56" a="1"/>
  <c r="C60" i="56" s="1"/>
  <c r="D216" i="56" a="1"/>
  <c r="D216" i="56" s="1"/>
  <c r="G26" i="51"/>
  <c r="G62" i="56" a="1"/>
  <c r="G62" i="56" s="1"/>
  <c r="G60" i="56" a="1"/>
  <c r="G60" i="56" s="1"/>
  <c r="G61" i="56" a="1"/>
  <c r="G61" i="56" s="1"/>
  <c r="K128" i="25"/>
  <c r="M128" i="25" s="1"/>
  <c r="D328" i="56" a="1"/>
  <c r="D328" i="56" s="1"/>
  <c r="K418" i="25"/>
  <c r="M418" i="25" s="1"/>
  <c r="D408" i="56" a="1"/>
  <c r="D408" i="56" s="1"/>
  <c r="E61" i="56" a="1"/>
  <c r="E61" i="56" s="1"/>
  <c r="E60" i="56" a="1"/>
  <c r="E60" i="56" s="1"/>
  <c r="E62" i="56" a="1"/>
  <c r="E62" i="56" s="1"/>
  <c r="R125" i="23"/>
  <c r="S125" i="23" s="1"/>
  <c r="T125" i="23" s="1"/>
  <c r="D240" i="56" a="1"/>
  <c r="D240" i="56" s="1"/>
  <c r="M139" i="23"/>
  <c r="D248" i="56" a="1"/>
  <c r="D248" i="56" s="1"/>
  <c r="K186" i="25"/>
  <c r="M186" i="25" s="1"/>
  <c r="D344" i="56" a="1"/>
  <c r="D344" i="56" s="1"/>
  <c r="I43" i="21"/>
  <c r="D26" i="51" s="1"/>
  <c r="G58" i="56" a="1"/>
  <c r="G58" i="56" s="1"/>
  <c r="I42" i="21"/>
  <c r="D25" i="51" s="1"/>
  <c r="F58" i="56" a="1"/>
  <c r="F58" i="56" s="1"/>
  <c r="D280" i="56" a="1"/>
  <c r="D280" i="56" s="1"/>
  <c r="I39" i="21"/>
  <c r="D22" i="51" s="1"/>
  <c r="C58" i="56" a="1"/>
  <c r="C58" i="56" s="1"/>
  <c r="K215" i="25"/>
  <c r="M215" i="25" s="1"/>
  <c r="D352" i="56" a="1"/>
  <c r="D352" i="56" s="1"/>
  <c r="K360" i="25"/>
  <c r="M360" i="25" s="1"/>
  <c r="D392" i="56" a="1"/>
  <c r="D392" i="56" s="1"/>
  <c r="I41" i="21"/>
  <c r="D24" i="51" s="1"/>
  <c r="E58" i="56" a="1"/>
  <c r="E58" i="56" s="1"/>
  <c r="M69" i="23"/>
  <c r="D208" i="56" a="1"/>
  <c r="D208" i="56" s="1"/>
  <c r="S29" i="22"/>
  <c r="AC13" i="25" s="1"/>
  <c r="P32" i="22"/>
  <c r="Z16" i="25" s="1"/>
  <c r="Q31" i="22"/>
  <c r="AA15" i="25" s="1"/>
  <c r="Q34" i="22"/>
  <c r="C310" i="25"/>
  <c r="K310" i="25" s="1"/>
  <c r="C397" i="25"/>
  <c r="K397" i="25" s="1"/>
  <c r="C107" i="25"/>
  <c r="K107" i="25" s="1"/>
  <c r="P35" i="22"/>
  <c r="F30" i="7"/>
  <c r="EN30" i="7" s="1"/>
  <c r="AU11" i="26"/>
  <c r="EQ78" i="7"/>
  <c r="EQ83" i="7" s="1"/>
  <c r="F90" i="52"/>
  <c r="EP78" i="7"/>
  <c r="EP83" i="7" s="1"/>
  <c r="F73" i="52"/>
  <c r="DH312" i="7"/>
  <c r="AU12" i="26"/>
  <c r="AF44" i="26"/>
  <c r="AL44" i="26" s="1"/>
  <c r="L138" i="23"/>
  <c r="E143" i="7" s="1"/>
  <c r="EM143" i="7" s="1"/>
  <c r="AA44" i="26"/>
  <c r="D143" i="45"/>
  <c r="E143" i="45" s="1"/>
  <c r="M96" i="23"/>
  <c r="CZ312" i="7"/>
  <c r="AU14" i="26"/>
  <c r="F62" i="26"/>
  <c r="N62" i="26" s="1"/>
  <c r="AB62" i="26" s="1"/>
  <c r="F57" i="26"/>
  <c r="N57" i="26" s="1"/>
  <c r="L208" i="23"/>
  <c r="E148" i="7" s="1"/>
  <c r="EM148" i="7" s="1"/>
  <c r="R166" i="23"/>
  <c r="S166" i="23" s="1"/>
  <c r="T166" i="23" s="1"/>
  <c r="AF45" i="26"/>
  <c r="AU10" i="26"/>
  <c r="N45" i="26"/>
  <c r="AB45" i="26" s="1"/>
  <c r="R40" i="23"/>
  <c r="S40" i="23" s="1"/>
  <c r="T40" i="23" s="1"/>
  <c r="R67" i="23"/>
  <c r="R39" i="23"/>
  <c r="R68" i="23"/>
  <c r="S68" i="23" s="1"/>
  <c r="T68" i="23" s="1"/>
  <c r="L26" i="23"/>
  <c r="CF135" i="7" s="1"/>
  <c r="AL29" i="26"/>
  <c r="L124" i="23"/>
  <c r="E142" i="7" s="1"/>
  <c r="EM142" i="7" s="1"/>
  <c r="R123" i="23"/>
  <c r="H15" i="51"/>
  <c r="M180" i="23"/>
  <c r="CK30" i="7"/>
  <c r="I135" i="45"/>
  <c r="J135" i="45" s="1"/>
  <c r="R25" i="23"/>
  <c r="S25" i="23" s="1"/>
  <c r="T25" i="23" s="1"/>
  <c r="CL30" i="7"/>
  <c r="F75" i="26"/>
  <c r="N75" i="26" s="1"/>
  <c r="AB75" i="26" s="1"/>
  <c r="N41" i="21"/>
  <c r="U54" i="22"/>
  <c r="AE38" i="25" s="1"/>
  <c r="F77" i="26"/>
  <c r="AF77" i="26" s="1"/>
  <c r="M110" i="23"/>
  <c r="N39" i="21"/>
  <c r="N47" i="26"/>
  <c r="AB47" i="26" s="1"/>
  <c r="AF47" i="26"/>
  <c r="T49" i="22"/>
  <c r="AD33" i="25" s="1"/>
  <c r="N40" i="21"/>
  <c r="F61" i="26"/>
  <c r="N61" i="26" s="1"/>
  <c r="AB61" i="26" s="1"/>
  <c r="F73" i="26"/>
  <c r="P73" i="26" s="1"/>
  <c r="C27" i="40"/>
  <c r="C31" i="40" s="1"/>
  <c r="Q180" i="26"/>
  <c r="CB50" i="7"/>
  <c r="D50" i="7"/>
  <c r="D50" i="45"/>
  <c r="E50" i="45" s="1"/>
  <c r="G43" i="26"/>
  <c r="AJ42" i="26"/>
  <c r="U42" i="26"/>
  <c r="CC152" i="7"/>
  <c r="E152" i="7"/>
  <c r="EM152" i="7" s="1"/>
  <c r="CD152" i="7"/>
  <c r="CE152" i="7"/>
  <c r="CG152" i="7"/>
  <c r="CF152" i="7"/>
  <c r="B33" i="51"/>
  <c r="E32" i="51"/>
  <c r="C58" i="21"/>
  <c r="E35" i="51"/>
  <c r="B32" i="51"/>
  <c r="F35" i="51"/>
  <c r="C53" i="21"/>
  <c r="B35" i="51"/>
  <c r="O51" i="21"/>
  <c r="E34" i="51"/>
  <c r="F32" i="51"/>
  <c r="F36" i="51"/>
  <c r="F34" i="51"/>
  <c r="C31" i="51"/>
  <c r="C57" i="21"/>
  <c r="L49" i="21"/>
  <c r="C55" i="21"/>
  <c r="F33" i="51"/>
  <c r="E33" i="51"/>
  <c r="U51" i="21"/>
  <c r="C54" i="21"/>
  <c r="C56" i="21"/>
  <c r="E36" i="51"/>
  <c r="E31" i="51"/>
  <c r="B31" i="51"/>
  <c r="B34" i="51"/>
  <c r="B36" i="51"/>
  <c r="F31" i="51"/>
  <c r="L53" i="21"/>
  <c r="K53" i="21"/>
  <c r="K54" i="21"/>
  <c r="D67" i="56" s="1" a="1"/>
  <c r="D67" i="56" s="1"/>
  <c r="L54" i="21"/>
  <c r="C32" i="51"/>
  <c r="L55" i="21"/>
  <c r="K55" i="21"/>
  <c r="E67" i="56" s="1" a="1"/>
  <c r="E67" i="56" s="1"/>
  <c r="C33" i="51"/>
  <c r="L56" i="21"/>
  <c r="K56" i="21"/>
  <c r="C34" i="51"/>
  <c r="L57" i="21"/>
  <c r="C35" i="51"/>
  <c r="K57" i="21"/>
  <c r="L58" i="21"/>
  <c r="C36" i="51"/>
  <c r="K58" i="21"/>
  <c r="J51" i="21"/>
  <c r="G51" i="21"/>
  <c r="I56" i="45"/>
  <c r="J56" i="45" s="1"/>
  <c r="D56" i="45"/>
  <c r="E56" i="45" s="1"/>
  <c r="CB56" i="7"/>
  <c r="D56" i="7"/>
  <c r="V17" i="36"/>
  <c r="J45" i="36"/>
  <c r="CI78" i="7"/>
  <c r="CI83" i="7" s="1"/>
  <c r="EL63" i="7"/>
  <c r="F5" i="52" s="1"/>
  <c r="CB63" i="7"/>
  <c r="D78" i="7"/>
  <c r="D83" i="7" s="1"/>
  <c r="J63" i="7"/>
  <c r="CE78" i="7"/>
  <c r="CE83" i="7" s="1"/>
  <c r="L75" i="26"/>
  <c r="Y74" i="26"/>
  <c r="J42" i="25"/>
  <c r="H43" i="25"/>
  <c r="I42" i="25"/>
  <c r="N33" i="26"/>
  <c r="P69" i="35" s="1"/>
  <c r="AB27" i="26"/>
  <c r="Q69" i="35"/>
  <c r="CL78" i="7"/>
  <c r="CL83" i="7" s="1"/>
  <c r="O40" i="21"/>
  <c r="Y40" i="21"/>
  <c r="G24" i="51"/>
  <c r="E41" i="21"/>
  <c r="F41" i="21"/>
  <c r="CB67" i="7"/>
  <c r="CP67" i="7" s="1"/>
  <c r="EL67" i="7"/>
  <c r="ER67" i="7" s="1"/>
  <c r="J67" i="7"/>
  <c r="CB53" i="7"/>
  <c r="I53" i="45"/>
  <c r="J53" i="45" s="1"/>
  <c r="D53" i="7"/>
  <c r="D53" i="45"/>
  <c r="E53" i="45" s="1"/>
  <c r="Q135" i="26"/>
  <c r="CF30" i="7"/>
  <c r="E30" i="7"/>
  <c r="EM30" i="7" s="1"/>
  <c r="CG30" i="7"/>
  <c r="H14" i="51"/>
  <c r="CC78" i="7"/>
  <c r="CC83" i="7" s="1"/>
  <c r="G45" i="21"/>
  <c r="CB73" i="7"/>
  <c r="CP73" i="7" s="1"/>
  <c r="EL73" i="7"/>
  <c r="ER73" i="7" s="1"/>
  <c r="J73" i="7"/>
  <c r="L150" i="26"/>
  <c r="Y149" i="26"/>
  <c r="N44" i="21"/>
  <c r="M40" i="21"/>
  <c r="I61" i="45"/>
  <c r="J61" i="45" s="1"/>
  <c r="D61" i="45"/>
  <c r="E61" i="45" s="1"/>
  <c r="CB61" i="7"/>
  <c r="D61" i="7"/>
  <c r="AV26" i="26"/>
  <c r="EM78" i="7"/>
  <c r="EM83" i="7" s="1"/>
  <c r="S161" i="36"/>
  <c r="W22" i="36"/>
  <c r="I216" i="25"/>
  <c r="H217" i="25"/>
  <c r="J216" i="25"/>
  <c r="CJ78" i="7"/>
  <c r="CJ83" i="7" s="1"/>
  <c r="M44" i="21"/>
  <c r="L135" i="26"/>
  <c r="Y134" i="26"/>
  <c r="CB54" i="7"/>
  <c r="D54" i="45"/>
  <c r="E54" i="45" s="1"/>
  <c r="I54" i="45"/>
  <c r="J54" i="45" s="1"/>
  <c r="D54" i="7"/>
  <c r="Y42" i="21"/>
  <c r="O42" i="21"/>
  <c r="F74" i="26"/>
  <c r="EL64" i="7"/>
  <c r="CB64" i="7"/>
  <c r="CP64" i="7" s="1"/>
  <c r="J64" i="7"/>
  <c r="D150" i="45"/>
  <c r="CB150" i="7"/>
  <c r="I150" i="45"/>
  <c r="D150" i="7"/>
  <c r="J230" i="23"/>
  <c r="O46" i="35" s="1"/>
  <c r="CD78" i="7"/>
  <c r="CD83" i="7" s="1"/>
  <c r="F72" i="26"/>
  <c r="D51" i="21"/>
  <c r="EN78" i="7"/>
  <c r="EN83" i="7" s="1"/>
  <c r="G150" i="7"/>
  <c r="CM150" i="7"/>
  <c r="CO150" i="7"/>
  <c r="CN150" i="7"/>
  <c r="D55" i="45"/>
  <c r="E55" i="45" s="1"/>
  <c r="CB55" i="7"/>
  <c r="D55" i="7"/>
  <c r="I55" i="45"/>
  <c r="J55" i="45" s="1"/>
  <c r="I30" i="45"/>
  <c r="J30" i="45" s="1"/>
  <c r="D30" i="7"/>
  <c r="D30" i="45"/>
  <c r="E30" i="45" s="1"/>
  <c r="H13" i="51"/>
  <c r="N31" i="21"/>
  <c r="E92" i="26"/>
  <c r="F82" i="26"/>
  <c r="I87" i="26" s="1"/>
  <c r="B81" i="26"/>
  <c r="D88" i="26"/>
  <c r="E88" i="26"/>
  <c r="E89" i="26"/>
  <c r="E91" i="26"/>
  <c r="D90" i="26"/>
  <c r="E90" i="26"/>
  <c r="D92" i="26"/>
  <c r="D91" i="26"/>
  <c r="E87" i="26"/>
  <c r="D87" i="26"/>
  <c r="D89" i="26"/>
  <c r="U60" i="22"/>
  <c r="AE44" i="25" s="1"/>
  <c r="R193" i="23"/>
  <c r="CB68" i="7"/>
  <c r="CP68" i="7" s="1"/>
  <c r="EL68" i="7"/>
  <c r="ER68" i="7" s="1"/>
  <c r="J68" i="7"/>
  <c r="AF42" i="26"/>
  <c r="AA42" i="26"/>
  <c r="N42" i="26"/>
  <c r="AW9" i="26" s="1"/>
  <c r="P42" i="26"/>
  <c r="AW20" i="26" s="1"/>
  <c r="CB66" i="7"/>
  <c r="CP66" i="7" s="1"/>
  <c r="EL66" i="7"/>
  <c r="J66" i="7"/>
  <c r="AG27" i="26"/>
  <c r="AK27" i="26" s="1"/>
  <c r="AM27" i="26" s="1"/>
  <c r="H27" i="40"/>
  <c r="H31" i="40" s="1"/>
  <c r="L194" i="23"/>
  <c r="E147" i="7" s="1"/>
  <c r="EM147" i="7" s="1"/>
  <c r="H29" i="26"/>
  <c r="K28" i="26"/>
  <c r="V28" i="26" s="1"/>
  <c r="G15" i="7"/>
  <c r="CO15" i="7"/>
  <c r="CM15" i="7"/>
  <c r="CN15" i="7"/>
  <c r="W19" i="36"/>
  <c r="S101" i="36"/>
  <c r="U66" i="22"/>
  <c r="AE50" i="25" s="1"/>
  <c r="Q225" i="26"/>
  <c r="N43" i="21"/>
  <c r="M39" i="21"/>
  <c r="D151" i="45"/>
  <c r="E151" i="45" s="1"/>
  <c r="D151" i="7"/>
  <c r="CB151" i="7"/>
  <c r="J243" i="23"/>
  <c r="O47" i="35" s="1"/>
  <c r="I50" i="26"/>
  <c r="B52" i="26"/>
  <c r="G57" i="26" s="1"/>
  <c r="D52" i="26"/>
  <c r="H57" i="26" s="1"/>
  <c r="AA46" i="26"/>
  <c r="AF46" i="26"/>
  <c r="N46" i="26"/>
  <c r="AB46" i="26" s="1"/>
  <c r="B44" i="40"/>
  <c r="B65" i="36"/>
  <c r="K65" i="36" s="1"/>
  <c r="B44" i="41"/>
  <c r="CM78" i="7"/>
  <c r="CM83" i="7" s="1"/>
  <c r="C32" i="7"/>
  <c r="EK32" i="7" s="1"/>
  <c r="C90" i="45"/>
  <c r="A65" i="36"/>
  <c r="C17" i="7"/>
  <c r="EK17" i="7" s="1"/>
  <c r="C105" i="45"/>
  <c r="C105" i="7"/>
  <c r="EK105" i="7" s="1"/>
  <c r="A44" i="41"/>
  <c r="C32" i="45"/>
  <c r="C90" i="7"/>
  <c r="EK90" i="7" s="1"/>
  <c r="C17" i="45"/>
  <c r="A44" i="40"/>
  <c r="L225" i="26"/>
  <c r="Y224" i="26"/>
  <c r="EP15" i="7"/>
  <c r="H420" i="25"/>
  <c r="I419" i="25"/>
  <c r="J419" i="25"/>
  <c r="L15" i="26"/>
  <c r="Y14" i="26"/>
  <c r="AL14" i="26"/>
  <c r="AM14" i="26" s="1"/>
  <c r="CB75" i="7"/>
  <c r="CP75" i="7" s="1"/>
  <c r="EL75" i="7"/>
  <c r="ER75" i="7" s="1"/>
  <c r="J75" i="7"/>
  <c r="EO78" i="7"/>
  <c r="EO83" i="7" s="1"/>
  <c r="P14" i="26"/>
  <c r="Q15" i="26"/>
  <c r="H101" i="25"/>
  <c r="I100" i="25"/>
  <c r="J100" i="25"/>
  <c r="CG78" i="7"/>
  <c r="CG83" i="7" s="1"/>
  <c r="I78" i="45"/>
  <c r="I83" i="45" s="1"/>
  <c r="J63" i="45"/>
  <c r="J78" i="45" s="1"/>
  <c r="J83" i="45" s="1"/>
  <c r="CI150" i="7"/>
  <c r="CK150" i="7"/>
  <c r="CJ150" i="7"/>
  <c r="CL150" i="7"/>
  <c r="CH150" i="7"/>
  <c r="F150" i="7"/>
  <c r="P13" i="35"/>
  <c r="O39" i="21"/>
  <c r="Y39" i="21"/>
  <c r="Y179" i="26"/>
  <c r="L180" i="26"/>
  <c r="W24" i="36"/>
  <c r="S201" i="36"/>
  <c r="O44" i="21"/>
  <c r="I16" i="7" s="1"/>
  <c r="EQ16" i="7" s="1"/>
  <c r="Y44" i="21"/>
  <c r="F42" i="21"/>
  <c r="E42" i="21"/>
  <c r="G30" i="7"/>
  <c r="EO30" i="7" s="1"/>
  <c r="H16" i="51"/>
  <c r="CB59" i="7"/>
  <c r="D59" i="7"/>
  <c r="I59" i="45"/>
  <c r="J59" i="45" s="1"/>
  <c r="D59" i="45"/>
  <c r="E59" i="45" s="1"/>
  <c r="D49" i="45"/>
  <c r="E49" i="45" s="1"/>
  <c r="D49" i="7"/>
  <c r="CB49" i="7"/>
  <c r="Y44" i="26"/>
  <c r="L45" i="26"/>
  <c r="W43" i="26"/>
  <c r="AH43" i="26"/>
  <c r="I44" i="26"/>
  <c r="D15" i="45"/>
  <c r="D15" i="7"/>
  <c r="I15" i="45"/>
  <c r="U12" i="21"/>
  <c r="S12" i="21"/>
  <c r="Z12" i="21"/>
  <c r="AA12" i="21" s="1"/>
  <c r="O43" i="21"/>
  <c r="H16" i="7" s="1"/>
  <c r="EP16" i="7" s="1"/>
  <c r="Y43" i="21"/>
  <c r="CI151" i="7"/>
  <c r="CL151" i="7"/>
  <c r="F151" i="7"/>
  <c r="EN151" i="7" s="1"/>
  <c r="CJ151" i="7"/>
  <c r="CH151" i="7"/>
  <c r="CK151" i="7"/>
  <c r="F60" i="26"/>
  <c r="D152" i="45"/>
  <c r="E152" i="45" s="1"/>
  <c r="D152" i="7"/>
  <c r="CB152" i="7"/>
  <c r="J256" i="23"/>
  <c r="O48" i="35" s="1"/>
  <c r="CN78" i="7"/>
  <c r="CN83" i="7" s="1"/>
  <c r="S181" i="36"/>
  <c r="W23" i="36"/>
  <c r="W20" i="36"/>
  <c r="S121" i="36"/>
  <c r="W45" i="21"/>
  <c r="G22" i="51"/>
  <c r="F39" i="21"/>
  <c r="E39" i="21"/>
  <c r="C45" i="21"/>
  <c r="CB69" i="7"/>
  <c r="CP69" i="7" s="1"/>
  <c r="EL69" i="7"/>
  <c r="ER69" i="7" s="1"/>
  <c r="J69" i="7"/>
  <c r="P29" i="26"/>
  <c r="AU22" i="26" s="1"/>
  <c r="Q30" i="26"/>
  <c r="H333" i="25"/>
  <c r="J332" i="25"/>
  <c r="I332" i="25"/>
  <c r="E151" i="7"/>
  <c r="EM151" i="7" s="1"/>
  <c r="CG151" i="7"/>
  <c r="CD151" i="7"/>
  <c r="CC151" i="7"/>
  <c r="CE151" i="7"/>
  <c r="CF151" i="7"/>
  <c r="J158" i="25"/>
  <c r="I158" i="25"/>
  <c r="H159" i="25"/>
  <c r="Y194" i="26"/>
  <c r="L195" i="26"/>
  <c r="H30" i="7"/>
  <c r="EP30" i="7" s="1"/>
  <c r="H17" i="51"/>
  <c r="Q210" i="26"/>
  <c r="Y209" i="26"/>
  <c r="L210" i="26"/>
  <c r="M61" i="36"/>
  <c r="Q151" i="26"/>
  <c r="Q152" i="26" s="1"/>
  <c r="U14" i="21"/>
  <c r="Z14" i="21"/>
  <c r="AA14" i="21" s="1"/>
  <c r="S14" i="21"/>
  <c r="I30" i="7"/>
  <c r="EQ30" i="7" s="1"/>
  <c r="H18" i="51"/>
  <c r="T48" i="22"/>
  <c r="AD32" i="25" s="1"/>
  <c r="Q165" i="26"/>
  <c r="CK152" i="7"/>
  <c r="CH152" i="7"/>
  <c r="F152" i="7"/>
  <c r="EN152" i="7" s="1"/>
  <c r="CL152" i="7"/>
  <c r="CI152" i="7"/>
  <c r="CJ152" i="7"/>
  <c r="N42" i="21"/>
  <c r="I390" i="25"/>
  <c r="J390" i="25"/>
  <c r="H391" i="25"/>
  <c r="F58" i="26"/>
  <c r="M161" i="36"/>
  <c r="Y29" i="26"/>
  <c r="L30" i="26"/>
  <c r="I361" i="25"/>
  <c r="J361" i="25"/>
  <c r="H362" i="25"/>
  <c r="Q120" i="26"/>
  <c r="Y41" i="21"/>
  <c r="O41" i="21"/>
  <c r="H275" i="25"/>
  <c r="I274" i="25"/>
  <c r="J274" i="25"/>
  <c r="M141" i="36"/>
  <c r="M41" i="21"/>
  <c r="F43" i="21"/>
  <c r="E43" i="21"/>
  <c r="E63" i="45"/>
  <c r="E78" i="45" s="1"/>
  <c r="E83" i="45" s="1"/>
  <c r="D78" i="45"/>
  <c r="D83" i="45" s="1"/>
  <c r="D60" i="7"/>
  <c r="I60" i="45"/>
  <c r="J60" i="45" s="1"/>
  <c r="D60" i="45"/>
  <c r="E60" i="45" s="1"/>
  <c r="CB60" i="7"/>
  <c r="DK309" i="7"/>
  <c r="CB48" i="7"/>
  <c r="D48" i="45"/>
  <c r="E48" i="45" s="1"/>
  <c r="D48" i="7"/>
  <c r="Y59" i="26"/>
  <c r="L60" i="26"/>
  <c r="Q195" i="26"/>
  <c r="H246" i="25"/>
  <c r="I245" i="25"/>
  <c r="J245" i="25"/>
  <c r="EL72" i="7"/>
  <c r="ER72" i="7" s="1"/>
  <c r="CB72" i="7"/>
  <c r="CP72" i="7" s="1"/>
  <c r="J72" i="7"/>
  <c r="D58" i="7"/>
  <c r="I58" i="45"/>
  <c r="J58" i="45" s="1"/>
  <c r="D58" i="45"/>
  <c r="E58" i="45" s="1"/>
  <c r="CB58" i="7"/>
  <c r="Z16" i="21"/>
  <c r="AA16" i="21" s="1"/>
  <c r="U16" i="21"/>
  <c r="S16" i="21"/>
  <c r="I87" i="7" s="1"/>
  <c r="I187" i="25"/>
  <c r="J187" i="25"/>
  <c r="H188" i="25"/>
  <c r="AF43" i="26"/>
  <c r="AL43" i="26" s="1"/>
  <c r="AA43" i="26"/>
  <c r="N43" i="26"/>
  <c r="AB43" i="26" s="1"/>
  <c r="J70" i="7"/>
  <c r="CB70" i="7"/>
  <c r="CP70" i="7" s="1"/>
  <c r="EL70" i="7"/>
  <c r="ER70" i="7" s="1"/>
  <c r="D47" i="7"/>
  <c r="CB47" i="7"/>
  <c r="I47" i="45"/>
  <c r="D47" i="45"/>
  <c r="N100" i="36"/>
  <c r="N101" i="36" s="1"/>
  <c r="N200" i="36"/>
  <c r="N201" i="36" s="1"/>
  <c r="N120" i="36"/>
  <c r="G294" i="7"/>
  <c r="N160" i="36"/>
  <c r="N161" i="36" s="1"/>
  <c r="EN294" i="7"/>
  <c r="N80" i="36"/>
  <c r="N60" i="36"/>
  <c r="N61" i="36" s="1"/>
  <c r="N180" i="36"/>
  <c r="N140" i="36"/>
  <c r="N141" i="36" s="1"/>
  <c r="N40" i="36"/>
  <c r="N41" i="36" s="1"/>
  <c r="N20" i="36"/>
  <c r="N21" i="36" s="1"/>
  <c r="CF15" i="7"/>
  <c r="CG15" i="7"/>
  <c r="CD15" i="7"/>
  <c r="CC15" i="7"/>
  <c r="CE15" i="7"/>
  <c r="E15" i="7"/>
  <c r="Q105" i="26"/>
  <c r="B67" i="26"/>
  <c r="G72" i="26" s="1"/>
  <c r="I65" i="26"/>
  <c r="D67" i="26"/>
  <c r="H72" i="26" s="1"/>
  <c r="T12" i="21"/>
  <c r="Q12" i="21"/>
  <c r="G29" i="26"/>
  <c r="U28" i="26"/>
  <c r="AJ28" i="26"/>
  <c r="Q60" i="26"/>
  <c r="Q75" i="26"/>
  <c r="AU9" i="26"/>
  <c r="O31" i="21"/>
  <c r="I15" i="7"/>
  <c r="EQ15" i="7" s="1"/>
  <c r="Q45" i="26"/>
  <c r="P44" i="26"/>
  <c r="AW22" i="26" s="1"/>
  <c r="M201" i="36"/>
  <c r="Q90" i="26"/>
  <c r="Y31" i="21"/>
  <c r="CC150" i="7"/>
  <c r="CG150" i="7"/>
  <c r="CF150" i="7"/>
  <c r="E150" i="7"/>
  <c r="CD150" i="7"/>
  <c r="CE150" i="7"/>
  <c r="CH15" i="7"/>
  <c r="F15" i="7"/>
  <c r="CI15" i="7"/>
  <c r="CJ15" i="7"/>
  <c r="CL15" i="7"/>
  <c r="CK15" i="7"/>
  <c r="CN152" i="7"/>
  <c r="G152" i="7"/>
  <c r="EO152" i="7" s="1"/>
  <c r="CO152" i="7"/>
  <c r="CM152" i="7"/>
  <c r="S11" i="21"/>
  <c r="Z11" i="21"/>
  <c r="AA11" i="21" s="1"/>
  <c r="N87" i="7" s="1"/>
  <c r="U11" i="21"/>
  <c r="E31" i="21"/>
  <c r="F32" i="21" s="1"/>
  <c r="R12" i="35" s="1"/>
  <c r="C32" i="21"/>
  <c r="Q12" i="35" s="1"/>
  <c r="CB52" i="7"/>
  <c r="D52" i="45"/>
  <c r="E52" i="45" s="1"/>
  <c r="D52" i="7"/>
  <c r="Y164" i="26"/>
  <c r="L165" i="26"/>
  <c r="M43" i="21"/>
  <c r="CM151" i="7"/>
  <c r="G151" i="7"/>
  <c r="EO151" i="7" s="1"/>
  <c r="CN151" i="7"/>
  <c r="CO151" i="7"/>
  <c r="I303" i="25"/>
  <c r="H304" i="25"/>
  <c r="J303" i="25"/>
  <c r="X37" i="36"/>
  <c r="S20" i="36"/>
  <c r="EL74" i="7"/>
  <c r="ER74" i="7" s="1"/>
  <c r="CB74" i="7"/>
  <c r="CP74" i="7" s="1"/>
  <c r="J74" i="7"/>
  <c r="CH78" i="7"/>
  <c r="CH83" i="7" s="1"/>
  <c r="EL65" i="7"/>
  <c r="CB65" i="7"/>
  <c r="CP65" i="7" s="1"/>
  <c r="J65" i="7"/>
  <c r="Q11" i="21"/>
  <c r="T11" i="21"/>
  <c r="W56" i="21"/>
  <c r="G58" i="21"/>
  <c r="G53" i="21"/>
  <c r="W57" i="21"/>
  <c r="W55" i="21"/>
  <c r="G56" i="21"/>
  <c r="X55" i="21"/>
  <c r="W58" i="21"/>
  <c r="W54" i="21"/>
  <c r="G55" i="21"/>
  <c r="G57" i="21"/>
  <c r="W53" i="21"/>
  <c r="G54" i="21"/>
  <c r="X58" i="21"/>
  <c r="X56" i="21"/>
  <c r="X53" i="21"/>
  <c r="X57" i="21"/>
  <c r="X54" i="21"/>
  <c r="X59" i="21"/>
  <c r="J60" i="21" s="1"/>
  <c r="E40" i="21"/>
  <c r="F40" i="21"/>
  <c r="EP150" i="7"/>
  <c r="EP153" i="7" s="1"/>
  <c r="G75" i="52" s="1"/>
  <c r="H75" i="52" s="1"/>
  <c r="H153" i="7"/>
  <c r="J129" i="25"/>
  <c r="I129" i="25"/>
  <c r="H130" i="25"/>
  <c r="EQ150" i="7"/>
  <c r="EQ153" i="7" s="1"/>
  <c r="G92" i="52" s="1"/>
  <c r="H92" i="52" s="1"/>
  <c r="I153" i="7"/>
  <c r="CF78" i="7"/>
  <c r="CF83" i="7" s="1"/>
  <c r="AV15" i="26"/>
  <c r="D57" i="7"/>
  <c r="D57" i="45"/>
  <c r="E57" i="45" s="1"/>
  <c r="I57" i="45"/>
  <c r="J57" i="45" s="1"/>
  <c r="CB57" i="7"/>
  <c r="Z13" i="21"/>
  <c r="AA13" i="21" s="1"/>
  <c r="S13" i="21"/>
  <c r="U13" i="21"/>
  <c r="F31" i="21"/>
  <c r="F76" i="26"/>
  <c r="CB77" i="7"/>
  <c r="CP77" i="7" s="1"/>
  <c r="EL77" i="7"/>
  <c r="ER77" i="7" s="1"/>
  <c r="J77" i="7"/>
  <c r="Y104" i="26"/>
  <c r="L105" i="26"/>
  <c r="M42" i="21"/>
  <c r="F59" i="26"/>
  <c r="P59" i="26" s="1"/>
  <c r="H43" i="26"/>
  <c r="K42" i="26"/>
  <c r="AG42" i="26" s="1"/>
  <c r="W15" i="36"/>
  <c r="X38" i="36"/>
  <c r="S21" i="36"/>
  <c r="U23" i="22"/>
  <c r="AE7" i="25" s="1"/>
  <c r="F44" i="21"/>
  <c r="E44" i="21"/>
  <c r="EL71" i="7"/>
  <c r="ER71" i="7" s="1"/>
  <c r="CB71" i="7"/>
  <c r="CP71" i="7" s="1"/>
  <c r="J71" i="7"/>
  <c r="CO78" i="7"/>
  <c r="CO83" i="7" s="1"/>
  <c r="CK78" i="7"/>
  <c r="CK83" i="7" s="1"/>
  <c r="H72" i="25"/>
  <c r="I71" i="25"/>
  <c r="J71" i="25"/>
  <c r="BJ26" i="26"/>
  <c r="Y89" i="26"/>
  <c r="L90" i="26"/>
  <c r="W29" i="26"/>
  <c r="I30" i="26"/>
  <c r="AH29" i="26"/>
  <c r="I13" i="25"/>
  <c r="J13" i="25"/>
  <c r="H14" i="25"/>
  <c r="D51" i="7"/>
  <c r="CB51" i="7"/>
  <c r="D51" i="45"/>
  <c r="E51" i="45" s="1"/>
  <c r="Z15" i="21"/>
  <c r="AA15" i="21" s="1"/>
  <c r="U15" i="21"/>
  <c r="S15" i="21"/>
  <c r="H87" i="7" s="1"/>
  <c r="EP87" i="7" s="1"/>
  <c r="AH72" i="26"/>
  <c r="W72" i="26"/>
  <c r="I73" i="26"/>
  <c r="AX22" i="26"/>
  <c r="AX9" i="26"/>
  <c r="AX25" i="26"/>
  <c r="AX20" i="26"/>
  <c r="BL22" i="26"/>
  <c r="AX24" i="26"/>
  <c r="BL23" i="26"/>
  <c r="AW11" i="26"/>
  <c r="BL25" i="26"/>
  <c r="AX11" i="26"/>
  <c r="AX14" i="26"/>
  <c r="AX21" i="26"/>
  <c r="AX10" i="26"/>
  <c r="BL24" i="26"/>
  <c r="AX13" i="26"/>
  <c r="AX12" i="26"/>
  <c r="BL21" i="26"/>
  <c r="BL20" i="26"/>
  <c r="AW21" i="26"/>
  <c r="AX23" i="26"/>
  <c r="S141" i="36"/>
  <c r="W21" i="36"/>
  <c r="EL76" i="7"/>
  <c r="ER76" i="7" s="1"/>
  <c r="CB76" i="7"/>
  <c r="CP76" i="7" s="1"/>
  <c r="J76" i="7"/>
  <c r="Y119" i="26"/>
  <c r="L120" i="26"/>
  <c r="W57" i="26"/>
  <c r="I58" i="26"/>
  <c r="AH57" i="26"/>
  <c r="T149" i="7"/>
  <c r="T154" i="7" s="1"/>
  <c r="D27" i="40"/>
  <c r="D31" i="40" s="1"/>
  <c r="F27" i="40"/>
  <c r="F31" i="40" s="1"/>
  <c r="T44" i="7"/>
  <c r="R151" i="23"/>
  <c r="FD21" i="7"/>
  <c r="FJ21" i="7" s="1"/>
  <c r="AB21" i="7"/>
  <c r="AB99" i="7"/>
  <c r="FD99" i="7"/>
  <c r="FJ99" i="7" s="1"/>
  <c r="FB100" i="7"/>
  <c r="FB25" i="7"/>
  <c r="EZ44" i="7"/>
  <c r="EY44" i="7"/>
  <c r="FH87" i="7"/>
  <c r="FH117" i="7" s="1"/>
  <c r="Z117" i="7"/>
  <c r="AB89" i="7"/>
  <c r="FD89" i="7"/>
  <c r="FJ89" i="7" s="1"/>
  <c r="Y149" i="7"/>
  <c r="Y154" i="7" s="1"/>
  <c r="FG134" i="7"/>
  <c r="FG149" i="7" s="1"/>
  <c r="FG154" i="7" s="1"/>
  <c r="AB14" i="7"/>
  <c r="V44" i="7"/>
  <c r="FD14" i="7"/>
  <c r="FD135" i="7"/>
  <c r="FJ135" i="7" s="1"/>
  <c r="AB135" i="7"/>
  <c r="FB101" i="7"/>
  <c r="FB95" i="7"/>
  <c r="FB97" i="7"/>
  <c r="FB65" i="7"/>
  <c r="G27" i="40"/>
  <c r="G31" i="40" s="1"/>
  <c r="FB94" i="7"/>
  <c r="AB24" i="7"/>
  <c r="FD24" i="7"/>
  <c r="FJ24" i="7" s="1"/>
  <c r="FD23" i="7"/>
  <c r="FJ23" i="7" s="1"/>
  <c r="AB23" i="7"/>
  <c r="FD100" i="7"/>
  <c r="FJ100" i="7" s="1"/>
  <c r="AB100" i="7"/>
  <c r="Z44" i="7"/>
  <c r="FH14" i="7"/>
  <c r="FH44" i="7" s="1"/>
  <c r="FB135" i="7"/>
  <c r="FB15" i="7"/>
  <c r="O84" i="7"/>
  <c r="Y44" i="7"/>
  <c r="FG14" i="7"/>
  <c r="FG44" i="7" s="1"/>
  <c r="FB28" i="7"/>
  <c r="Z78" i="7"/>
  <c r="Z83" i="7" s="1"/>
  <c r="FH63" i="7"/>
  <c r="FH78" i="7" s="1"/>
  <c r="FH83" i="7" s="1"/>
  <c r="EZ78" i="7"/>
  <c r="EZ83" i="7" s="1"/>
  <c r="FB23" i="7"/>
  <c r="AA149" i="7"/>
  <c r="AA154" i="7" s="1"/>
  <c r="FI134" i="7"/>
  <c r="FI149" i="7" s="1"/>
  <c r="FI154" i="7" s="1"/>
  <c r="FD71" i="7"/>
  <c r="FJ71" i="7" s="1"/>
  <c r="AB71" i="7"/>
  <c r="FF63" i="7"/>
  <c r="FF78" i="7" s="1"/>
  <c r="FF83" i="7" s="1"/>
  <c r="X78" i="7"/>
  <c r="X83" i="7" s="1"/>
  <c r="AB146" i="7"/>
  <c r="FD146" i="7"/>
  <c r="FJ146" i="7" s="1"/>
  <c r="FD70" i="7"/>
  <c r="FJ70" i="7" s="1"/>
  <c r="AB70" i="7"/>
  <c r="AB140" i="7"/>
  <c r="FD140" i="7"/>
  <c r="FJ140" i="7" s="1"/>
  <c r="AB67" i="7"/>
  <c r="FD67" i="7"/>
  <c r="FJ67" i="7" s="1"/>
  <c r="FI87" i="7"/>
  <c r="FI117" i="7" s="1"/>
  <c r="AA117" i="7"/>
  <c r="FD66" i="7"/>
  <c r="FJ66" i="7" s="1"/>
  <c r="AB66" i="7"/>
  <c r="FB66" i="7"/>
  <c r="AB68" i="7"/>
  <c r="FD68" i="7"/>
  <c r="FJ68" i="7" s="1"/>
  <c r="FB88" i="7"/>
  <c r="EX149" i="7"/>
  <c r="EX154" i="7" s="1"/>
  <c r="FD20" i="7"/>
  <c r="FJ20" i="7" s="1"/>
  <c r="AB20" i="7"/>
  <c r="FB99" i="7"/>
  <c r="EZ149" i="7"/>
  <c r="EZ154" i="7" s="1"/>
  <c r="FD96" i="7"/>
  <c r="FJ96" i="7" s="1"/>
  <c r="AB96" i="7"/>
  <c r="FD17" i="7"/>
  <c r="FJ17" i="7" s="1"/>
  <c r="AB17" i="7"/>
  <c r="AB74" i="7"/>
  <c r="FD74" i="7"/>
  <c r="FJ74" i="7" s="1"/>
  <c r="FB144" i="7"/>
  <c r="FB71" i="7"/>
  <c r="FB69" i="7"/>
  <c r="EY149" i="7"/>
  <c r="EY154" i="7" s="1"/>
  <c r="AB77" i="7"/>
  <c r="FD77" i="7"/>
  <c r="FJ77" i="7" s="1"/>
  <c r="AB142" i="7"/>
  <c r="FD142" i="7"/>
  <c r="FJ142" i="7" s="1"/>
  <c r="FB143" i="7"/>
  <c r="FD69" i="7"/>
  <c r="FJ69" i="7" s="1"/>
  <c r="AB69" i="7"/>
  <c r="FG87" i="7"/>
  <c r="FG117" i="7" s="1"/>
  <c r="Y117" i="7"/>
  <c r="EV44" i="7"/>
  <c r="FB14" i="7"/>
  <c r="R95" i="23"/>
  <c r="FA44" i="7"/>
  <c r="FB64" i="7"/>
  <c r="FD97" i="7"/>
  <c r="FJ97" i="7" s="1"/>
  <c r="AB97" i="7"/>
  <c r="P84" i="7"/>
  <c r="AB93" i="7"/>
  <c r="FD93" i="7"/>
  <c r="FJ93" i="7" s="1"/>
  <c r="FE63" i="7"/>
  <c r="FE78" i="7" s="1"/>
  <c r="FE83" i="7" s="1"/>
  <c r="W78" i="7"/>
  <c r="W83" i="7" s="1"/>
  <c r="X117" i="7"/>
  <c r="FF87" i="7"/>
  <c r="FF117" i="7" s="1"/>
  <c r="R109" i="23"/>
  <c r="Z149" i="7"/>
  <c r="Z154" i="7" s="1"/>
  <c r="FH134" i="7"/>
  <c r="FH149" i="7" s="1"/>
  <c r="FH154" i="7" s="1"/>
  <c r="FB98" i="7"/>
  <c r="AB148" i="7"/>
  <c r="FD148" i="7"/>
  <c r="FJ148" i="7" s="1"/>
  <c r="AB145" i="7"/>
  <c r="FD145" i="7"/>
  <c r="FJ145" i="7" s="1"/>
  <c r="FA78" i="7"/>
  <c r="FA83" i="7" s="1"/>
  <c r="S84" i="7"/>
  <c r="FD16" i="7"/>
  <c r="FJ16" i="7" s="1"/>
  <c r="AB16" i="7"/>
  <c r="R84" i="7"/>
  <c r="AB101" i="7"/>
  <c r="FD101" i="7"/>
  <c r="FJ101" i="7" s="1"/>
  <c r="EY78" i="7"/>
  <c r="EY83" i="7" s="1"/>
  <c r="AB88" i="7"/>
  <c r="FD88" i="7"/>
  <c r="FJ88" i="7" s="1"/>
  <c r="EW149" i="7"/>
  <c r="EW154" i="7" s="1"/>
  <c r="FB92" i="7"/>
  <c r="AB75" i="7"/>
  <c r="FD75" i="7"/>
  <c r="FJ75" i="7" s="1"/>
  <c r="FD87" i="7"/>
  <c r="AB87" i="7"/>
  <c r="V117" i="7"/>
  <c r="FB89" i="7"/>
  <c r="FB75" i="7"/>
  <c r="L54" i="23"/>
  <c r="R54" i="23"/>
  <c r="S54" i="23" s="1"/>
  <c r="T54" i="23" s="1"/>
  <c r="M54" i="23"/>
  <c r="R53" i="23"/>
  <c r="FB90" i="7"/>
  <c r="FB19" i="7"/>
  <c r="FB136" i="7"/>
  <c r="EW78" i="7"/>
  <c r="EW83" i="7" s="1"/>
  <c r="FB72" i="7"/>
  <c r="FD73" i="7"/>
  <c r="FJ73" i="7" s="1"/>
  <c r="AB73" i="7"/>
  <c r="FB17" i="7"/>
  <c r="W117" i="7"/>
  <c r="FE87" i="7"/>
  <c r="FE117" i="7" s="1"/>
  <c r="FB141" i="7"/>
  <c r="FB148" i="7"/>
  <c r="FB147" i="7"/>
  <c r="FB18" i="7"/>
  <c r="FB74" i="7"/>
  <c r="AB19" i="7"/>
  <c r="FD19" i="7"/>
  <c r="FJ19" i="7" s="1"/>
  <c r="FD25" i="7"/>
  <c r="FJ25" i="7" s="1"/>
  <c r="AB25" i="7"/>
  <c r="Y78" i="7"/>
  <c r="Y83" i="7" s="1"/>
  <c r="FG63" i="7"/>
  <c r="FG78" i="7" s="1"/>
  <c r="FG83" i="7" s="1"/>
  <c r="FD138" i="7"/>
  <c r="FJ138" i="7" s="1"/>
  <c r="AB138" i="7"/>
  <c r="AA44" i="7"/>
  <c r="FI14" i="7"/>
  <c r="FI44" i="7" s="1"/>
  <c r="FD27" i="7"/>
  <c r="FJ27" i="7" s="1"/>
  <c r="AB27" i="7"/>
  <c r="R207" i="23"/>
  <c r="FB22" i="7"/>
  <c r="FD95" i="7"/>
  <c r="FJ95" i="7" s="1"/>
  <c r="AB95" i="7"/>
  <c r="V149" i="7"/>
  <c r="V154" i="7" s="1"/>
  <c r="FD134" i="7"/>
  <c r="AB134" i="7"/>
  <c r="N84" i="7"/>
  <c r="FB27" i="7"/>
  <c r="AB72" i="7"/>
  <c r="FD72" i="7"/>
  <c r="FJ72" i="7" s="1"/>
  <c r="N156" i="25"/>
  <c r="FD26" i="7"/>
  <c r="FJ26" i="7" s="1"/>
  <c r="AB26" i="7"/>
  <c r="FB77" i="7"/>
  <c r="AB90" i="7"/>
  <c r="FD90" i="7"/>
  <c r="FJ90" i="7" s="1"/>
  <c r="FB26" i="7"/>
  <c r="E27" i="40"/>
  <c r="E31" i="40" s="1"/>
  <c r="FB16" i="7"/>
  <c r="FB91" i="7"/>
  <c r="FB140" i="7"/>
  <c r="FB20" i="7"/>
  <c r="FB68" i="7"/>
  <c r="W44" i="7"/>
  <c r="FE14" i="7"/>
  <c r="FE44" i="7" s="1"/>
  <c r="V78" i="7"/>
  <c r="V83" i="7" s="1"/>
  <c r="AB63" i="7"/>
  <c r="FD63" i="7"/>
  <c r="FD139" i="7"/>
  <c r="FJ139" i="7" s="1"/>
  <c r="AB139" i="7"/>
  <c r="FD92" i="7"/>
  <c r="FJ92" i="7" s="1"/>
  <c r="AB92" i="7"/>
  <c r="FB138" i="7"/>
  <c r="AB28" i="7"/>
  <c r="FD28" i="7"/>
  <c r="FJ28" i="7" s="1"/>
  <c r="FB63" i="7"/>
  <c r="EV78" i="7"/>
  <c r="EV83" i="7" s="1"/>
  <c r="FB24" i="7"/>
  <c r="FD64" i="7"/>
  <c r="FJ64" i="7" s="1"/>
  <c r="AB64" i="7"/>
  <c r="FB76" i="7"/>
  <c r="EX44" i="7"/>
  <c r="FD137" i="7"/>
  <c r="FJ137" i="7" s="1"/>
  <c r="AB137" i="7"/>
  <c r="L152" i="23"/>
  <c r="E144" i="7" s="1"/>
  <c r="EM144" i="7" s="1"/>
  <c r="R152" i="23"/>
  <c r="S152" i="23" s="1"/>
  <c r="T152" i="23" s="1"/>
  <c r="M152" i="23"/>
  <c r="AB144" i="7"/>
  <c r="FD144" i="7"/>
  <c r="FJ144" i="7" s="1"/>
  <c r="FD98" i="7"/>
  <c r="FJ98" i="7" s="1"/>
  <c r="AB98" i="7"/>
  <c r="Q84" i="7"/>
  <c r="FB142" i="7"/>
  <c r="AB76" i="7"/>
  <c r="FD76" i="7"/>
  <c r="FJ76" i="7" s="1"/>
  <c r="AB94" i="7"/>
  <c r="FD94" i="7"/>
  <c r="FJ94" i="7" s="1"/>
  <c r="FB70" i="7"/>
  <c r="FB73" i="7"/>
  <c r="FB93" i="7"/>
  <c r="L82" i="23"/>
  <c r="E139" i="7" s="1"/>
  <c r="EM139" i="7" s="1"/>
  <c r="R82" i="23"/>
  <c r="S82" i="23" s="1"/>
  <c r="T82" i="23" s="1"/>
  <c r="M82" i="23"/>
  <c r="FB67" i="7"/>
  <c r="FB139" i="7"/>
  <c r="EV149" i="7"/>
  <c r="EV154" i="7" s="1"/>
  <c r="FB134" i="7"/>
  <c r="FB137" i="7"/>
  <c r="FB96" i="7"/>
  <c r="AB147" i="7"/>
  <c r="FD147" i="7"/>
  <c r="FJ147" i="7" s="1"/>
  <c r="AB18" i="7"/>
  <c r="FD18" i="7"/>
  <c r="FJ18" i="7" s="1"/>
  <c r="AB91" i="7"/>
  <c r="FD91" i="7"/>
  <c r="FJ91" i="7" s="1"/>
  <c r="AB141" i="7"/>
  <c r="FD141" i="7"/>
  <c r="FJ141" i="7" s="1"/>
  <c r="AB143" i="7"/>
  <c r="FD143" i="7"/>
  <c r="FJ143" i="7" s="1"/>
  <c r="K28" i="33"/>
  <c r="V5" i="36"/>
  <c r="O305" i="7"/>
  <c r="AB136" i="7"/>
  <c r="FD136" i="7"/>
  <c r="FJ136" i="7" s="1"/>
  <c r="FA149" i="7"/>
  <c r="FA154" i="7" s="1"/>
  <c r="X149" i="7"/>
  <c r="X154" i="7" s="1"/>
  <c r="FF134" i="7"/>
  <c r="FF149" i="7" s="1"/>
  <c r="FF154" i="7" s="1"/>
  <c r="EX78" i="7"/>
  <c r="EX83" i="7" s="1"/>
  <c r="X44" i="7"/>
  <c r="FF14" i="7"/>
  <c r="FF44" i="7" s="1"/>
  <c r="R165" i="23"/>
  <c r="ER306" i="7"/>
  <c r="EW306" i="7" s="1"/>
  <c r="AI137" i="7"/>
  <c r="FQ137" i="7" s="1"/>
  <c r="AI141" i="7"/>
  <c r="AI145" i="7"/>
  <c r="AD134" i="7"/>
  <c r="AD138" i="7"/>
  <c r="AD142" i="7"/>
  <c r="AD146" i="7"/>
  <c r="AD137" i="7"/>
  <c r="AF141" i="7"/>
  <c r="FN141" i="7" s="1"/>
  <c r="AH145" i="7"/>
  <c r="FP145" i="7" s="1"/>
  <c r="AH89" i="7"/>
  <c r="FP89" i="7" s="1"/>
  <c r="AH93" i="7"/>
  <c r="AH97" i="7"/>
  <c r="FP97" i="7" s="1"/>
  <c r="AH101" i="7"/>
  <c r="FP101" i="7" s="1"/>
  <c r="AE137" i="7"/>
  <c r="FM137" i="7" s="1"/>
  <c r="AG141" i="7"/>
  <c r="AE146" i="7"/>
  <c r="AI89" i="7"/>
  <c r="FQ89" i="7" s="1"/>
  <c r="AI93" i="7"/>
  <c r="AI97" i="7"/>
  <c r="FQ97" i="7" s="1"/>
  <c r="AI101" i="7"/>
  <c r="AG138" i="7"/>
  <c r="AE143" i="7"/>
  <c r="AI147" i="7"/>
  <c r="AF87" i="7"/>
  <c r="AH91" i="7"/>
  <c r="AD96" i="7"/>
  <c r="AF100" i="7"/>
  <c r="FN100" i="7" s="1"/>
  <c r="AI66" i="7"/>
  <c r="AI70" i="7"/>
  <c r="FQ70" i="7" s="1"/>
  <c r="AI74" i="7"/>
  <c r="AG17" i="7"/>
  <c r="AG21" i="7"/>
  <c r="FO21" i="7" s="1"/>
  <c r="AG25" i="7"/>
  <c r="AH138" i="7"/>
  <c r="FP138" i="7" s="1"/>
  <c r="AF143" i="7"/>
  <c r="AD148" i="7"/>
  <c r="AG87" i="7"/>
  <c r="AI91" i="7"/>
  <c r="FQ91" i="7" s="1"/>
  <c r="AE96" i="7"/>
  <c r="FM96" i="7" s="1"/>
  <c r="AG100" i="7"/>
  <c r="AD63" i="7"/>
  <c r="AD67" i="7"/>
  <c r="AD71" i="7"/>
  <c r="AD75" i="7"/>
  <c r="AH17" i="7"/>
  <c r="FP17" i="7" s="1"/>
  <c r="AH21" i="7"/>
  <c r="FP21" i="7" s="1"/>
  <c r="AH25" i="7"/>
  <c r="AE135" i="7"/>
  <c r="AE140" i="7"/>
  <c r="AE145" i="7"/>
  <c r="AF88" i="7"/>
  <c r="FN88" i="7" s="1"/>
  <c r="AD93" i="7"/>
  <c r="AD98" i="7"/>
  <c r="AD64" i="7"/>
  <c r="AF68" i="7"/>
  <c r="AH72" i="7"/>
  <c r="FP72" i="7" s="1"/>
  <c r="AD77" i="7"/>
  <c r="AH15" i="7"/>
  <c r="FP15" i="7" s="1"/>
  <c r="AD20" i="7"/>
  <c r="AF24" i="7"/>
  <c r="AH28" i="7"/>
  <c r="FP28" i="7" s="1"/>
  <c r="AF135" i="7"/>
  <c r="AF140" i="7"/>
  <c r="AF145" i="7"/>
  <c r="FN145" i="7" s="1"/>
  <c r="AG88" i="7"/>
  <c r="FO88" i="7" s="1"/>
  <c r="AE93" i="7"/>
  <c r="FM93" i="7" s="1"/>
  <c r="AE98" i="7"/>
  <c r="FM98" i="7" s="1"/>
  <c r="AE64" i="7"/>
  <c r="FM64" i="7" s="1"/>
  <c r="AG68" i="7"/>
  <c r="FO68" i="7" s="1"/>
  <c r="AI72" i="7"/>
  <c r="FQ72" i="7" s="1"/>
  <c r="AE77" i="7"/>
  <c r="AI15" i="7"/>
  <c r="FQ15" i="7" s="1"/>
  <c r="AE20" i="7"/>
  <c r="AG24" i="7"/>
  <c r="AI28" i="7"/>
  <c r="AI138" i="7"/>
  <c r="FQ138" i="7" s="1"/>
  <c r="AE144" i="7"/>
  <c r="FM144" i="7" s="1"/>
  <c r="AE87" i="7"/>
  <c r="AG92" i="7"/>
  <c r="AG97" i="7"/>
  <c r="FO97" i="7" s="1"/>
  <c r="AH66" i="7"/>
  <c r="AH71" i="7"/>
  <c r="FP71" i="7" s="1"/>
  <c r="AF76" i="7"/>
  <c r="FN76" i="7" s="1"/>
  <c r="AE15" i="7"/>
  <c r="AI19" i="7"/>
  <c r="AI24" i="7"/>
  <c r="AG15" i="7"/>
  <c r="FO15" i="7" s="1"/>
  <c r="AE25" i="7"/>
  <c r="AH144" i="7"/>
  <c r="FP144" i="7" s="1"/>
  <c r="AD88" i="7"/>
  <c r="AH98" i="7"/>
  <c r="AG67" i="7"/>
  <c r="FO67" i="7" s="1"/>
  <c r="AI76" i="7"/>
  <c r="FQ76" i="7" s="1"/>
  <c r="AH20" i="7"/>
  <c r="AE134" i="7"/>
  <c r="AI144" i="7"/>
  <c r="FQ144" i="7" s="1"/>
  <c r="AG93" i="7"/>
  <c r="AF72" i="7"/>
  <c r="AD139" i="7"/>
  <c r="AF144" i="7"/>
  <c r="FN144" i="7" s="1"/>
  <c r="AH87" i="7"/>
  <c r="AH92" i="7"/>
  <c r="FP92" i="7" s="1"/>
  <c r="AF98" i="7"/>
  <c r="FN98" i="7" s="1"/>
  <c r="AE67" i="7"/>
  <c r="AI71" i="7"/>
  <c r="AG76" i="7"/>
  <c r="AF15" i="7"/>
  <c r="AF20" i="7"/>
  <c r="FN20" i="7" s="1"/>
  <c r="AD25" i="7"/>
  <c r="AE139" i="7"/>
  <c r="AG144" i="7"/>
  <c r="AI87" i="7"/>
  <c r="AI92" i="7"/>
  <c r="AG98" i="7"/>
  <c r="AF67" i="7"/>
  <c r="FN67" i="7" s="1"/>
  <c r="AD72" i="7"/>
  <c r="AH76" i="7"/>
  <c r="AG20" i="7"/>
  <c r="FO20" i="7" s="1"/>
  <c r="AF139" i="7"/>
  <c r="AF93" i="7"/>
  <c r="FN93" i="7" s="1"/>
  <c r="AE72" i="7"/>
  <c r="AD16" i="7"/>
  <c r="AF25" i="7"/>
  <c r="AG139" i="7"/>
  <c r="AE88" i="7"/>
  <c r="FM88" i="7" s="1"/>
  <c r="AI98" i="7"/>
  <c r="AH67" i="7"/>
  <c r="AF77" i="7"/>
  <c r="AI134" i="7"/>
  <c r="AH141" i="7"/>
  <c r="FP141" i="7" s="1"/>
  <c r="AG148" i="7"/>
  <c r="AD87" i="7"/>
  <c r="AH94" i="7"/>
  <c r="AI100" i="7"/>
  <c r="FQ100" i="7" s="1"/>
  <c r="AH65" i="7"/>
  <c r="AG71" i="7"/>
  <c r="FO71" i="7" s="1"/>
  <c r="AG14" i="7"/>
  <c r="AI20" i="7"/>
  <c r="FQ20" i="7" s="1"/>
  <c r="AG26" i="7"/>
  <c r="AG135" i="7"/>
  <c r="AI88" i="7"/>
  <c r="FQ88" i="7" s="1"/>
  <c r="AE101" i="7"/>
  <c r="AE21" i="7"/>
  <c r="AF101" i="7"/>
  <c r="AE66" i="7"/>
  <c r="AF21" i="7"/>
  <c r="FN21" i="7" s="1"/>
  <c r="AI135" i="7"/>
  <c r="AF95" i="7"/>
  <c r="FN95" i="7" s="1"/>
  <c r="AF73" i="7"/>
  <c r="FN73" i="7" s="1"/>
  <c r="AE16" i="7"/>
  <c r="FM16" i="7" s="1"/>
  <c r="AE27" i="7"/>
  <c r="FM27" i="7" s="1"/>
  <c r="AG95" i="7"/>
  <c r="FO95" i="7" s="1"/>
  <c r="AG66" i="7"/>
  <c r="FO66" i="7" s="1"/>
  <c r="AF16" i="7"/>
  <c r="AF27" i="7"/>
  <c r="FN27" i="7" s="1"/>
  <c r="AE136" i="7"/>
  <c r="FM136" i="7" s="1"/>
  <c r="AH95" i="7"/>
  <c r="FP95" i="7" s="1"/>
  <c r="AH73" i="7"/>
  <c r="FP73" i="7" s="1"/>
  <c r="AD135" i="7"/>
  <c r="AE142" i="7"/>
  <c r="FM142" i="7" s="1"/>
  <c r="AH148" i="7"/>
  <c r="FP148" i="7" s="1"/>
  <c r="AH88" i="7"/>
  <c r="AI94" i="7"/>
  <c r="AD101" i="7"/>
  <c r="AI65" i="7"/>
  <c r="FQ65" i="7" s="1"/>
  <c r="AG72" i="7"/>
  <c r="AH14" i="7"/>
  <c r="AD21" i="7"/>
  <c r="AH26" i="7"/>
  <c r="FP26" i="7" s="1"/>
  <c r="AF142" i="7"/>
  <c r="FN142" i="7" s="1"/>
  <c r="AI148" i="7"/>
  <c r="AD95" i="7"/>
  <c r="AD66" i="7"/>
  <c r="AD73" i="7"/>
  <c r="AI14" i="7"/>
  <c r="AI26" i="7"/>
  <c r="FQ26" i="7" s="1"/>
  <c r="AH135" i="7"/>
  <c r="AG142" i="7"/>
  <c r="FO142" i="7" s="1"/>
  <c r="AD89" i="7"/>
  <c r="AE95" i="7"/>
  <c r="AE73" i="7"/>
  <c r="FM73" i="7" s="1"/>
  <c r="AD15" i="7"/>
  <c r="AD27" i="7"/>
  <c r="AH142" i="7"/>
  <c r="AE89" i="7"/>
  <c r="AG101" i="7"/>
  <c r="FO101" i="7" s="1"/>
  <c r="AF66" i="7"/>
  <c r="AI21" i="7"/>
  <c r="AD136" i="7"/>
  <c r="AI142" i="7"/>
  <c r="AF89" i="7"/>
  <c r="FN89" i="7" s="1"/>
  <c r="AG73" i="7"/>
  <c r="AD22" i="7"/>
  <c r="AD143" i="7"/>
  <c r="AG89" i="7"/>
  <c r="FO89" i="7" s="1"/>
  <c r="AI67" i="7"/>
  <c r="AD140" i="7"/>
  <c r="AE91" i="7"/>
  <c r="AD100" i="7"/>
  <c r="AE69" i="7"/>
  <c r="AE76" i="7"/>
  <c r="FM76" i="7" s="1"/>
  <c r="AF134" i="7"/>
  <c r="AG145" i="7"/>
  <c r="AD97" i="7"/>
  <c r="AI68" i="7"/>
  <c r="AD76" i="7"/>
  <c r="AH19" i="7"/>
  <c r="AF28" i="7"/>
  <c r="FN28" i="7" s="1"/>
  <c r="AG134" i="7"/>
  <c r="AF146" i="7"/>
  <c r="AE97" i="7"/>
  <c r="AD69" i="7"/>
  <c r="AG77" i="7"/>
  <c r="AE22" i="7"/>
  <c r="AG28" i="7"/>
  <c r="AH134" i="7"/>
  <c r="AG146" i="7"/>
  <c r="AF97" i="7"/>
  <c r="FN97" i="7" s="1"/>
  <c r="AF69" i="7"/>
  <c r="FN69" i="7" s="1"/>
  <c r="AH77" i="7"/>
  <c r="AF22" i="7"/>
  <c r="AD145" i="7"/>
  <c r="AD94" i="7"/>
  <c r="AG70" i="7"/>
  <c r="FO70" i="7" s="1"/>
  <c r="AE17" i="7"/>
  <c r="AH24" i="7"/>
  <c r="AD147" i="7"/>
  <c r="AF71" i="7"/>
  <c r="FN71" i="7" s="1"/>
  <c r="AD18" i="7"/>
  <c r="AG63" i="7"/>
  <c r="AF26" i="7"/>
  <c r="AG136" i="7"/>
  <c r="AF96" i="7"/>
  <c r="AH63" i="7"/>
  <c r="AF18" i="7"/>
  <c r="FN18" i="7" s="1"/>
  <c r="AG147" i="7"/>
  <c r="FO147" i="7" s="1"/>
  <c r="AE74" i="7"/>
  <c r="AG18" i="7"/>
  <c r="FO18" i="7" s="1"/>
  <c r="AI136" i="7"/>
  <c r="FQ136" i="7" s="1"/>
  <c r="AH96" i="7"/>
  <c r="FP96" i="7" s="1"/>
  <c r="AF74" i="7"/>
  <c r="FN74" i="7" s="1"/>
  <c r="AI27" i="7"/>
  <c r="FQ27" i="7" s="1"/>
  <c r="AH146" i="7"/>
  <c r="FP146" i="7" s="1"/>
  <c r="AE94" i="7"/>
  <c r="AH70" i="7"/>
  <c r="FP70" i="7" s="1"/>
  <c r="AF17" i="7"/>
  <c r="AI25" i="7"/>
  <c r="FQ25" i="7" s="1"/>
  <c r="AF136" i="7"/>
  <c r="AE18" i="7"/>
  <c r="AF147" i="7"/>
  <c r="FN147" i="7" s="1"/>
  <c r="AG27" i="7"/>
  <c r="AG96" i="7"/>
  <c r="AF64" i="7"/>
  <c r="AI146" i="7"/>
  <c r="FQ146" i="7" s="1"/>
  <c r="AF94" i="7"/>
  <c r="FN94" i="7" s="1"/>
  <c r="AE63" i="7"/>
  <c r="AE71" i="7"/>
  <c r="FM71" i="7" s="1"/>
  <c r="AI17" i="7"/>
  <c r="AD26" i="7"/>
  <c r="AG94" i="7"/>
  <c r="AF63" i="7"/>
  <c r="AE26" i="7"/>
  <c r="FM26" i="7" s="1"/>
  <c r="AE147" i="7"/>
  <c r="AI95" i="7"/>
  <c r="AI73" i="7"/>
  <c r="FQ73" i="7" s="1"/>
  <c r="AD74" i="7"/>
  <c r="AH136" i="7"/>
  <c r="AI63" i="7"/>
  <c r="AH27" i="7"/>
  <c r="AH147" i="7"/>
  <c r="AH18" i="7"/>
  <c r="AI140" i="7"/>
  <c r="AF99" i="7"/>
  <c r="FN99" i="7" s="1"/>
  <c r="AE141" i="7"/>
  <c r="FM141" i="7" s="1"/>
  <c r="AH99" i="7"/>
  <c r="AI69" i="7"/>
  <c r="FQ69" i="7" s="1"/>
  <c r="AD17" i="7"/>
  <c r="J306" i="7"/>
  <c r="AF90" i="7"/>
  <c r="AH75" i="7"/>
  <c r="AD91" i="7"/>
  <c r="AE65" i="7"/>
  <c r="FM65" i="7" s="1"/>
  <c r="AH23" i="7"/>
  <c r="AF91" i="7"/>
  <c r="FN91" i="7" s="1"/>
  <c r="AF65" i="7"/>
  <c r="AI23" i="7"/>
  <c r="AG91" i="7"/>
  <c r="AG65" i="7"/>
  <c r="FO65" i="7" s="1"/>
  <c r="AD24" i="7"/>
  <c r="AI139" i="7"/>
  <c r="AE100" i="7"/>
  <c r="FM100" i="7" s="1"/>
  <c r="AG74" i="7"/>
  <c r="FO74" i="7" s="1"/>
  <c r="AI16" i="7"/>
  <c r="AH100" i="7"/>
  <c r="AE68" i="7"/>
  <c r="AG23" i="7"/>
  <c r="AD70" i="7"/>
  <c r="AH68" i="7"/>
  <c r="FP68" i="7" s="1"/>
  <c r="AE24" i="7"/>
  <c r="AE28" i="7"/>
  <c r="AG69" i="7"/>
  <c r="FO69" i="7" s="1"/>
  <c r="AD28" i="7"/>
  <c r="AH69" i="7"/>
  <c r="FP69" i="7" s="1"/>
  <c r="AI99" i="7"/>
  <c r="AD144" i="7"/>
  <c r="AF92" i="7"/>
  <c r="FN92" i="7" s="1"/>
  <c r="AG75" i="7"/>
  <c r="AF19" i="7"/>
  <c r="AE148" i="7"/>
  <c r="FM148" i="7" s="1"/>
  <c r="AI96" i="7"/>
  <c r="FQ96" i="7" s="1"/>
  <c r="AI75" i="7"/>
  <c r="AG19" i="7"/>
  <c r="AF148" i="7"/>
  <c r="FN148" i="7" s="1"/>
  <c r="AD99" i="7"/>
  <c r="AI77" i="7"/>
  <c r="FQ77" i="7" s="1"/>
  <c r="AG22" i="7"/>
  <c r="FO22" i="7" s="1"/>
  <c r="AG99" i="7"/>
  <c r="FO99" i="7" s="1"/>
  <c r="AG140" i="7"/>
  <c r="FO140" i="7" s="1"/>
  <c r="AH140" i="7"/>
  <c r="AD90" i="7"/>
  <c r="AF23" i="7"/>
  <c r="FN23" i="7" s="1"/>
  <c r="AD141" i="7"/>
  <c r="AE90" i="7"/>
  <c r="AG143" i="7"/>
  <c r="AG90" i="7"/>
  <c r="AF138" i="7"/>
  <c r="AI90" i="7"/>
  <c r="AH139" i="7"/>
  <c r="AD92" i="7"/>
  <c r="A20" i="39"/>
  <c r="AH143" i="7"/>
  <c r="AE92" i="7"/>
  <c r="AI143" i="7"/>
  <c r="AE99" i="7"/>
  <c r="AD14" i="7"/>
  <c r="AE14" i="7"/>
  <c r="AH64" i="7"/>
  <c r="FP64" i="7" s="1"/>
  <c r="AI18" i="7"/>
  <c r="FQ18" i="7" s="1"/>
  <c r="AI64" i="7"/>
  <c r="AD19" i="7"/>
  <c r="AD65" i="7"/>
  <c r="AE19" i="7"/>
  <c r="FM19" i="7" s="1"/>
  <c r="AD68" i="7"/>
  <c r="AH22" i="7"/>
  <c r="FP22" i="7" s="1"/>
  <c r="AE70" i="7"/>
  <c r="AI22" i="7"/>
  <c r="FQ22" i="7" s="1"/>
  <c r="AH90" i="7"/>
  <c r="AF75" i="7"/>
  <c r="AF137" i="7"/>
  <c r="FN137" i="7" s="1"/>
  <c r="AG137" i="7"/>
  <c r="FO137" i="7" s="1"/>
  <c r="AH137" i="7"/>
  <c r="AF14" i="7"/>
  <c r="AG16" i="7"/>
  <c r="AH16" i="7"/>
  <c r="AD23" i="7"/>
  <c r="AE138" i="7"/>
  <c r="AE23" i="7"/>
  <c r="FM23" i="7" s="1"/>
  <c r="AH74" i="7"/>
  <c r="AE75" i="7"/>
  <c r="FM75" i="7" s="1"/>
  <c r="AG64" i="7"/>
  <c r="AF70" i="7"/>
  <c r="T78" i="7"/>
  <c r="T83" i="7" s="1"/>
  <c r="FB21" i="7"/>
  <c r="FB145" i="7"/>
  <c r="FB146" i="7"/>
  <c r="EW44" i="7"/>
  <c r="AB22" i="7"/>
  <c r="FD22" i="7"/>
  <c r="FJ22" i="7" s="1"/>
  <c r="FE134" i="7"/>
  <c r="FE149" i="7" s="1"/>
  <c r="FE154" i="7" s="1"/>
  <c r="W149" i="7"/>
  <c r="W154" i="7" s="1"/>
  <c r="FD65" i="7"/>
  <c r="FJ65" i="7" s="1"/>
  <c r="AB65" i="7"/>
  <c r="FD15" i="7"/>
  <c r="FJ15" i="7" s="1"/>
  <c r="AB15" i="7"/>
  <c r="AA78" i="7"/>
  <c r="AA83" i="7" s="1"/>
  <c r="FI63" i="7"/>
  <c r="FI78" i="7" s="1"/>
  <c r="FI83" i="7" s="1"/>
  <c r="T55" i="22"/>
  <c r="AD39" i="25" s="1"/>
  <c r="S40" i="22"/>
  <c r="T41" i="22"/>
  <c r="AD25" i="25" s="1"/>
  <c r="AD24" i="25" s="1"/>
  <c r="U65" i="22"/>
  <c r="AE49" i="25" s="1"/>
  <c r="AE48" i="25" s="1"/>
  <c r="T64" i="22"/>
  <c r="S58" i="22"/>
  <c r="T59" i="22"/>
  <c r="AD43" i="25" s="1"/>
  <c r="AD42" i="25" s="1"/>
  <c r="T47" i="22"/>
  <c r="AD31" i="25" s="1"/>
  <c r="AD30" i="25" s="1"/>
  <c r="S46" i="22"/>
  <c r="U42" i="22"/>
  <c r="AE26" i="25" s="1"/>
  <c r="T53" i="22"/>
  <c r="AD37" i="25" s="1"/>
  <c r="AD36" i="25" s="1"/>
  <c r="S52" i="22"/>
  <c r="AT10" i="7"/>
  <c r="GB10" i="7"/>
  <c r="A94" i="26"/>
  <c r="U22" i="22"/>
  <c r="AE6" i="25" s="1"/>
  <c r="T21" i="22"/>
  <c r="AD5" i="25" s="1"/>
  <c r="FT10" i="7"/>
  <c r="AL10" i="7"/>
  <c r="T26" i="22"/>
  <c r="AD10" i="25" s="1"/>
  <c r="U24" i="22"/>
  <c r="AE8" i="25" s="1"/>
  <c r="U43" i="22"/>
  <c r="AE27" i="25" s="1"/>
  <c r="U67" i="22"/>
  <c r="AE51" i="25" s="1"/>
  <c r="V61" i="22" l="1"/>
  <c r="AF45" i="25" s="1"/>
  <c r="U25" i="22"/>
  <c r="AE9" i="25" s="1"/>
  <c r="K15" i="26"/>
  <c r="V15" i="26" s="1"/>
  <c r="H16" i="26"/>
  <c r="AG15" i="26"/>
  <c r="AK15" i="26" s="1"/>
  <c r="A89" i="21"/>
  <c r="O90" i="21" s="1"/>
  <c r="Q93" i="21" s="1"/>
  <c r="P95" i="21" s="1"/>
  <c r="F76" i="21"/>
  <c r="J79" i="21" s="1"/>
  <c r="B76" i="21"/>
  <c r="C92" i="7" s="1"/>
  <c r="EK92" i="7" s="1"/>
  <c r="I281" i="25"/>
  <c r="B77" i="21"/>
  <c r="B105" i="36" s="1"/>
  <c r="K105" i="36" s="1"/>
  <c r="I50" i="25"/>
  <c r="I51" i="25" s="1"/>
  <c r="I52" i="25" s="1"/>
  <c r="I53" i="25" s="1"/>
  <c r="I54" i="25" s="1"/>
  <c r="I55" i="25" s="1"/>
  <c r="F77" i="21"/>
  <c r="X83" i="21" s="1"/>
  <c r="D398" i="25"/>
  <c r="D399" i="25" s="1"/>
  <c r="D400" i="25" s="1"/>
  <c r="D401" i="25" s="1"/>
  <c r="D402" i="25" s="1"/>
  <c r="D403" i="25" s="1"/>
  <c r="D404" i="25" s="1"/>
  <c r="D405" i="25" s="1"/>
  <c r="D406" i="25" s="1"/>
  <c r="D407" i="25" s="1"/>
  <c r="D408" i="25" s="1"/>
  <c r="D20" i="25"/>
  <c r="I21" i="25"/>
  <c r="I22" i="25" s="1"/>
  <c r="I23" i="25" s="1"/>
  <c r="I24" i="25" s="1"/>
  <c r="I25" i="25" s="1"/>
  <c r="I26" i="25" s="1"/>
  <c r="I20" i="25"/>
  <c r="D21" i="25"/>
  <c r="D22" i="25" s="1"/>
  <c r="D23" i="25" s="1"/>
  <c r="D24" i="25" s="1"/>
  <c r="D25" i="25" s="1"/>
  <c r="D26" i="25" s="1"/>
  <c r="D27" i="25" s="1"/>
  <c r="D28" i="25" s="1"/>
  <c r="D29" i="25" s="1"/>
  <c r="D30" i="25" s="1"/>
  <c r="D31" i="25" s="1"/>
  <c r="C426" i="25"/>
  <c r="K426" i="25" s="1"/>
  <c r="I224" i="25"/>
  <c r="I225" i="25" s="1"/>
  <c r="I226" i="25" s="1"/>
  <c r="I227" i="25" s="1"/>
  <c r="I228" i="25" s="1"/>
  <c r="I229" i="25" s="1"/>
  <c r="I230" i="25" s="1"/>
  <c r="I231" i="25" s="1"/>
  <c r="I232" i="25" s="1"/>
  <c r="I233" i="25" s="1"/>
  <c r="C223" i="25"/>
  <c r="K223" i="25" s="1"/>
  <c r="C136" i="25"/>
  <c r="K136" i="25" s="1"/>
  <c r="C252" i="25"/>
  <c r="K252" i="25" s="1"/>
  <c r="D137" i="25"/>
  <c r="D138" i="25" s="1"/>
  <c r="D139" i="25" s="1"/>
  <c r="D140" i="25" s="1"/>
  <c r="D141" i="25" s="1"/>
  <c r="D142" i="25" s="1"/>
  <c r="D143" i="25" s="1"/>
  <c r="D144" i="25" s="1"/>
  <c r="D145" i="25" s="1"/>
  <c r="D146" i="25" s="1"/>
  <c r="D147" i="25" s="1"/>
  <c r="C194" i="25"/>
  <c r="K194" i="25" s="1"/>
  <c r="S30" i="22"/>
  <c r="AC14" i="25" s="1"/>
  <c r="C281" i="25"/>
  <c r="K281" i="25" s="1"/>
  <c r="D165" i="25"/>
  <c r="C165" i="25"/>
  <c r="K165" i="25" s="1"/>
  <c r="I49" i="25"/>
  <c r="D397" i="25"/>
  <c r="D368" i="25"/>
  <c r="D369" i="25"/>
  <c r="D370" i="25" s="1"/>
  <c r="D371" i="25" s="1"/>
  <c r="D372" i="25" s="1"/>
  <c r="D373" i="25" s="1"/>
  <c r="D374" i="25" s="1"/>
  <c r="D375" i="25" s="1"/>
  <c r="D376" i="25" s="1"/>
  <c r="D377" i="25" s="1"/>
  <c r="D378" i="25" s="1"/>
  <c r="D379" i="25" s="1"/>
  <c r="C78" i="25"/>
  <c r="K78" i="25" s="1"/>
  <c r="C20" i="25"/>
  <c r="K20" i="25" s="1"/>
  <c r="D340" i="25"/>
  <c r="D341" i="25" s="1"/>
  <c r="D342" i="25" s="1"/>
  <c r="D343" i="25" s="1"/>
  <c r="D344" i="25" s="1"/>
  <c r="D345" i="25" s="1"/>
  <c r="D346" i="25" s="1"/>
  <c r="D347" i="25" s="1"/>
  <c r="D348" i="25" s="1"/>
  <c r="D349" i="25" s="1"/>
  <c r="D350" i="25" s="1"/>
  <c r="D310" i="25"/>
  <c r="I368" i="25"/>
  <c r="D166" i="25"/>
  <c r="D167" i="25" s="1"/>
  <c r="D168" i="25" s="1"/>
  <c r="D169" i="25" s="1"/>
  <c r="D170" i="25" s="1"/>
  <c r="D171" i="25" s="1"/>
  <c r="D172" i="25" s="1"/>
  <c r="D173" i="25" s="1"/>
  <c r="D174" i="25" s="1"/>
  <c r="D175" i="25" s="1"/>
  <c r="D176" i="25" s="1"/>
  <c r="I78" i="25"/>
  <c r="C339" i="25"/>
  <c r="K339" i="25" s="1"/>
  <c r="I165" i="25"/>
  <c r="D281" i="25"/>
  <c r="Z19" i="25"/>
  <c r="F78" i="25" s="1"/>
  <c r="AC48" i="25"/>
  <c r="I369" i="25"/>
  <c r="I370" i="25" s="1"/>
  <c r="I371" i="25" s="1"/>
  <c r="I372" i="25" s="1"/>
  <c r="I373" i="25" s="1"/>
  <c r="I374" i="25" s="1"/>
  <c r="I375" i="25" s="1"/>
  <c r="I376" i="25" s="1"/>
  <c r="I377" i="25" s="1"/>
  <c r="I378" i="25" s="1"/>
  <c r="I397" i="25"/>
  <c r="I136" i="25"/>
  <c r="I426" i="25"/>
  <c r="I398" i="25"/>
  <c r="I399" i="25" s="1"/>
  <c r="I400" i="25" s="1"/>
  <c r="I401" i="25" s="1"/>
  <c r="I402" i="25" s="1"/>
  <c r="I403" i="25" s="1"/>
  <c r="I404" i="25" s="1"/>
  <c r="I405" i="25" s="1"/>
  <c r="I406" i="25" s="1"/>
  <c r="I407" i="25" s="1"/>
  <c r="D311" i="25"/>
  <c r="D312" i="25" s="1"/>
  <c r="D313" i="25" s="1"/>
  <c r="D314" i="25" s="1"/>
  <c r="D315" i="25" s="1"/>
  <c r="D316" i="25" s="1"/>
  <c r="D317" i="25" s="1"/>
  <c r="D318" i="25" s="1"/>
  <c r="D319" i="25" s="1"/>
  <c r="D320" i="25" s="1"/>
  <c r="D321" i="25" s="1"/>
  <c r="I427" i="25"/>
  <c r="I428" i="25" s="1"/>
  <c r="I429" i="25" s="1"/>
  <c r="I430" i="25" s="1"/>
  <c r="I431" i="25" s="1"/>
  <c r="I432" i="25" s="1"/>
  <c r="I433" i="25" s="1"/>
  <c r="I434" i="25" s="1"/>
  <c r="I435" i="25" s="1"/>
  <c r="I436" i="25" s="1"/>
  <c r="D252" i="25"/>
  <c r="D223" i="25"/>
  <c r="D49" i="25"/>
  <c r="D136" i="25"/>
  <c r="D224" i="25"/>
  <c r="D225" i="25" s="1"/>
  <c r="D226" i="25" s="1"/>
  <c r="D227" i="25" s="1"/>
  <c r="D228" i="25" s="1"/>
  <c r="D229" i="25" s="1"/>
  <c r="D230" i="25" s="1"/>
  <c r="D231" i="25" s="1"/>
  <c r="D232" i="25" s="1"/>
  <c r="D233" i="25" s="1"/>
  <c r="D234" i="25" s="1"/>
  <c r="D108" i="25"/>
  <c r="D109" i="25" s="1"/>
  <c r="D110" i="25" s="1"/>
  <c r="D111" i="25" s="1"/>
  <c r="D112" i="25" s="1"/>
  <c r="D113" i="25" s="1"/>
  <c r="D114" i="25" s="1"/>
  <c r="D115" i="25" s="1"/>
  <c r="D116" i="25" s="1"/>
  <c r="D117" i="25" s="1"/>
  <c r="D118" i="25" s="1"/>
  <c r="I252" i="25"/>
  <c r="D253" i="25"/>
  <c r="D254" i="25" s="1"/>
  <c r="D255" i="25" s="1"/>
  <c r="D256" i="25" s="1"/>
  <c r="D257" i="25" s="1"/>
  <c r="D258" i="25" s="1"/>
  <c r="D259" i="25" s="1"/>
  <c r="D260" i="25" s="1"/>
  <c r="D261" i="25" s="1"/>
  <c r="D262" i="25" s="1"/>
  <c r="D263" i="25" s="1"/>
  <c r="D426" i="25"/>
  <c r="D427" i="25"/>
  <c r="D428" i="25" s="1"/>
  <c r="D429" i="25" s="1"/>
  <c r="D430" i="25" s="1"/>
  <c r="D431" i="25" s="1"/>
  <c r="D432" i="25" s="1"/>
  <c r="D433" i="25" s="1"/>
  <c r="D434" i="25" s="1"/>
  <c r="D435" i="25" s="1"/>
  <c r="D436" i="25" s="1"/>
  <c r="D437" i="25" s="1"/>
  <c r="D78" i="25"/>
  <c r="I108" i="25"/>
  <c r="I109" i="25" s="1"/>
  <c r="I110" i="25" s="1"/>
  <c r="I111" i="25" s="1"/>
  <c r="I112" i="25" s="1"/>
  <c r="I113" i="25" s="1"/>
  <c r="I114" i="25" s="1"/>
  <c r="I115" i="25" s="1"/>
  <c r="I137" i="25"/>
  <c r="I138" i="25" s="1"/>
  <c r="I139" i="25" s="1"/>
  <c r="I140" i="25" s="1"/>
  <c r="I141" i="25" s="1"/>
  <c r="I142" i="25" s="1"/>
  <c r="I282" i="25"/>
  <c r="I283" i="25" s="1"/>
  <c r="I284" i="25" s="1"/>
  <c r="I285" i="25" s="1"/>
  <c r="I286" i="25" s="1"/>
  <c r="I287" i="25" s="1"/>
  <c r="D339" i="25"/>
  <c r="I310" i="25"/>
  <c r="I79" i="25"/>
  <c r="I80" i="25" s="1"/>
  <c r="I81" i="25" s="1"/>
  <c r="I82" i="25" s="1"/>
  <c r="I83" i="25" s="1"/>
  <c r="I84" i="25" s="1"/>
  <c r="I253" i="25"/>
  <c r="I254" i="25" s="1"/>
  <c r="I255" i="25" s="1"/>
  <c r="I256" i="25" s="1"/>
  <c r="I257" i="25" s="1"/>
  <c r="I258" i="25" s="1"/>
  <c r="I194" i="25"/>
  <c r="D107" i="25"/>
  <c r="D50" i="25"/>
  <c r="D51" i="25" s="1"/>
  <c r="D52" i="25" s="1"/>
  <c r="D53" i="25" s="1"/>
  <c r="D54" i="25" s="1"/>
  <c r="D55" i="25" s="1"/>
  <c r="D56" i="25" s="1"/>
  <c r="D57" i="25" s="1"/>
  <c r="D58" i="25" s="1"/>
  <c r="D59" i="25" s="1"/>
  <c r="D60" i="25" s="1"/>
  <c r="I311" i="25"/>
  <c r="I312" i="25" s="1"/>
  <c r="I313" i="25" s="1"/>
  <c r="I314" i="25" s="1"/>
  <c r="I315" i="25" s="1"/>
  <c r="I316" i="25" s="1"/>
  <c r="I339" i="25"/>
  <c r="D79" i="25"/>
  <c r="D80" i="25" s="1"/>
  <c r="D81" i="25" s="1"/>
  <c r="D82" i="25" s="1"/>
  <c r="D83" i="25" s="1"/>
  <c r="D84" i="25" s="1"/>
  <c r="D85" i="25" s="1"/>
  <c r="D86" i="25" s="1"/>
  <c r="D87" i="25" s="1"/>
  <c r="D88" i="25" s="1"/>
  <c r="D89" i="25" s="1"/>
  <c r="I107" i="25"/>
  <c r="D194" i="25"/>
  <c r="I340" i="25"/>
  <c r="I341" i="25" s="1"/>
  <c r="I342" i="25" s="1"/>
  <c r="I343" i="25" s="1"/>
  <c r="I344" i="25" s="1"/>
  <c r="I345" i="25" s="1"/>
  <c r="I346" i="25" s="1"/>
  <c r="I347" i="25" s="1"/>
  <c r="I348" i="25" s="1"/>
  <c r="I349" i="25" s="1"/>
  <c r="D282" i="25"/>
  <c r="D283" i="25" s="1"/>
  <c r="D284" i="25" s="1"/>
  <c r="D285" i="25" s="1"/>
  <c r="D286" i="25" s="1"/>
  <c r="D287" i="25" s="1"/>
  <c r="D288" i="25" s="1"/>
  <c r="D289" i="25" s="1"/>
  <c r="D290" i="25" s="1"/>
  <c r="D291" i="25" s="1"/>
  <c r="D292" i="25" s="1"/>
  <c r="I223" i="25"/>
  <c r="D195" i="25"/>
  <c r="D196" i="25" s="1"/>
  <c r="D197" i="25" s="1"/>
  <c r="D198" i="25" s="1"/>
  <c r="D199" i="25" s="1"/>
  <c r="D200" i="25" s="1"/>
  <c r="D201" i="25" s="1"/>
  <c r="D202" i="25" s="1"/>
  <c r="D203" i="25" s="1"/>
  <c r="D204" i="25" s="1"/>
  <c r="D205" i="25" s="1"/>
  <c r="AA18" i="25"/>
  <c r="X72" i="21"/>
  <c r="W67" i="21"/>
  <c r="B45" i="40"/>
  <c r="G68" i="21"/>
  <c r="X70" i="21"/>
  <c r="X73" i="21"/>
  <c r="J74" i="21" s="1"/>
  <c r="X69" i="21"/>
  <c r="W69" i="21"/>
  <c r="X71" i="21"/>
  <c r="B85" i="36"/>
  <c r="K85" i="36" s="1"/>
  <c r="X67" i="21"/>
  <c r="D65" i="21"/>
  <c r="X68" i="21"/>
  <c r="C44" i="51"/>
  <c r="E41" i="51"/>
  <c r="F42" i="51"/>
  <c r="L63" i="21"/>
  <c r="E42" i="51"/>
  <c r="B40" i="51"/>
  <c r="C72" i="21"/>
  <c r="G45" i="51" s="1"/>
  <c r="C71" i="21"/>
  <c r="G80" i="56" s="1" a="1"/>
  <c r="G80" i="56" s="1"/>
  <c r="R81" i="21"/>
  <c r="R82" i="21" s="1"/>
  <c r="R83" i="21" s="1"/>
  <c r="R84" i="21" s="1"/>
  <c r="R85" i="21" s="1"/>
  <c r="R86" i="21" s="1"/>
  <c r="P81" i="21"/>
  <c r="P82" i="21" s="1"/>
  <c r="C41" i="51"/>
  <c r="L68" i="21"/>
  <c r="O68" i="21" s="1"/>
  <c r="L67" i="21"/>
  <c r="O67" i="21" s="1"/>
  <c r="K67" i="21"/>
  <c r="M67" i="21" s="1"/>
  <c r="C91" i="7"/>
  <c r="EK91" i="7" s="1"/>
  <c r="C45" i="51"/>
  <c r="L72" i="21"/>
  <c r="Y72" i="21" s="1"/>
  <c r="K72" i="21"/>
  <c r="H76" i="56" s="1" a="1"/>
  <c r="H76" i="56" s="1"/>
  <c r="B42" i="51"/>
  <c r="B41" i="51"/>
  <c r="B45" i="51"/>
  <c r="C18" i="45"/>
  <c r="C106" i="45"/>
  <c r="C40" i="51"/>
  <c r="A45" i="41"/>
  <c r="W72" i="21"/>
  <c r="G67" i="21"/>
  <c r="E45" i="51"/>
  <c r="W71" i="21"/>
  <c r="F43" i="51"/>
  <c r="G70" i="21"/>
  <c r="F44" i="51"/>
  <c r="G69" i="21"/>
  <c r="W70" i="21"/>
  <c r="G72" i="21"/>
  <c r="W68" i="21"/>
  <c r="L71" i="21"/>
  <c r="Y71" i="21" s="1"/>
  <c r="K71" i="21"/>
  <c r="G76" i="56" s="1" a="1"/>
  <c r="G76" i="56" s="1"/>
  <c r="C42" i="51"/>
  <c r="C91" i="45"/>
  <c r="K68" i="21"/>
  <c r="M68" i="21" s="1"/>
  <c r="C106" i="7"/>
  <c r="EK106" i="7" s="1"/>
  <c r="K69" i="21"/>
  <c r="I69" i="21" s="1"/>
  <c r="D42" i="51" s="1"/>
  <c r="E43" i="51"/>
  <c r="A45" i="40"/>
  <c r="F41" i="51"/>
  <c r="C18" i="7"/>
  <c r="EK18" i="7" s="1"/>
  <c r="F45" i="51"/>
  <c r="E44" i="51"/>
  <c r="O65" i="21"/>
  <c r="B43" i="51"/>
  <c r="E40" i="51"/>
  <c r="B44" i="51"/>
  <c r="F40" i="51"/>
  <c r="G65" i="21"/>
  <c r="C70" i="21"/>
  <c r="F78" i="56" s="1" a="1"/>
  <c r="F78" i="56" s="1"/>
  <c r="C33" i="45"/>
  <c r="C43" i="51"/>
  <c r="C69" i="21"/>
  <c r="A85" i="36"/>
  <c r="V19" i="36" s="1"/>
  <c r="L70" i="21"/>
  <c r="Y70" i="21" s="1"/>
  <c r="C68" i="21"/>
  <c r="K70" i="21"/>
  <c r="M70" i="21" s="1"/>
  <c r="U65" i="21"/>
  <c r="L69" i="21"/>
  <c r="Y69" i="21" s="1"/>
  <c r="C67" i="21"/>
  <c r="C78" i="56" s="1" a="1"/>
  <c r="C78" i="56" s="1"/>
  <c r="AB15" i="21"/>
  <c r="R87" i="7"/>
  <c r="AB16" i="21"/>
  <c r="S87" i="7"/>
  <c r="AB13" i="21"/>
  <c r="P87" i="7"/>
  <c r="EV87" i="7"/>
  <c r="N117" i="7"/>
  <c r="AB12" i="21"/>
  <c r="O87" i="7"/>
  <c r="AB14" i="21"/>
  <c r="Q87" i="7"/>
  <c r="S93" i="21"/>
  <c r="R95" i="21"/>
  <c r="R96" i="21" s="1"/>
  <c r="R97" i="21" s="1"/>
  <c r="R98" i="21" s="1"/>
  <c r="R99" i="21" s="1"/>
  <c r="R100" i="21" s="1"/>
  <c r="P54" i="21"/>
  <c r="C68" i="56" a="1"/>
  <c r="C68" i="56" s="1"/>
  <c r="C77" i="56" a="1"/>
  <c r="C77" i="56" s="1"/>
  <c r="P68" i="21"/>
  <c r="CC57" i="7"/>
  <c r="R31" i="22"/>
  <c r="AB15" i="25" s="1"/>
  <c r="P36" i="22"/>
  <c r="Q36" i="22" s="1"/>
  <c r="AA20" i="25" s="1"/>
  <c r="Q32" i="22"/>
  <c r="AA16" i="25" s="1"/>
  <c r="E57" i="7"/>
  <c r="EM57" i="7" s="1"/>
  <c r="CD57" i="7"/>
  <c r="CF57" i="7"/>
  <c r="CG57" i="7"/>
  <c r="M55" i="23"/>
  <c r="L55" i="23"/>
  <c r="CL148" i="7" s="1"/>
  <c r="T29" i="22"/>
  <c r="AD13" i="25" s="1"/>
  <c r="R153" i="23"/>
  <c r="S153" i="23" s="1"/>
  <c r="T153" i="23" s="1"/>
  <c r="CE57" i="7"/>
  <c r="L153" i="23"/>
  <c r="F144" i="7" s="1"/>
  <c r="EN144" i="7" s="1"/>
  <c r="CF59" i="7"/>
  <c r="CD59" i="7"/>
  <c r="CC56" i="7"/>
  <c r="CE56" i="7"/>
  <c r="CF56" i="7"/>
  <c r="E59" i="7"/>
  <c r="EM59" i="7" s="1"/>
  <c r="CE59" i="7"/>
  <c r="CC60" i="7"/>
  <c r="CE60" i="7"/>
  <c r="E48" i="7"/>
  <c r="EM48" i="7" s="1"/>
  <c r="CG56" i="7"/>
  <c r="CE48" i="7"/>
  <c r="CG48" i="7"/>
  <c r="CF48" i="7"/>
  <c r="CC48" i="7"/>
  <c r="CD48" i="7"/>
  <c r="CD56" i="7"/>
  <c r="CG52" i="7"/>
  <c r="E56" i="7"/>
  <c r="EM56" i="7" s="1"/>
  <c r="CD52" i="7"/>
  <c r="M181" i="23"/>
  <c r="CC52" i="7"/>
  <c r="R181" i="23"/>
  <c r="S181" i="23" s="1"/>
  <c r="T181" i="23" s="1"/>
  <c r="L159" i="25"/>
  <c r="N159" i="25" s="1"/>
  <c r="E337" i="56" a="1"/>
  <c r="E337" i="56" s="1"/>
  <c r="CG53" i="7"/>
  <c r="L101" i="25"/>
  <c r="N101" i="25" s="1"/>
  <c r="E321" i="56" a="1"/>
  <c r="E321" i="56" s="1"/>
  <c r="E53" i="7"/>
  <c r="EM53" i="7" s="1"/>
  <c r="CF52" i="7"/>
  <c r="L130" i="25"/>
  <c r="E329" i="56" a="1"/>
  <c r="E329" i="56" s="1"/>
  <c r="CE53" i="7"/>
  <c r="CE52" i="7"/>
  <c r="CG47" i="7"/>
  <c r="P14" i="21"/>
  <c r="E41" i="56" a="1"/>
  <c r="E41" i="56" s="1"/>
  <c r="CD53" i="7"/>
  <c r="P33" i="22"/>
  <c r="Z17" i="25" s="1"/>
  <c r="P28" i="21"/>
  <c r="T28" i="21" s="1"/>
  <c r="E50" i="56" a="1"/>
  <c r="E50" i="56" s="1"/>
  <c r="P42" i="21"/>
  <c r="E59" i="56" a="1"/>
  <c r="E59" i="56" s="1"/>
  <c r="L420" i="25"/>
  <c r="N420" i="25" s="1"/>
  <c r="E409" i="56" a="1"/>
  <c r="E409" i="56" s="1"/>
  <c r="CC53" i="7"/>
  <c r="CD47" i="7"/>
  <c r="CF47" i="7"/>
  <c r="L391" i="25"/>
  <c r="N391" i="25" s="1"/>
  <c r="E401" i="56" a="1"/>
  <c r="E401" i="56" s="1"/>
  <c r="L304" i="25"/>
  <c r="N304" i="25" s="1"/>
  <c r="E377" i="56" a="1"/>
  <c r="E377" i="56" s="1"/>
  <c r="CE47" i="7"/>
  <c r="L72" i="25"/>
  <c r="E313" i="56" a="1"/>
  <c r="E313" i="56" s="1"/>
  <c r="L275" i="25"/>
  <c r="N275" i="25" s="1"/>
  <c r="E369" i="56" a="1"/>
  <c r="E369" i="56" s="1"/>
  <c r="E52" i="7"/>
  <c r="EM52" i="7" s="1"/>
  <c r="T13" i="21"/>
  <c r="L14" i="25"/>
  <c r="N14" i="25" s="1"/>
  <c r="E297" i="56" a="1"/>
  <c r="E297" i="56" s="1"/>
  <c r="CF60" i="7"/>
  <c r="E47" i="7"/>
  <c r="EM47" i="7" s="1"/>
  <c r="L333" i="25"/>
  <c r="N333" i="25" s="1"/>
  <c r="E385" i="56" a="1"/>
  <c r="E385" i="56" s="1"/>
  <c r="L217" i="25"/>
  <c r="N217" i="25" s="1"/>
  <c r="E353" i="56" a="1"/>
  <c r="E353" i="56" s="1"/>
  <c r="CD60" i="7"/>
  <c r="N419" i="25"/>
  <c r="L362" i="25"/>
  <c r="N362" i="25" s="1"/>
  <c r="E393" i="56" a="1"/>
  <c r="E393" i="56" s="1"/>
  <c r="Q13" i="21"/>
  <c r="CK102" i="7" s="1"/>
  <c r="CF53" i="7"/>
  <c r="L188" i="25"/>
  <c r="N188" i="25" s="1"/>
  <c r="E345" i="56" a="1"/>
  <c r="E345" i="56" s="1"/>
  <c r="L43" i="25"/>
  <c r="E305" i="56" a="1"/>
  <c r="E305" i="56" s="1"/>
  <c r="CG60" i="7"/>
  <c r="L246" i="25"/>
  <c r="N246" i="25" s="1"/>
  <c r="E361" i="56" a="1"/>
  <c r="E361" i="56" s="1"/>
  <c r="M70" i="23"/>
  <c r="E208" i="56" a="1"/>
  <c r="E208" i="56" s="1"/>
  <c r="E55" i="7"/>
  <c r="EM55" i="7" s="1"/>
  <c r="K245" i="25"/>
  <c r="M245" i="25" s="1"/>
  <c r="CL126" i="7" s="1"/>
  <c r="E360" i="56" a="1"/>
  <c r="E360" i="56" s="1"/>
  <c r="K13" i="25"/>
  <c r="CL47" i="7" s="1"/>
  <c r="E296" i="56" a="1"/>
  <c r="E296" i="56" s="1"/>
  <c r="K274" i="25"/>
  <c r="M274" i="25" s="1"/>
  <c r="E368" i="56" a="1"/>
  <c r="E368" i="56" s="1"/>
  <c r="C69" i="56" a="1"/>
  <c r="C69" i="56" s="1"/>
  <c r="C71" i="56" a="1"/>
  <c r="C71" i="56" s="1"/>
  <c r="C70" i="56" a="1"/>
  <c r="C70" i="56" s="1"/>
  <c r="L69" i="23"/>
  <c r="F138" i="7" s="1"/>
  <c r="EN138" i="7" s="1"/>
  <c r="R69" i="23"/>
  <c r="S69" i="23" s="1"/>
  <c r="T69" i="23" s="1"/>
  <c r="G36" i="51"/>
  <c r="H71" i="56" a="1"/>
  <c r="H71" i="56" s="1"/>
  <c r="H70" i="56" a="1"/>
  <c r="H70" i="56" s="1"/>
  <c r="H69" i="56" a="1"/>
  <c r="H69" i="56" s="1"/>
  <c r="K100" i="25"/>
  <c r="M100" i="25" s="1"/>
  <c r="E320" i="56" a="1"/>
  <c r="E320" i="56" s="1"/>
  <c r="K71" i="25"/>
  <c r="M71" i="25" s="1"/>
  <c r="E312" i="56" a="1"/>
  <c r="E312" i="56" s="1"/>
  <c r="CC59" i="7"/>
  <c r="E256" i="56" a="1"/>
  <c r="E256" i="56" s="1"/>
  <c r="CE55" i="7"/>
  <c r="E51" i="7"/>
  <c r="EM51" i="7" s="1"/>
  <c r="CD55" i="7"/>
  <c r="D71" i="56" a="1"/>
  <c r="D71" i="56" s="1"/>
  <c r="D69" i="56" a="1"/>
  <c r="D69" i="56" s="1"/>
  <c r="D70" i="56" a="1"/>
  <c r="D70" i="56" s="1"/>
  <c r="CF51" i="7"/>
  <c r="CG54" i="7"/>
  <c r="K303" i="25"/>
  <c r="M303" i="25" s="1"/>
  <c r="E376" i="56" a="1"/>
  <c r="E376" i="56" s="1"/>
  <c r="CC49" i="7"/>
  <c r="CF61" i="7"/>
  <c r="E216" i="56" a="1"/>
  <c r="E216" i="56" s="1"/>
  <c r="CE51" i="7"/>
  <c r="CE54" i="7"/>
  <c r="E49" i="7"/>
  <c r="EM49" i="7" s="1"/>
  <c r="E61" i="7"/>
  <c r="EM61" i="7" s="1"/>
  <c r="E280" i="56" a="1"/>
  <c r="E280" i="56" s="1"/>
  <c r="CF54" i="7"/>
  <c r="CG49" i="7"/>
  <c r="CC51" i="7"/>
  <c r="CE61" i="7"/>
  <c r="CC50" i="7"/>
  <c r="M195" i="23"/>
  <c r="I56" i="21"/>
  <c r="D34" i="51" s="1"/>
  <c r="F67" i="56" a="1"/>
  <c r="F67" i="56" s="1"/>
  <c r="CG50" i="7"/>
  <c r="M112" i="23"/>
  <c r="E232" i="56" a="1"/>
  <c r="E232" i="56" s="1"/>
  <c r="CE58" i="7"/>
  <c r="CF50" i="7"/>
  <c r="CC58" i="7"/>
  <c r="E248" i="56" a="1"/>
  <c r="E248" i="56" s="1"/>
  <c r="CG58" i="7"/>
  <c r="E240" i="56" a="1"/>
  <c r="E240" i="56" s="1"/>
  <c r="I53" i="21"/>
  <c r="D31" i="51" s="1"/>
  <c r="C67" i="56" a="1"/>
  <c r="C67" i="56" s="1"/>
  <c r="E192" i="56" a="1"/>
  <c r="E192" i="56" s="1"/>
  <c r="E200" i="56" a="1"/>
  <c r="E200" i="56" s="1"/>
  <c r="M168" i="23"/>
  <c r="E264" i="56" a="1"/>
  <c r="E264" i="56" s="1"/>
  <c r="CG55" i="7"/>
  <c r="CF55" i="7"/>
  <c r="CG59" i="7"/>
  <c r="K42" i="25"/>
  <c r="M42" i="25" s="1"/>
  <c r="E304" i="56" a="1"/>
  <c r="E304" i="56" s="1"/>
  <c r="R28" i="23"/>
  <c r="S28" i="23" s="1"/>
  <c r="T28" i="23" s="1"/>
  <c r="E184" i="56" a="1"/>
  <c r="E184" i="56" s="1"/>
  <c r="CC55" i="7"/>
  <c r="K158" i="25"/>
  <c r="M158" i="25" s="1"/>
  <c r="F123" i="7" s="1"/>
  <c r="EN123" i="7" s="1"/>
  <c r="E336" i="56" a="1"/>
  <c r="E336" i="56" s="1"/>
  <c r="G34" i="51"/>
  <c r="F71" i="56" a="1"/>
  <c r="F71" i="56" s="1"/>
  <c r="F70" i="56" a="1"/>
  <c r="F70" i="56" s="1"/>
  <c r="F69" i="56" a="1"/>
  <c r="F69" i="56" s="1"/>
  <c r="M98" i="23"/>
  <c r="E224" i="56" a="1"/>
  <c r="E224" i="56" s="1"/>
  <c r="I58" i="21"/>
  <c r="D36" i="51" s="1"/>
  <c r="H67" i="56" a="1"/>
  <c r="H67" i="56" s="1"/>
  <c r="CD61" i="7"/>
  <c r="M27" i="23"/>
  <c r="CD51" i="7"/>
  <c r="CC54" i="7"/>
  <c r="CD49" i="7"/>
  <c r="I57" i="21"/>
  <c r="D35" i="51" s="1"/>
  <c r="G67" i="56" a="1"/>
  <c r="G67" i="56" s="1"/>
  <c r="CC61" i="7"/>
  <c r="R167" i="23"/>
  <c r="S167" i="23" s="1"/>
  <c r="T167" i="23" s="1"/>
  <c r="CG51" i="7"/>
  <c r="K187" i="25"/>
  <c r="M187" i="25" s="1"/>
  <c r="E344" i="56" a="1"/>
  <c r="E344" i="56" s="1"/>
  <c r="K361" i="25"/>
  <c r="M361" i="25" s="1"/>
  <c r="E392" i="56" a="1"/>
  <c r="E392" i="56" s="1"/>
  <c r="E50" i="7"/>
  <c r="EM50" i="7" s="1"/>
  <c r="G33" i="51"/>
  <c r="E69" i="56" a="1"/>
  <c r="E69" i="56" s="1"/>
  <c r="E71" i="56" a="1"/>
  <c r="E71" i="56" s="1"/>
  <c r="E70" i="56" a="1"/>
  <c r="E70" i="56" s="1"/>
  <c r="CG61" i="7"/>
  <c r="CD54" i="7"/>
  <c r="CF49" i="7"/>
  <c r="CD50" i="7"/>
  <c r="E54" i="7"/>
  <c r="EM54" i="7" s="1"/>
  <c r="CE49" i="7"/>
  <c r="K216" i="25"/>
  <c r="M216" i="25" s="1"/>
  <c r="E352" i="56" a="1"/>
  <c r="E352" i="56" s="1"/>
  <c r="M210" i="23"/>
  <c r="E288" i="56" a="1"/>
  <c r="E288" i="56" s="1"/>
  <c r="CE50" i="7"/>
  <c r="G35" i="51"/>
  <c r="G71" i="56" a="1"/>
  <c r="G71" i="56" s="1"/>
  <c r="G70" i="56" a="1"/>
  <c r="G70" i="56" s="1"/>
  <c r="G69" i="56" a="1"/>
  <c r="G69" i="56" s="1"/>
  <c r="L209" i="23"/>
  <c r="F148" i="7" s="1"/>
  <c r="EN148" i="7" s="1"/>
  <c r="K332" i="25"/>
  <c r="M332" i="25" s="1"/>
  <c r="E384" i="56" a="1"/>
  <c r="E384" i="56" s="1"/>
  <c r="CF58" i="7"/>
  <c r="K419" i="25"/>
  <c r="M419" i="25" s="1"/>
  <c r="E408" i="56" a="1"/>
  <c r="E408" i="56" s="1"/>
  <c r="E272" i="56" a="1"/>
  <c r="E272" i="56" s="1"/>
  <c r="K129" i="25"/>
  <c r="M129" i="25" s="1"/>
  <c r="E328" i="56" a="1"/>
  <c r="E328" i="56" s="1"/>
  <c r="E60" i="7"/>
  <c r="EM60" i="7" s="1"/>
  <c r="CD58" i="7"/>
  <c r="K390" i="25"/>
  <c r="M390" i="25" s="1"/>
  <c r="E400" i="56" a="1"/>
  <c r="E400" i="56" s="1"/>
  <c r="E58" i="7"/>
  <c r="EM58" i="7" s="1"/>
  <c r="L83" i="23"/>
  <c r="F139" i="7" s="1"/>
  <c r="EN139" i="7" s="1"/>
  <c r="R34" i="22"/>
  <c r="AB18" i="25" s="1"/>
  <c r="Q35" i="22"/>
  <c r="AA19" i="25" s="1"/>
  <c r="I31" i="45"/>
  <c r="J31" i="45" s="1"/>
  <c r="Q39" i="21"/>
  <c r="CF31" i="7"/>
  <c r="Q40" i="21"/>
  <c r="CK31" i="7"/>
  <c r="Q41" i="21"/>
  <c r="R83" i="23"/>
  <c r="S83" i="23" s="1"/>
  <c r="T83" i="23" s="1"/>
  <c r="M83" i="23"/>
  <c r="R81" i="23"/>
  <c r="I139" i="45" s="1"/>
  <c r="J139" i="45" s="1"/>
  <c r="ER66" i="7"/>
  <c r="F8" i="52"/>
  <c r="ER65" i="7"/>
  <c r="F12" i="52"/>
  <c r="ER64" i="7"/>
  <c r="F10" i="52"/>
  <c r="M11" i="23"/>
  <c r="L11" i="23"/>
  <c r="R11" i="23"/>
  <c r="S11" i="23" s="1"/>
  <c r="T11" i="23" s="1"/>
  <c r="R96" i="23"/>
  <c r="S96" i="23" s="1"/>
  <c r="T96" i="23" s="1"/>
  <c r="L96" i="23"/>
  <c r="E140" i="7" s="1"/>
  <c r="EM140" i="7" s="1"/>
  <c r="R138" i="23"/>
  <c r="S138" i="23" s="1"/>
  <c r="T138" i="23" s="1"/>
  <c r="M138" i="23"/>
  <c r="V54" i="22"/>
  <c r="AF38" i="25" s="1"/>
  <c r="AA57" i="26"/>
  <c r="R137" i="23"/>
  <c r="I143" i="45" s="1"/>
  <c r="J143" i="45" s="1"/>
  <c r="D143" i="7"/>
  <c r="EL143" i="7" s="1"/>
  <c r="AF57" i="26"/>
  <c r="AL57" i="26" s="1"/>
  <c r="R139" i="23"/>
  <c r="S139" i="23" s="1"/>
  <c r="T139" i="23" s="1"/>
  <c r="M97" i="23"/>
  <c r="R97" i="23"/>
  <c r="S97" i="23" s="1"/>
  <c r="T97" i="23" s="1"/>
  <c r="P57" i="26"/>
  <c r="AY20" i="26" s="1"/>
  <c r="L139" i="23"/>
  <c r="F143" i="7" s="1"/>
  <c r="EN143" i="7" s="1"/>
  <c r="AA62" i="26"/>
  <c r="AF62" i="26"/>
  <c r="M125" i="23"/>
  <c r="L125" i="23"/>
  <c r="F142" i="7" s="1"/>
  <c r="EN142" i="7" s="1"/>
  <c r="M167" i="23"/>
  <c r="L167" i="23"/>
  <c r="F145" i="7" s="1"/>
  <c r="EN145" i="7" s="1"/>
  <c r="AW12" i="26"/>
  <c r="M209" i="23"/>
  <c r="M40" i="23"/>
  <c r="R209" i="23"/>
  <c r="S209" i="23" s="1"/>
  <c r="T209" i="23" s="1"/>
  <c r="L166" i="23"/>
  <c r="E145" i="7" s="1"/>
  <c r="EM145" i="7" s="1"/>
  <c r="H22" i="51"/>
  <c r="R208" i="23"/>
  <c r="S208" i="23" s="1"/>
  <c r="T208" i="23" s="1"/>
  <c r="M26" i="23"/>
  <c r="M208" i="23"/>
  <c r="M12" i="23"/>
  <c r="L12" i="23"/>
  <c r="L180" i="23"/>
  <c r="E146" i="7" s="1"/>
  <c r="EM146" i="7" s="1"/>
  <c r="Z25" i="21"/>
  <c r="AA25" i="21" s="1"/>
  <c r="U29" i="21"/>
  <c r="S28" i="21"/>
  <c r="G88" i="7" s="1"/>
  <c r="EO88" i="7" s="1"/>
  <c r="AL45" i="26"/>
  <c r="Z30" i="21"/>
  <c r="AA30" i="21" s="1"/>
  <c r="AB30" i="21" s="1"/>
  <c r="Z27" i="21"/>
  <c r="AA27" i="21" s="1"/>
  <c r="AB27" i="21" s="1"/>
  <c r="L40" i="23"/>
  <c r="CG136" i="7" s="1"/>
  <c r="M166" i="23"/>
  <c r="R180" i="23"/>
  <c r="S180" i="23" s="1"/>
  <c r="T180" i="23" s="1"/>
  <c r="D138" i="45"/>
  <c r="E138" i="45" s="1"/>
  <c r="CB135" i="7"/>
  <c r="CL31" i="7"/>
  <c r="CE135" i="7"/>
  <c r="CG135" i="7"/>
  <c r="CD135" i="7"/>
  <c r="L68" i="23"/>
  <c r="E138" i="7" s="1"/>
  <c r="EM138" i="7" s="1"/>
  <c r="CC135" i="7"/>
  <c r="W59" i="21"/>
  <c r="E135" i="7"/>
  <c r="EM135" i="7" s="1"/>
  <c r="G27" i="52" s="1"/>
  <c r="H27" i="52" s="1"/>
  <c r="D142" i="45"/>
  <c r="E142" i="45" s="1"/>
  <c r="L195" i="23"/>
  <c r="F147" i="7" s="1"/>
  <c r="EN147" i="7" s="1"/>
  <c r="M124" i="23"/>
  <c r="R124" i="23"/>
  <c r="S124" i="23" s="1"/>
  <c r="T124" i="23" s="1"/>
  <c r="R195" i="23"/>
  <c r="S195" i="23" s="1"/>
  <c r="T195" i="23" s="1"/>
  <c r="CL153" i="7"/>
  <c r="CE153" i="7"/>
  <c r="CC153" i="7"/>
  <c r="R26" i="23"/>
  <c r="S26" i="23" s="1"/>
  <c r="T26" i="23" s="1"/>
  <c r="D135" i="45"/>
  <c r="E135" i="45" s="1"/>
  <c r="L41" i="23"/>
  <c r="CH136" i="7" s="1"/>
  <c r="D135" i="7"/>
  <c r="EL135" i="7" s="1"/>
  <c r="G10" i="52" s="1"/>
  <c r="CH153" i="7"/>
  <c r="R27" i="23"/>
  <c r="S27" i="23" s="1"/>
  <c r="T27" i="23" s="1"/>
  <c r="AW14" i="26"/>
  <c r="CB136" i="7"/>
  <c r="CJ153" i="7"/>
  <c r="CI153" i="7"/>
  <c r="M41" i="23"/>
  <c r="L27" i="23"/>
  <c r="M68" i="23"/>
  <c r="F88" i="26"/>
  <c r="AA88" i="26" s="1"/>
  <c r="H23" i="51"/>
  <c r="M111" i="23"/>
  <c r="R111" i="23"/>
  <c r="S111" i="23" s="1"/>
  <c r="T111" i="23" s="1"/>
  <c r="AF75" i="26"/>
  <c r="AL75" i="26" s="1"/>
  <c r="AA75" i="26"/>
  <c r="T84" i="7"/>
  <c r="AW13" i="26"/>
  <c r="R179" i="23"/>
  <c r="S179" i="23" s="1"/>
  <c r="F31" i="7"/>
  <c r="EN31" i="7" s="1"/>
  <c r="L110" i="23"/>
  <c r="E141" i="7" s="1"/>
  <c r="EM141" i="7" s="1"/>
  <c r="N77" i="26"/>
  <c r="AB77" i="26" s="1"/>
  <c r="R110" i="23"/>
  <c r="S110" i="23" s="1"/>
  <c r="T110" i="23" s="1"/>
  <c r="AA77" i="26"/>
  <c r="E31" i="7"/>
  <c r="EM31" i="7" s="1"/>
  <c r="CG31" i="7"/>
  <c r="N158" i="25"/>
  <c r="AG28" i="26"/>
  <c r="AK28" i="26" s="1"/>
  <c r="AM28" i="26" s="1"/>
  <c r="N53" i="21"/>
  <c r="CO153" i="7"/>
  <c r="AF61" i="26"/>
  <c r="D31" i="45"/>
  <c r="E31" i="45" s="1"/>
  <c r="D31" i="7"/>
  <c r="CB31" i="7" s="1"/>
  <c r="AF73" i="26"/>
  <c r="AL73" i="26" s="1"/>
  <c r="AA73" i="26"/>
  <c r="AA61" i="26"/>
  <c r="CN153" i="7"/>
  <c r="N73" i="26"/>
  <c r="AB73" i="26" s="1"/>
  <c r="N157" i="25"/>
  <c r="FF84" i="7"/>
  <c r="CM153" i="7"/>
  <c r="U49" i="22"/>
  <c r="AE33" i="25" s="1"/>
  <c r="CF153" i="7"/>
  <c r="M194" i="23"/>
  <c r="F90" i="26"/>
  <c r="AA90" i="26" s="1"/>
  <c r="EX84" i="7"/>
  <c r="FG84" i="7"/>
  <c r="AW10" i="26"/>
  <c r="R194" i="23"/>
  <c r="S194" i="23" s="1"/>
  <c r="T194" i="23" s="1"/>
  <c r="G31" i="51"/>
  <c r="X84" i="7"/>
  <c r="N181" i="36"/>
  <c r="EL50" i="7"/>
  <c r="N244" i="25"/>
  <c r="CB30" i="7"/>
  <c r="EL30" i="7"/>
  <c r="ER30" i="7" s="1"/>
  <c r="HG30" i="7" s="1"/>
  <c r="J30" i="7"/>
  <c r="EL61" i="7"/>
  <c r="EL150" i="7"/>
  <c r="D153" i="7"/>
  <c r="J150" i="7"/>
  <c r="AX15" i="26"/>
  <c r="Y165" i="26"/>
  <c r="L166" i="26"/>
  <c r="I5" i="51"/>
  <c r="J5" i="51" s="1"/>
  <c r="CE87" i="7"/>
  <c r="CC87" i="7"/>
  <c r="CD87" i="7"/>
  <c r="E87" i="7"/>
  <c r="CF87" i="7"/>
  <c r="CG87" i="7"/>
  <c r="K57" i="26"/>
  <c r="V57" i="26" s="1"/>
  <c r="H58" i="26"/>
  <c r="I275" i="25"/>
  <c r="J275" i="25"/>
  <c r="H276" i="25"/>
  <c r="N330" i="25"/>
  <c r="N332" i="25"/>
  <c r="J15" i="45"/>
  <c r="N243" i="25"/>
  <c r="CB153" i="7"/>
  <c r="EL151" i="7"/>
  <c r="ER151" i="7" s="1"/>
  <c r="HG151" i="7" s="1"/>
  <c r="J151" i="7"/>
  <c r="BY151" i="7" s="1"/>
  <c r="Y54" i="21"/>
  <c r="O54" i="21"/>
  <c r="V60" i="22"/>
  <c r="AF44" i="25" s="1"/>
  <c r="G87" i="7"/>
  <c r="CO87" i="7"/>
  <c r="CM87" i="7"/>
  <c r="CN87" i="7"/>
  <c r="I420" i="25"/>
  <c r="H421" i="25"/>
  <c r="J420" i="25"/>
  <c r="I62" i="45"/>
  <c r="J62" i="45" s="1"/>
  <c r="J47" i="45"/>
  <c r="Y225" i="26"/>
  <c r="L226" i="26"/>
  <c r="H26" i="51"/>
  <c r="H31" i="7"/>
  <c r="EP31" i="7" s="1"/>
  <c r="I217" i="25"/>
  <c r="H218" i="25"/>
  <c r="J217" i="25"/>
  <c r="F57" i="21"/>
  <c r="E57" i="21"/>
  <c r="N57" i="21"/>
  <c r="J130" i="25"/>
  <c r="I130" i="25"/>
  <c r="H131" i="25"/>
  <c r="AB11" i="21"/>
  <c r="AA17" i="21"/>
  <c r="CB62" i="7"/>
  <c r="I188" i="25"/>
  <c r="H189" i="25"/>
  <c r="J188" i="25"/>
  <c r="Y60" i="26"/>
  <c r="L61" i="26"/>
  <c r="CK16" i="7"/>
  <c r="CL16" i="7"/>
  <c r="CI16" i="7"/>
  <c r="CJ16" i="7"/>
  <c r="F16" i="7"/>
  <c r="EN16" i="7" s="1"/>
  <c r="CH16" i="7"/>
  <c r="EL49" i="7"/>
  <c r="I101" i="25"/>
  <c r="H102" i="25"/>
  <c r="J101" i="25"/>
  <c r="M11" i="25"/>
  <c r="N11" i="25"/>
  <c r="CD16" i="7"/>
  <c r="CE16" i="7"/>
  <c r="CG16" i="7"/>
  <c r="CC16" i="7"/>
  <c r="CF16" i="7"/>
  <c r="E16" i="7"/>
  <c r="EM16" i="7" s="1"/>
  <c r="J78" i="7"/>
  <c r="J83" i="7" s="1"/>
  <c r="M58" i="21"/>
  <c r="N245" i="25"/>
  <c r="N45" i="21"/>
  <c r="I31" i="7"/>
  <c r="EQ31" i="7" s="1"/>
  <c r="H27" i="51"/>
  <c r="N216" i="25"/>
  <c r="CJ87" i="7"/>
  <c r="CI87" i="7"/>
  <c r="CK87" i="7"/>
  <c r="CH87" i="7"/>
  <c r="F87" i="7"/>
  <c r="CL87" i="7"/>
  <c r="CP15" i="7"/>
  <c r="EL78" i="7"/>
  <c r="EL83" i="7" s="1"/>
  <c r="ER63" i="7"/>
  <c r="N215" i="25"/>
  <c r="V42" i="26"/>
  <c r="EQ87" i="7"/>
  <c r="EL48" i="7"/>
  <c r="H363" i="25"/>
  <c r="J362" i="25"/>
  <c r="I362" i="25"/>
  <c r="N185" i="25"/>
  <c r="BP22" i="26"/>
  <c r="BP25" i="26"/>
  <c r="BB10" i="26"/>
  <c r="BA12" i="26"/>
  <c r="BP24" i="26"/>
  <c r="BB20" i="26"/>
  <c r="BP20" i="26"/>
  <c r="BP23" i="26"/>
  <c r="BB14" i="26"/>
  <c r="BB21" i="26"/>
  <c r="BB13" i="26"/>
  <c r="BA21" i="26"/>
  <c r="BB24" i="26"/>
  <c r="BB25" i="26"/>
  <c r="BB12" i="26"/>
  <c r="BB22" i="26"/>
  <c r="BP21" i="26"/>
  <c r="BB23" i="26"/>
  <c r="BB9" i="26"/>
  <c r="BB11" i="26"/>
  <c r="N60" i="26"/>
  <c r="AA60" i="26"/>
  <c r="AF60" i="26"/>
  <c r="AL60" i="26" s="1"/>
  <c r="AH73" i="26"/>
  <c r="I74" i="26"/>
  <c r="W73" i="26"/>
  <c r="I391" i="25"/>
  <c r="H392" i="25"/>
  <c r="J391" i="25"/>
  <c r="M54" i="21"/>
  <c r="EZ84" i="7"/>
  <c r="K82" i="21"/>
  <c r="K84" i="21"/>
  <c r="C52" i="51"/>
  <c r="C54" i="51"/>
  <c r="K86" i="21"/>
  <c r="N186" i="25"/>
  <c r="Y58" i="21"/>
  <c r="O58" i="21"/>
  <c r="I17" i="7" s="1"/>
  <c r="EQ17" i="7" s="1"/>
  <c r="I31" i="26"/>
  <c r="W30" i="26"/>
  <c r="AH30" i="26"/>
  <c r="K43" i="26"/>
  <c r="V43" i="26" s="1"/>
  <c r="H44" i="26"/>
  <c r="N273" i="25"/>
  <c r="G59" i="21"/>
  <c r="N388" i="25"/>
  <c r="Q211" i="26"/>
  <c r="H24" i="51"/>
  <c r="N359" i="25"/>
  <c r="I80" i="26"/>
  <c r="D82" i="26"/>
  <c r="H87" i="26" s="1"/>
  <c r="B82" i="26"/>
  <c r="G87" i="26" s="1"/>
  <c r="EL54" i="7"/>
  <c r="O57" i="21"/>
  <c r="H17" i="7" s="1"/>
  <c r="Y57" i="21"/>
  <c r="N274" i="25"/>
  <c r="N81" i="36"/>
  <c r="AZ11" i="26"/>
  <c r="BN20" i="26"/>
  <c r="AZ22" i="26"/>
  <c r="AY22" i="26"/>
  <c r="AZ13" i="26"/>
  <c r="AZ25" i="26"/>
  <c r="AZ21" i="26"/>
  <c r="BN22" i="26"/>
  <c r="AY9" i="26"/>
  <c r="AZ12" i="26"/>
  <c r="AZ20" i="26"/>
  <c r="BN21" i="26"/>
  <c r="AY13" i="26"/>
  <c r="AY14" i="26"/>
  <c r="BN25" i="26"/>
  <c r="AZ23" i="26"/>
  <c r="AZ14" i="26"/>
  <c r="AZ24" i="26"/>
  <c r="AZ10" i="26"/>
  <c r="BN23" i="26"/>
  <c r="BN24" i="26"/>
  <c r="AZ9" i="26"/>
  <c r="EL15" i="7"/>
  <c r="J15" i="7"/>
  <c r="N303" i="25"/>
  <c r="N121" i="36"/>
  <c r="F45" i="21"/>
  <c r="I4" i="51"/>
  <c r="J4" i="51" s="1"/>
  <c r="I87" i="45"/>
  <c r="D87" i="45"/>
  <c r="D87" i="7"/>
  <c r="S17" i="21"/>
  <c r="CP151" i="7"/>
  <c r="F89" i="26"/>
  <c r="Y210" i="26"/>
  <c r="L211" i="26"/>
  <c r="M53" i="21"/>
  <c r="EL51" i="7"/>
  <c r="N59" i="26"/>
  <c r="AA59" i="26"/>
  <c r="AF59" i="26"/>
  <c r="AL59" i="26" s="1"/>
  <c r="AU15" i="26"/>
  <c r="Y180" i="26"/>
  <c r="L181" i="26"/>
  <c r="W87" i="26"/>
  <c r="I88" i="26"/>
  <c r="AH87" i="26"/>
  <c r="O53" i="21"/>
  <c r="Y53" i="21"/>
  <c r="P14" i="35"/>
  <c r="AJ57" i="26"/>
  <c r="U57" i="26"/>
  <c r="G58" i="26"/>
  <c r="I153" i="45"/>
  <c r="J150" i="45"/>
  <c r="J153" i="45" s="1"/>
  <c r="O55" i="21"/>
  <c r="Y55" i="21"/>
  <c r="V23" i="22"/>
  <c r="AF7" i="25" s="1"/>
  <c r="P60" i="26"/>
  <c r="AY23" i="26" s="1"/>
  <c r="Q61" i="26"/>
  <c r="EL52" i="7"/>
  <c r="Q91" i="26"/>
  <c r="H305" i="25"/>
  <c r="I304" i="25"/>
  <c r="J304" i="25"/>
  <c r="Q196" i="26"/>
  <c r="Y150" i="26"/>
  <c r="L151" i="26"/>
  <c r="G16" i="7"/>
  <c r="EO16" i="7" s="1"/>
  <c r="CN16" i="7"/>
  <c r="CM16" i="7"/>
  <c r="CO16" i="7"/>
  <c r="E102" i="26"/>
  <c r="D105" i="26"/>
  <c r="E105" i="26"/>
  <c r="D107" i="26"/>
  <c r="E107" i="26"/>
  <c r="F97" i="26"/>
  <c r="I102" i="26" s="1"/>
  <c r="D104" i="26"/>
  <c r="E104" i="26"/>
  <c r="D106" i="26"/>
  <c r="E106" i="26"/>
  <c r="D102" i="26"/>
  <c r="D103" i="26"/>
  <c r="E103" i="26"/>
  <c r="B96" i="26"/>
  <c r="CD153" i="7"/>
  <c r="Q166" i="26"/>
  <c r="N417" i="25"/>
  <c r="N360" i="25"/>
  <c r="F53" i="21"/>
  <c r="C59" i="21"/>
  <c r="E53" i="21"/>
  <c r="E56" i="21"/>
  <c r="F56" i="21"/>
  <c r="N56" i="21"/>
  <c r="N302" i="25"/>
  <c r="H73" i="25"/>
  <c r="I72" i="25"/>
  <c r="J72" i="25"/>
  <c r="CK153" i="7"/>
  <c r="C46" i="21"/>
  <c r="Q13" i="35" s="1"/>
  <c r="E45" i="21"/>
  <c r="F46" i="21" s="1"/>
  <c r="R13" i="35" s="1"/>
  <c r="W58" i="26"/>
  <c r="AH58" i="26"/>
  <c r="I59" i="26"/>
  <c r="T26" i="21"/>
  <c r="AF76" i="26"/>
  <c r="N76" i="26"/>
  <c r="AB76" i="26" s="1"/>
  <c r="AA76" i="26"/>
  <c r="Q106" i="26"/>
  <c r="G153" i="7"/>
  <c r="EO150" i="7"/>
  <c r="EO153" i="7" s="1"/>
  <c r="G58" i="52" s="1"/>
  <c r="H58" i="52" s="1"/>
  <c r="Q226" i="26"/>
  <c r="AB42" i="26"/>
  <c r="N48" i="26"/>
  <c r="Q70" i="35"/>
  <c r="AF74" i="26"/>
  <c r="AL74" i="26" s="1"/>
  <c r="AA74" i="26"/>
  <c r="N74" i="26"/>
  <c r="AB74" i="26" s="1"/>
  <c r="N214" i="25"/>
  <c r="N187" i="25"/>
  <c r="CB78" i="7"/>
  <c r="CP63" i="7"/>
  <c r="AL42" i="26"/>
  <c r="AK42" i="26"/>
  <c r="I333" i="25"/>
  <c r="J333" i="25"/>
  <c r="H334" i="25"/>
  <c r="Q16" i="26"/>
  <c r="P15" i="26"/>
  <c r="AS23" i="26" s="1"/>
  <c r="F92" i="26"/>
  <c r="I224" i="45"/>
  <c r="AX26" i="26"/>
  <c r="AB57" i="26"/>
  <c r="Q71" i="35"/>
  <c r="EM150" i="7"/>
  <c r="EM153" i="7" s="1"/>
  <c r="G24" i="52" s="1"/>
  <c r="H24" i="52" s="1"/>
  <c r="E153" i="7"/>
  <c r="U48" i="22"/>
  <c r="AE32" i="25" s="1"/>
  <c r="P30" i="26"/>
  <c r="Q31" i="26"/>
  <c r="AS22" i="26"/>
  <c r="V18" i="36"/>
  <c r="J65" i="36"/>
  <c r="AF72" i="26"/>
  <c r="AL72" i="26" s="1"/>
  <c r="AA72" i="26"/>
  <c r="N72" i="26"/>
  <c r="BA9" i="26" s="1"/>
  <c r="P72" i="26"/>
  <c r="I43" i="25"/>
  <c r="J43" i="25"/>
  <c r="H44" i="25"/>
  <c r="M56" i="21"/>
  <c r="M55" i="21"/>
  <c r="AA58" i="26"/>
  <c r="N58" i="26"/>
  <c r="AF58" i="26"/>
  <c r="P58" i="26"/>
  <c r="AY21" i="26" s="1"/>
  <c r="I170" i="25"/>
  <c r="I171" i="25" s="1"/>
  <c r="Q181" i="26"/>
  <c r="G32" i="51"/>
  <c r="F54" i="21"/>
  <c r="E54" i="21"/>
  <c r="N54" i="21"/>
  <c r="Y15" i="26"/>
  <c r="AL15" i="26"/>
  <c r="AM15" i="26" s="1"/>
  <c r="L16" i="26"/>
  <c r="O180" i="36"/>
  <c r="EO294" i="7"/>
  <c r="O60" i="36"/>
  <c r="H294" i="7"/>
  <c r="O160" i="36"/>
  <c r="O161" i="36" s="1"/>
  <c r="O100" i="36"/>
  <c r="O80" i="36"/>
  <c r="O81" i="36" s="1"/>
  <c r="O40" i="36"/>
  <c r="O41" i="36" s="1"/>
  <c r="O140" i="36"/>
  <c r="O200" i="36"/>
  <c r="O201" i="36" s="1"/>
  <c r="O120" i="36"/>
  <c r="O121" i="36" s="1"/>
  <c r="O20" i="36"/>
  <c r="N331" i="25"/>
  <c r="T27" i="21"/>
  <c r="V155" i="7"/>
  <c r="T25" i="21"/>
  <c r="W25" i="36"/>
  <c r="E47" i="45"/>
  <c r="E62" i="45" s="1"/>
  <c r="D62" i="45"/>
  <c r="F62" i="45" s="1"/>
  <c r="EO15" i="7"/>
  <c r="F48" i="45"/>
  <c r="H30" i="26"/>
  <c r="K29" i="26"/>
  <c r="V29" i="26" s="1"/>
  <c r="N389" i="25"/>
  <c r="M57" i="21"/>
  <c r="N272" i="25"/>
  <c r="B90" i="21"/>
  <c r="B91" i="21"/>
  <c r="F90" i="21"/>
  <c r="J93" i="21" s="1"/>
  <c r="F91" i="21"/>
  <c r="I102" i="45"/>
  <c r="J102" i="45" s="1"/>
  <c r="D102" i="7"/>
  <c r="D102" i="45"/>
  <c r="E102" i="45" s="1"/>
  <c r="P74" i="26"/>
  <c r="BA22" i="26" s="1"/>
  <c r="L31" i="26"/>
  <c r="Y30" i="26"/>
  <c r="AL30" i="26"/>
  <c r="N418" i="25"/>
  <c r="CP152" i="7"/>
  <c r="V66" i="22"/>
  <c r="AF50" i="25" s="1"/>
  <c r="F30" i="45"/>
  <c r="O56" i="21"/>
  <c r="Y56" i="21"/>
  <c r="U43" i="26"/>
  <c r="G44" i="26"/>
  <c r="AJ43" i="26"/>
  <c r="H73" i="26"/>
  <c r="K72" i="26"/>
  <c r="AG72" i="26" s="1"/>
  <c r="EN150" i="7"/>
  <c r="EN153" i="7" s="1"/>
  <c r="G41" i="52" s="1"/>
  <c r="H41" i="52" s="1"/>
  <c r="F153" i="7"/>
  <c r="EL53" i="7"/>
  <c r="N301" i="25"/>
  <c r="L106" i="26"/>
  <c r="Y105" i="26"/>
  <c r="AJ72" i="26"/>
  <c r="G73" i="26"/>
  <c r="U72" i="26"/>
  <c r="E150" i="45"/>
  <c r="E153" i="45" s="1"/>
  <c r="D153" i="45"/>
  <c r="F153" i="45" s="1"/>
  <c r="H160" i="25"/>
  <c r="I159" i="25"/>
  <c r="J159" i="25"/>
  <c r="F87" i="26"/>
  <c r="J14" i="25"/>
  <c r="I14" i="25"/>
  <c r="H15" i="25"/>
  <c r="P45" i="26"/>
  <c r="AW23" i="26" s="1"/>
  <c r="Q46" i="26"/>
  <c r="EM15" i="7"/>
  <c r="F91" i="26"/>
  <c r="AJ29" i="26"/>
  <c r="U29" i="26"/>
  <c r="G30" i="26"/>
  <c r="EL152" i="7"/>
  <c r="ER152" i="7" s="1"/>
  <c r="HG152" i="7" s="1"/>
  <c r="J152" i="7"/>
  <c r="BY152" i="7" s="1"/>
  <c r="EL59" i="7"/>
  <c r="Y45" i="21"/>
  <c r="Q136" i="26"/>
  <c r="I55" i="21"/>
  <c r="D33" i="51" s="1"/>
  <c r="L76" i="26"/>
  <c r="Y75" i="26"/>
  <c r="EL60" i="7"/>
  <c r="S26" i="21"/>
  <c r="Z26" i="21"/>
  <c r="AA26" i="21" s="1"/>
  <c r="AB26" i="21" s="1"/>
  <c r="U26" i="21"/>
  <c r="CP150" i="7"/>
  <c r="E15" i="45"/>
  <c r="EL55" i="7"/>
  <c r="AH44" i="26"/>
  <c r="I45" i="26"/>
  <c r="W44" i="26"/>
  <c r="F55" i="21"/>
  <c r="E55" i="21"/>
  <c r="N55" i="21"/>
  <c r="H247" i="25"/>
  <c r="I246" i="25"/>
  <c r="J246" i="25"/>
  <c r="H25" i="51"/>
  <c r="G31" i="7"/>
  <c r="EO31" i="7" s="1"/>
  <c r="L46" i="26"/>
  <c r="Y45" i="26"/>
  <c r="L121" i="26"/>
  <c r="Y120" i="26"/>
  <c r="EL47" i="7"/>
  <c r="D62" i="7"/>
  <c r="N390" i="25"/>
  <c r="M12" i="25"/>
  <c r="N12" i="25"/>
  <c r="Q121" i="26"/>
  <c r="BL26" i="26"/>
  <c r="EL57" i="7"/>
  <c r="CG153" i="7"/>
  <c r="P75" i="26"/>
  <c r="BA23" i="26" s="1"/>
  <c r="Q76" i="26"/>
  <c r="L196" i="26"/>
  <c r="Y195" i="26"/>
  <c r="L91" i="26"/>
  <c r="Y90" i="26"/>
  <c r="I199" i="25"/>
  <c r="I200" i="25" s="1"/>
  <c r="I201" i="25" s="1"/>
  <c r="I202" i="25" s="1"/>
  <c r="EN15" i="7"/>
  <c r="E102" i="7"/>
  <c r="EM102" i="7" s="1"/>
  <c r="CF102" i="7"/>
  <c r="CG102" i="7"/>
  <c r="EL58" i="7"/>
  <c r="D16" i="45"/>
  <c r="E16" i="45" s="1"/>
  <c r="I16" i="45"/>
  <c r="J16" i="45" s="1"/>
  <c r="D16" i="7"/>
  <c r="O45" i="21"/>
  <c r="L136" i="26"/>
  <c r="Y135" i="26"/>
  <c r="EL56" i="7"/>
  <c r="I54" i="21"/>
  <c r="D32" i="51" s="1"/>
  <c r="E58" i="21"/>
  <c r="F58" i="21"/>
  <c r="N58" i="21"/>
  <c r="FI84" i="7"/>
  <c r="FE84" i="7"/>
  <c r="FH84" i="7"/>
  <c r="Z84" i="7"/>
  <c r="V84" i="7"/>
  <c r="EW84" i="7"/>
  <c r="FF155" i="7"/>
  <c r="X155" i="7"/>
  <c r="FM99" i="7"/>
  <c r="FP20" i="7"/>
  <c r="FN65" i="7"/>
  <c r="FO135" i="7"/>
  <c r="D145" i="45"/>
  <c r="E145" i="45" s="1"/>
  <c r="D145" i="7"/>
  <c r="FP88" i="7"/>
  <c r="FN96" i="7"/>
  <c r="AE78" i="7"/>
  <c r="AE83" i="7" s="1"/>
  <c r="FM63" i="7"/>
  <c r="FM146" i="7"/>
  <c r="FN138" i="7"/>
  <c r="FN24" i="7"/>
  <c r="FP90" i="7"/>
  <c r="FN15" i="7"/>
  <c r="AY135" i="7"/>
  <c r="GG135" i="7" s="1"/>
  <c r="AY139" i="7"/>
  <c r="GG139" i="7" s="1"/>
  <c r="AY143" i="7"/>
  <c r="GG143" i="7" s="1"/>
  <c r="AY147" i="7"/>
  <c r="GG147" i="7" s="1"/>
  <c r="AU90" i="7"/>
  <c r="GC90" i="7" s="1"/>
  <c r="AU94" i="7"/>
  <c r="GC94" i="7" s="1"/>
  <c r="AU98" i="7"/>
  <c r="GC98" i="7" s="1"/>
  <c r="AT136" i="7"/>
  <c r="AT140" i="7"/>
  <c r="AT144" i="7"/>
  <c r="AT148" i="7"/>
  <c r="AV90" i="7"/>
  <c r="GD90" i="7" s="1"/>
  <c r="AV94" i="7"/>
  <c r="GD94" i="7" s="1"/>
  <c r="AV98" i="7"/>
  <c r="GD98" i="7" s="1"/>
  <c r="AW136" i="7"/>
  <c r="GE136" i="7" s="1"/>
  <c r="AY140" i="7"/>
  <c r="GG140" i="7" s="1"/>
  <c r="AU145" i="7"/>
  <c r="GC145" i="7" s="1"/>
  <c r="AW89" i="7"/>
  <c r="GE89" i="7" s="1"/>
  <c r="AY93" i="7"/>
  <c r="GG93" i="7" s="1"/>
  <c r="AW98" i="7"/>
  <c r="GE98" i="7" s="1"/>
  <c r="AX136" i="7"/>
  <c r="GF136" i="7" s="1"/>
  <c r="AT141" i="7"/>
  <c r="AV145" i="7"/>
  <c r="GD145" i="7" s="1"/>
  <c r="AX89" i="7"/>
  <c r="GF89" i="7" s="1"/>
  <c r="AT94" i="7"/>
  <c r="AX98" i="7"/>
  <c r="GF98" i="7" s="1"/>
  <c r="AW134" i="7"/>
  <c r="AU139" i="7"/>
  <c r="GC139" i="7" s="1"/>
  <c r="AU144" i="7"/>
  <c r="GC144" i="7" s="1"/>
  <c r="AY148" i="7"/>
  <c r="GG148" i="7" s="1"/>
  <c r="AY88" i="7"/>
  <c r="GG88" i="7" s="1"/>
  <c r="AW93" i="7"/>
  <c r="GE93" i="7" s="1"/>
  <c r="AY98" i="7"/>
  <c r="GG98" i="7" s="1"/>
  <c r="AY64" i="7"/>
  <c r="GG64" i="7" s="1"/>
  <c r="AY68" i="7"/>
  <c r="GG68" i="7" s="1"/>
  <c r="AY72" i="7"/>
  <c r="GG72" i="7" s="1"/>
  <c r="AY76" i="7"/>
  <c r="GG76" i="7" s="1"/>
  <c r="AW15" i="7"/>
  <c r="GE15" i="7" s="1"/>
  <c r="AW19" i="7"/>
  <c r="GE19" i="7" s="1"/>
  <c r="AW23" i="7"/>
  <c r="GE23" i="7" s="1"/>
  <c r="AW27" i="7"/>
  <c r="GE27" i="7" s="1"/>
  <c r="A22" i="39"/>
  <c r="AX134" i="7"/>
  <c r="AV139" i="7"/>
  <c r="GD139" i="7" s="1"/>
  <c r="AV144" i="7"/>
  <c r="GD144" i="7" s="1"/>
  <c r="AT89" i="7"/>
  <c r="AX93" i="7"/>
  <c r="GF93" i="7" s="1"/>
  <c r="AT99" i="7"/>
  <c r="AT65" i="7"/>
  <c r="AT69" i="7"/>
  <c r="AT73" i="7"/>
  <c r="AT77" i="7"/>
  <c r="AX15" i="7"/>
  <c r="GF15" i="7" s="1"/>
  <c r="AX19" i="7"/>
  <c r="GF19" i="7" s="1"/>
  <c r="AX23" i="7"/>
  <c r="GF23" i="7" s="1"/>
  <c r="AX27" i="7"/>
  <c r="GF27" i="7" s="1"/>
  <c r="AW138" i="7"/>
  <c r="GE138" i="7" s="1"/>
  <c r="AW143" i="7"/>
  <c r="GE143" i="7" s="1"/>
  <c r="AW87" i="7"/>
  <c r="AW92" i="7"/>
  <c r="GE92" i="7" s="1"/>
  <c r="AW97" i="7"/>
  <c r="GE97" i="7" s="1"/>
  <c r="AU63" i="7"/>
  <c r="AW67" i="7"/>
  <c r="GE67" i="7" s="1"/>
  <c r="AY71" i="7"/>
  <c r="GG71" i="7" s="1"/>
  <c r="AU76" i="7"/>
  <c r="GC76" i="7" s="1"/>
  <c r="AT15" i="7"/>
  <c r="AV19" i="7"/>
  <c r="GD19" i="7" s="1"/>
  <c r="AT24" i="7"/>
  <c r="AV28" i="7"/>
  <c r="GD28" i="7" s="1"/>
  <c r="AX138" i="7"/>
  <c r="GF138" i="7" s="1"/>
  <c r="AX143" i="7"/>
  <c r="GF143" i="7" s="1"/>
  <c r="AX87" i="7"/>
  <c r="AX92" i="7"/>
  <c r="GF92" i="7" s="1"/>
  <c r="AX97" i="7"/>
  <c r="GF97" i="7" s="1"/>
  <c r="AV63" i="7"/>
  <c r="AX67" i="7"/>
  <c r="GF67" i="7" s="1"/>
  <c r="AT72" i="7"/>
  <c r="AV76" i="7"/>
  <c r="GD76" i="7" s="1"/>
  <c r="AU15" i="7"/>
  <c r="GC15" i="7" s="1"/>
  <c r="AY19" i="7"/>
  <c r="GG19" i="7" s="1"/>
  <c r="AU24" i="7"/>
  <c r="GC24" i="7" s="1"/>
  <c r="AW28" i="7"/>
  <c r="GE28" i="7" s="1"/>
  <c r="AW139" i="7"/>
  <c r="GE139" i="7" s="1"/>
  <c r="AW145" i="7"/>
  <c r="GE145" i="7" s="1"/>
  <c r="AV89" i="7"/>
  <c r="GD89" i="7" s="1"/>
  <c r="AV95" i="7"/>
  <c r="GD95" i="7" s="1"/>
  <c r="AX100" i="7"/>
  <c r="GF100" i="7" s="1"/>
  <c r="AY67" i="7"/>
  <c r="GG67" i="7" s="1"/>
  <c r="AW72" i="7"/>
  <c r="GE72" i="7" s="1"/>
  <c r="AW77" i="7"/>
  <c r="GE77" i="7" s="1"/>
  <c r="AY16" i="7"/>
  <c r="GG16" i="7" s="1"/>
  <c r="AW21" i="7"/>
  <c r="GE21" i="7" s="1"/>
  <c r="AU26" i="7"/>
  <c r="GC26" i="7" s="1"/>
  <c r="AU17" i="7"/>
  <c r="GC17" i="7" s="1"/>
  <c r="AY21" i="7"/>
  <c r="GG21" i="7" s="1"/>
  <c r="AW26" i="7"/>
  <c r="GE26" i="7" s="1"/>
  <c r="AV134" i="7"/>
  <c r="AT146" i="7"/>
  <c r="AY95" i="7"/>
  <c r="GG95" i="7" s="1"/>
  <c r="AV68" i="7"/>
  <c r="GD68" i="7" s="1"/>
  <c r="AY134" i="7"/>
  <c r="AU146" i="7"/>
  <c r="GC146" i="7" s="1"/>
  <c r="AX90" i="7"/>
  <c r="GF90" i="7" s="1"/>
  <c r="AV101" i="7"/>
  <c r="GD101" i="7" s="1"/>
  <c r="AY63" i="7"/>
  <c r="AT134" i="7"/>
  <c r="AX139" i="7"/>
  <c r="GF139" i="7" s="1"/>
  <c r="AX145" i="7"/>
  <c r="GF145" i="7" s="1"/>
  <c r="AY89" i="7"/>
  <c r="GG89" i="7" s="1"/>
  <c r="AW95" i="7"/>
  <c r="GE95" i="7" s="1"/>
  <c r="AY100" i="7"/>
  <c r="GG100" i="7" s="1"/>
  <c r="AT63" i="7"/>
  <c r="AT68" i="7"/>
  <c r="AX72" i="7"/>
  <c r="GF72" i="7" s="1"/>
  <c r="AX77" i="7"/>
  <c r="GF77" i="7" s="1"/>
  <c r="AT17" i="7"/>
  <c r="AX21" i="7"/>
  <c r="GF21" i="7" s="1"/>
  <c r="AV26" i="7"/>
  <c r="GD26" i="7" s="1"/>
  <c r="AU134" i="7"/>
  <c r="AU140" i="7"/>
  <c r="GC140" i="7" s="1"/>
  <c r="AY145" i="7"/>
  <c r="GG145" i="7" s="1"/>
  <c r="AT90" i="7"/>
  <c r="AX95" i="7"/>
  <c r="GF95" i="7" s="1"/>
  <c r="AT101" i="7"/>
  <c r="AW63" i="7"/>
  <c r="AU68" i="7"/>
  <c r="GC68" i="7" s="1"/>
  <c r="AU73" i="7"/>
  <c r="GC73" i="7" s="1"/>
  <c r="AY77" i="7"/>
  <c r="GG77" i="7" s="1"/>
  <c r="AV140" i="7"/>
  <c r="GD140" i="7" s="1"/>
  <c r="AW90" i="7"/>
  <c r="GE90" i="7" s="1"/>
  <c r="AU101" i="7"/>
  <c r="GC101" i="7" s="1"/>
  <c r="AX63" i="7"/>
  <c r="AV73" i="7"/>
  <c r="GD73" i="7" s="1"/>
  <c r="AV17" i="7"/>
  <c r="GD17" i="7" s="1"/>
  <c r="AT22" i="7"/>
  <c r="AX26" i="7"/>
  <c r="GF26" i="7" s="1"/>
  <c r="AW140" i="7"/>
  <c r="GE140" i="7" s="1"/>
  <c r="AT96" i="7"/>
  <c r="AW68" i="7"/>
  <c r="GE68" i="7" s="1"/>
  <c r="AW73" i="7"/>
  <c r="GE73" i="7" s="1"/>
  <c r="AV135" i="7"/>
  <c r="GD135" i="7" s="1"/>
  <c r="AU142" i="7"/>
  <c r="GC142" i="7" s="1"/>
  <c r="AX148" i="7"/>
  <c r="GF148" i="7" s="1"/>
  <c r="AX88" i="7"/>
  <c r="GF88" i="7" s="1"/>
  <c r="AX96" i="7"/>
  <c r="GF96" i="7" s="1"/>
  <c r="AW65" i="7"/>
  <c r="GE65" i="7" s="1"/>
  <c r="AT71" i="7"/>
  <c r="AU77" i="7"/>
  <c r="GC77" i="7" s="1"/>
  <c r="AU16" i="7"/>
  <c r="GC16" i="7" s="1"/>
  <c r="AU22" i="7"/>
  <c r="GC22" i="7" s="1"/>
  <c r="AY27" i="7"/>
  <c r="GG27" i="7" s="1"/>
  <c r="AW142" i="7"/>
  <c r="GE142" i="7" s="1"/>
  <c r="AY90" i="7"/>
  <c r="GG90" i="7" s="1"/>
  <c r="AV71" i="7"/>
  <c r="GD71" i="7" s="1"/>
  <c r="AW16" i="7"/>
  <c r="GE16" i="7" s="1"/>
  <c r="AW22" i="7"/>
  <c r="GE22" i="7" s="1"/>
  <c r="AX142" i="7"/>
  <c r="GF142" i="7" s="1"/>
  <c r="AU97" i="7"/>
  <c r="GC97" i="7" s="1"/>
  <c r="AW71" i="7"/>
  <c r="GE71" i="7" s="1"/>
  <c r="AX16" i="7"/>
  <c r="GF16" i="7" s="1"/>
  <c r="AX28" i="7"/>
  <c r="GF28" i="7" s="1"/>
  <c r="AY142" i="7"/>
  <c r="GG142" i="7" s="1"/>
  <c r="AV97" i="7"/>
  <c r="GD97" i="7" s="1"/>
  <c r="AU66" i="7"/>
  <c r="GC66" i="7" s="1"/>
  <c r="AW17" i="7"/>
  <c r="GE17" i="7" s="1"/>
  <c r="AU72" i="7"/>
  <c r="GC72" i="7" s="1"/>
  <c r="AX17" i="7"/>
  <c r="GF17" i="7" s="1"/>
  <c r="AU143" i="7"/>
  <c r="GC143" i="7" s="1"/>
  <c r="AT98" i="7"/>
  <c r="AV72" i="7"/>
  <c r="GD72" i="7" s="1"/>
  <c r="AW135" i="7"/>
  <c r="GE135" i="7" s="1"/>
  <c r="AV142" i="7"/>
  <c r="GD142" i="7" s="1"/>
  <c r="AU89" i="7"/>
  <c r="GC89" i="7" s="1"/>
  <c r="AY96" i="7"/>
  <c r="GG96" i="7" s="1"/>
  <c r="AX65" i="7"/>
  <c r="GF65" i="7" s="1"/>
  <c r="AU71" i="7"/>
  <c r="GC71" i="7" s="1"/>
  <c r="AV77" i="7"/>
  <c r="GD77" i="7" s="1"/>
  <c r="AV16" i="7"/>
  <c r="GD16" i="7" s="1"/>
  <c r="AV22" i="7"/>
  <c r="GD22" i="7" s="1"/>
  <c r="AT28" i="7"/>
  <c r="AX135" i="7"/>
  <c r="GF135" i="7" s="1"/>
  <c r="AT97" i="7"/>
  <c r="AY65" i="7"/>
  <c r="GG65" i="7" s="1"/>
  <c r="AU28" i="7"/>
  <c r="GC28" i="7" s="1"/>
  <c r="AU136" i="7"/>
  <c r="GC136" i="7" s="1"/>
  <c r="AT91" i="7"/>
  <c r="AT66" i="7"/>
  <c r="AX22" i="7"/>
  <c r="GF22" i="7" s="1"/>
  <c r="AV136" i="7"/>
  <c r="GD136" i="7" s="1"/>
  <c r="AU91" i="7"/>
  <c r="GC91" i="7" s="1"/>
  <c r="AX71" i="7"/>
  <c r="GF71" i="7" s="1"/>
  <c r="AY22" i="7"/>
  <c r="GG22" i="7" s="1"/>
  <c r="AY28" i="7"/>
  <c r="GG28" i="7" s="1"/>
  <c r="AY136" i="7"/>
  <c r="GG136" i="7" s="1"/>
  <c r="AT143" i="7"/>
  <c r="AV91" i="7"/>
  <c r="GD91" i="7" s="1"/>
  <c r="AY97" i="7"/>
  <c r="GG97" i="7" s="1"/>
  <c r="AV66" i="7"/>
  <c r="GD66" i="7" s="1"/>
  <c r="AT23" i="7"/>
  <c r="AT137" i="7"/>
  <c r="AW91" i="7"/>
  <c r="GE91" i="7" s="1"/>
  <c r="AW66" i="7"/>
  <c r="GE66" i="7" s="1"/>
  <c r="AT138" i="7"/>
  <c r="AW147" i="7"/>
  <c r="GE147" i="7" s="1"/>
  <c r="AU92" i="7"/>
  <c r="GC92" i="7" s="1"/>
  <c r="AX101" i="7"/>
  <c r="GF101" i="7" s="1"/>
  <c r="AW70" i="7"/>
  <c r="GE70" i="7" s="1"/>
  <c r="AU19" i="7"/>
  <c r="GC19" i="7" s="1"/>
  <c r="AY26" i="7"/>
  <c r="GG26" i="7" s="1"/>
  <c r="AV141" i="7"/>
  <c r="GD141" i="7" s="1"/>
  <c r="AV96" i="7"/>
  <c r="GD96" i="7" s="1"/>
  <c r="AY69" i="7"/>
  <c r="GG69" i="7" s="1"/>
  <c r="AT20" i="7"/>
  <c r="AU27" i="7"/>
  <c r="GC27" i="7" s="1"/>
  <c r="AW141" i="7"/>
  <c r="GE141" i="7" s="1"/>
  <c r="AW96" i="7"/>
  <c r="GE96" i="7" s="1"/>
  <c r="AT70" i="7"/>
  <c r="AU20" i="7"/>
  <c r="GC20" i="7" s="1"/>
  <c r="AV27" i="7"/>
  <c r="GD27" i="7" s="1"/>
  <c r="AX141" i="7"/>
  <c r="GF141" i="7" s="1"/>
  <c r="AT87" i="7"/>
  <c r="AU99" i="7"/>
  <c r="GC99" i="7" s="1"/>
  <c r="AU70" i="7"/>
  <c r="GC70" i="7" s="1"/>
  <c r="AV20" i="7"/>
  <c r="GD20" i="7" s="1"/>
  <c r="AV137" i="7"/>
  <c r="GD137" i="7" s="1"/>
  <c r="AX147" i="7"/>
  <c r="GF147" i="7" s="1"/>
  <c r="AT88" i="7"/>
  <c r="AV100" i="7"/>
  <c r="GD100" i="7" s="1"/>
  <c r="AW69" i="7"/>
  <c r="GE69" i="7" s="1"/>
  <c r="AT19" i="7"/>
  <c r="AY137" i="7"/>
  <c r="GG137" i="7" s="1"/>
  <c r="AW88" i="7"/>
  <c r="GE88" i="7" s="1"/>
  <c r="AY20" i="7"/>
  <c r="GG20" i="7" s="1"/>
  <c r="AX91" i="7"/>
  <c r="GF91" i="7" s="1"/>
  <c r="AX73" i="7"/>
  <c r="GF73" i="7" s="1"/>
  <c r="AU21" i="7"/>
  <c r="GC21" i="7" s="1"/>
  <c r="AT92" i="7"/>
  <c r="AV21" i="7"/>
  <c r="GD21" i="7" s="1"/>
  <c r="AT139" i="7"/>
  <c r="AV92" i="7"/>
  <c r="GD92" i="7" s="1"/>
  <c r="AW137" i="7"/>
  <c r="GE137" i="7" s="1"/>
  <c r="AU148" i="7"/>
  <c r="GC148" i="7" s="1"/>
  <c r="AU88" i="7"/>
  <c r="GC88" i="7" s="1"/>
  <c r="AW100" i="7"/>
  <c r="GE100" i="7" s="1"/>
  <c r="AX69" i="7"/>
  <c r="GF69" i="7" s="1"/>
  <c r="AW20" i="7"/>
  <c r="GE20" i="7" s="1"/>
  <c r="AY101" i="7"/>
  <c r="GG101" i="7" s="1"/>
  <c r="AV138" i="7"/>
  <c r="GD138" i="7" s="1"/>
  <c r="AU23" i="7"/>
  <c r="GC23" i="7" s="1"/>
  <c r="AX137" i="7"/>
  <c r="GF137" i="7" s="1"/>
  <c r="AV148" i="7"/>
  <c r="GD148" i="7" s="1"/>
  <c r="AV88" i="7"/>
  <c r="GD88" i="7" s="1"/>
  <c r="AW101" i="7"/>
  <c r="GE101" i="7" s="1"/>
  <c r="AV70" i="7"/>
  <c r="GD70" i="7" s="1"/>
  <c r="AX20" i="7"/>
  <c r="GF20" i="7" s="1"/>
  <c r="AW148" i="7"/>
  <c r="GE148" i="7" s="1"/>
  <c r="AX70" i="7"/>
  <c r="GF70" i="7" s="1"/>
  <c r="AU138" i="7"/>
  <c r="GC138" i="7" s="1"/>
  <c r="AY70" i="7"/>
  <c r="GG70" i="7" s="1"/>
  <c r="AT21" i="7"/>
  <c r="AY91" i="7"/>
  <c r="GG91" i="7" s="1"/>
  <c r="AY138" i="7"/>
  <c r="GG138" i="7" s="1"/>
  <c r="AY73" i="7"/>
  <c r="GG73" i="7" s="1"/>
  <c r="AT74" i="7"/>
  <c r="AV93" i="7"/>
  <c r="GD93" i="7" s="1"/>
  <c r="AX94" i="7"/>
  <c r="GF94" i="7" s="1"/>
  <c r="AT67" i="7"/>
  <c r="AY18" i="7"/>
  <c r="GG18" i="7" s="1"/>
  <c r="AV143" i="7"/>
  <c r="GD143" i="7" s="1"/>
  <c r="AT100" i="7"/>
  <c r="AX74" i="7"/>
  <c r="GF74" i="7" s="1"/>
  <c r="AU137" i="7"/>
  <c r="GC137" i="7" s="1"/>
  <c r="AU100" i="7"/>
  <c r="GC100" i="7" s="1"/>
  <c r="AW75" i="7"/>
  <c r="GE75" i="7" s="1"/>
  <c r="AU14" i="7"/>
  <c r="AX25" i="7"/>
  <c r="GF25" i="7" s="1"/>
  <c r="AX140" i="7"/>
  <c r="GF140" i="7" s="1"/>
  <c r="AX75" i="7"/>
  <c r="GF75" i="7" s="1"/>
  <c r="AV14" i="7"/>
  <c r="AY25" i="7"/>
  <c r="GG25" i="7" s="1"/>
  <c r="AU141" i="7"/>
  <c r="GC141" i="7" s="1"/>
  <c r="AY75" i="7"/>
  <c r="GG75" i="7" s="1"/>
  <c r="AW14" i="7"/>
  <c r="AT26" i="7"/>
  <c r="AX146" i="7"/>
  <c r="GF146" i="7" s="1"/>
  <c r="AY87" i="7"/>
  <c r="AY66" i="7"/>
  <c r="GG66" i="7" s="1"/>
  <c r="AV18" i="7"/>
  <c r="GD18" i="7" s="1"/>
  <c r="ER308" i="7"/>
  <c r="EW308" i="7" s="1"/>
  <c r="AV74" i="7"/>
  <c r="GD74" i="7" s="1"/>
  <c r="AY23" i="7"/>
  <c r="GG23" i="7" s="1"/>
  <c r="AX24" i="7"/>
  <c r="GF24" i="7" s="1"/>
  <c r="AY24" i="7"/>
  <c r="GG24" i="7" s="1"/>
  <c r="AW74" i="7"/>
  <c r="GE74" i="7" s="1"/>
  <c r="AV24" i="7"/>
  <c r="GD24" i="7" s="1"/>
  <c r="AT75" i="7"/>
  <c r="AU75" i="7"/>
  <c r="GC75" i="7" s="1"/>
  <c r="AY74" i="7"/>
  <c r="GG74" i="7" s="1"/>
  <c r="AW24" i="7"/>
  <c r="GE24" i="7" s="1"/>
  <c r="AV146" i="7"/>
  <c r="GD146" i="7" s="1"/>
  <c r="AY94" i="7"/>
  <c r="GG94" i="7" s="1"/>
  <c r="AV67" i="7"/>
  <c r="GD67" i="7" s="1"/>
  <c r="AW146" i="7"/>
  <c r="GE146" i="7" s="1"/>
  <c r="AT95" i="7"/>
  <c r="AX68" i="7"/>
  <c r="GF68" i="7" s="1"/>
  <c r="AY146" i="7"/>
  <c r="GG146" i="7" s="1"/>
  <c r="AU95" i="7"/>
  <c r="GC95" i="7" s="1"/>
  <c r="AU69" i="7"/>
  <c r="GC69" i="7" s="1"/>
  <c r="AU147" i="7"/>
  <c r="GC147" i="7" s="1"/>
  <c r="AV99" i="7"/>
  <c r="GD99" i="7" s="1"/>
  <c r="AU74" i="7"/>
  <c r="GC74" i="7" s="1"/>
  <c r="AT16" i="7"/>
  <c r="AV69" i="7"/>
  <c r="GD69" i="7" s="1"/>
  <c r="AV75" i="7"/>
  <c r="GD75" i="7" s="1"/>
  <c r="AW76" i="7"/>
  <c r="GE76" i="7" s="1"/>
  <c r="AV64" i="7"/>
  <c r="GD64" i="7" s="1"/>
  <c r="AX66" i="7"/>
  <c r="GF66" i="7" s="1"/>
  <c r="AY14" i="7"/>
  <c r="AU87" i="7"/>
  <c r="AU67" i="7"/>
  <c r="GC67" i="7" s="1"/>
  <c r="AV15" i="7"/>
  <c r="GD15" i="7" s="1"/>
  <c r="AV87" i="7"/>
  <c r="AW64" i="7"/>
  <c r="GE64" i="7" s="1"/>
  <c r="AT76" i="7"/>
  <c r="J308" i="7"/>
  <c r="AX64" i="7"/>
  <c r="GF64" i="7" s="1"/>
  <c r="AU65" i="7"/>
  <c r="GC65" i="7" s="1"/>
  <c r="AT14" i="7"/>
  <c r="AV65" i="7"/>
  <c r="GD65" i="7" s="1"/>
  <c r="AX14" i="7"/>
  <c r="AY15" i="7"/>
  <c r="GG15" i="7" s="1"/>
  <c r="AW94" i="7"/>
  <c r="GE94" i="7" s="1"/>
  <c r="AW18" i="7"/>
  <c r="GE18" i="7" s="1"/>
  <c r="AT135" i="7"/>
  <c r="AU96" i="7"/>
  <c r="GC96" i="7" s="1"/>
  <c r="AX18" i="7"/>
  <c r="GF18" i="7" s="1"/>
  <c r="AU135" i="7"/>
  <c r="GC135" i="7" s="1"/>
  <c r="AW99" i="7"/>
  <c r="GE99" i="7" s="1"/>
  <c r="AV23" i="7"/>
  <c r="GD23" i="7" s="1"/>
  <c r="AY141" i="7"/>
  <c r="GG141" i="7" s="1"/>
  <c r="AX99" i="7"/>
  <c r="GF99" i="7" s="1"/>
  <c r="AT25" i="7"/>
  <c r="AT142" i="7"/>
  <c r="AY99" i="7"/>
  <c r="GG99" i="7" s="1"/>
  <c r="AU25" i="7"/>
  <c r="GC25" i="7" s="1"/>
  <c r="AW144" i="7"/>
  <c r="GE144" i="7" s="1"/>
  <c r="AT27" i="7"/>
  <c r="AY92" i="7"/>
  <c r="GG92" i="7" s="1"/>
  <c r="AT93" i="7"/>
  <c r="AU93" i="7"/>
  <c r="GC93" i="7" s="1"/>
  <c r="AT145" i="7"/>
  <c r="AT147" i="7"/>
  <c r="AX76" i="7"/>
  <c r="GF76" i="7" s="1"/>
  <c r="AT18" i="7"/>
  <c r="AU18" i="7"/>
  <c r="GC18" i="7" s="1"/>
  <c r="AX144" i="7"/>
  <c r="GF144" i="7" s="1"/>
  <c r="AY144" i="7"/>
  <c r="GG144" i="7" s="1"/>
  <c r="AV147" i="7"/>
  <c r="GD147" i="7" s="1"/>
  <c r="AY17" i="7"/>
  <c r="GG17" i="7" s="1"/>
  <c r="AT64" i="7"/>
  <c r="AV25" i="7"/>
  <c r="GD25" i="7" s="1"/>
  <c r="AU64" i="7"/>
  <c r="GC64" i="7" s="1"/>
  <c r="AW25" i="7"/>
  <c r="GE25" i="7" s="1"/>
  <c r="AJ141" i="7"/>
  <c r="FL141" i="7"/>
  <c r="FP24" i="7"/>
  <c r="AF149" i="7"/>
  <c r="AF154" i="7" s="1"/>
  <c r="FN134" i="7"/>
  <c r="FN16" i="7"/>
  <c r="FO76" i="7"/>
  <c r="FM70" i="7"/>
  <c r="AJ70" i="7"/>
  <c r="FL70" i="7"/>
  <c r="FM18" i="7"/>
  <c r="FM17" i="7"/>
  <c r="FP135" i="7"/>
  <c r="AI149" i="7"/>
  <c r="AI154" i="7" s="1"/>
  <c r="FQ134" i="7"/>
  <c r="FQ71" i="7"/>
  <c r="FP66" i="7"/>
  <c r="AJ77" i="7"/>
  <c r="FL77" i="7"/>
  <c r="FO25" i="7"/>
  <c r="AA84" i="7"/>
  <c r="I140" i="45"/>
  <c r="J140" i="45" s="1"/>
  <c r="S95" i="23"/>
  <c r="Y84" i="7"/>
  <c r="FM22" i="7"/>
  <c r="FO77" i="7"/>
  <c r="FQ21" i="7"/>
  <c r="FQ99" i="7"/>
  <c r="FO144" i="7"/>
  <c r="FL18" i="7"/>
  <c r="AJ18" i="7"/>
  <c r="FO27" i="7"/>
  <c r="FP140" i="7"/>
  <c r="FP67" i="7"/>
  <c r="FO92" i="7"/>
  <c r="FN68" i="7"/>
  <c r="FO17" i="7"/>
  <c r="FL137" i="7"/>
  <c r="AJ137" i="7"/>
  <c r="W155" i="7"/>
  <c r="AB117" i="7"/>
  <c r="FH155" i="7"/>
  <c r="FP76" i="7"/>
  <c r="FL69" i="7"/>
  <c r="AJ69" i="7"/>
  <c r="FN146" i="7"/>
  <c r="FO14" i="7"/>
  <c r="AG44" i="7"/>
  <c r="FL28" i="7"/>
  <c r="AJ28" i="7"/>
  <c r="FM28" i="7"/>
  <c r="FP100" i="7"/>
  <c r="AJ145" i="7"/>
  <c r="FL145" i="7"/>
  <c r="FQ98" i="7"/>
  <c r="AE117" i="7"/>
  <c r="FM87" i="7"/>
  <c r="AJ64" i="7"/>
  <c r="FL64" i="7"/>
  <c r="FQ74" i="7"/>
  <c r="AJ146" i="7"/>
  <c r="FL146" i="7"/>
  <c r="FB149" i="7"/>
  <c r="FB154" i="7" s="1"/>
  <c r="FD117" i="7"/>
  <c r="FJ87" i="7"/>
  <c r="FJ117" i="7" s="1"/>
  <c r="I27" i="40"/>
  <c r="I31" i="40" s="1"/>
  <c r="B13" i="40" s="1"/>
  <c r="FB44" i="7"/>
  <c r="FN19" i="7"/>
  <c r="FQ101" i="7"/>
  <c r="FL23" i="7"/>
  <c r="AJ23" i="7"/>
  <c r="FO16" i="7"/>
  <c r="FM89" i="7"/>
  <c r="AJ63" i="7"/>
  <c r="FL63" i="7"/>
  <c r="AD78" i="7"/>
  <c r="AD83" i="7" s="1"/>
  <c r="FO136" i="7"/>
  <c r="FP19" i="7"/>
  <c r="AG78" i="7"/>
  <c r="AG83" i="7" s="1"/>
  <c r="FO63" i="7"/>
  <c r="FN135" i="7"/>
  <c r="FO23" i="7"/>
  <c r="CC148" i="7"/>
  <c r="CF148" i="7"/>
  <c r="CG148" i="7"/>
  <c r="E137" i="7"/>
  <c r="EM137" i="7" s="1"/>
  <c r="G25" i="52" s="1"/>
  <c r="H25" i="52" s="1"/>
  <c r="CE148" i="7"/>
  <c r="CD148" i="7"/>
  <c r="FP18" i="7"/>
  <c r="FP147" i="7"/>
  <c r="FN17" i="7"/>
  <c r="FM91" i="7"/>
  <c r="AJ73" i="7"/>
  <c r="FL73" i="7"/>
  <c r="AJ65" i="7"/>
  <c r="FL65" i="7"/>
  <c r="FQ16" i="7"/>
  <c r="FP27" i="7"/>
  <c r="FN22" i="7"/>
  <c r="FL140" i="7"/>
  <c r="AJ140" i="7"/>
  <c r="AJ66" i="7"/>
  <c r="FL66" i="7"/>
  <c r="AH117" i="7"/>
  <c r="FP87" i="7"/>
  <c r="AJ98" i="7"/>
  <c r="FL98" i="7"/>
  <c r="AJ142" i="7"/>
  <c r="FL142" i="7"/>
  <c r="FB78" i="7"/>
  <c r="FB83" i="7" s="1"/>
  <c r="I123" i="45"/>
  <c r="D123" i="7"/>
  <c r="D123" i="45"/>
  <c r="E123" i="45" s="1"/>
  <c r="CB123" i="7"/>
  <c r="I142" i="45"/>
  <c r="J142" i="45" s="1"/>
  <c r="S123" i="23"/>
  <c r="AQ134" i="7"/>
  <c r="AQ138" i="7"/>
  <c r="AQ142" i="7"/>
  <c r="FY142" i="7" s="1"/>
  <c r="AQ146" i="7"/>
  <c r="AM87" i="7"/>
  <c r="AM91" i="7"/>
  <c r="FU91" i="7" s="1"/>
  <c r="AM95" i="7"/>
  <c r="FU95" i="7" s="1"/>
  <c r="AL135" i="7"/>
  <c r="AL139" i="7"/>
  <c r="AL143" i="7"/>
  <c r="AL147" i="7"/>
  <c r="AN87" i="7"/>
  <c r="AN91" i="7"/>
  <c r="FV91" i="7" s="1"/>
  <c r="AN95" i="7"/>
  <c r="FV95" i="7" s="1"/>
  <c r="AN99" i="7"/>
  <c r="AQ136" i="7"/>
  <c r="AM141" i="7"/>
  <c r="AO145" i="7"/>
  <c r="FW145" i="7" s="1"/>
  <c r="AQ87" i="7"/>
  <c r="AM92" i="7"/>
  <c r="FU92" i="7" s="1"/>
  <c r="AO96" i="7"/>
  <c r="FW96" i="7" s="1"/>
  <c r="AP100" i="7"/>
  <c r="FX100" i="7" s="1"/>
  <c r="AL137" i="7"/>
  <c r="AN141" i="7"/>
  <c r="FV141" i="7" s="1"/>
  <c r="AP145" i="7"/>
  <c r="AL88" i="7"/>
  <c r="AN92" i="7"/>
  <c r="AP96" i="7"/>
  <c r="AQ100" i="7"/>
  <c r="FY100" i="7" s="1"/>
  <c r="A21" i="39"/>
  <c r="AO136" i="7"/>
  <c r="FW136" i="7" s="1"/>
  <c r="AO141" i="7"/>
  <c r="FW141" i="7" s="1"/>
  <c r="AM146" i="7"/>
  <c r="FU146" i="7" s="1"/>
  <c r="AO88" i="7"/>
  <c r="FW88" i="7" s="1"/>
  <c r="AM93" i="7"/>
  <c r="FU93" i="7" s="1"/>
  <c r="AQ97" i="7"/>
  <c r="FY97" i="7" s="1"/>
  <c r="AQ63" i="7"/>
  <c r="AQ67" i="7"/>
  <c r="FY67" i="7" s="1"/>
  <c r="AQ71" i="7"/>
  <c r="FY71" i="7" s="1"/>
  <c r="AQ75" i="7"/>
  <c r="FY75" i="7" s="1"/>
  <c r="AO16" i="7"/>
  <c r="FW16" i="7" s="1"/>
  <c r="AO20" i="7"/>
  <c r="FW20" i="7" s="1"/>
  <c r="AO24" i="7"/>
  <c r="FW24" i="7" s="1"/>
  <c r="AO28" i="7"/>
  <c r="FW28" i="7" s="1"/>
  <c r="AP136" i="7"/>
  <c r="FX136" i="7" s="1"/>
  <c r="AP141" i="7"/>
  <c r="FX141" i="7" s="1"/>
  <c r="AN146" i="7"/>
  <c r="FV146" i="7" s="1"/>
  <c r="AP88" i="7"/>
  <c r="FX88" i="7" s="1"/>
  <c r="AN93" i="7"/>
  <c r="FV93" i="7" s="1"/>
  <c r="AL98" i="7"/>
  <c r="AL64" i="7"/>
  <c r="AL68" i="7"/>
  <c r="AL72" i="7"/>
  <c r="AL76" i="7"/>
  <c r="AP16" i="7"/>
  <c r="FX16" i="7" s="1"/>
  <c r="AP20" i="7"/>
  <c r="FX20" i="7" s="1"/>
  <c r="AP24" i="7"/>
  <c r="FX24" i="7" s="1"/>
  <c r="AP28" i="7"/>
  <c r="AO137" i="7"/>
  <c r="FW137" i="7" s="1"/>
  <c r="AO142" i="7"/>
  <c r="AQ147" i="7"/>
  <c r="FY147" i="7" s="1"/>
  <c r="AM88" i="7"/>
  <c r="FU88" i="7" s="1"/>
  <c r="AO93" i="7"/>
  <c r="FW93" i="7" s="1"/>
  <c r="AO98" i="7"/>
  <c r="FW98" i="7" s="1"/>
  <c r="AO63" i="7"/>
  <c r="AM68" i="7"/>
  <c r="FU68" i="7" s="1"/>
  <c r="AO72" i="7"/>
  <c r="FW72" i="7" s="1"/>
  <c r="AQ76" i="7"/>
  <c r="FY76" i="7" s="1"/>
  <c r="AP17" i="7"/>
  <c r="FX17" i="7" s="1"/>
  <c r="AL22" i="7"/>
  <c r="AN26" i="7"/>
  <c r="FV26" i="7" s="1"/>
  <c r="AP137" i="7"/>
  <c r="FX137" i="7" s="1"/>
  <c r="AP142" i="7"/>
  <c r="FX142" i="7" s="1"/>
  <c r="AL148" i="7"/>
  <c r="AN88" i="7"/>
  <c r="FV88" i="7" s="1"/>
  <c r="AP93" i="7"/>
  <c r="FX93" i="7" s="1"/>
  <c r="AP98" i="7"/>
  <c r="FX98" i="7" s="1"/>
  <c r="AP63" i="7"/>
  <c r="AN68" i="7"/>
  <c r="FV68" i="7" s="1"/>
  <c r="AP72" i="7"/>
  <c r="FX72" i="7" s="1"/>
  <c r="AL77" i="7"/>
  <c r="AQ17" i="7"/>
  <c r="FY17" i="7" s="1"/>
  <c r="AM22" i="7"/>
  <c r="FU22" i="7" s="1"/>
  <c r="AO26" i="7"/>
  <c r="FW26" i="7" s="1"/>
  <c r="AO139" i="7"/>
  <c r="FW139" i="7" s="1"/>
  <c r="AQ144" i="7"/>
  <c r="FY144" i="7" s="1"/>
  <c r="AL91" i="7"/>
  <c r="AL97" i="7"/>
  <c r="AM65" i="7"/>
  <c r="FU65" i="7" s="1"/>
  <c r="AQ69" i="7"/>
  <c r="FY69" i="7" s="1"/>
  <c r="AO74" i="7"/>
  <c r="AQ15" i="7"/>
  <c r="AQ20" i="7"/>
  <c r="FY20" i="7" s="1"/>
  <c r="AO25" i="7"/>
  <c r="FW25" i="7" s="1"/>
  <c r="AM16" i="7"/>
  <c r="FU16" i="7" s="1"/>
  <c r="AM21" i="7"/>
  <c r="FU21" i="7" s="1"/>
  <c r="AQ25" i="7"/>
  <c r="AN145" i="7"/>
  <c r="AQ91" i="7"/>
  <c r="AP65" i="7"/>
  <c r="FX65" i="7" s="1"/>
  <c r="AL75" i="7"/>
  <c r="AM140" i="7"/>
  <c r="FU140" i="7" s="1"/>
  <c r="AP97" i="7"/>
  <c r="AM75" i="7"/>
  <c r="AL134" i="7"/>
  <c r="AP139" i="7"/>
  <c r="FX139" i="7" s="1"/>
  <c r="AL145" i="7"/>
  <c r="AO91" i="7"/>
  <c r="FW91" i="7" s="1"/>
  <c r="AM97" i="7"/>
  <c r="FU97" i="7" s="1"/>
  <c r="AN65" i="7"/>
  <c r="FV65" i="7" s="1"/>
  <c r="AL70" i="7"/>
  <c r="AP74" i="7"/>
  <c r="FX74" i="7" s="1"/>
  <c r="AL16" i="7"/>
  <c r="AL21" i="7"/>
  <c r="AP25" i="7"/>
  <c r="FX25" i="7" s="1"/>
  <c r="AM134" i="7"/>
  <c r="AQ139" i="7"/>
  <c r="FY139" i="7" s="1"/>
  <c r="AM145" i="7"/>
  <c r="FU145" i="7" s="1"/>
  <c r="AP91" i="7"/>
  <c r="FX91" i="7" s="1"/>
  <c r="AN97" i="7"/>
  <c r="AO65" i="7"/>
  <c r="FW65" i="7" s="1"/>
  <c r="AM70" i="7"/>
  <c r="FU70" i="7" s="1"/>
  <c r="AQ74" i="7"/>
  <c r="FY74" i="7" s="1"/>
  <c r="AN134" i="7"/>
  <c r="AL140" i="7"/>
  <c r="AO97" i="7"/>
  <c r="AN70" i="7"/>
  <c r="FV70" i="7" s="1"/>
  <c r="AN16" i="7"/>
  <c r="FV16" i="7" s="1"/>
  <c r="AN21" i="7"/>
  <c r="AL26" i="7"/>
  <c r="AO134" i="7"/>
  <c r="AQ145" i="7"/>
  <c r="FY145" i="7" s="1"/>
  <c r="AL92" i="7"/>
  <c r="AQ65" i="7"/>
  <c r="FY65" i="7" s="1"/>
  <c r="AO70" i="7"/>
  <c r="FW70" i="7" s="1"/>
  <c r="AP138" i="7"/>
  <c r="FX138" i="7" s="1"/>
  <c r="AP146" i="7"/>
  <c r="FX146" i="7" s="1"/>
  <c r="AM89" i="7"/>
  <c r="FU89" i="7" s="1"/>
  <c r="AP95" i="7"/>
  <c r="FX95" i="7" s="1"/>
  <c r="AO66" i="7"/>
  <c r="AN72" i="7"/>
  <c r="FV72" i="7" s="1"/>
  <c r="AO18" i="7"/>
  <c r="FW18" i="7" s="1"/>
  <c r="AQ23" i="7"/>
  <c r="FY23" i="7" s="1"/>
  <c r="AO89" i="7"/>
  <c r="AQ66" i="7"/>
  <c r="FY66" i="7" s="1"/>
  <c r="AQ18" i="7"/>
  <c r="FY18" i="7" s="1"/>
  <c r="AM24" i="7"/>
  <c r="FU24" i="7" s="1"/>
  <c r="AO147" i="7"/>
  <c r="FW147" i="7" s="1"/>
  <c r="AM96" i="7"/>
  <c r="FU96" i="7" s="1"/>
  <c r="AL67" i="7"/>
  <c r="AN24" i="7"/>
  <c r="FV24" i="7" s="1"/>
  <c r="AP147" i="7"/>
  <c r="FX147" i="7" s="1"/>
  <c r="AN96" i="7"/>
  <c r="FV96" i="7" s="1"/>
  <c r="AM67" i="7"/>
  <c r="FU67" i="7" s="1"/>
  <c r="AM19" i="7"/>
  <c r="AM148" i="7"/>
  <c r="FU148" i="7" s="1"/>
  <c r="AL90" i="7"/>
  <c r="AN67" i="7"/>
  <c r="FV67" i="7" s="1"/>
  <c r="AO73" i="7"/>
  <c r="FW73" i="7" s="1"/>
  <c r="AL14" i="7"/>
  <c r="AL25" i="7"/>
  <c r="AN148" i="7"/>
  <c r="FV148" i="7" s="1"/>
  <c r="AM98" i="7"/>
  <c r="FU98" i="7" s="1"/>
  <c r="AO67" i="7"/>
  <c r="FW67" i="7" s="1"/>
  <c r="AM139" i="7"/>
  <c r="FU139" i="7" s="1"/>
  <c r="AM147" i="7"/>
  <c r="FU147" i="7" s="1"/>
  <c r="AN89" i="7"/>
  <c r="AQ95" i="7"/>
  <c r="FY95" i="7" s="1"/>
  <c r="AP66" i="7"/>
  <c r="FX66" i="7" s="1"/>
  <c r="AQ72" i="7"/>
  <c r="FY72" i="7" s="1"/>
  <c r="AP18" i="7"/>
  <c r="FX18" i="7" s="1"/>
  <c r="AL24" i="7"/>
  <c r="AN139" i="7"/>
  <c r="FV139" i="7" s="1"/>
  <c r="AN147" i="7"/>
  <c r="AL96" i="7"/>
  <c r="AL73" i="7"/>
  <c r="AN140" i="7"/>
  <c r="FV140" i="7" s="1"/>
  <c r="AP89" i="7"/>
  <c r="FX89" i="7" s="1"/>
  <c r="AM73" i="7"/>
  <c r="FU73" i="7" s="1"/>
  <c r="AL19" i="7"/>
  <c r="AO140" i="7"/>
  <c r="FW140" i="7" s="1"/>
  <c r="AQ89" i="7"/>
  <c r="AN73" i="7"/>
  <c r="FV73" i="7" s="1"/>
  <c r="AQ24" i="7"/>
  <c r="FY24" i="7" s="1"/>
  <c r="AP140" i="7"/>
  <c r="FX140" i="7" s="1"/>
  <c r="AQ96" i="7"/>
  <c r="FY96" i="7" s="1"/>
  <c r="AN19" i="7"/>
  <c r="FV19" i="7" s="1"/>
  <c r="AQ140" i="7"/>
  <c r="FY140" i="7" s="1"/>
  <c r="AM90" i="7"/>
  <c r="FU90" i="7" s="1"/>
  <c r="AP73" i="7"/>
  <c r="AM138" i="7"/>
  <c r="FU138" i="7" s="1"/>
  <c r="AN98" i="7"/>
  <c r="FV98" i="7" s="1"/>
  <c r="AQ70" i="7"/>
  <c r="AQ19" i="7"/>
  <c r="FY19" i="7" s="1"/>
  <c r="AN143" i="7"/>
  <c r="FV143" i="7" s="1"/>
  <c r="AQ92" i="7"/>
  <c r="FY92" i="7" s="1"/>
  <c r="AO101" i="7"/>
  <c r="FW101" i="7" s="1"/>
  <c r="AO69" i="7"/>
  <c r="FW69" i="7" s="1"/>
  <c r="AQ77" i="7"/>
  <c r="AN20" i="7"/>
  <c r="AL28" i="7"/>
  <c r="AO143" i="7"/>
  <c r="FW143" i="7" s="1"/>
  <c r="AL93" i="7"/>
  <c r="AP101" i="7"/>
  <c r="AP69" i="7"/>
  <c r="AO21" i="7"/>
  <c r="FW21" i="7" s="1"/>
  <c r="AM28" i="7"/>
  <c r="FU28" i="7" s="1"/>
  <c r="AP143" i="7"/>
  <c r="FX143" i="7" s="1"/>
  <c r="AQ93" i="7"/>
  <c r="FY93" i="7" s="1"/>
  <c r="AQ101" i="7"/>
  <c r="FY101" i="7" s="1"/>
  <c r="AP70" i="7"/>
  <c r="AM14" i="7"/>
  <c r="AP21" i="7"/>
  <c r="FX21" i="7" s="1"/>
  <c r="AN28" i="7"/>
  <c r="FV28" i="7" s="1"/>
  <c r="AO138" i="7"/>
  <c r="FW138" i="7" s="1"/>
  <c r="AL99" i="7"/>
  <c r="AM71" i="7"/>
  <c r="FU71" i="7" s="1"/>
  <c r="AP14" i="7"/>
  <c r="AL23" i="7"/>
  <c r="AL142" i="7"/>
  <c r="AP99" i="7"/>
  <c r="FX99" i="7" s="1"/>
  <c r="AM142" i="7"/>
  <c r="FU142" i="7" s="1"/>
  <c r="AL63" i="7"/>
  <c r="AP23" i="7"/>
  <c r="FX23" i="7" s="1"/>
  <c r="AO87" i="7"/>
  <c r="AN63" i="7"/>
  <c r="AM64" i="7"/>
  <c r="FU64" i="7" s="1"/>
  <c r="AQ16" i="7"/>
  <c r="FY16" i="7" s="1"/>
  <c r="AL141" i="7"/>
  <c r="AM99" i="7"/>
  <c r="FU99" i="7" s="1"/>
  <c r="AN71" i="7"/>
  <c r="AQ14" i="7"/>
  <c r="AM23" i="7"/>
  <c r="FU23" i="7" s="1"/>
  <c r="AP71" i="7"/>
  <c r="FX71" i="7" s="1"/>
  <c r="AO23" i="7"/>
  <c r="FW23" i="7" s="1"/>
  <c r="AL87" i="7"/>
  <c r="AQ99" i="7"/>
  <c r="FY99" i="7" s="1"/>
  <c r="AM72" i="7"/>
  <c r="FU72" i="7" s="1"/>
  <c r="AN15" i="7"/>
  <c r="FV15" i="7" s="1"/>
  <c r="AL100" i="7"/>
  <c r="AM63" i="7"/>
  <c r="AQ73" i="7"/>
  <c r="AO15" i="7"/>
  <c r="FW15" i="7" s="1"/>
  <c r="AM143" i="7"/>
  <c r="FU143" i="7" s="1"/>
  <c r="AM100" i="7"/>
  <c r="AL74" i="7"/>
  <c r="AP15" i="7"/>
  <c r="AQ143" i="7"/>
  <c r="FY143" i="7" s="1"/>
  <c r="AQ88" i="7"/>
  <c r="FY88" i="7" s="1"/>
  <c r="AM26" i="7"/>
  <c r="FU26" i="7" s="1"/>
  <c r="AQ141" i="7"/>
  <c r="FY141" i="7" s="1"/>
  <c r="AO99" i="7"/>
  <c r="AO71" i="7"/>
  <c r="FW71" i="7" s="1"/>
  <c r="AL15" i="7"/>
  <c r="AN23" i="7"/>
  <c r="AM15" i="7"/>
  <c r="FU15" i="7" s="1"/>
  <c r="AN142" i="7"/>
  <c r="AM25" i="7"/>
  <c r="FU25" i="7" s="1"/>
  <c r="AP87" i="7"/>
  <c r="AN25" i="7"/>
  <c r="FV25" i="7" s="1"/>
  <c r="AN100" i="7"/>
  <c r="AM74" i="7"/>
  <c r="FU74" i="7" s="1"/>
  <c r="AL146" i="7"/>
  <c r="AP94" i="7"/>
  <c r="FX94" i="7" s="1"/>
  <c r="AO148" i="7"/>
  <c r="FW148" i="7" s="1"/>
  <c r="AL95" i="7"/>
  <c r="AO76" i="7"/>
  <c r="FW76" i="7" s="1"/>
  <c r="AO19" i="7"/>
  <c r="FW19" i="7" s="1"/>
  <c r="AL136" i="7"/>
  <c r="AN66" i="7"/>
  <c r="FV66" i="7" s="1"/>
  <c r="AN135" i="7"/>
  <c r="FV135" i="7" s="1"/>
  <c r="AM69" i="7"/>
  <c r="FU69" i="7" s="1"/>
  <c r="AM27" i="7"/>
  <c r="AO135" i="7"/>
  <c r="FW135" i="7" s="1"/>
  <c r="AL89" i="7"/>
  <c r="AN69" i="7"/>
  <c r="AN27" i="7"/>
  <c r="FV27" i="7" s="1"/>
  <c r="AP135" i="7"/>
  <c r="FX135" i="7" s="1"/>
  <c r="AN90" i="7"/>
  <c r="FV90" i="7" s="1"/>
  <c r="AL71" i="7"/>
  <c r="AO27" i="7"/>
  <c r="FW27" i="7" s="1"/>
  <c r="ER307" i="7"/>
  <c r="EW307" i="7" s="1"/>
  <c r="AL144" i="7"/>
  <c r="AO94" i="7"/>
  <c r="FW94" i="7" s="1"/>
  <c r="AN77" i="7"/>
  <c r="FV77" i="7" s="1"/>
  <c r="AM18" i="7"/>
  <c r="FU18" i="7" s="1"/>
  <c r="AP92" i="7"/>
  <c r="FX92" i="7" s="1"/>
  <c r="AP68" i="7"/>
  <c r="AP22" i="7"/>
  <c r="FX22" i="7" s="1"/>
  <c r="AM135" i="7"/>
  <c r="FU135" i="7" s="1"/>
  <c r="AN74" i="7"/>
  <c r="AL94" i="7"/>
  <c r="AQ68" i="7"/>
  <c r="FY68" i="7" s="1"/>
  <c r="AQ22" i="7"/>
  <c r="AN94" i="7"/>
  <c r="FV94" i="7" s="1"/>
  <c r="AQ135" i="7"/>
  <c r="FY135" i="7" s="1"/>
  <c r="AL27" i="7"/>
  <c r="AP134" i="7"/>
  <c r="AM94" i="7"/>
  <c r="FU94" i="7" s="1"/>
  <c r="AL69" i="7"/>
  <c r="AP26" i="7"/>
  <c r="AQ26" i="7"/>
  <c r="AQ94" i="7"/>
  <c r="FY94" i="7" s="1"/>
  <c r="AN75" i="7"/>
  <c r="FV75" i="7" s="1"/>
  <c r="AO92" i="7"/>
  <c r="FW92" i="7" s="1"/>
  <c r="AP148" i="7"/>
  <c r="FX148" i="7" s="1"/>
  <c r="AO75" i="7"/>
  <c r="FW75" i="7" s="1"/>
  <c r="AO14" i="7"/>
  <c r="AQ148" i="7"/>
  <c r="FY148" i="7" s="1"/>
  <c r="AP75" i="7"/>
  <c r="FX75" i="7" s="1"/>
  <c r="AL17" i="7"/>
  <c r="AM76" i="7"/>
  <c r="FU76" i="7" s="1"/>
  <c r="AM17" i="7"/>
  <c r="FU17" i="7" s="1"/>
  <c r="AP76" i="7"/>
  <c r="FX76" i="7" s="1"/>
  <c r="AO95" i="7"/>
  <c r="FW95" i="7" s="1"/>
  <c r="AN22" i="7"/>
  <c r="FV22" i="7" s="1"/>
  <c r="AM137" i="7"/>
  <c r="FU137" i="7" s="1"/>
  <c r="AN101" i="7"/>
  <c r="FV101" i="7" s="1"/>
  <c r="AN137" i="7"/>
  <c r="AN17" i="7"/>
  <c r="FV17" i="7" s="1"/>
  <c r="AQ137" i="7"/>
  <c r="AL138" i="7"/>
  <c r="AL18" i="7"/>
  <c r="AN76" i="7"/>
  <c r="FV76" i="7" s="1"/>
  <c r="AM20" i="7"/>
  <c r="FU20" i="7" s="1"/>
  <c r="J307" i="7"/>
  <c r="AM77" i="7"/>
  <c r="FU77" i="7" s="1"/>
  <c r="AQ21" i="7"/>
  <c r="FY21" i="7" s="1"/>
  <c r="AM136" i="7"/>
  <c r="FU136" i="7" s="1"/>
  <c r="AQ27" i="7"/>
  <c r="FY27" i="7" s="1"/>
  <c r="AN138" i="7"/>
  <c r="FV138" i="7" s="1"/>
  <c r="AO77" i="7"/>
  <c r="FW77" i="7" s="1"/>
  <c r="AO22" i="7"/>
  <c r="FW22" i="7" s="1"/>
  <c r="AP77" i="7"/>
  <c r="FX77" i="7" s="1"/>
  <c r="AP27" i="7"/>
  <c r="FX27" i="7" s="1"/>
  <c r="AN136" i="7"/>
  <c r="FV136" i="7" s="1"/>
  <c r="AQ28" i="7"/>
  <c r="FY28" i="7" s="1"/>
  <c r="AM144" i="7"/>
  <c r="AO146" i="7"/>
  <c r="FW146" i="7" s="1"/>
  <c r="AN64" i="7"/>
  <c r="FV64" i="7" s="1"/>
  <c r="AP67" i="7"/>
  <c r="FX67" i="7" s="1"/>
  <c r="AO68" i="7"/>
  <c r="FW68" i="7" s="1"/>
  <c r="AN14" i="7"/>
  <c r="AO17" i="7"/>
  <c r="FW17" i="7" s="1"/>
  <c r="AN18" i="7"/>
  <c r="FV18" i="7" s="1"/>
  <c r="AP19" i="7"/>
  <c r="FX19" i="7" s="1"/>
  <c r="AL66" i="7"/>
  <c r="AM66" i="7"/>
  <c r="FU66" i="7" s="1"/>
  <c r="AO100" i="7"/>
  <c r="FW100" i="7" s="1"/>
  <c r="AL101" i="7"/>
  <c r="AO64" i="7"/>
  <c r="FW64" i="7" s="1"/>
  <c r="AP64" i="7"/>
  <c r="AQ64" i="7"/>
  <c r="FY64" i="7" s="1"/>
  <c r="AM101" i="7"/>
  <c r="FU101" i="7" s="1"/>
  <c r="AL65" i="7"/>
  <c r="AO90" i="7"/>
  <c r="FW90" i="7" s="1"/>
  <c r="AP90" i="7"/>
  <c r="FX90" i="7" s="1"/>
  <c r="AL20" i="7"/>
  <c r="AQ98" i="7"/>
  <c r="FY98" i="7" s="1"/>
  <c r="AO144" i="7"/>
  <c r="FW144" i="7" s="1"/>
  <c r="AN144" i="7"/>
  <c r="AQ90" i="7"/>
  <c r="FY90" i="7" s="1"/>
  <c r="AP144" i="7"/>
  <c r="FX144" i="7" s="1"/>
  <c r="FP74" i="7"/>
  <c r="FQ142" i="7"/>
  <c r="FM143" i="7"/>
  <c r="FN63" i="7"/>
  <c r="AF78" i="7"/>
  <c r="AF83" i="7" s="1"/>
  <c r="I136" i="45"/>
  <c r="J136" i="45" s="1"/>
  <c r="S39" i="23"/>
  <c r="FO94" i="7"/>
  <c r="I144" i="45"/>
  <c r="J144" i="45" s="1"/>
  <c r="S151" i="23"/>
  <c r="FM97" i="7"/>
  <c r="FL71" i="7"/>
  <c r="AJ71" i="7"/>
  <c r="D146" i="45"/>
  <c r="E146" i="45" s="1"/>
  <c r="D146" i="7"/>
  <c r="FP16" i="7"/>
  <c r="FL67" i="7"/>
  <c r="AJ67" i="7"/>
  <c r="AJ144" i="7"/>
  <c r="FL144" i="7"/>
  <c r="FP137" i="7"/>
  <c r="FN26" i="7"/>
  <c r="FN140" i="7"/>
  <c r="AJ25" i="7"/>
  <c r="FL25" i="7"/>
  <c r="FI155" i="7"/>
  <c r="FM95" i="7"/>
  <c r="FM90" i="7"/>
  <c r="EV84" i="7"/>
  <c r="FO72" i="7"/>
  <c r="FM74" i="7"/>
  <c r="FM138" i="7"/>
  <c r="FL75" i="7"/>
  <c r="AJ75" i="7"/>
  <c r="FO26" i="7"/>
  <c r="FQ93" i="7"/>
  <c r="AJ92" i="7"/>
  <c r="FL92" i="7"/>
  <c r="FQ92" i="7"/>
  <c r="FQ87" i="7"/>
  <c r="AI117" i="7"/>
  <c r="K29" i="33"/>
  <c r="V6" i="36"/>
  <c r="O306" i="7"/>
  <c r="FQ24" i="7"/>
  <c r="AA155" i="7"/>
  <c r="FO90" i="7"/>
  <c r="FO96" i="7"/>
  <c r="FL89" i="7"/>
  <c r="AJ89" i="7"/>
  <c r="FP93" i="7"/>
  <c r="AJ90" i="7"/>
  <c r="FL90" i="7"/>
  <c r="FM69" i="7"/>
  <c r="FM67" i="7"/>
  <c r="FM68" i="7"/>
  <c r="FL19" i="7"/>
  <c r="AJ19" i="7"/>
  <c r="FP136" i="7"/>
  <c r="FQ148" i="7"/>
  <c r="FN25" i="7"/>
  <c r="FL139" i="7"/>
  <c r="AJ139" i="7"/>
  <c r="FQ28" i="7"/>
  <c r="AD149" i="7"/>
  <c r="AD154" i="7" s="1"/>
  <c r="AJ134" i="7"/>
  <c r="FL134" i="7"/>
  <c r="FJ63" i="7"/>
  <c r="FJ78" i="7" s="1"/>
  <c r="FJ83" i="7" s="1"/>
  <c r="FD78" i="7"/>
  <c r="FD83" i="7" s="1"/>
  <c r="Y155" i="7"/>
  <c r="AJ136" i="7"/>
  <c r="FL136" i="7"/>
  <c r="FM92" i="7"/>
  <c r="FP143" i="7"/>
  <c r="FQ94" i="7"/>
  <c r="AH78" i="7"/>
  <c r="AH83" i="7" s="1"/>
  <c r="FP63" i="7"/>
  <c r="AJ88" i="7"/>
  <c r="FL88" i="7"/>
  <c r="FP139" i="7"/>
  <c r="FP65" i="7"/>
  <c r="FO141" i="7"/>
  <c r="FM139" i="7"/>
  <c r="FQ68" i="7"/>
  <c r="FA84" i="7"/>
  <c r="AJ97" i="7"/>
  <c r="FL97" i="7"/>
  <c r="FL148" i="7"/>
  <c r="AJ148" i="7"/>
  <c r="AB149" i="7"/>
  <c r="AB154" i="7" s="1"/>
  <c r="D137" i="45"/>
  <c r="E137" i="45" s="1"/>
  <c r="CB148" i="7"/>
  <c r="D137" i="7"/>
  <c r="FL147" i="7"/>
  <c r="AJ147" i="7"/>
  <c r="FL20" i="7"/>
  <c r="AJ20" i="7"/>
  <c r="FQ140" i="7"/>
  <c r="AJ100" i="7"/>
  <c r="FL100" i="7"/>
  <c r="AI78" i="7"/>
  <c r="AI83" i="7" s="1"/>
  <c r="FQ63" i="7"/>
  <c r="FQ67" i="7"/>
  <c r="FQ66" i="7"/>
  <c r="FQ64" i="7"/>
  <c r="FQ135" i="7"/>
  <c r="FL99" i="7"/>
  <c r="AJ99" i="7"/>
  <c r="FQ139" i="7"/>
  <c r="FL74" i="7"/>
  <c r="AJ74" i="7"/>
  <c r="FL143" i="7"/>
  <c r="AJ143" i="7"/>
  <c r="AJ16" i="7"/>
  <c r="FL16" i="7"/>
  <c r="FN72" i="7"/>
  <c r="FO24" i="7"/>
  <c r="FM145" i="7"/>
  <c r="AJ96" i="7"/>
  <c r="FL96" i="7"/>
  <c r="FQ145" i="7"/>
  <c r="I147" i="45"/>
  <c r="J147" i="45" s="1"/>
  <c r="S193" i="23"/>
  <c r="AB78" i="7"/>
  <c r="AB83" i="7" s="1"/>
  <c r="FG155" i="7"/>
  <c r="FO138" i="7"/>
  <c r="AJ26" i="7"/>
  <c r="FL26" i="7"/>
  <c r="FQ17" i="7"/>
  <c r="AG149" i="7"/>
  <c r="AG154" i="7" s="1"/>
  <c r="FO134" i="7"/>
  <c r="FP75" i="7"/>
  <c r="FO100" i="7"/>
  <c r="FL27" i="7"/>
  <c r="AJ27" i="7"/>
  <c r="FL76" i="7"/>
  <c r="AJ76" i="7"/>
  <c r="FN64" i="7"/>
  <c r="AG117" i="7"/>
  <c r="FO87" i="7"/>
  <c r="FN75" i="7"/>
  <c r="FM15" i="7"/>
  <c r="FP99" i="7"/>
  <c r="FJ134" i="7"/>
  <c r="FJ149" i="7" s="1"/>
  <c r="FJ154" i="7" s="1"/>
  <c r="FD149" i="7"/>
  <c r="FD154" i="7" s="1"/>
  <c r="I137" i="45"/>
  <c r="J137" i="45" s="1"/>
  <c r="S53" i="23"/>
  <c r="FM94" i="7"/>
  <c r="FL93" i="7"/>
  <c r="AJ93" i="7"/>
  <c r="FN70" i="7"/>
  <c r="AJ24" i="7"/>
  <c r="FL24" i="7"/>
  <c r="FO146" i="7"/>
  <c r="FL22" i="7"/>
  <c r="AJ22" i="7"/>
  <c r="FM66" i="7"/>
  <c r="FM72" i="7"/>
  <c r="FO93" i="7"/>
  <c r="FM20" i="7"/>
  <c r="FM140" i="7"/>
  <c r="FP91" i="7"/>
  <c r="FQ141" i="7"/>
  <c r="I148" i="45"/>
  <c r="J148" i="45" s="1"/>
  <c r="S207" i="23"/>
  <c r="FQ23" i="7"/>
  <c r="FM101" i="7"/>
  <c r="FQ143" i="7"/>
  <c r="I145" i="45"/>
  <c r="J145" i="45" s="1"/>
  <c r="S165" i="23"/>
  <c r="AJ101" i="7"/>
  <c r="FL101" i="7"/>
  <c r="FP23" i="7"/>
  <c r="FN66" i="7"/>
  <c r="FO98" i="7"/>
  <c r="I138" i="45"/>
  <c r="J138" i="45" s="1"/>
  <c r="S67" i="23"/>
  <c r="AJ91" i="7"/>
  <c r="FL91" i="7"/>
  <c r="FN14" i="7"/>
  <c r="AF44" i="7"/>
  <c r="FM25" i="7"/>
  <c r="FN90" i="7"/>
  <c r="FP94" i="7"/>
  <c r="AJ87" i="7"/>
  <c r="AD117" i="7"/>
  <c r="FL87" i="7"/>
  <c r="FO145" i="7"/>
  <c r="FN143" i="7"/>
  <c r="FN136" i="7"/>
  <c r="FN77" i="7"/>
  <c r="FE155" i="7"/>
  <c r="Z155" i="7"/>
  <c r="FL94" i="7"/>
  <c r="AJ94" i="7"/>
  <c r="FL95" i="7"/>
  <c r="AJ95" i="7"/>
  <c r="FO64" i="7"/>
  <c r="FO19" i="7"/>
  <c r="AH149" i="7"/>
  <c r="AH154" i="7" s="1"/>
  <c r="FP134" i="7"/>
  <c r="FO73" i="7"/>
  <c r="FL21" i="7"/>
  <c r="AJ21" i="7"/>
  <c r="FN101" i="7"/>
  <c r="FM135" i="7"/>
  <c r="AF117" i="7"/>
  <c r="FN87" i="7"/>
  <c r="D148" i="45"/>
  <c r="E148" i="45" s="1"/>
  <c r="D148" i="7"/>
  <c r="I141" i="45"/>
  <c r="J141" i="45" s="1"/>
  <c r="S109" i="23"/>
  <c r="EY84" i="7"/>
  <c r="D144" i="45"/>
  <c r="E144" i="45" s="1"/>
  <c r="D144" i="7"/>
  <c r="AJ72" i="7"/>
  <c r="FL72" i="7"/>
  <c r="FJ14" i="7"/>
  <c r="FJ44" i="7" s="1"/>
  <c r="FD44" i="7"/>
  <c r="FO75" i="7"/>
  <c r="FP98" i="7"/>
  <c r="AB44" i="7"/>
  <c r="FP142" i="7"/>
  <c r="FQ90" i="7"/>
  <c r="AJ135" i="7"/>
  <c r="FL135" i="7"/>
  <c r="AJ15" i="7"/>
  <c r="FL15" i="7"/>
  <c r="AJ17" i="7"/>
  <c r="FL17" i="7"/>
  <c r="FQ19" i="7"/>
  <c r="FO143" i="7"/>
  <c r="FM24" i="7"/>
  <c r="FO148" i="7"/>
  <c r="D140" i="45"/>
  <c r="E140" i="45" s="1"/>
  <c r="D140" i="7"/>
  <c r="FL68" i="7"/>
  <c r="AJ68" i="7"/>
  <c r="FQ14" i="7"/>
  <c r="AI44" i="7"/>
  <c r="FP77" i="7"/>
  <c r="FO139" i="7"/>
  <c r="AJ138" i="7"/>
  <c r="FL138" i="7"/>
  <c r="FM14" i="7"/>
  <c r="AE44" i="7"/>
  <c r="FQ95" i="7"/>
  <c r="FL14" i="7"/>
  <c r="AJ14" i="7"/>
  <c r="AD44" i="7"/>
  <c r="FQ75" i="7"/>
  <c r="FO91" i="7"/>
  <c r="FM147" i="7"/>
  <c r="FO28" i="7"/>
  <c r="FP14" i="7"/>
  <c r="AH44" i="7"/>
  <c r="FM21" i="7"/>
  <c r="FN139" i="7"/>
  <c r="AE149" i="7"/>
  <c r="AE154" i="7" s="1"/>
  <c r="FM134" i="7"/>
  <c r="FM77" i="7"/>
  <c r="FP25" i="7"/>
  <c r="FQ147" i="7"/>
  <c r="D139" i="7"/>
  <c r="D139" i="45"/>
  <c r="E139" i="45" s="1"/>
  <c r="W84" i="7"/>
  <c r="CC123" i="7"/>
  <c r="CD123" i="7"/>
  <c r="CG123" i="7"/>
  <c r="E123" i="7"/>
  <c r="EM123" i="7" s="1"/>
  <c r="CE123" i="7"/>
  <c r="CF123" i="7"/>
  <c r="D141" i="45"/>
  <c r="E141" i="45" s="1"/>
  <c r="D141" i="7"/>
  <c r="D79" i="21"/>
  <c r="U55" i="22"/>
  <c r="AE39" i="25" s="1"/>
  <c r="V25" i="22"/>
  <c r="AF9" i="25" s="1"/>
  <c r="U41" i="22"/>
  <c r="AE25" i="25" s="1"/>
  <c r="AE24" i="25" s="1"/>
  <c r="T40" i="22"/>
  <c r="U47" i="22"/>
  <c r="AE31" i="25" s="1"/>
  <c r="AE30" i="25" s="1"/>
  <c r="T46" i="22"/>
  <c r="T58" i="22"/>
  <c r="U59" i="22"/>
  <c r="AE43" i="25" s="1"/>
  <c r="AE42" i="25" s="1"/>
  <c r="T52" i="22"/>
  <c r="U53" i="22"/>
  <c r="AE37" i="25" s="1"/>
  <c r="AE36" i="25" s="1"/>
  <c r="V42" i="22"/>
  <c r="AF26" i="25" s="1"/>
  <c r="V65" i="22"/>
  <c r="AF49" i="25" s="1"/>
  <c r="AF48" i="25" s="1"/>
  <c r="U64" i="22"/>
  <c r="A103" i="21"/>
  <c r="O104" i="21" s="1"/>
  <c r="Q107" i="21" s="1"/>
  <c r="V22" i="22"/>
  <c r="AF6" i="25" s="1"/>
  <c r="U21" i="22"/>
  <c r="AE5" i="25" s="1"/>
  <c r="V24" i="22"/>
  <c r="AF8" i="25" s="1"/>
  <c r="U26" i="22"/>
  <c r="AE10" i="25" s="1"/>
  <c r="GJ10" i="7"/>
  <c r="BB10" i="7"/>
  <c r="V67" i="22"/>
  <c r="AF51" i="25" s="1"/>
  <c r="A109" i="26"/>
  <c r="V43" i="22"/>
  <c r="AF27" i="25" s="1"/>
  <c r="K83" i="21" l="1"/>
  <c r="B50" i="51"/>
  <c r="C81" i="21"/>
  <c r="C34" i="45"/>
  <c r="H17" i="26"/>
  <c r="K16" i="26"/>
  <c r="V16" i="26" s="1"/>
  <c r="AG16" i="26"/>
  <c r="AK16" i="26" s="1"/>
  <c r="C83" i="21"/>
  <c r="C50" i="51"/>
  <c r="K81" i="21"/>
  <c r="I81" i="21" s="1"/>
  <c r="D49" i="51" s="1"/>
  <c r="O79" i="21"/>
  <c r="C82" i="21"/>
  <c r="D89" i="56" s="1" a="1"/>
  <c r="D89" i="56" s="1"/>
  <c r="C86" i="21"/>
  <c r="H88" i="56" s="1" a="1"/>
  <c r="H88" i="56" s="1"/>
  <c r="K85" i="21"/>
  <c r="G85" i="56" s="1" a="1"/>
  <c r="G85" i="56" s="1"/>
  <c r="C53" i="51"/>
  <c r="C49" i="51"/>
  <c r="B49" i="51"/>
  <c r="L77" i="21"/>
  <c r="U79" i="21"/>
  <c r="G79" i="21"/>
  <c r="C85" i="21"/>
  <c r="G88" i="56" s="1" a="1"/>
  <c r="G88" i="56" s="1"/>
  <c r="C51" i="51"/>
  <c r="C84" i="21"/>
  <c r="F84" i="21" s="1"/>
  <c r="B54" i="51"/>
  <c r="B53" i="51"/>
  <c r="A46" i="40"/>
  <c r="C107" i="7"/>
  <c r="EK107" i="7" s="1"/>
  <c r="A105" i="36"/>
  <c r="V20" i="36" s="1"/>
  <c r="B52" i="51"/>
  <c r="B51" i="51"/>
  <c r="T30" i="22"/>
  <c r="AD14" i="25" s="1"/>
  <c r="C19" i="7"/>
  <c r="EK19" i="7" s="1"/>
  <c r="C92" i="45"/>
  <c r="C107" i="45"/>
  <c r="F52" i="51"/>
  <c r="F49" i="51"/>
  <c r="C34" i="7"/>
  <c r="EK34" i="7" s="1"/>
  <c r="C19" i="45"/>
  <c r="A46" i="41"/>
  <c r="E50" i="51"/>
  <c r="W83" i="21"/>
  <c r="L82" i="21"/>
  <c r="G85" i="21"/>
  <c r="X82" i="21"/>
  <c r="L83" i="21"/>
  <c r="O83" i="21" s="1"/>
  <c r="X81" i="21"/>
  <c r="G82" i="21"/>
  <c r="L81" i="21"/>
  <c r="Y81" i="21" s="1"/>
  <c r="G86" i="21"/>
  <c r="W86" i="21"/>
  <c r="W82" i="21"/>
  <c r="L86" i="21"/>
  <c r="E51" i="51"/>
  <c r="G81" i="21"/>
  <c r="F50" i="51"/>
  <c r="G84" i="21"/>
  <c r="L84" i="21"/>
  <c r="E52" i="51"/>
  <c r="X87" i="21"/>
  <c r="J88" i="21" s="1"/>
  <c r="G83" i="21"/>
  <c r="F51" i="51"/>
  <c r="X85" i="21"/>
  <c r="W85" i="21"/>
  <c r="F53" i="51"/>
  <c r="F54" i="51"/>
  <c r="X84" i="21"/>
  <c r="W84" i="21"/>
  <c r="B46" i="40"/>
  <c r="E54" i="51"/>
  <c r="X86" i="21"/>
  <c r="W81" i="21"/>
  <c r="L85" i="21"/>
  <c r="Y85" i="21" s="1"/>
  <c r="E53" i="51"/>
  <c r="E49" i="51"/>
  <c r="B46" i="41"/>
  <c r="Q33" i="22"/>
  <c r="AA17" i="25" s="1"/>
  <c r="R32" i="22"/>
  <c r="AB16" i="25" s="1"/>
  <c r="F20" i="25"/>
  <c r="F21" i="25" s="1"/>
  <c r="F368" i="25"/>
  <c r="F369" i="25" s="1"/>
  <c r="F370" i="25" s="1"/>
  <c r="F252" i="25"/>
  <c r="F253" i="25" s="1"/>
  <c r="F254" i="25" s="1"/>
  <c r="F426" i="25"/>
  <c r="F427" i="25" s="1"/>
  <c r="F428" i="25" s="1"/>
  <c r="C369" i="25"/>
  <c r="C370" i="25" s="1"/>
  <c r="K370" i="25" s="1"/>
  <c r="CG275" i="7" s="1"/>
  <c r="F397" i="25"/>
  <c r="F398" i="25" s="1"/>
  <c r="F399" i="25" s="1"/>
  <c r="F136" i="25"/>
  <c r="F137" i="25" s="1"/>
  <c r="F138" i="25" s="1"/>
  <c r="F194" i="25"/>
  <c r="F195" i="25" s="1"/>
  <c r="F196" i="25" s="1"/>
  <c r="C137" i="25"/>
  <c r="K137" i="25" s="1"/>
  <c r="F107" i="25"/>
  <c r="F108" i="25" s="1"/>
  <c r="F109" i="25" s="1"/>
  <c r="C253" i="25"/>
  <c r="K253" i="25" s="1"/>
  <c r="C398" i="25"/>
  <c r="C399" i="25" s="1"/>
  <c r="C400" i="25" s="1"/>
  <c r="K400" i="25" s="1"/>
  <c r="C108" i="25"/>
  <c r="C109" i="25" s="1"/>
  <c r="K109" i="25" s="1"/>
  <c r="CG239" i="7" s="1"/>
  <c r="F339" i="25"/>
  <c r="F340" i="25" s="1"/>
  <c r="F341" i="25" s="1"/>
  <c r="F165" i="25"/>
  <c r="F166" i="25" s="1"/>
  <c r="F167" i="25" s="1"/>
  <c r="C79" i="25"/>
  <c r="K79" i="25" s="1"/>
  <c r="F223" i="25"/>
  <c r="F224" i="25" s="1"/>
  <c r="F225" i="25" s="1"/>
  <c r="C224" i="25"/>
  <c r="C225" i="25" s="1"/>
  <c r="K225" i="25" s="1"/>
  <c r="CG255" i="7" s="1"/>
  <c r="C427" i="25"/>
  <c r="K427" i="25" s="1"/>
  <c r="U29" i="22"/>
  <c r="AE13" i="25" s="1"/>
  <c r="C50" i="25"/>
  <c r="C51" i="25" s="1"/>
  <c r="C311" i="25"/>
  <c r="K311" i="25" s="1"/>
  <c r="C195" i="25"/>
  <c r="C196" i="25" s="1"/>
  <c r="K196" i="25" s="1"/>
  <c r="CG251" i="7" s="1"/>
  <c r="F49" i="25"/>
  <c r="F51" i="25" s="1"/>
  <c r="C282" i="25"/>
  <c r="C283" i="25" s="1"/>
  <c r="K283" i="25" s="1"/>
  <c r="CG263" i="7" s="1"/>
  <c r="F281" i="25"/>
  <c r="F282" i="25" s="1"/>
  <c r="F283" i="25" s="1"/>
  <c r="C166" i="25"/>
  <c r="C167" i="25" s="1"/>
  <c r="K167" i="25" s="1"/>
  <c r="CG247" i="7" s="1"/>
  <c r="F310" i="25"/>
  <c r="F311" i="25" s="1"/>
  <c r="F312" i="25" s="1"/>
  <c r="C340" i="25"/>
  <c r="K340" i="25" s="1"/>
  <c r="Z20" i="25"/>
  <c r="G368" i="25" s="1"/>
  <c r="G369" i="25" s="1"/>
  <c r="G370" i="25" s="1"/>
  <c r="E71" i="21"/>
  <c r="F71" i="21"/>
  <c r="E72" i="21"/>
  <c r="C86" i="56" a="1"/>
  <c r="C86" i="56" s="1"/>
  <c r="F72" i="21"/>
  <c r="N68" i="21"/>
  <c r="E33" i="7" s="1"/>
  <c r="EM33" i="7" s="1"/>
  <c r="Y67" i="21"/>
  <c r="G79" i="56" a="1"/>
  <c r="G79" i="56" s="1"/>
  <c r="G78" i="56" a="1"/>
  <c r="G78" i="56" s="1"/>
  <c r="H80" i="56" a="1"/>
  <c r="H80" i="56" s="1"/>
  <c r="H78" i="56" a="1"/>
  <c r="H78" i="56" s="1"/>
  <c r="H79" i="56" a="1"/>
  <c r="H79" i="56" s="1"/>
  <c r="G44" i="51"/>
  <c r="C76" i="56" a="1"/>
  <c r="C76" i="56" s="1"/>
  <c r="M69" i="21"/>
  <c r="Y68" i="21"/>
  <c r="D76" i="56" a="1"/>
  <c r="D76" i="56" s="1"/>
  <c r="I68" i="21"/>
  <c r="D41" i="51" s="1"/>
  <c r="N72" i="21"/>
  <c r="E70" i="21"/>
  <c r="O72" i="21"/>
  <c r="I18" i="7" s="1"/>
  <c r="I67" i="21"/>
  <c r="D40" i="51" s="1"/>
  <c r="W73" i="21"/>
  <c r="M72" i="21"/>
  <c r="P15" i="35"/>
  <c r="G73" i="21"/>
  <c r="F70" i="21"/>
  <c r="I71" i="21"/>
  <c r="D44" i="51" s="1"/>
  <c r="M71" i="21"/>
  <c r="I72" i="21"/>
  <c r="D45" i="51" s="1"/>
  <c r="E76" i="56" a="1"/>
  <c r="E76" i="56" s="1"/>
  <c r="N71" i="21"/>
  <c r="H33" i="7" s="1"/>
  <c r="EP33" i="7" s="1"/>
  <c r="O71" i="21"/>
  <c r="H18" i="7" s="1"/>
  <c r="EP18" i="7" s="1"/>
  <c r="F76" i="56" a="1"/>
  <c r="F76" i="56" s="1"/>
  <c r="O70" i="21"/>
  <c r="S70" i="21" s="1"/>
  <c r="E67" i="21"/>
  <c r="F68" i="21"/>
  <c r="E68" i="21"/>
  <c r="I70" i="21"/>
  <c r="D43" i="51" s="1"/>
  <c r="N69" i="21"/>
  <c r="CK33" i="7" s="1"/>
  <c r="D79" i="56" a="1"/>
  <c r="D79" i="56" s="1"/>
  <c r="E79" i="56" a="1"/>
  <c r="E79" i="56" s="1"/>
  <c r="E78" i="56" a="1"/>
  <c r="E78" i="56" s="1"/>
  <c r="G41" i="51"/>
  <c r="G40" i="51"/>
  <c r="N67" i="21"/>
  <c r="Q67" i="21" s="1"/>
  <c r="F67" i="21"/>
  <c r="C73" i="21"/>
  <c r="E73" i="21" s="1"/>
  <c r="F74" i="21" s="1"/>
  <c r="R15" i="35" s="1"/>
  <c r="G43" i="51"/>
  <c r="D80" i="56" a="1"/>
  <c r="D80" i="56" s="1"/>
  <c r="D78" i="56" a="1"/>
  <c r="D78" i="56" s="1"/>
  <c r="E80" i="56" a="1"/>
  <c r="E80" i="56" s="1"/>
  <c r="E69" i="21"/>
  <c r="F69" i="21"/>
  <c r="G42" i="51"/>
  <c r="O69" i="21"/>
  <c r="CI18" i="7" s="1"/>
  <c r="C80" i="56" a="1"/>
  <c r="C80" i="56" s="1"/>
  <c r="C79" i="56" a="1"/>
  <c r="C79" i="56" s="1"/>
  <c r="F80" i="56" a="1"/>
  <c r="F80" i="56" s="1"/>
  <c r="N70" i="21"/>
  <c r="F79" i="56" a="1"/>
  <c r="F79" i="56" s="1"/>
  <c r="J85" i="36"/>
  <c r="S31" i="22"/>
  <c r="AC15" i="25" s="1"/>
  <c r="R12" i="23"/>
  <c r="S12" i="23" s="1"/>
  <c r="T12" i="23" s="1"/>
  <c r="T87" i="7"/>
  <c r="T117" i="7" s="1"/>
  <c r="T155" i="7" s="1"/>
  <c r="T156" i="7" s="1"/>
  <c r="T290" i="7" s="1"/>
  <c r="AB17" i="21"/>
  <c r="EY87" i="7"/>
  <c r="EY117" i="7" s="1"/>
  <c r="EY155" i="7" s="1"/>
  <c r="EY156" i="7" s="1"/>
  <c r="Q117" i="7"/>
  <c r="EW87" i="7"/>
  <c r="EW117" i="7" s="1"/>
  <c r="EW155" i="7" s="1"/>
  <c r="EW156" i="7" s="1"/>
  <c r="EW290" i="7" s="1"/>
  <c r="O117" i="7"/>
  <c r="Q54" i="21"/>
  <c r="N155" i="7"/>
  <c r="N156" i="7" s="1"/>
  <c r="N290" i="7" s="1"/>
  <c r="N297" i="7" s="1"/>
  <c r="C18" i="40"/>
  <c r="P117" i="7"/>
  <c r="EX87" i="7"/>
  <c r="EX117" i="7" s="1"/>
  <c r="EX155" i="7" s="1"/>
  <c r="EX156" i="7" s="1"/>
  <c r="EX290" i="7" s="1"/>
  <c r="FA87" i="7"/>
  <c r="FA117" i="7" s="1"/>
  <c r="FA155" i="7" s="1"/>
  <c r="FA156" i="7" s="1"/>
  <c r="FA290" i="7" s="1"/>
  <c r="S117" i="7"/>
  <c r="EV117" i="7"/>
  <c r="EV155" i="7" s="1"/>
  <c r="EV156" i="7" s="1"/>
  <c r="EV290" i="7" s="1"/>
  <c r="R117" i="7"/>
  <c r="EZ87" i="7"/>
  <c r="EZ117" i="7" s="1"/>
  <c r="EZ155" i="7" s="1"/>
  <c r="EZ156" i="7" s="1"/>
  <c r="S107" i="21"/>
  <c r="P109" i="21"/>
  <c r="R109" i="21"/>
  <c r="R110" i="21" s="1"/>
  <c r="R111" i="21" s="1"/>
  <c r="R112" i="21" s="1"/>
  <c r="R113" i="21" s="1"/>
  <c r="R114" i="21" s="1"/>
  <c r="P83" i="21"/>
  <c r="D86" i="56" a="1"/>
  <c r="D86" i="56" s="1"/>
  <c r="P69" i="21"/>
  <c r="D77" i="56" a="1"/>
  <c r="D77" i="56" s="1"/>
  <c r="P96" i="21"/>
  <c r="C95" i="56" a="1"/>
  <c r="C95" i="56" s="1"/>
  <c r="P55" i="21"/>
  <c r="D68" i="56" a="1"/>
  <c r="D68" i="56" s="1"/>
  <c r="CJ148" i="7"/>
  <c r="F137" i="7"/>
  <c r="EN137" i="7" s="1"/>
  <c r="G42" i="52" s="1"/>
  <c r="H42" i="52" s="1"/>
  <c r="CI148" i="7"/>
  <c r="CK148" i="7"/>
  <c r="CH148" i="7"/>
  <c r="S34" i="22"/>
  <c r="AC18" i="25" s="1"/>
  <c r="CL49" i="7"/>
  <c r="CH49" i="7"/>
  <c r="CH48" i="7"/>
  <c r="CJ53" i="7"/>
  <c r="CJ48" i="7"/>
  <c r="I6" i="51"/>
  <c r="J6" i="51" s="1"/>
  <c r="CI52" i="7"/>
  <c r="CH52" i="7"/>
  <c r="CK56" i="7"/>
  <c r="F52" i="7"/>
  <c r="EN52" i="7" s="1"/>
  <c r="CL53" i="7"/>
  <c r="M13" i="25"/>
  <c r="CL118" i="7" s="1"/>
  <c r="CI56" i="7"/>
  <c r="CK47" i="7"/>
  <c r="CJ52" i="7"/>
  <c r="CH47" i="7"/>
  <c r="CH56" i="7"/>
  <c r="CH55" i="7"/>
  <c r="CK59" i="7"/>
  <c r="F47" i="7"/>
  <c r="EN47" i="7" s="1"/>
  <c r="CJ47" i="7"/>
  <c r="CI47" i="7"/>
  <c r="F58" i="7"/>
  <c r="EN58" i="7" s="1"/>
  <c r="CH58" i="7"/>
  <c r="CI49" i="7"/>
  <c r="F49" i="7"/>
  <c r="EN49" i="7" s="1"/>
  <c r="CJ49" i="7"/>
  <c r="F50" i="7"/>
  <c r="EN50" i="7" s="1"/>
  <c r="F53" i="7"/>
  <c r="EN53" i="7" s="1"/>
  <c r="CH53" i="7"/>
  <c r="R168" i="23"/>
  <c r="S168" i="23" s="1"/>
  <c r="T168" i="23" s="1"/>
  <c r="CI61" i="7"/>
  <c r="F102" i="7"/>
  <c r="EN102" i="7" s="1"/>
  <c r="CL102" i="7"/>
  <c r="CL56" i="7"/>
  <c r="CH57" i="7"/>
  <c r="CG62" i="7"/>
  <c r="F54" i="7"/>
  <c r="EN54" i="7" s="1"/>
  <c r="CH54" i="7"/>
  <c r="CK54" i="7"/>
  <c r="L44" i="25"/>
  <c r="N44" i="25" s="1"/>
  <c r="F305" i="56" a="1"/>
  <c r="F305" i="56" s="1"/>
  <c r="P37" i="22"/>
  <c r="CL54" i="7"/>
  <c r="P43" i="21"/>
  <c r="T43" i="21" s="1"/>
  <c r="F59" i="56" a="1"/>
  <c r="F59" i="56" s="1"/>
  <c r="L70" i="23"/>
  <c r="G138" i="7" s="1"/>
  <c r="EO138" i="7" s="1"/>
  <c r="CC62" i="7"/>
  <c r="L160" i="25"/>
  <c r="F337" i="56" a="1"/>
  <c r="F337" i="56" s="1"/>
  <c r="L334" i="25"/>
  <c r="N334" i="25" s="1"/>
  <c r="F385" i="56" a="1"/>
  <c r="F385" i="56" s="1"/>
  <c r="CK49" i="7"/>
  <c r="CL52" i="7"/>
  <c r="L363" i="25"/>
  <c r="N363" i="25" s="1"/>
  <c r="F393" i="56" a="1"/>
  <c r="F393" i="56" s="1"/>
  <c r="Q42" i="21"/>
  <c r="P15" i="21"/>
  <c r="F41" i="56" a="1"/>
  <c r="F41" i="56" s="1"/>
  <c r="T14" i="21"/>
  <c r="Q14" i="21"/>
  <c r="CD62" i="7"/>
  <c r="L15" i="25"/>
  <c r="N15" i="25" s="1"/>
  <c r="F297" i="56" a="1"/>
  <c r="F297" i="56" s="1"/>
  <c r="L73" i="25"/>
  <c r="N73" i="25" s="1"/>
  <c r="F313" i="56" a="1"/>
  <c r="F313" i="56" s="1"/>
  <c r="CF62" i="7"/>
  <c r="L102" i="25"/>
  <c r="F321" i="56" a="1"/>
  <c r="F321" i="56" s="1"/>
  <c r="L305" i="25"/>
  <c r="N305" i="25" s="1"/>
  <c r="F377" i="56" a="1"/>
  <c r="F377" i="56" s="1"/>
  <c r="CK52" i="7"/>
  <c r="R210" i="23"/>
  <c r="S210" i="23" s="1"/>
  <c r="T210" i="23" s="1"/>
  <c r="L131" i="25"/>
  <c r="N131" i="25" s="1"/>
  <c r="F329" i="56" a="1"/>
  <c r="F329" i="56" s="1"/>
  <c r="CJ54" i="7"/>
  <c r="CI54" i="7"/>
  <c r="P29" i="21"/>
  <c r="F50" i="56" a="1"/>
  <c r="F50" i="56" s="1"/>
  <c r="Q28" i="21"/>
  <c r="G103" i="7" s="1"/>
  <c r="EO103" i="7" s="1"/>
  <c r="L392" i="25"/>
  <c r="N392" i="25" s="1"/>
  <c r="F401" i="56" a="1"/>
  <c r="F401" i="56" s="1"/>
  <c r="L247" i="25"/>
  <c r="F361" i="56" a="1"/>
  <c r="F361" i="56" s="1"/>
  <c r="L189" i="25"/>
  <c r="N189" i="25" s="1"/>
  <c r="F345" i="56" a="1"/>
  <c r="F345" i="56" s="1"/>
  <c r="CE62" i="7"/>
  <c r="L421" i="25"/>
  <c r="N421" i="25" s="1"/>
  <c r="F409" i="56" a="1"/>
  <c r="F409" i="56" s="1"/>
  <c r="L276" i="25"/>
  <c r="F369" i="56" a="1"/>
  <c r="F369" i="56" s="1"/>
  <c r="CK51" i="7"/>
  <c r="CI58" i="7"/>
  <c r="CJ50" i="7"/>
  <c r="L218" i="25"/>
  <c r="N218" i="25" s="1"/>
  <c r="F353" i="56" a="1"/>
  <c r="F353" i="56" s="1"/>
  <c r="K420" i="25"/>
  <c r="M420" i="25" s="1"/>
  <c r="G132" i="7" s="1"/>
  <c r="EO132" i="7" s="1"/>
  <c r="F408" i="56" a="1"/>
  <c r="F408" i="56" s="1"/>
  <c r="I82" i="21"/>
  <c r="D50" i="51" s="1"/>
  <c r="D85" i="56" a="1"/>
  <c r="D85" i="56" s="1"/>
  <c r="K130" i="25"/>
  <c r="M130" i="25" s="1"/>
  <c r="F328" i="56" a="1"/>
  <c r="F328" i="56" s="1"/>
  <c r="F264" i="56" a="1"/>
  <c r="F264" i="56" s="1"/>
  <c r="L168" i="23"/>
  <c r="G145" i="7" s="1"/>
  <c r="EO145" i="7" s="1"/>
  <c r="F224" i="56" a="1"/>
  <c r="F224" i="56" s="1"/>
  <c r="L98" i="23"/>
  <c r="G140" i="7" s="1"/>
  <c r="EO140" i="7" s="1"/>
  <c r="E62" i="7"/>
  <c r="F51" i="7"/>
  <c r="EN51" i="7" s="1"/>
  <c r="EM62" i="7"/>
  <c r="F23" i="52" s="1"/>
  <c r="K304" i="25"/>
  <c r="M304" i="25" s="1"/>
  <c r="F376" i="56" a="1"/>
  <c r="F376" i="56" s="1"/>
  <c r="CK61" i="7"/>
  <c r="CL61" i="7"/>
  <c r="K159" i="25"/>
  <c r="M159" i="25" s="1"/>
  <c r="F336" i="56" a="1"/>
  <c r="F336" i="56" s="1"/>
  <c r="F216" i="56" a="1"/>
  <c r="F216" i="56" s="1"/>
  <c r="L84" i="23"/>
  <c r="G139" i="7" s="1"/>
  <c r="EO139" i="7" s="1"/>
  <c r="CH51" i="7"/>
  <c r="F272" i="56" a="1"/>
  <c r="F272" i="56" s="1"/>
  <c r="R182" i="23"/>
  <c r="S182" i="23" s="1"/>
  <c r="T182" i="23" s="1"/>
  <c r="CI51" i="7"/>
  <c r="M84" i="23"/>
  <c r="K333" i="25"/>
  <c r="M333" i="25" s="1"/>
  <c r="CM129" i="7" s="1"/>
  <c r="F384" i="56" a="1"/>
  <c r="F384" i="56" s="1"/>
  <c r="F200" i="56" a="1"/>
  <c r="F200" i="56" s="1"/>
  <c r="L56" i="23"/>
  <c r="R56" i="23"/>
  <c r="S56" i="23" s="1"/>
  <c r="T56" i="23" s="1"/>
  <c r="M56" i="23"/>
  <c r="CJ56" i="7"/>
  <c r="C85" i="56" a="1"/>
  <c r="C85" i="56" s="1"/>
  <c r="M28" i="23"/>
  <c r="R98" i="23"/>
  <c r="S98" i="23" s="1"/>
  <c r="T98" i="23" s="1"/>
  <c r="CJ51" i="7"/>
  <c r="CI53" i="7"/>
  <c r="M182" i="23"/>
  <c r="F48" i="7"/>
  <c r="EN48" i="7" s="1"/>
  <c r="CK53" i="7"/>
  <c r="F61" i="7"/>
  <c r="EN61" i="7" s="1"/>
  <c r="R84" i="23"/>
  <c r="S84" i="23" s="1"/>
  <c r="T84" i="23" s="1"/>
  <c r="CI48" i="7"/>
  <c r="CL58" i="7"/>
  <c r="K101" i="25"/>
  <c r="M101" i="25" s="1"/>
  <c r="F320" i="56" a="1"/>
  <c r="F320" i="56" s="1"/>
  <c r="CJ61" i="7"/>
  <c r="K14" i="25"/>
  <c r="M14" i="25" s="1"/>
  <c r="CN118" i="7" s="1"/>
  <c r="F296" i="56" a="1"/>
  <c r="F296" i="56" s="1"/>
  <c r="CK48" i="7"/>
  <c r="CI57" i="7"/>
  <c r="CJ58" i="7"/>
  <c r="CH61" i="7"/>
  <c r="L182" i="23"/>
  <c r="G146" i="7" s="1"/>
  <c r="EO146" i="7" s="1"/>
  <c r="F192" i="56" a="1"/>
  <c r="F192" i="56" s="1"/>
  <c r="L42" i="23"/>
  <c r="R42" i="23"/>
  <c r="S42" i="23" s="1"/>
  <c r="T42" i="23" s="1"/>
  <c r="M42" i="23"/>
  <c r="CL48" i="7"/>
  <c r="F59" i="7"/>
  <c r="EN59" i="7" s="1"/>
  <c r="CL57" i="7"/>
  <c r="CK58" i="7"/>
  <c r="G49" i="51"/>
  <c r="C88" i="56" a="1"/>
  <c r="C88" i="56" s="1"/>
  <c r="C89" i="56" a="1"/>
  <c r="C89" i="56" s="1"/>
  <c r="C87" i="56" a="1"/>
  <c r="C87" i="56" s="1"/>
  <c r="K362" i="25"/>
  <c r="M362" i="25" s="1"/>
  <c r="CN130" i="7" s="1"/>
  <c r="F392" i="56" a="1"/>
  <c r="F392" i="56" s="1"/>
  <c r="L112" i="23"/>
  <c r="G141" i="7" s="1"/>
  <c r="EO141" i="7" s="1"/>
  <c r="CL51" i="7"/>
  <c r="K391" i="25"/>
  <c r="M391" i="25" s="1"/>
  <c r="G131" i="7" s="1"/>
  <c r="EO131" i="7" s="1"/>
  <c r="F400" i="56" a="1"/>
  <c r="F400" i="56" s="1"/>
  <c r="CK57" i="7"/>
  <c r="E88" i="56" a="1"/>
  <c r="E88" i="56" s="1"/>
  <c r="E89" i="56" a="1"/>
  <c r="E89" i="56" s="1"/>
  <c r="E87" i="56" a="1"/>
  <c r="E87" i="56" s="1"/>
  <c r="F184" i="56" a="1"/>
  <c r="F184" i="56" s="1"/>
  <c r="L28" i="23"/>
  <c r="CL59" i="7"/>
  <c r="CK60" i="7"/>
  <c r="CI59" i="7"/>
  <c r="F57" i="7"/>
  <c r="EN57" i="7" s="1"/>
  <c r="F240" i="56" a="1"/>
  <c r="F240" i="56" s="1"/>
  <c r="R126" i="23"/>
  <c r="S126" i="23" s="1"/>
  <c r="T126" i="23" s="1"/>
  <c r="M126" i="23"/>
  <c r="L126" i="23"/>
  <c r="G142" i="7" s="1"/>
  <c r="EO142" i="7" s="1"/>
  <c r="CL55" i="7"/>
  <c r="CI50" i="7"/>
  <c r="F56" i="7"/>
  <c r="EN56" i="7" s="1"/>
  <c r="CH60" i="7"/>
  <c r="CK55" i="7"/>
  <c r="CK50" i="7"/>
  <c r="F248" i="56" a="1"/>
  <c r="F248" i="56" s="1"/>
  <c r="L140" i="23"/>
  <c r="G143" i="7" s="1"/>
  <c r="EO143" i="7" s="1"/>
  <c r="M140" i="23"/>
  <c r="R140" i="23"/>
  <c r="S140" i="23" s="1"/>
  <c r="T140" i="23" s="1"/>
  <c r="F280" i="56" a="1"/>
  <c r="F280" i="56" s="1"/>
  <c r="L196" i="23"/>
  <c r="G147" i="7" s="1"/>
  <c r="EO147" i="7" s="1"/>
  <c r="R196" i="23"/>
  <c r="S196" i="23" s="1"/>
  <c r="T196" i="23" s="1"/>
  <c r="M196" i="23"/>
  <c r="I83" i="21"/>
  <c r="D51" i="51" s="1"/>
  <c r="E85" i="56" a="1"/>
  <c r="E85" i="56" s="1"/>
  <c r="K188" i="25"/>
  <c r="M188" i="25" s="1"/>
  <c r="CO124" i="7" s="1"/>
  <c r="F344" i="56" a="1"/>
  <c r="F344" i="56" s="1"/>
  <c r="F232" i="56" a="1"/>
  <c r="F232" i="56" s="1"/>
  <c r="R112" i="23"/>
  <c r="S112" i="23" s="1"/>
  <c r="T112" i="23" s="1"/>
  <c r="K43" i="25"/>
  <c r="M43" i="25" s="1"/>
  <c r="CO119" i="7" s="1"/>
  <c r="F304" i="56" a="1"/>
  <c r="F304" i="56" s="1"/>
  <c r="K275" i="25"/>
  <c r="M275" i="25" s="1"/>
  <c r="CO127" i="7" s="1"/>
  <c r="F368" i="56" a="1"/>
  <c r="F368" i="56" s="1"/>
  <c r="I86" i="21"/>
  <c r="D54" i="51" s="1"/>
  <c r="H85" i="56" a="1"/>
  <c r="H85" i="56" s="1"/>
  <c r="K217" i="25"/>
  <c r="M217" i="25" s="1"/>
  <c r="G125" i="7" s="1"/>
  <c r="EO125" i="7" s="1"/>
  <c r="F352" i="56" a="1"/>
  <c r="F352" i="56" s="1"/>
  <c r="K72" i="25"/>
  <c r="M72" i="25" s="1"/>
  <c r="F312" i="56" a="1"/>
  <c r="F312" i="56" s="1"/>
  <c r="CH59" i="7"/>
  <c r="CJ60" i="7"/>
  <c r="CJ57" i="7"/>
  <c r="F60" i="7"/>
  <c r="EN60" i="7" s="1"/>
  <c r="CJ59" i="7"/>
  <c r="CI55" i="7"/>
  <c r="F288" i="56" a="1"/>
  <c r="F288" i="56" s="1"/>
  <c r="L210" i="23"/>
  <c r="G148" i="7" s="1"/>
  <c r="EO148" i="7" s="1"/>
  <c r="K246" i="25"/>
  <c r="M246" i="25" s="1"/>
  <c r="CM126" i="7" s="1"/>
  <c r="F360" i="56" a="1"/>
  <c r="F360" i="56" s="1"/>
  <c r="CI60" i="7"/>
  <c r="F176" i="56" a="1"/>
  <c r="F176" i="56" s="1"/>
  <c r="F256" i="56" a="1"/>
  <c r="F256" i="56" s="1"/>
  <c r="R154" i="23"/>
  <c r="S154" i="23" s="1"/>
  <c r="T154" i="23" s="1"/>
  <c r="L154" i="23"/>
  <c r="M154" i="23"/>
  <c r="CL60" i="7"/>
  <c r="CJ55" i="7"/>
  <c r="CL50" i="7"/>
  <c r="I84" i="21"/>
  <c r="D52" i="51" s="1"/>
  <c r="F85" i="56" a="1"/>
  <c r="F85" i="56" s="1"/>
  <c r="F55" i="7"/>
  <c r="EN55" i="7" s="1"/>
  <c r="CH50" i="7"/>
  <c r="F208" i="56" a="1"/>
  <c r="F208" i="56" s="1"/>
  <c r="R70" i="23"/>
  <c r="S70" i="23" s="1"/>
  <c r="T70" i="23" s="1"/>
  <c r="F79" i="25"/>
  <c r="F80" i="25" s="1"/>
  <c r="R35" i="22"/>
  <c r="AB19" i="25" s="1"/>
  <c r="D32" i="7"/>
  <c r="CB32" i="7" s="1"/>
  <c r="Q53" i="21"/>
  <c r="CF134" i="7"/>
  <c r="D134" i="7"/>
  <c r="EL134" i="7" s="1"/>
  <c r="G5" i="52" s="1"/>
  <c r="H5" i="52" s="1"/>
  <c r="CB134" i="7"/>
  <c r="CB149" i="7" s="1"/>
  <c r="S81" i="23"/>
  <c r="T81" i="23" s="1"/>
  <c r="CD136" i="7"/>
  <c r="CF136" i="7"/>
  <c r="I134" i="45"/>
  <c r="J134" i="45" s="1"/>
  <c r="D134" i="45"/>
  <c r="E134" i="45" s="1"/>
  <c r="ER78" i="7"/>
  <c r="ER83" i="7" s="1"/>
  <c r="CC136" i="7"/>
  <c r="E136" i="7"/>
  <c r="EM136" i="7" s="1"/>
  <c r="CE136" i="7"/>
  <c r="H10" i="52"/>
  <c r="S137" i="23"/>
  <c r="S27" i="21"/>
  <c r="I15" i="51" s="1"/>
  <c r="J15" i="51" s="1"/>
  <c r="U25" i="21"/>
  <c r="S25" i="21"/>
  <c r="I13" i="51" s="1"/>
  <c r="J13" i="51" s="1"/>
  <c r="S29" i="21"/>
  <c r="H88" i="7" s="1"/>
  <c r="EP88" i="7" s="1"/>
  <c r="E134" i="7"/>
  <c r="CE134" i="7"/>
  <c r="CD134" i="7"/>
  <c r="CC134" i="7"/>
  <c r="CG134" i="7"/>
  <c r="CG149" i="7" s="1"/>
  <c r="CG154" i="7" s="1"/>
  <c r="U28" i="21"/>
  <c r="Z28" i="21"/>
  <c r="AA28" i="21" s="1"/>
  <c r="AB28" i="21" s="1"/>
  <c r="Z29" i="21"/>
  <c r="AA29" i="21" s="1"/>
  <c r="AB29" i="21" s="1"/>
  <c r="D138" i="7"/>
  <c r="U27" i="21"/>
  <c r="U30" i="21"/>
  <c r="S30" i="21"/>
  <c r="I88" i="7" s="1"/>
  <c r="EQ88" i="7" s="1"/>
  <c r="D32" i="45"/>
  <c r="E32" i="45" s="1"/>
  <c r="I32" i="45"/>
  <c r="J32" i="45" s="1"/>
  <c r="CL136" i="7"/>
  <c r="P88" i="26"/>
  <c r="BC21" i="26" s="1"/>
  <c r="AF88" i="26"/>
  <c r="AL88" i="26" s="1"/>
  <c r="D142" i="7"/>
  <c r="CH126" i="7"/>
  <c r="EL31" i="7"/>
  <c r="ER31" i="7" s="1"/>
  <c r="HG31" i="7" s="1"/>
  <c r="F136" i="7"/>
  <c r="EN136" i="7" s="1"/>
  <c r="CI136" i="7"/>
  <c r="N88" i="26"/>
  <c r="AB88" i="26" s="1"/>
  <c r="CJ136" i="7"/>
  <c r="CK136" i="7"/>
  <c r="D136" i="45"/>
  <c r="E136" i="45" s="1"/>
  <c r="K153" i="7"/>
  <c r="AW15" i="26"/>
  <c r="D136" i="7"/>
  <c r="EL136" i="7" s="1"/>
  <c r="CL135" i="7"/>
  <c r="CK135" i="7"/>
  <c r="F135" i="7"/>
  <c r="CH135" i="7"/>
  <c r="CI135" i="7"/>
  <c r="CJ135" i="7"/>
  <c r="AG43" i="26"/>
  <c r="AK43" i="26" s="1"/>
  <c r="AM43" i="26" s="1"/>
  <c r="F16" i="45"/>
  <c r="CP31" i="7"/>
  <c r="CI126" i="7"/>
  <c r="BA14" i="26"/>
  <c r="CH123" i="7"/>
  <c r="I146" i="45"/>
  <c r="J146" i="45" s="1"/>
  <c r="F126" i="7"/>
  <c r="EN126" i="7" s="1"/>
  <c r="CK126" i="7"/>
  <c r="CJ126" i="7"/>
  <c r="CI123" i="7"/>
  <c r="FF156" i="7"/>
  <c r="FF290" i="7" s="1"/>
  <c r="FF292" i="7" s="1"/>
  <c r="FF293" i="7" s="1"/>
  <c r="FF298" i="7" s="1"/>
  <c r="FE156" i="7"/>
  <c r="FE290" i="7" s="1"/>
  <c r="CL123" i="7"/>
  <c r="CK123" i="7"/>
  <c r="AM42" i="26"/>
  <c r="CJ123" i="7"/>
  <c r="AD155" i="7"/>
  <c r="F102" i="26"/>
  <c r="N102" i="26" s="1"/>
  <c r="F31" i="45"/>
  <c r="V156" i="7"/>
  <c r="V290" i="7" s="1"/>
  <c r="V292" i="7" s="1"/>
  <c r="N90" i="26"/>
  <c r="AB90" i="26" s="1"/>
  <c r="BA13" i="26"/>
  <c r="P90" i="26"/>
  <c r="BC23" i="26" s="1"/>
  <c r="ER15" i="7"/>
  <c r="H31" i="51"/>
  <c r="FG156" i="7"/>
  <c r="FG290" i="7" s="1"/>
  <c r="FG292" i="7" s="1"/>
  <c r="FG293" i="7" s="1"/>
  <c r="FG298" i="7" s="1"/>
  <c r="V72" i="26"/>
  <c r="F103" i="26"/>
  <c r="N103" i="26" s="1"/>
  <c r="AB103" i="26" s="1"/>
  <c r="BA10" i="26"/>
  <c r="AF90" i="26"/>
  <c r="AL90" i="26" s="1"/>
  <c r="V49" i="22"/>
  <c r="AF33" i="25" s="1"/>
  <c r="F127" i="7"/>
  <c r="EN127" i="7" s="1"/>
  <c r="CH127" i="7"/>
  <c r="CJ127" i="7"/>
  <c r="CI127" i="7"/>
  <c r="CK127" i="7"/>
  <c r="CL127" i="7"/>
  <c r="F106" i="26"/>
  <c r="N106" i="26" s="1"/>
  <c r="AB106" i="26" s="1"/>
  <c r="J31" i="7"/>
  <c r="BY31" i="7" s="1"/>
  <c r="X156" i="7"/>
  <c r="X290" i="7" s="1"/>
  <c r="X297" i="7" s="1"/>
  <c r="AE84" i="7"/>
  <c r="F104" i="26"/>
  <c r="AF104" i="26" s="1"/>
  <c r="AL104" i="26" s="1"/>
  <c r="FR88" i="7"/>
  <c r="AG57" i="26"/>
  <c r="AK57" i="26" s="1"/>
  <c r="AM57" i="26" s="1"/>
  <c r="AG29" i="26"/>
  <c r="AK29" i="26" s="1"/>
  <c r="AM29" i="26" s="1"/>
  <c r="BA11" i="26"/>
  <c r="AG84" i="7"/>
  <c r="F107" i="26"/>
  <c r="N107" i="26" s="1"/>
  <c r="AB107" i="26" s="1"/>
  <c r="E17" i="7"/>
  <c r="CG17" i="7"/>
  <c r="CE17" i="7"/>
  <c r="CC17" i="7"/>
  <c r="CF17" i="7"/>
  <c r="CD17" i="7"/>
  <c r="L17" i="26"/>
  <c r="Y16" i="26"/>
  <c r="AL16" i="26"/>
  <c r="AM16" i="26" s="1"/>
  <c r="Z39" i="21"/>
  <c r="AA39" i="21" s="1"/>
  <c r="AB39" i="21" s="1"/>
  <c r="S39" i="21"/>
  <c r="U39" i="21"/>
  <c r="N42" i="25"/>
  <c r="I103" i="45"/>
  <c r="J103" i="45" s="1"/>
  <c r="D103" i="7"/>
  <c r="D103" i="45"/>
  <c r="E103" i="45" s="1"/>
  <c r="Z41" i="21"/>
  <c r="AA41" i="21" s="1"/>
  <c r="AB41" i="21" s="1"/>
  <c r="S41" i="21"/>
  <c r="U41" i="21"/>
  <c r="K30" i="7"/>
  <c r="BY30" i="7"/>
  <c r="N40" i="25"/>
  <c r="CD131" i="7"/>
  <c r="CE131" i="7"/>
  <c r="CF131" i="7"/>
  <c r="CC131" i="7"/>
  <c r="E131" i="7"/>
  <c r="EM131" i="7" s="1"/>
  <c r="CG131" i="7"/>
  <c r="EL87" i="7"/>
  <c r="J87" i="7"/>
  <c r="Z42" i="21"/>
  <c r="AA42" i="21" s="1"/>
  <c r="AB42" i="21" s="1"/>
  <c r="S42" i="21"/>
  <c r="U42" i="21"/>
  <c r="FR74" i="7"/>
  <c r="AF92" i="26"/>
  <c r="N92" i="26"/>
  <c r="AB92" i="26" s="1"/>
  <c r="AA92" i="26"/>
  <c r="E87" i="45"/>
  <c r="BR21" i="26"/>
  <c r="BD11" i="26"/>
  <c r="BD12" i="26"/>
  <c r="BR22" i="26"/>
  <c r="BD13" i="26"/>
  <c r="BD24" i="26"/>
  <c r="BD9" i="26"/>
  <c r="BD25" i="26"/>
  <c r="BD14" i="26"/>
  <c r="BD21" i="26"/>
  <c r="BD23" i="26"/>
  <c r="BD20" i="26"/>
  <c r="BR24" i="26"/>
  <c r="BD10" i="26"/>
  <c r="BR25" i="26"/>
  <c r="BR23" i="26"/>
  <c r="BR20" i="26"/>
  <c r="BD22" i="26"/>
  <c r="Z43" i="21"/>
  <c r="AA43" i="21" s="1"/>
  <c r="AB43" i="21" s="1"/>
  <c r="S43" i="21"/>
  <c r="H89" i="7" s="1"/>
  <c r="EP89" i="7" s="1"/>
  <c r="U43" i="21"/>
  <c r="AB60" i="26"/>
  <c r="AY12" i="26"/>
  <c r="CP30" i="7"/>
  <c r="CL103" i="7"/>
  <c r="CK103" i="7"/>
  <c r="F103" i="7"/>
  <c r="EN103" i="7" s="1"/>
  <c r="J87" i="45"/>
  <c r="D130" i="45"/>
  <c r="E130" i="45" s="1"/>
  <c r="D130" i="7"/>
  <c r="CB130" i="7"/>
  <c r="I130" i="45"/>
  <c r="J130" i="45" s="1"/>
  <c r="N69" i="25"/>
  <c r="T41" i="21"/>
  <c r="Y76" i="26"/>
  <c r="L77" i="26"/>
  <c r="CI17" i="7"/>
  <c r="CJ17" i="7"/>
  <c r="CK17" i="7"/>
  <c r="CL17" i="7"/>
  <c r="F17" i="7"/>
  <c r="EN17" i="7" s="1"/>
  <c r="CH17" i="7"/>
  <c r="G31" i="26"/>
  <c r="U30" i="26"/>
  <c r="AJ30" i="26"/>
  <c r="K30" i="26"/>
  <c r="AG30" i="26" s="1"/>
  <c r="H31" i="26"/>
  <c r="N127" i="25"/>
  <c r="I56" i="25"/>
  <c r="I57" i="25" s="1"/>
  <c r="I334" i="25"/>
  <c r="H335" i="25"/>
  <c r="J334" i="25"/>
  <c r="N128" i="25"/>
  <c r="G45" i="26"/>
  <c r="AJ44" i="26"/>
  <c r="U44" i="26"/>
  <c r="N130" i="25"/>
  <c r="E130" i="7"/>
  <c r="EM130" i="7" s="1"/>
  <c r="CD130" i="7"/>
  <c r="CF130" i="7"/>
  <c r="CE130" i="7"/>
  <c r="CC130" i="7"/>
  <c r="CG130" i="7"/>
  <c r="O61" i="36"/>
  <c r="CF128" i="7"/>
  <c r="CD128" i="7"/>
  <c r="CE128" i="7"/>
  <c r="CG128" i="7"/>
  <c r="CC128" i="7"/>
  <c r="E128" i="7"/>
  <c r="EM128" i="7" s="1"/>
  <c r="O181" i="36"/>
  <c r="EO87" i="7"/>
  <c r="Q107" i="26"/>
  <c r="Y121" i="26"/>
  <c r="L122" i="26"/>
  <c r="Y122" i="26" s="1"/>
  <c r="I116" i="25"/>
  <c r="Y106" i="26"/>
  <c r="L107" i="26"/>
  <c r="Y107" i="26" s="1"/>
  <c r="F105" i="26"/>
  <c r="AH88" i="26"/>
  <c r="W88" i="26"/>
  <c r="I89" i="26"/>
  <c r="BN26" i="26"/>
  <c r="I350" i="25"/>
  <c r="I102" i="25"/>
  <c r="J102" i="25"/>
  <c r="H103" i="25"/>
  <c r="H132" i="25"/>
  <c r="J131" i="25"/>
  <c r="I131" i="25"/>
  <c r="T40" i="21"/>
  <c r="CJ124" i="7"/>
  <c r="CK124" i="7"/>
  <c r="CL124" i="7"/>
  <c r="CH124" i="7"/>
  <c r="F124" i="7"/>
  <c r="EN124" i="7" s="1"/>
  <c r="CI124" i="7"/>
  <c r="Y136" i="26"/>
  <c r="L137" i="26"/>
  <c r="Y137" i="26" s="1"/>
  <c r="P16" i="26"/>
  <c r="AS24" i="26" s="1"/>
  <c r="Q17" i="26"/>
  <c r="P17" i="26" s="1"/>
  <c r="AS25" i="26" s="1"/>
  <c r="Y226" i="26"/>
  <c r="L227" i="26"/>
  <c r="Y227" i="26" s="1"/>
  <c r="CK132" i="7"/>
  <c r="CJ132" i="7"/>
  <c r="CL132" i="7"/>
  <c r="CH132" i="7"/>
  <c r="F132" i="7"/>
  <c r="EN132" i="7" s="1"/>
  <c r="CI132" i="7"/>
  <c r="I437" i="25"/>
  <c r="Q92" i="26"/>
  <c r="P92" i="26" s="1"/>
  <c r="BC25" i="26" s="1"/>
  <c r="P91" i="26"/>
  <c r="BC24" i="26" s="1"/>
  <c r="F105" i="21"/>
  <c r="B104" i="21"/>
  <c r="F104" i="21"/>
  <c r="J107" i="21" s="1"/>
  <c r="B105" i="21"/>
  <c r="U73" i="26"/>
  <c r="AJ73" i="26"/>
  <c r="G74" i="26"/>
  <c r="CC125" i="7"/>
  <c r="E125" i="7"/>
  <c r="EM125" i="7" s="1"/>
  <c r="CE125" i="7"/>
  <c r="CG125" i="7"/>
  <c r="CF125" i="7"/>
  <c r="CD125" i="7"/>
  <c r="T39" i="21"/>
  <c r="EM87" i="7"/>
  <c r="I125" i="45"/>
  <c r="J125" i="45" s="1"/>
  <c r="D125" i="7"/>
  <c r="D125" i="45"/>
  <c r="E125" i="45" s="1"/>
  <c r="CB125" i="7"/>
  <c r="I46" i="26"/>
  <c r="W45" i="26"/>
  <c r="AH45" i="26"/>
  <c r="CF127" i="7"/>
  <c r="CG127" i="7"/>
  <c r="CE127" i="7"/>
  <c r="E127" i="7"/>
  <c r="EM127" i="7" s="1"/>
  <c r="CC127" i="7"/>
  <c r="CD127" i="7"/>
  <c r="T42" i="21"/>
  <c r="CB83" i="7"/>
  <c r="CP78" i="7"/>
  <c r="CB124" i="7"/>
  <c r="I124" i="45"/>
  <c r="J124" i="45" s="1"/>
  <c r="D124" i="7"/>
  <c r="D124" i="45"/>
  <c r="E124" i="45" s="1"/>
  <c r="J224" i="45"/>
  <c r="J287" i="45" s="1"/>
  <c r="I287" i="45"/>
  <c r="G6" i="45"/>
  <c r="D128" i="45"/>
  <c r="E128" i="45" s="1"/>
  <c r="CB128" i="7"/>
  <c r="I128" i="45"/>
  <c r="J128" i="45" s="1"/>
  <c r="D128" i="7"/>
  <c r="D147" i="7"/>
  <c r="D147" i="45"/>
  <c r="E147" i="45" s="1"/>
  <c r="AU23" i="26"/>
  <c r="N70" i="25"/>
  <c r="G98" i="21"/>
  <c r="G99" i="21"/>
  <c r="G95" i="21"/>
  <c r="W97" i="21"/>
  <c r="G97" i="21"/>
  <c r="W96" i="21"/>
  <c r="X96" i="21"/>
  <c r="G96" i="21"/>
  <c r="W100" i="21"/>
  <c r="W98" i="21"/>
  <c r="G100" i="21"/>
  <c r="W95" i="21"/>
  <c r="W99" i="21"/>
  <c r="X101" i="21"/>
  <c r="J102" i="21" s="1"/>
  <c r="X100" i="21"/>
  <c r="X99" i="21"/>
  <c r="X97" i="21"/>
  <c r="X98" i="21"/>
  <c r="X95" i="21"/>
  <c r="V48" i="22"/>
  <c r="AF32" i="25" s="1"/>
  <c r="N72" i="25"/>
  <c r="AB59" i="26"/>
  <c r="AY11" i="26"/>
  <c r="M81" i="21"/>
  <c r="AB58" i="26"/>
  <c r="N63" i="26"/>
  <c r="P71" i="35" s="1"/>
  <c r="AY10" i="26"/>
  <c r="H74" i="25"/>
  <c r="I73" i="25"/>
  <c r="J73" i="25"/>
  <c r="D132" i="45"/>
  <c r="E132" i="45" s="1"/>
  <c r="CB132" i="7"/>
  <c r="D132" i="7"/>
  <c r="I132" i="45"/>
  <c r="CB102" i="7"/>
  <c r="EL102" i="7"/>
  <c r="CC126" i="7"/>
  <c r="CE126" i="7"/>
  <c r="CD126" i="7"/>
  <c r="E126" i="7"/>
  <c r="EM126" i="7" s="1"/>
  <c r="CG126" i="7"/>
  <c r="CF126" i="7"/>
  <c r="N129" i="25"/>
  <c r="Q122" i="26"/>
  <c r="G17" i="7"/>
  <c r="CO17" i="7"/>
  <c r="CM17" i="7"/>
  <c r="CN17" i="7"/>
  <c r="Q32" i="26"/>
  <c r="P32" i="26" s="1"/>
  <c r="AU25" i="26" s="1"/>
  <c r="P31" i="26"/>
  <c r="AU24" i="26" s="1"/>
  <c r="I234" i="25"/>
  <c r="AL58" i="26"/>
  <c r="N71" i="25"/>
  <c r="K44" i="26"/>
  <c r="AG44" i="26" s="1"/>
  <c r="H45" i="26"/>
  <c r="M84" i="21"/>
  <c r="J153" i="7"/>
  <c r="BY153" i="7" s="1"/>
  <c r="BY150" i="7"/>
  <c r="Y46" i="26"/>
  <c r="L47" i="26"/>
  <c r="N41" i="25"/>
  <c r="B61" i="51"/>
  <c r="F61" i="51"/>
  <c r="O93" i="21"/>
  <c r="C99" i="21"/>
  <c r="C100" i="21"/>
  <c r="E61" i="51"/>
  <c r="U93" i="21"/>
  <c r="C95" i="21"/>
  <c r="F58" i="51"/>
  <c r="E59" i="51"/>
  <c r="B58" i="51"/>
  <c r="K95" i="21"/>
  <c r="L91" i="21"/>
  <c r="E62" i="51"/>
  <c r="F63" i="51"/>
  <c r="B63" i="51"/>
  <c r="C58" i="51"/>
  <c r="C96" i="21"/>
  <c r="F59" i="51"/>
  <c r="B59" i="51"/>
  <c r="B60" i="51"/>
  <c r="F60" i="51"/>
  <c r="C97" i="21"/>
  <c r="L95" i="21"/>
  <c r="E60" i="51"/>
  <c r="B62" i="51"/>
  <c r="F62" i="51"/>
  <c r="E63" i="51"/>
  <c r="E58" i="51"/>
  <c r="C98" i="21"/>
  <c r="K96" i="21"/>
  <c r="D94" i="56" s="1" a="1"/>
  <c r="D94" i="56" s="1"/>
  <c r="L96" i="21"/>
  <c r="C59" i="51"/>
  <c r="L97" i="21"/>
  <c r="C60" i="51"/>
  <c r="K97" i="21"/>
  <c r="K98" i="21"/>
  <c r="L98" i="21"/>
  <c r="C61" i="51"/>
  <c r="L99" i="21"/>
  <c r="K99" i="21"/>
  <c r="C62" i="51"/>
  <c r="K100" i="21"/>
  <c r="H94" i="56" s="1" a="1"/>
  <c r="H94" i="56" s="1"/>
  <c r="C63" i="51"/>
  <c r="L100" i="21"/>
  <c r="D18" i="45"/>
  <c r="E18" i="45" s="1"/>
  <c r="I18" i="45"/>
  <c r="J18" i="45" s="1"/>
  <c r="D18" i="7"/>
  <c r="Q167" i="26"/>
  <c r="F130" i="7"/>
  <c r="EN130" i="7" s="1"/>
  <c r="CH130" i="7"/>
  <c r="CL130" i="7"/>
  <c r="CK130" i="7"/>
  <c r="CI130" i="7"/>
  <c r="CJ130" i="7"/>
  <c r="E124" i="7"/>
  <c r="EM124" i="7" s="1"/>
  <c r="CC124" i="7"/>
  <c r="CE124" i="7"/>
  <c r="CF124" i="7"/>
  <c r="CG124" i="7"/>
  <c r="CD124" i="7"/>
  <c r="H32" i="7"/>
  <c r="EP32" i="7" s="1"/>
  <c r="H35" i="51"/>
  <c r="FB84" i="7"/>
  <c r="AB25" i="21"/>
  <c r="B125" i="36"/>
  <c r="K125" i="36" s="1"/>
  <c r="B47" i="41"/>
  <c r="B47" i="40"/>
  <c r="E32" i="7"/>
  <c r="EM32" i="7" s="1"/>
  <c r="H32" i="51"/>
  <c r="CG32" i="7"/>
  <c r="CF32" i="7"/>
  <c r="AL61" i="26"/>
  <c r="Q62" i="26"/>
  <c r="P62" i="26" s="1"/>
  <c r="AY25" i="26" s="1"/>
  <c r="P61" i="26"/>
  <c r="AY24" i="26" s="1"/>
  <c r="M83" i="21"/>
  <c r="EN87" i="7"/>
  <c r="EL153" i="7"/>
  <c r="ER150" i="7"/>
  <c r="FH156" i="7"/>
  <c r="FH290" i="7" s="1"/>
  <c r="FH292" i="7" s="1"/>
  <c r="FH293" i="7" s="1"/>
  <c r="FH298" i="7" s="1"/>
  <c r="I408" i="25"/>
  <c r="C20" i="45"/>
  <c r="C108" i="45"/>
  <c r="A47" i="41"/>
  <c r="C35" i="7"/>
  <c r="EK35" i="7" s="1"/>
  <c r="C93" i="45"/>
  <c r="A47" i="40"/>
  <c r="C20" i="7"/>
  <c r="EK20" i="7" s="1"/>
  <c r="C108" i="7"/>
  <c r="EK108" i="7" s="1"/>
  <c r="C35" i="45"/>
  <c r="A125" i="36"/>
  <c r="C93" i="7"/>
  <c r="EK93" i="7" s="1"/>
  <c r="Q197" i="26"/>
  <c r="AZ26" i="26"/>
  <c r="CP16" i="7"/>
  <c r="N43" i="25"/>
  <c r="G51" i="51"/>
  <c r="F83" i="21"/>
  <c r="E83" i="21"/>
  <c r="BP26" i="26"/>
  <c r="L62" i="26"/>
  <c r="Y61" i="26"/>
  <c r="J218" i="25"/>
  <c r="H219" i="25"/>
  <c r="I218" i="25"/>
  <c r="Y196" i="26"/>
  <c r="L197" i="26"/>
  <c r="Y197" i="26" s="1"/>
  <c r="J247" i="25"/>
  <c r="H248" i="25"/>
  <c r="I247" i="25"/>
  <c r="Q47" i="26"/>
  <c r="P47" i="26" s="1"/>
  <c r="AW25" i="26" s="1"/>
  <c r="P46" i="26"/>
  <c r="J160" i="25"/>
  <c r="H161" i="25"/>
  <c r="I160" i="25"/>
  <c r="I60" i="26"/>
  <c r="W59" i="26"/>
  <c r="AH59" i="26"/>
  <c r="I85" i="25"/>
  <c r="I86" i="25" s="1"/>
  <c r="Q212" i="26"/>
  <c r="BB26" i="26"/>
  <c r="EL16" i="7"/>
  <c r="ER16" i="7" s="1"/>
  <c r="J16" i="7"/>
  <c r="Q77" i="26"/>
  <c r="P77" i="26" s="1"/>
  <c r="BA25" i="26" s="1"/>
  <c r="P76" i="26"/>
  <c r="BA24" i="26" s="1"/>
  <c r="AK72" i="26"/>
  <c r="AM72" i="26" s="1"/>
  <c r="D127" i="45"/>
  <c r="E127" i="45" s="1"/>
  <c r="D127" i="7"/>
  <c r="I127" i="45"/>
  <c r="J127" i="45" s="1"/>
  <c r="CB127" i="7"/>
  <c r="Q227" i="26"/>
  <c r="I305" i="25"/>
  <c r="J305" i="25"/>
  <c r="H306" i="25"/>
  <c r="L212" i="26"/>
  <c r="Y212" i="26" s="1"/>
  <c r="Y211" i="26"/>
  <c r="M82" i="21"/>
  <c r="CI125" i="7"/>
  <c r="CK125" i="7"/>
  <c r="CJ125" i="7"/>
  <c r="CH125" i="7"/>
  <c r="CL125" i="7"/>
  <c r="F125" i="7"/>
  <c r="EN125" i="7" s="1"/>
  <c r="CP153" i="7"/>
  <c r="D129" i="45"/>
  <c r="E129" i="45" s="1"/>
  <c r="D129" i="7"/>
  <c r="I129" i="45"/>
  <c r="J129" i="45" s="1"/>
  <c r="CB129" i="7"/>
  <c r="AL76" i="26"/>
  <c r="Y181" i="26"/>
  <c r="L182" i="26"/>
  <c r="Y182" i="26" s="1"/>
  <c r="AJ58" i="26"/>
  <c r="G59" i="26"/>
  <c r="U58" i="26"/>
  <c r="I363" i="25"/>
  <c r="J363" i="25"/>
  <c r="H364" i="25"/>
  <c r="CH131" i="7"/>
  <c r="CK131" i="7"/>
  <c r="CL131" i="7"/>
  <c r="F131" i="7"/>
  <c r="EN131" i="7" s="1"/>
  <c r="CJ131" i="7"/>
  <c r="CI131" i="7"/>
  <c r="CK32" i="7"/>
  <c r="H33" i="51"/>
  <c r="CL32" i="7"/>
  <c r="F32" i="7"/>
  <c r="EN32" i="7" s="1"/>
  <c r="H74" i="26"/>
  <c r="K73" i="26"/>
  <c r="V73" i="26" s="1"/>
  <c r="N59" i="21"/>
  <c r="O141" i="36"/>
  <c r="Q182" i="26"/>
  <c r="H34" i="51"/>
  <c r="G32" i="7"/>
  <c r="EO32" i="7" s="1"/>
  <c r="I143" i="25"/>
  <c r="I144" i="25" s="1"/>
  <c r="I145" i="25" s="1"/>
  <c r="I146" i="25" s="1"/>
  <c r="K15" i="7"/>
  <c r="I288" i="25"/>
  <c r="I289" i="25" s="1"/>
  <c r="I259" i="25"/>
  <c r="I260" i="25" s="1"/>
  <c r="BA20" i="26"/>
  <c r="AA91" i="26"/>
  <c r="N91" i="26"/>
  <c r="AF91" i="26"/>
  <c r="EP17" i="7"/>
  <c r="F15" i="45"/>
  <c r="CF103" i="7"/>
  <c r="CG103" i="7"/>
  <c r="I14" i="51"/>
  <c r="J14" i="51" s="1"/>
  <c r="E103" i="7"/>
  <c r="EM103" i="7" s="1"/>
  <c r="I317" i="25"/>
  <c r="I318" i="25" s="1"/>
  <c r="AF89" i="26"/>
  <c r="AL89" i="26" s="1"/>
  <c r="AA89" i="26"/>
  <c r="N89" i="26"/>
  <c r="AB89" i="26" s="1"/>
  <c r="P89" i="26"/>
  <c r="BC22" i="26" s="1"/>
  <c r="M86" i="21"/>
  <c r="N99" i="25"/>
  <c r="I189" i="25"/>
  <c r="H190" i="25"/>
  <c r="J189" i="25"/>
  <c r="I126" i="45"/>
  <c r="J126" i="45" s="1"/>
  <c r="CB126" i="7"/>
  <c r="D126" i="7"/>
  <c r="D126" i="45"/>
  <c r="E126" i="45" s="1"/>
  <c r="J276" i="25"/>
  <c r="I276" i="25"/>
  <c r="H277" i="25"/>
  <c r="E129" i="7"/>
  <c r="EM129" i="7" s="1"/>
  <c r="CD129" i="7"/>
  <c r="CC129" i="7"/>
  <c r="CF129" i="7"/>
  <c r="CG129" i="7"/>
  <c r="CE129" i="7"/>
  <c r="W31" i="26"/>
  <c r="I32" i="26"/>
  <c r="AH31" i="26"/>
  <c r="O21" i="36"/>
  <c r="I203" i="25"/>
  <c r="I204" i="25" s="1"/>
  <c r="H16" i="25"/>
  <c r="I15" i="25"/>
  <c r="J15" i="25"/>
  <c r="L32" i="26"/>
  <c r="Y31" i="26"/>
  <c r="AL31" i="26"/>
  <c r="AB72" i="26"/>
  <c r="Q72" i="35"/>
  <c r="N78" i="26"/>
  <c r="P72" i="35" s="1"/>
  <c r="EL62" i="7"/>
  <c r="I172" i="25"/>
  <c r="I173" i="25" s="1"/>
  <c r="I174" i="25" s="1"/>
  <c r="I175" i="25" s="1"/>
  <c r="I392" i="25"/>
  <c r="J392" i="25"/>
  <c r="H393" i="25"/>
  <c r="J421" i="25"/>
  <c r="I421" i="25"/>
  <c r="H422" i="25"/>
  <c r="I44" i="25"/>
  <c r="H45" i="25"/>
  <c r="J44" i="25"/>
  <c r="I95" i="26"/>
  <c r="B97" i="26"/>
  <c r="G102" i="26" s="1"/>
  <c r="D97" i="26"/>
  <c r="H102" i="26" s="1"/>
  <c r="D131" i="45"/>
  <c r="E131" i="45" s="1"/>
  <c r="I131" i="45"/>
  <c r="J131" i="45" s="1"/>
  <c r="D131" i="7"/>
  <c r="CB131" i="7"/>
  <c r="N100" i="25"/>
  <c r="CG118" i="7"/>
  <c r="CC118" i="7"/>
  <c r="CD118" i="7"/>
  <c r="E118" i="7"/>
  <c r="EM118" i="7" s="1"/>
  <c r="CE118" i="7"/>
  <c r="CF118" i="7"/>
  <c r="Q137" i="26"/>
  <c r="P70" i="35"/>
  <c r="I379" i="25"/>
  <c r="O101" i="36"/>
  <c r="E59" i="21"/>
  <c r="F60" i="21" s="1"/>
  <c r="R14" i="35" s="1"/>
  <c r="C60" i="21"/>
  <c r="Q14" i="35" s="1"/>
  <c r="Y59" i="21"/>
  <c r="AL46" i="26"/>
  <c r="U87" i="26"/>
  <c r="G88" i="26"/>
  <c r="AJ87" i="26"/>
  <c r="Z44" i="21"/>
  <c r="AA44" i="21" s="1"/>
  <c r="S44" i="21"/>
  <c r="I89" i="7" s="1"/>
  <c r="EQ89" i="7" s="1"/>
  <c r="U44" i="21"/>
  <c r="N98" i="25"/>
  <c r="BB15" i="26"/>
  <c r="I27" i="25"/>
  <c r="I28" i="25" s="1"/>
  <c r="I29" i="25" s="1"/>
  <c r="I30" i="25" s="1"/>
  <c r="K58" i="26"/>
  <c r="V58" i="26" s="1"/>
  <c r="H59" i="26"/>
  <c r="L167" i="26"/>
  <c r="Y167" i="26" s="1"/>
  <c r="Y166" i="26"/>
  <c r="CI128" i="7"/>
  <c r="CK128" i="7"/>
  <c r="CL128" i="7"/>
  <c r="CH128" i="7"/>
  <c r="CJ128" i="7"/>
  <c r="F128" i="7"/>
  <c r="EN128" i="7" s="1"/>
  <c r="CD132" i="7"/>
  <c r="CE132" i="7"/>
  <c r="CF132" i="7"/>
  <c r="CC132" i="7"/>
  <c r="E132" i="7"/>
  <c r="EM132" i="7" s="1"/>
  <c r="CG132" i="7"/>
  <c r="F81" i="21"/>
  <c r="E81" i="21"/>
  <c r="CH129" i="7"/>
  <c r="F129" i="7"/>
  <c r="EN129" i="7" s="1"/>
  <c r="CI129" i="7"/>
  <c r="CJ129" i="7"/>
  <c r="CL129" i="7"/>
  <c r="CK129" i="7"/>
  <c r="E117" i="26"/>
  <c r="D121" i="26"/>
  <c r="E118" i="26"/>
  <c r="E121" i="26"/>
  <c r="D118" i="26"/>
  <c r="E120" i="26"/>
  <c r="D120" i="26"/>
  <c r="E122" i="26"/>
  <c r="F112" i="26"/>
  <c r="I117" i="26" s="1"/>
  <c r="D117" i="26"/>
  <c r="D119" i="26"/>
  <c r="E119" i="26"/>
  <c r="D122" i="26"/>
  <c r="B111" i="26"/>
  <c r="Y91" i="26"/>
  <c r="L92" i="26"/>
  <c r="Y92" i="26" s="1"/>
  <c r="L152" i="26"/>
  <c r="Y152" i="26" s="1"/>
  <c r="Y151" i="26"/>
  <c r="FI156" i="7"/>
  <c r="FI290" i="7" s="1"/>
  <c r="FI292" i="7" s="1"/>
  <c r="FI293" i="7" s="1"/>
  <c r="FI298" i="7" s="1"/>
  <c r="H36" i="51"/>
  <c r="I32" i="7"/>
  <c r="EQ32" i="7" s="1"/>
  <c r="CF88" i="7"/>
  <c r="CG88" i="7"/>
  <c r="CC88" i="7"/>
  <c r="CD88" i="7"/>
  <c r="CE88" i="7"/>
  <c r="E88" i="7"/>
  <c r="AF87" i="26"/>
  <c r="AL87" i="26" s="1"/>
  <c r="AA87" i="26"/>
  <c r="N87" i="26"/>
  <c r="BC9" i="26" s="1"/>
  <c r="P87" i="26"/>
  <c r="BC20" i="26" s="1"/>
  <c r="CD18" i="7"/>
  <c r="E18" i="7"/>
  <c r="EM18" i="7" s="1"/>
  <c r="CF18" i="7"/>
  <c r="CG18" i="7"/>
  <c r="CE18" i="7"/>
  <c r="CC18" i="7"/>
  <c r="P140" i="36"/>
  <c r="P141" i="36" s="1"/>
  <c r="P160" i="36"/>
  <c r="P100" i="36"/>
  <c r="P101" i="36" s="1"/>
  <c r="P80" i="36"/>
  <c r="P180" i="36"/>
  <c r="P181" i="36" s="1"/>
  <c r="I294" i="7"/>
  <c r="EP294" i="7"/>
  <c r="P60" i="36"/>
  <c r="P61" i="36" s="1"/>
  <c r="P120" i="36"/>
  <c r="P40" i="36"/>
  <c r="P41" i="36" s="1"/>
  <c r="Q41" i="36" s="1"/>
  <c r="P200" i="36"/>
  <c r="P20" i="36"/>
  <c r="F59" i="21"/>
  <c r="I103" i="26"/>
  <c r="W102" i="26"/>
  <c r="AH102" i="26"/>
  <c r="I17" i="45"/>
  <c r="D17" i="7"/>
  <c r="D17" i="45"/>
  <c r="O59" i="21"/>
  <c r="AZ15" i="26"/>
  <c r="H88" i="26"/>
  <c r="K87" i="26"/>
  <c r="V87" i="26" s="1"/>
  <c r="S40" i="21"/>
  <c r="Z40" i="21"/>
  <c r="AA40" i="21" s="1"/>
  <c r="AB40" i="21" s="1"/>
  <c r="U40" i="21"/>
  <c r="W74" i="26"/>
  <c r="AH74" i="26"/>
  <c r="I75" i="26"/>
  <c r="D118" i="45"/>
  <c r="D118" i="7"/>
  <c r="CB118" i="7"/>
  <c r="I118" i="45"/>
  <c r="J118" i="45" s="1"/>
  <c r="CP87" i="7"/>
  <c r="FM149" i="7"/>
  <c r="FM154" i="7" s="1"/>
  <c r="AB155" i="7"/>
  <c r="FR92" i="7"/>
  <c r="FR24" i="7"/>
  <c r="AH84" i="7"/>
  <c r="FR69" i="7"/>
  <c r="FJ84" i="7"/>
  <c r="AI155" i="7"/>
  <c r="FD84" i="7"/>
  <c r="FR71" i="7"/>
  <c r="EL148" i="7"/>
  <c r="FR145" i="7"/>
  <c r="GB19" i="7"/>
  <c r="GH19" i="7" s="1"/>
  <c r="AZ19" i="7"/>
  <c r="V8" i="36"/>
  <c r="K31" i="33"/>
  <c r="O308" i="7"/>
  <c r="FR89" i="7"/>
  <c r="AZ76" i="7"/>
  <c r="GB76" i="7"/>
  <c r="GH76" i="7" s="1"/>
  <c r="GF63" i="7"/>
  <c r="GF78" i="7" s="1"/>
  <c r="GF83" i="7" s="1"/>
  <c r="AX78" i="7"/>
  <c r="AX83" i="7" s="1"/>
  <c r="EL145" i="7"/>
  <c r="AO78" i="7"/>
  <c r="AO83" i="7" s="1"/>
  <c r="FW63" i="7"/>
  <c r="FR70" i="7"/>
  <c r="AZ148" i="7"/>
  <c r="GB148" i="7"/>
  <c r="GH148" i="7" s="1"/>
  <c r="FV99" i="7"/>
  <c r="AR15" i="7"/>
  <c r="FT15" i="7"/>
  <c r="FR100" i="7"/>
  <c r="GB142" i="7"/>
  <c r="GH142" i="7" s="1"/>
  <c r="AZ142" i="7"/>
  <c r="FT19" i="7"/>
  <c r="AR19" i="7"/>
  <c r="FR93" i="7"/>
  <c r="FT93" i="7"/>
  <c r="FZ93" i="7" s="1"/>
  <c r="AR93" i="7"/>
  <c r="FT147" i="7"/>
  <c r="AR147" i="7"/>
  <c r="FR141" i="7"/>
  <c r="FX28" i="7"/>
  <c r="AR143" i="7"/>
  <c r="FT143" i="7"/>
  <c r="FZ143" i="7" s="1"/>
  <c r="AJ78" i="7"/>
  <c r="AJ83" i="7" s="1"/>
  <c r="AZ101" i="7"/>
  <c r="GB101" i="7"/>
  <c r="GH101" i="7" s="1"/>
  <c r="GB77" i="7"/>
  <c r="GH77" i="7" s="1"/>
  <c r="AZ77" i="7"/>
  <c r="FR15" i="7"/>
  <c r="FY137" i="7"/>
  <c r="FT27" i="7"/>
  <c r="AR27" i="7"/>
  <c r="FU27" i="7"/>
  <c r="AO117" i="7"/>
  <c r="FW87" i="7"/>
  <c r="AR28" i="7"/>
  <c r="FT28" i="7"/>
  <c r="FV21" i="7"/>
  <c r="FT134" i="7"/>
  <c r="AR134" i="7"/>
  <c r="AL149" i="7"/>
  <c r="AL154" i="7" s="1"/>
  <c r="FT77" i="7"/>
  <c r="AR77" i="7"/>
  <c r="FT139" i="7"/>
  <c r="FZ139" i="7" s="1"/>
  <c r="AR139" i="7"/>
  <c r="FR73" i="7"/>
  <c r="FR146" i="7"/>
  <c r="FR77" i="7"/>
  <c r="AZ67" i="7"/>
  <c r="GB67" i="7"/>
  <c r="GH67" i="7" s="1"/>
  <c r="AZ143" i="7"/>
  <c r="GB143" i="7"/>
  <c r="GH143" i="7" s="1"/>
  <c r="AZ71" i="7"/>
  <c r="GB71" i="7"/>
  <c r="GH71" i="7" s="1"/>
  <c r="GD63" i="7"/>
  <c r="GD78" i="7" s="1"/>
  <c r="GD83" i="7" s="1"/>
  <c r="AV78" i="7"/>
  <c r="AV83" i="7" s="1"/>
  <c r="GB73" i="7"/>
  <c r="GH73" i="7" s="1"/>
  <c r="AZ73" i="7"/>
  <c r="AW149" i="7"/>
  <c r="AW154" i="7" s="1"/>
  <c r="GE134" i="7"/>
  <c r="GE149" i="7" s="1"/>
  <c r="GE154" i="7" s="1"/>
  <c r="FM78" i="7"/>
  <c r="FM83" i="7" s="1"/>
  <c r="AZ145" i="7"/>
  <c r="GB145" i="7"/>
  <c r="GH145" i="7" s="1"/>
  <c r="GB25" i="7"/>
  <c r="GH25" i="7" s="1"/>
  <c r="AZ25" i="7"/>
  <c r="FR19" i="7"/>
  <c r="AI84" i="7"/>
  <c r="FT96" i="7"/>
  <c r="AR96" i="7"/>
  <c r="FX97" i="7"/>
  <c r="AZ70" i="7"/>
  <c r="GB70" i="7"/>
  <c r="GH70" i="7" s="1"/>
  <c r="GB98" i="7"/>
  <c r="GH98" i="7" s="1"/>
  <c r="AZ98" i="7"/>
  <c r="AV149" i="7"/>
  <c r="AV154" i="7" s="1"/>
  <c r="GD134" i="7"/>
  <c r="GD149" i="7" s="1"/>
  <c r="GD154" i="7" s="1"/>
  <c r="GB65" i="7"/>
  <c r="GH65" i="7" s="1"/>
  <c r="AZ65" i="7"/>
  <c r="AZ94" i="7"/>
  <c r="GB94" i="7"/>
  <c r="GH94" i="7" s="1"/>
  <c r="FN117" i="7"/>
  <c r="AZ72" i="7"/>
  <c r="GB72" i="7"/>
  <c r="GH72" i="7" s="1"/>
  <c r="AF84" i="7"/>
  <c r="AR74" i="7"/>
  <c r="FT74" i="7"/>
  <c r="AP78" i="7"/>
  <c r="AP83" i="7" s="1"/>
  <c r="FX63" i="7"/>
  <c r="FR142" i="7"/>
  <c r="GB64" i="7"/>
  <c r="GH64" i="7" s="1"/>
  <c r="AZ64" i="7"/>
  <c r="GB16" i="7"/>
  <c r="GH16" i="7" s="1"/>
  <c r="AZ16" i="7"/>
  <c r="AZ74" i="7"/>
  <c r="GB74" i="7"/>
  <c r="GH74" i="7" s="1"/>
  <c r="GF87" i="7"/>
  <c r="GF117" i="7" s="1"/>
  <c r="AX117" i="7"/>
  <c r="AZ99" i="7"/>
  <c r="GB99" i="7"/>
  <c r="GH99" i="7" s="1"/>
  <c r="GB95" i="7"/>
  <c r="GH95" i="7" s="1"/>
  <c r="AZ95" i="7"/>
  <c r="AZ22" i="7"/>
  <c r="GB22" i="7"/>
  <c r="GH22" i="7" s="1"/>
  <c r="FY15" i="7"/>
  <c r="FT65" i="7"/>
  <c r="AR65" i="7"/>
  <c r="FR101" i="7"/>
  <c r="GB28" i="7"/>
  <c r="GH28" i="7" s="1"/>
  <c r="AZ28" i="7"/>
  <c r="FR94" i="7"/>
  <c r="GB138" i="7"/>
  <c r="GH138" i="7" s="1"/>
  <c r="AZ138" i="7"/>
  <c r="FR97" i="7"/>
  <c r="FR144" i="7"/>
  <c r="FV71" i="7"/>
  <c r="FY26" i="7"/>
  <c r="AR90" i="7"/>
  <c r="FT90" i="7"/>
  <c r="FW99" i="7"/>
  <c r="FV87" i="7"/>
  <c r="AN117" i="7"/>
  <c r="FR17" i="7"/>
  <c r="AR138" i="7"/>
  <c r="FT138" i="7"/>
  <c r="FV63" i="7"/>
  <c r="AN78" i="7"/>
  <c r="AN83" i="7" s="1"/>
  <c r="FV137" i="7"/>
  <c r="FT76" i="7"/>
  <c r="AR76" i="7"/>
  <c r="EL141" i="7"/>
  <c r="FR68" i="7"/>
  <c r="T193" i="23"/>
  <c r="FR136" i="7"/>
  <c r="AJ149" i="7"/>
  <c r="AJ154" i="7" s="1"/>
  <c r="FQ117" i="7"/>
  <c r="AR136" i="7"/>
  <c r="FT136" i="7"/>
  <c r="FU100" i="7"/>
  <c r="FT140" i="7"/>
  <c r="FZ140" i="7" s="1"/>
  <c r="AR140" i="7"/>
  <c r="FT75" i="7"/>
  <c r="AR75" i="7"/>
  <c r="AR72" i="7"/>
  <c r="FT72" i="7"/>
  <c r="FZ72" i="7" s="1"/>
  <c r="FU87" i="7"/>
  <c r="AM117" i="7"/>
  <c r="FO78" i="7"/>
  <c r="FO83" i="7" s="1"/>
  <c r="FR64" i="7"/>
  <c r="GB139" i="7"/>
  <c r="GH139" i="7" s="1"/>
  <c r="AZ139" i="7"/>
  <c r="AU149" i="7"/>
  <c r="AU154" i="7" s="1"/>
  <c r="GC134" i="7"/>
  <c r="GC149" i="7" s="1"/>
  <c r="GC154" i="7" s="1"/>
  <c r="FT20" i="7"/>
  <c r="AR20" i="7"/>
  <c r="FV100" i="7"/>
  <c r="AL117" i="7"/>
  <c r="FT87" i="7"/>
  <c r="AR87" i="7"/>
  <c r="W156" i="7"/>
  <c r="AZ97" i="7"/>
  <c r="GB97" i="7"/>
  <c r="GH97" i="7" s="1"/>
  <c r="T151" i="23"/>
  <c r="FX70" i="7"/>
  <c r="FW74" i="7"/>
  <c r="FR148" i="7"/>
  <c r="AR16" i="7"/>
  <c r="FT16" i="7"/>
  <c r="FZ16" i="7" s="1"/>
  <c r="AZ88" i="7"/>
  <c r="GB88" i="7"/>
  <c r="GH88" i="7" s="1"/>
  <c r="FO149" i="7"/>
  <c r="FO154" i="7" s="1"/>
  <c r="GB144" i="7"/>
  <c r="GH144" i="7" s="1"/>
  <c r="AZ144" i="7"/>
  <c r="FR16" i="7"/>
  <c r="FT70" i="7"/>
  <c r="AR70" i="7"/>
  <c r="FR28" i="7"/>
  <c r="FR72" i="7"/>
  <c r="FT141" i="7"/>
  <c r="AR141" i="7"/>
  <c r="FR25" i="7"/>
  <c r="FX101" i="7"/>
  <c r="FW142" i="7"/>
  <c r="FO44" i="7"/>
  <c r="AZ100" i="7"/>
  <c r="GB100" i="7"/>
  <c r="GH100" i="7" s="1"/>
  <c r="AR18" i="7"/>
  <c r="FT18" i="7"/>
  <c r="FZ18" i="7" s="1"/>
  <c r="AR73" i="7"/>
  <c r="FT73" i="7"/>
  <c r="AR135" i="7"/>
  <c r="FT135" i="7"/>
  <c r="GB69" i="7"/>
  <c r="GH69" i="7" s="1"/>
  <c r="AZ69" i="7"/>
  <c r="FY77" i="7"/>
  <c r="FR21" i="7"/>
  <c r="FR134" i="7"/>
  <c r="FL149" i="7"/>
  <c r="FL154" i="7" s="1"/>
  <c r="FR91" i="7"/>
  <c r="FR20" i="7"/>
  <c r="FT94" i="7"/>
  <c r="FZ94" i="7" s="1"/>
  <c r="AR94" i="7"/>
  <c r="FT142" i="7"/>
  <c r="AR142" i="7"/>
  <c r="FT24" i="7"/>
  <c r="FZ24" i="7" s="1"/>
  <c r="AR24" i="7"/>
  <c r="FV134" i="7"/>
  <c r="AN149" i="7"/>
  <c r="AN154" i="7" s="1"/>
  <c r="FT68" i="7"/>
  <c r="AR68" i="7"/>
  <c r="FX96" i="7"/>
  <c r="FY146" i="7"/>
  <c r="FR98" i="7"/>
  <c r="AZ135" i="7"/>
  <c r="GB135" i="7"/>
  <c r="GH135" i="7" s="1"/>
  <c r="GG87" i="7"/>
  <c r="GG117" i="7" s="1"/>
  <c r="AY117" i="7"/>
  <c r="GB89" i="7"/>
  <c r="GH89" i="7" s="1"/>
  <c r="AZ89" i="7"/>
  <c r="AZ141" i="7"/>
  <c r="GB141" i="7"/>
  <c r="GH141" i="7" s="1"/>
  <c r="FR95" i="7"/>
  <c r="AP117" i="7"/>
  <c r="FX87" i="7"/>
  <c r="FV142" i="7"/>
  <c r="GE87" i="7"/>
  <c r="GE117" i="7" s="1"/>
  <c r="AW117" i="7"/>
  <c r="AQ44" i="7"/>
  <c r="FY14" i="7"/>
  <c r="FY136" i="7"/>
  <c r="GD87" i="7"/>
  <c r="GD117" i="7" s="1"/>
  <c r="AV117" i="7"/>
  <c r="FN149" i="7"/>
  <c r="FN154" i="7" s="1"/>
  <c r="T39" i="23"/>
  <c r="FY89" i="7"/>
  <c r="FP78" i="7"/>
  <c r="FP83" i="7" s="1"/>
  <c r="FX26" i="7"/>
  <c r="AF155" i="7"/>
  <c r="J123" i="45"/>
  <c r="AR66" i="7"/>
  <c r="FT66" i="7"/>
  <c r="FU19" i="7"/>
  <c r="FR65" i="7"/>
  <c r="FR26" i="7"/>
  <c r="FN78" i="7"/>
  <c r="FN83" i="7" s="1"/>
  <c r="FR135" i="7"/>
  <c r="FN44" i="7"/>
  <c r="FV14" i="7"/>
  <c r="AN44" i="7"/>
  <c r="FY22" i="7"/>
  <c r="FW97" i="7"/>
  <c r="EL140" i="7"/>
  <c r="T109" i="23"/>
  <c r="FL117" i="7"/>
  <c r="FR87" i="7"/>
  <c r="FV74" i="7"/>
  <c r="AR23" i="7"/>
  <c r="FT23" i="7"/>
  <c r="FY91" i="7"/>
  <c r="AR64" i="7"/>
  <c r="FT64" i="7"/>
  <c r="FV92" i="7"/>
  <c r="AZ92" i="7"/>
  <c r="GB92" i="7"/>
  <c r="GH92" i="7" s="1"/>
  <c r="GB20" i="7"/>
  <c r="GH20" i="7" s="1"/>
  <c r="AZ20" i="7"/>
  <c r="GB14" i="7"/>
  <c r="AZ14" i="7"/>
  <c r="AT44" i="7"/>
  <c r="AT78" i="7"/>
  <c r="AT83" i="7" s="1"/>
  <c r="GB63" i="7"/>
  <c r="AZ63" i="7"/>
  <c r="FR138" i="7"/>
  <c r="FU141" i="7"/>
  <c r="AT149" i="7"/>
  <c r="AT154" i="7" s="1"/>
  <c r="GB134" i="7"/>
  <c r="AZ134" i="7"/>
  <c r="V7" i="36"/>
  <c r="O307" i="7"/>
  <c r="K30" i="33"/>
  <c r="T165" i="23"/>
  <c r="AA156" i="7"/>
  <c r="FX69" i="7"/>
  <c r="AQ78" i="7"/>
  <c r="AQ83" i="7" s="1"/>
  <c r="FY63" i="7"/>
  <c r="FR137" i="7"/>
  <c r="FO117" i="7"/>
  <c r="FW134" i="7"/>
  <c r="AO149" i="7"/>
  <c r="AO154" i="7" s="1"/>
  <c r="EL139" i="7"/>
  <c r="AG155" i="7"/>
  <c r="GB146" i="7"/>
  <c r="GH146" i="7" s="1"/>
  <c r="AZ146" i="7"/>
  <c r="FR99" i="7"/>
  <c r="AD84" i="7"/>
  <c r="FP149" i="7"/>
  <c r="FP154" i="7" s="1"/>
  <c r="T67" i="23"/>
  <c r="FR76" i="7"/>
  <c r="FR90" i="7"/>
  <c r="EL146" i="7"/>
  <c r="FU144" i="7"/>
  <c r="FT95" i="7"/>
  <c r="FZ95" i="7" s="1"/>
  <c r="AR95" i="7"/>
  <c r="FY73" i="7"/>
  <c r="FX14" i="7"/>
  <c r="AP44" i="7"/>
  <c r="FV145" i="7"/>
  <c r="FT148" i="7"/>
  <c r="FZ148" i="7" s="1"/>
  <c r="AR148" i="7"/>
  <c r="FT98" i="7"/>
  <c r="FZ98" i="7" s="1"/>
  <c r="AR98" i="7"/>
  <c r="AR88" i="7"/>
  <c r="FT88" i="7"/>
  <c r="FY138" i="7"/>
  <c r="FP117" i="7"/>
  <c r="FR23" i="7"/>
  <c r="FM117" i="7"/>
  <c r="FQ149" i="7"/>
  <c r="FQ154" i="7" s="1"/>
  <c r="GB26" i="7"/>
  <c r="GH26" i="7" s="1"/>
  <c r="AZ26" i="7"/>
  <c r="AZ21" i="7"/>
  <c r="GB21" i="7"/>
  <c r="GH21" i="7" s="1"/>
  <c r="GB17" i="7"/>
  <c r="GH17" i="7" s="1"/>
  <c r="AZ17" i="7"/>
  <c r="GB24" i="7"/>
  <c r="GH24" i="7" s="1"/>
  <c r="AZ24" i="7"/>
  <c r="FX73" i="7"/>
  <c r="AZ147" i="7"/>
  <c r="GB147" i="7"/>
  <c r="GH147" i="7" s="1"/>
  <c r="FU14" i="7"/>
  <c r="AM44" i="7"/>
  <c r="FU134" i="7"/>
  <c r="AM149" i="7"/>
  <c r="AM154" i="7" s="1"/>
  <c r="GC63" i="7"/>
  <c r="GC78" i="7" s="1"/>
  <c r="GC83" i="7" s="1"/>
  <c r="AU78" i="7"/>
  <c r="AU83" i="7" s="1"/>
  <c r="AR144" i="7"/>
  <c r="FT144" i="7"/>
  <c r="AQ117" i="7"/>
  <c r="FY87" i="7"/>
  <c r="AZ93" i="7"/>
  <c r="GB93" i="7"/>
  <c r="GH93" i="7" s="1"/>
  <c r="Z156" i="7"/>
  <c r="FQ78" i="7"/>
  <c r="FQ83" i="7" s="1"/>
  <c r="AR71" i="7"/>
  <c r="FT71" i="7"/>
  <c r="FD155" i="7"/>
  <c r="FV23" i="7"/>
  <c r="AR91" i="7"/>
  <c r="FT91" i="7"/>
  <c r="GG63" i="7"/>
  <c r="GG78" i="7" s="1"/>
  <c r="GG83" i="7" s="1"/>
  <c r="AY78" i="7"/>
  <c r="AY83" i="7" s="1"/>
  <c r="AZ137" i="7"/>
  <c r="GB137" i="7"/>
  <c r="GH137" i="7" s="1"/>
  <c r="AZ136" i="7"/>
  <c r="GB136" i="7"/>
  <c r="GH136" i="7" s="1"/>
  <c r="AZ23" i="7"/>
  <c r="GB23" i="7"/>
  <c r="GH23" i="7" s="1"/>
  <c r="FR143" i="7"/>
  <c r="FR75" i="7"/>
  <c r="AR69" i="7"/>
  <c r="FT69" i="7"/>
  <c r="GG14" i="7"/>
  <c r="GG44" i="7" s="1"/>
  <c r="AY44" i="7"/>
  <c r="AZ87" i="7"/>
  <c r="GB87" i="7"/>
  <c r="AT117" i="7"/>
  <c r="GG134" i="7"/>
  <c r="GG149" i="7" s="1"/>
  <c r="GG154" i="7" s="1"/>
  <c r="AY149" i="7"/>
  <c r="AY154" i="7" s="1"/>
  <c r="AR26" i="7"/>
  <c r="FT26" i="7"/>
  <c r="AR67" i="7"/>
  <c r="FT67" i="7"/>
  <c r="FZ67" i="7" s="1"/>
  <c r="AJ44" i="7"/>
  <c r="AJ117" i="7"/>
  <c r="FR147" i="7"/>
  <c r="FV144" i="7"/>
  <c r="FU63" i="7"/>
  <c r="AM78" i="7"/>
  <c r="AM83" i="7" s="1"/>
  <c r="FY70" i="7"/>
  <c r="FY25" i="7"/>
  <c r="FX145" i="7"/>
  <c r="AQ149" i="7"/>
  <c r="AQ154" i="7" s="1"/>
  <c r="FY134" i="7"/>
  <c r="AH155" i="7"/>
  <c r="AE155" i="7"/>
  <c r="AW44" i="7"/>
  <c r="GE14" i="7"/>
  <c r="GE44" i="7" s="1"/>
  <c r="AZ66" i="7"/>
  <c r="GB66" i="7"/>
  <c r="GH66" i="7" s="1"/>
  <c r="AX149" i="7"/>
  <c r="AX154" i="7" s="1"/>
  <c r="GF134" i="7"/>
  <c r="GF149" i="7" s="1"/>
  <c r="GF154" i="7" s="1"/>
  <c r="FT22" i="7"/>
  <c r="AR22" i="7"/>
  <c r="FR18" i="7"/>
  <c r="FR140" i="7"/>
  <c r="FM44" i="7"/>
  <c r="FT21" i="7"/>
  <c r="AR21" i="7"/>
  <c r="GB27" i="7"/>
  <c r="GH27" i="7" s="1"/>
  <c r="AZ27" i="7"/>
  <c r="FX64" i="7"/>
  <c r="FT14" i="7"/>
  <c r="AL44" i="7"/>
  <c r="AR14" i="7"/>
  <c r="GB140" i="7"/>
  <c r="GH140" i="7" s="1"/>
  <c r="AZ140" i="7"/>
  <c r="FT101" i="7"/>
  <c r="AR101" i="7"/>
  <c r="GC87" i="7"/>
  <c r="GC117" i="7" s="1"/>
  <c r="AU117" i="7"/>
  <c r="FP44" i="7"/>
  <c r="FL78" i="7"/>
  <c r="FL83" i="7" s="1"/>
  <c r="FR63" i="7"/>
  <c r="GE63" i="7"/>
  <c r="GE78" i="7" s="1"/>
  <c r="GE83" i="7" s="1"/>
  <c r="AW78" i="7"/>
  <c r="AW83" i="7" s="1"/>
  <c r="T179" i="23"/>
  <c r="FV20" i="7"/>
  <c r="GB90" i="7"/>
  <c r="GH90" i="7" s="1"/>
  <c r="AZ90" i="7"/>
  <c r="FT63" i="7"/>
  <c r="AL78" i="7"/>
  <c r="AL83" i="7" s="1"/>
  <c r="AR63" i="7"/>
  <c r="FL44" i="7"/>
  <c r="FR14" i="7"/>
  <c r="FR22" i="7"/>
  <c r="T53" i="23"/>
  <c r="EL137" i="7"/>
  <c r="Y156" i="7"/>
  <c r="Y290" i="7" s="1"/>
  <c r="FX68" i="7"/>
  <c r="FT100" i="7"/>
  <c r="AR100" i="7"/>
  <c r="FT99" i="7"/>
  <c r="AR99" i="7"/>
  <c r="FW89" i="7"/>
  <c r="FV97" i="7"/>
  <c r="T95" i="23"/>
  <c r="GB18" i="7"/>
  <c r="GH18" i="7" s="1"/>
  <c r="AZ18" i="7"/>
  <c r="AX44" i="7"/>
  <c r="GF14" i="7"/>
  <c r="GF44" i="7" s="1"/>
  <c r="GB91" i="7"/>
  <c r="GH91" i="7" s="1"/>
  <c r="AZ91" i="7"/>
  <c r="AZ96" i="7"/>
  <c r="GB96" i="7"/>
  <c r="GH96" i="7" s="1"/>
  <c r="AZ15" i="7"/>
  <c r="GB15" i="7"/>
  <c r="GH15" i="7" s="1"/>
  <c r="T207" i="23"/>
  <c r="T123" i="23"/>
  <c r="GD14" i="7"/>
  <c r="GD44" i="7" s="1"/>
  <c r="AV44" i="7"/>
  <c r="FW14" i="7"/>
  <c r="FW44" i="7" s="1"/>
  <c r="AO44" i="7"/>
  <c r="FW66" i="7"/>
  <c r="FT25" i="7"/>
  <c r="AR25" i="7"/>
  <c r="FJ155" i="7"/>
  <c r="GC14" i="7"/>
  <c r="GC44" i="7" s="1"/>
  <c r="AU44" i="7"/>
  <c r="FT97" i="7"/>
  <c r="AR97" i="7"/>
  <c r="GB75" i="7"/>
  <c r="GH75" i="7" s="1"/>
  <c r="AZ75" i="7"/>
  <c r="FT92" i="7"/>
  <c r="AR92" i="7"/>
  <c r="EL123" i="7"/>
  <c r="FV69" i="7"/>
  <c r="AR89" i="7"/>
  <c r="FT89" i="7"/>
  <c r="AR145" i="7"/>
  <c r="FT145" i="7"/>
  <c r="EL144" i="7"/>
  <c r="FX134" i="7"/>
  <c r="AP149" i="7"/>
  <c r="AP154" i="7" s="1"/>
  <c r="FU75" i="7"/>
  <c r="FQ44" i="7"/>
  <c r="FX15" i="7"/>
  <c r="FR67" i="7"/>
  <c r="FV147" i="7"/>
  <c r="A23" i="39"/>
  <c r="BG136" i="7"/>
  <c r="GO136" i="7" s="1"/>
  <c r="BG140" i="7"/>
  <c r="GO140" i="7" s="1"/>
  <c r="HE140" i="7" s="1"/>
  <c r="BG144" i="7"/>
  <c r="GO144" i="7" s="1"/>
  <c r="HE144" i="7" s="1"/>
  <c r="BG148" i="7"/>
  <c r="GO148" i="7" s="1"/>
  <c r="HE148" i="7" s="1"/>
  <c r="BC89" i="7"/>
  <c r="GK89" i="7" s="1"/>
  <c r="HA89" i="7" s="1"/>
  <c r="BC93" i="7"/>
  <c r="GK93" i="7" s="1"/>
  <c r="HA93" i="7" s="1"/>
  <c r="BC97" i="7"/>
  <c r="BC101" i="7"/>
  <c r="GK101" i="7" s="1"/>
  <c r="HA101" i="7" s="1"/>
  <c r="BB137" i="7"/>
  <c r="BR137" i="7" s="1"/>
  <c r="BB141" i="7"/>
  <c r="BB145" i="7"/>
  <c r="BD89" i="7"/>
  <c r="GL89" i="7" s="1"/>
  <c r="BD93" i="7"/>
  <c r="BD97" i="7"/>
  <c r="GL97" i="7" s="1"/>
  <c r="BD101" i="7"/>
  <c r="GL101" i="7" s="1"/>
  <c r="HB101" i="7" s="1"/>
  <c r="BG135" i="7"/>
  <c r="GO135" i="7" s="1"/>
  <c r="HE135" i="7" s="1"/>
  <c r="BC140" i="7"/>
  <c r="BE144" i="7"/>
  <c r="BC87" i="7"/>
  <c r="BS87" i="7" s="1"/>
  <c r="BE91" i="7"/>
  <c r="GM91" i="7" s="1"/>
  <c r="HC91" i="7" s="1"/>
  <c r="BG95" i="7"/>
  <c r="BC100" i="7"/>
  <c r="GK100" i="7" s="1"/>
  <c r="BB136" i="7"/>
  <c r="BR136" i="7" s="1"/>
  <c r="BD140" i="7"/>
  <c r="GL140" i="7" s="1"/>
  <c r="HB140" i="7" s="1"/>
  <c r="BF144" i="7"/>
  <c r="BD87" i="7"/>
  <c r="BT87" i="7" s="1"/>
  <c r="BF91" i="7"/>
  <c r="BB96" i="7"/>
  <c r="BR96" i="7" s="1"/>
  <c r="BD100" i="7"/>
  <c r="BE137" i="7"/>
  <c r="BC142" i="7"/>
  <c r="BG146" i="7"/>
  <c r="GO146" i="7" s="1"/>
  <c r="BG89" i="7"/>
  <c r="GO89" i="7" s="1"/>
  <c r="BE94" i="7"/>
  <c r="GM94" i="7" s="1"/>
  <c r="HC94" i="7" s="1"/>
  <c r="BC99" i="7"/>
  <c r="GK99" i="7" s="1"/>
  <c r="HA99" i="7" s="1"/>
  <c r="BG65" i="7"/>
  <c r="GO65" i="7" s="1"/>
  <c r="HE65" i="7" s="1"/>
  <c r="BG69" i="7"/>
  <c r="GO69" i="7" s="1"/>
  <c r="HE69" i="7" s="1"/>
  <c r="BG73" i="7"/>
  <c r="GO73" i="7" s="1"/>
  <c r="BG77" i="7"/>
  <c r="GO77" i="7" s="1"/>
  <c r="BE14" i="7"/>
  <c r="BE18" i="7"/>
  <c r="GM18" i="7" s="1"/>
  <c r="HC18" i="7" s="1"/>
  <c r="BE22" i="7"/>
  <c r="GM22" i="7" s="1"/>
  <c r="HC22" i="7" s="1"/>
  <c r="BE26" i="7"/>
  <c r="BF137" i="7"/>
  <c r="GN137" i="7" s="1"/>
  <c r="HD137" i="7" s="1"/>
  <c r="BD142" i="7"/>
  <c r="GL142" i="7" s="1"/>
  <c r="BB147" i="7"/>
  <c r="BR147" i="7" s="1"/>
  <c r="BB90" i="7"/>
  <c r="BR90" i="7" s="1"/>
  <c r="BF94" i="7"/>
  <c r="BD99" i="7"/>
  <c r="GL99" i="7" s="1"/>
  <c r="BB66" i="7"/>
  <c r="BR66" i="7" s="1"/>
  <c r="BB70" i="7"/>
  <c r="BB74" i="7"/>
  <c r="BR74" i="7" s="1"/>
  <c r="BF14" i="7"/>
  <c r="BF18" i="7"/>
  <c r="GN18" i="7" s="1"/>
  <c r="HD18" i="7" s="1"/>
  <c r="BF22" i="7"/>
  <c r="GN22" i="7" s="1"/>
  <c r="HD22" i="7" s="1"/>
  <c r="BF26" i="7"/>
  <c r="GN26" i="7" s="1"/>
  <c r="BG134" i="7"/>
  <c r="BW134" i="7" s="1"/>
  <c r="BG139" i="7"/>
  <c r="GO139" i="7" s="1"/>
  <c r="HE139" i="7" s="1"/>
  <c r="BE145" i="7"/>
  <c r="GM145" i="7" s="1"/>
  <c r="HC145" i="7" s="1"/>
  <c r="BC92" i="7"/>
  <c r="GK92" i="7" s="1"/>
  <c r="HA92" i="7" s="1"/>
  <c r="BE97" i="7"/>
  <c r="GM97" i="7" s="1"/>
  <c r="BC67" i="7"/>
  <c r="GK67" i="7" s="1"/>
  <c r="HA67" i="7" s="1"/>
  <c r="BE71" i="7"/>
  <c r="BG75" i="7"/>
  <c r="GO75" i="7" s="1"/>
  <c r="HE75" i="7" s="1"/>
  <c r="BB17" i="7"/>
  <c r="BD21" i="7"/>
  <c r="GL21" i="7" s="1"/>
  <c r="BF25" i="7"/>
  <c r="GN25" i="7" s="1"/>
  <c r="HD25" i="7" s="1"/>
  <c r="BB135" i="7"/>
  <c r="BR135" i="7" s="1"/>
  <c r="BB140" i="7"/>
  <c r="BF145" i="7"/>
  <c r="GN145" i="7" s="1"/>
  <c r="BB87" i="7"/>
  <c r="BR87" i="7" s="1"/>
  <c r="BD92" i="7"/>
  <c r="GL92" i="7" s="1"/>
  <c r="BF97" i="7"/>
  <c r="GN97" i="7" s="1"/>
  <c r="BB63" i="7"/>
  <c r="BR63" i="7" s="1"/>
  <c r="BD67" i="7"/>
  <c r="GL67" i="7" s="1"/>
  <c r="HB67" i="7" s="1"/>
  <c r="BF71" i="7"/>
  <c r="GN71" i="7" s="1"/>
  <c r="HD71" i="7" s="1"/>
  <c r="BB76" i="7"/>
  <c r="BR76" i="7" s="1"/>
  <c r="BC17" i="7"/>
  <c r="BE21" i="7"/>
  <c r="BG25" i="7"/>
  <c r="GO25" i="7" s="1"/>
  <c r="ER309" i="7"/>
  <c r="EW309" i="7" s="1"/>
  <c r="BC134" i="7"/>
  <c r="BE139" i="7"/>
  <c r="GM139" i="7" s="1"/>
  <c r="HC139" i="7" s="1"/>
  <c r="BG145" i="7"/>
  <c r="GO145" i="7" s="1"/>
  <c r="HE145" i="7" s="1"/>
  <c r="BF87" i="7"/>
  <c r="BV87" i="7" s="1"/>
  <c r="BB93" i="7"/>
  <c r="BF98" i="7"/>
  <c r="BE65" i="7"/>
  <c r="BE70" i="7"/>
  <c r="GM70" i="7" s="1"/>
  <c r="HC70" i="7" s="1"/>
  <c r="BC75" i="7"/>
  <c r="GK75" i="7" s="1"/>
  <c r="BE17" i="7"/>
  <c r="BC22" i="7"/>
  <c r="BC27" i="7"/>
  <c r="GK27" i="7" s="1"/>
  <c r="BE75" i="7"/>
  <c r="GM75" i="7" s="1"/>
  <c r="HC75" i="7" s="1"/>
  <c r="BG17" i="7"/>
  <c r="BG22" i="7"/>
  <c r="GO22" i="7" s="1"/>
  <c r="BE27" i="7"/>
  <c r="GM27" i="7" s="1"/>
  <c r="HC27" i="7" s="1"/>
  <c r="BF140" i="7"/>
  <c r="GN140" i="7" s="1"/>
  <c r="HD140" i="7" s="1"/>
  <c r="BC88" i="7"/>
  <c r="BE99" i="7"/>
  <c r="GM99" i="7" s="1"/>
  <c r="BB71" i="7"/>
  <c r="BR71" i="7" s="1"/>
  <c r="BF75" i="7"/>
  <c r="GN75" i="7" s="1"/>
  <c r="HD75" i="7" s="1"/>
  <c r="BC141" i="7"/>
  <c r="GK141" i="7" s="1"/>
  <c r="BB94" i="7"/>
  <c r="BR94" i="7" s="1"/>
  <c r="BC71" i="7"/>
  <c r="GK71" i="7" s="1"/>
  <c r="HA71" i="7" s="1"/>
  <c r="BD134" i="7"/>
  <c r="BF139" i="7"/>
  <c r="BB146" i="7"/>
  <c r="BG87" i="7"/>
  <c r="BE93" i="7"/>
  <c r="GM93" i="7" s="1"/>
  <c r="HC93" i="7" s="1"/>
  <c r="BG98" i="7"/>
  <c r="GO98" i="7" s="1"/>
  <c r="HE98" i="7" s="1"/>
  <c r="BF65" i="7"/>
  <c r="GN65" i="7" s="1"/>
  <c r="HD65" i="7" s="1"/>
  <c r="BF70" i="7"/>
  <c r="GN70" i="7" s="1"/>
  <c r="BD75" i="7"/>
  <c r="GL75" i="7" s="1"/>
  <c r="HB75" i="7" s="1"/>
  <c r="BF17" i="7"/>
  <c r="GN17" i="7" s="1"/>
  <c r="HD17" i="7" s="1"/>
  <c r="BD22" i="7"/>
  <c r="BD27" i="7"/>
  <c r="BE134" i="7"/>
  <c r="BU134" i="7" s="1"/>
  <c r="BE140" i="7"/>
  <c r="GM140" i="7" s="1"/>
  <c r="HC140" i="7" s="1"/>
  <c r="BC146" i="7"/>
  <c r="GK146" i="7" s="1"/>
  <c r="HA146" i="7" s="1"/>
  <c r="BB88" i="7"/>
  <c r="BR88" i="7" s="1"/>
  <c r="BF93" i="7"/>
  <c r="BB99" i="7"/>
  <c r="BR99" i="7" s="1"/>
  <c r="BC66" i="7"/>
  <c r="GK66" i="7" s="1"/>
  <c r="HA66" i="7" s="1"/>
  <c r="BG70" i="7"/>
  <c r="GO70" i="7" s="1"/>
  <c r="BF134" i="7"/>
  <c r="BV134" i="7" s="1"/>
  <c r="BD146" i="7"/>
  <c r="GL146" i="7" s="1"/>
  <c r="HB146" i="7" s="1"/>
  <c r="BG93" i="7"/>
  <c r="BD66" i="7"/>
  <c r="BB18" i="7"/>
  <c r="BB23" i="7"/>
  <c r="BF27" i="7"/>
  <c r="BC135" i="7"/>
  <c r="BE146" i="7"/>
  <c r="GM146" i="7" s="1"/>
  <c r="HC146" i="7" s="1"/>
  <c r="BD88" i="7"/>
  <c r="GL88" i="7" s="1"/>
  <c r="HB88" i="7" s="1"/>
  <c r="BF99" i="7"/>
  <c r="BE66" i="7"/>
  <c r="GM66" i="7" s="1"/>
  <c r="BC76" i="7"/>
  <c r="BD138" i="7"/>
  <c r="GL138" i="7" s="1"/>
  <c r="HB138" i="7" s="1"/>
  <c r="BC145" i="7"/>
  <c r="GK145" i="7" s="1"/>
  <c r="HA145" i="7" s="1"/>
  <c r="BD90" i="7"/>
  <c r="GL90" i="7" s="1"/>
  <c r="HB90" i="7" s="1"/>
  <c r="BG96" i="7"/>
  <c r="GO96" i="7" s="1"/>
  <c r="HE96" i="7" s="1"/>
  <c r="BD64" i="7"/>
  <c r="GL64" i="7" s="1"/>
  <c r="HB64" i="7" s="1"/>
  <c r="BC70" i="7"/>
  <c r="BG76" i="7"/>
  <c r="GO76" i="7" s="1"/>
  <c r="HE76" i="7" s="1"/>
  <c r="BC14" i="7"/>
  <c r="BG19" i="7"/>
  <c r="BC25" i="7"/>
  <c r="GK25" i="7" s="1"/>
  <c r="HA25" i="7" s="1"/>
  <c r="BF138" i="7"/>
  <c r="BF90" i="7"/>
  <c r="GN90" i="7" s="1"/>
  <c r="HD90" i="7" s="1"/>
  <c r="BF64" i="7"/>
  <c r="GN64" i="7" s="1"/>
  <c r="BC77" i="7"/>
  <c r="GK77" i="7" s="1"/>
  <c r="HA77" i="7" s="1"/>
  <c r="BC20" i="7"/>
  <c r="GK20" i="7" s="1"/>
  <c r="HA20" i="7" s="1"/>
  <c r="BC147" i="7"/>
  <c r="GK147" i="7" s="1"/>
  <c r="HA147" i="7" s="1"/>
  <c r="BG90" i="7"/>
  <c r="GO90" i="7" s="1"/>
  <c r="HE90" i="7" s="1"/>
  <c r="BG64" i="7"/>
  <c r="GO64" i="7" s="1"/>
  <c r="HE64" i="7" s="1"/>
  <c r="BD77" i="7"/>
  <c r="GL77" i="7" s="1"/>
  <c r="HB77" i="7" s="1"/>
  <c r="BD20" i="7"/>
  <c r="GL20" i="7" s="1"/>
  <c r="BD147" i="7"/>
  <c r="GL147" i="7" s="1"/>
  <c r="BB91" i="7"/>
  <c r="BR91" i="7" s="1"/>
  <c r="BB65" i="7"/>
  <c r="BC15" i="7"/>
  <c r="BE147" i="7"/>
  <c r="GM147" i="7" s="1"/>
  <c r="HC147" i="7" s="1"/>
  <c r="BD98" i="7"/>
  <c r="GL98" i="7" s="1"/>
  <c r="HB98" i="7" s="1"/>
  <c r="BC65" i="7"/>
  <c r="GK65" i="7" s="1"/>
  <c r="HA65" i="7" s="1"/>
  <c r="BF77" i="7"/>
  <c r="GN77" i="7" s="1"/>
  <c r="HD77" i="7" s="1"/>
  <c r="BD15" i="7"/>
  <c r="GL15" i="7" s="1"/>
  <c r="HB15" i="7" s="1"/>
  <c r="BF20" i="7"/>
  <c r="GN20" i="7" s="1"/>
  <c r="HD20" i="7" s="1"/>
  <c r="BD139" i="7"/>
  <c r="BF147" i="7"/>
  <c r="GN147" i="7" s="1"/>
  <c r="HD147" i="7" s="1"/>
  <c r="BE98" i="7"/>
  <c r="GM98" i="7" s="1"/>
  <c r="HC98" i="7" s="1"/>
  <c r="BE138" i="7"/>
  <c r="BD145" i="7"/>
  <c r="GL145" i="7" s="1"/>
  <c r="BE90" i="7"/>
  <c r="GM90" i="7" s="1"/>
  <c r="HC90" i="7" s="1"/>
  <c r="BB97" i="7"/>
  <c r="BE64" i="7"/>
  <c r="BD70" i="7"/>
  <c r="GL70" i="7" s="1"/>
  <c r="HB70" i="7" s="1"/>
  <c r="BB77" i="7"/>
  <c r="BD14" i="7"/>
  <c r="BT14" i="7" s="1"/>
  <c r="BB20" i="7"/>
  <c r="BD25" i="7"/>
  <c r="BF146" i="7"/>
  <c r="GN146" i="7" s="1"/>
  <c r="HD146" i="7" s="1"/>
  <c r="BG97" i="7"/>
  <c r="BD71" i="7"/>
  <c r="GL71" i="7" s="1"/>
  <c r="BG14" i="7"/>
  <c r="BW14" i="7" s="1"/>
  <c r="BE25" i="7"/>
  <c r="GM25" i="7" s="1"/>
  <c r="HC25" i="7" s="1"/>
  <c r="BG138" i="7"/>
  <c r="GO138" i="7" s="1"/>
  <c r="BB98" i="7"/>
  <c r="BG71" i="7"/>
  <c r="GO71" i="7" s="1"/>
  <c r="HE71" i="7" s="1"/>
  <c r="BB15" i="7"/>
  <c r="BR15" i="7" s="1"/>
  <c r="BB26" i="7"/>
  <c r="BR26" i="7" s="1"/>
  <c r="BB139" i="7"/>
  <c r="BC98" i="7"/>
  <c r="GK98" i="7" s="1"/>
  <c r="HA98" i="7" s="1"/>
  <c r="BB72" i="7"/>
  <c r="BR72" i="7" s="1"/>
  <c r="BE77" i="7"/>
  <c r="BE20" i="7"/>
  <c r="GM20" i="7" s="1"/>
  <c r="HC20" i="7" s="1"/>
  <c r="BC26" i="7"/>
  <c r="BC139" i="7"/>
  <c r="GK139" i="7" s="1"/>
  <c r="HA139" i="7" s="1"/>
  <c r="BC91" i="7"/>
  <c r="GK91" i="7" s="1"/>
  <c r="HA91" i="7" s="1"/>
  <c r="BC72" i="7"/>
  <c r="GK72" i="7" s="1"/>
  <c r="HA72" i="7" s="1"/>
  <c r="BD26" i="7"/>
  <c r="BD91" i="7"/>
  <c r="BD65" i="7"/>
  <c r="GL65" i="7" s="1"/>
  <c r="HB65" i="7" s="1"/>
  <c r="BD72" i="7"/>
  <c r="GL72" i="7" s="1"/>
  <c r="HB72" i="7" s="1"/>
  <c r="BC136" i="7"/>
  <c r="GK136" i="7" s="1"/>
  <c r="HA136" i="7" s="1"/>
  <c r="BC144" i="7"/>
  <c r="GK144" i="7" s="1"/>
  <c r="BC96" i="7"/>
  <c r="GK96" i="7" s="1"/>
  <c r="HA96" i="7" s="1"/>
  <c r="BC63" i="7"/>
  <c r="BS63" i="7" s="1"/>
  <c r="BE72" i="7"/>
  <c r="GM72" i="7" s="1"/>
  <c r="HC72" i="7" s="1"/>
  <c r="BC19" i="7"/>
  <c r="GK19" i="7" s="1"/>
  <c r="BG27" i="7"/>
  <c r="GO27" i="7" s="1"/>
  <c r="HE27" i="7" s="1"/>
  <c r="BD137" i="7"/>
  <c r="GL137" i="7" s="1"/>
  <c r="BE148" i="7"/>
  <c r="GM148" i="7" s="1"/>
  <c r="HC148" i="7" s="1"/>
  <c r="BC90" i="7"/>
  <c r="GK90" i="7" s="1"/>
  <c r="HA90" i="7" s="1"/>
  <c r="BF101" i="7"/>
  <c r="GN101" i="7" s="1"/>
  <c r="BB69" i="7"/>
  <c r="BR69" i="7" s="1"/>
  <c r="BG18" i="7"/>
  <c r="GO18" i="7" s="1"/>
  <c r="HE18" i="7" s="1"/>
  <c r="BB27" i="7"/>
  <c r="BG137" i="7"/>
  <c r="GO137" i="7" s="1"/>
  <c r="BF148" i="7"/>
  <c r="GN148" i="7" s="1"/>
  <c r="HD148" i="7" s="1"/>
  <c r="BG91" i="7"/>
  <c r="GO91" i="7" s="1"/>
  <c r="BG101" i="7"/>
  <c r="GO101" i="7" s="1"/>
  <c r="HE101" i="7" s="1"/>
  <c r="BC69" i="7"/>
  <c r="GK69" i="7" s="1"/>
  <c r="HA69" i="7" s="1"/>
  <c r="BB19" i="7"/>
  <c r="BR19" i="7" s="1"/>
  <c r="BB28" i="7"/>
  <c r="BB138" i="7"/>
  <c r="BR138" i="7" s="1"/>
  <c r="BB92" i="7"/>
  <c r="BD69" i="7"/>
  <c r="GL69" i="7" s="1"/>
  <c r="BD19" i="7"/>
  <c r="GL19" i="7" s="1"/>
  <c r="HB19" i="7" s="1"/>
  <c r="BC28" i="7"/>
  <c r="GK28" i="7" s="1"/>
  <c r="HA28" i="7" s="1"/>
  <c r="BG142" i="7"/>
  <c r="BE92" i="7"/>
  <c r="GM92" i="7" s="1"/>
  <c r="HC92" i="7" s="1"/>
  <c r="BB68" i="7"/>
  <c r="BD16" i="7"/>
  <c r="BF24" i="7"/>
  <c r="BE68" i="7"/>
  <c r="BE143" i="7"/>
  <c r="GM143" i="7" s="1"/>
  <c r="HC143" i="7" s="1"/>
  <c r="BD28" i="7"/>
  <c r="GL28" i="7" s="1"/>
  <c r="HB28" i="7" s="1"/>
  <c r="BE69" i="7"/>
  <c r="GM69" i="7" s="1"/>
  <c r="HC69" i="7" s="1"/>
  <c r="BE19" i="7"/>
  <c r="GM19" i="7" s="1"/>
  <c r="HC19" i="7" s="1"/>
  <c r="BB143" i="7"/>
  <c r="BR143" i="7" s="1"/>
  <c r="BF92" i="7"/>
  <c r="BC68" i="7"/>
  <c r="BE16" i="7"/>
  <c r="GM16" i="7" s="1"/>
  <c r="HC16" i="7" s="1"/>
  <c r="BG24" i="7"/>
  <c r="GO24" i="7" s="1"/>
  <c r="HE24" i="7" s="1"/>
  <c r="BD143" i="7"/>
  <c r="GL143" i="7" s="1"/>
  <c r="HB143" i="7" s="1"/>
  <c r="BG26" i="7"/>
  <c r="GO26" i="7" s="1"/>
  <c r="BF68" i="7"/>
  <c r="GN68" i="7" s="1"/>
  <c r="BD17" i="7"/>
  <c r="GL17" i="7" s="1"/>
  <c r="HB17" i="7" s="1"/>
  <c r="BG94" i="7"/>
  <c r="GO94" i="7" s="1"/>
  <c r="HE94" i="7" s="1"/>
  <c r="BG68" i="7"/>
  <c r="GO68" i="7" s="1"/>
  <c r="HE68" i="7" s="1"/>
  <c r="BC18" i="7"/>
  <c r="GK18" i="7" s="1"/>
  <c r="HA18" i="7" s="1"/>
  <c r="BG143" i="7"/>
  <c r="BB95" i="7"/>
  <c r="BR95" i="7" s="1"/>
  <c r="BD18" i="7"/>
  <c r="GL18" i="7" s="1"/>
  <c r="HB18" i="7" s="1"/>
  <c r="BF69" i="7"/>
  <c r="GN69" i="7" s="1"/>
  <c r="BC143" i="7"/>
  <c r="BG92" i="7"/>
  <c r="GO92" i="7" s="1"/>
  <c r="HE92" i="7" s="1"/>
  <c r="BD68" i="7"/>
  <c r="BF16" i="7"/>
  <c r="GN16" i="7" s="1"/>
  <c r="HD16" i="7" s="1"/>
  <c r="BB25" i="7"/>
  <c r="BR25" i="7" s="1"/>
  <c r="BC94" i="7"/>
  <c r="GK94" i="7" s="1"/>
  <c r="HA94" i="7" s="1"/>
  <c r="BG16" i="7"/>
  <c r="BD94" i="7"/>
  <c r="GL94" i="7" s="1"/>
  <c r="HB94" i="7" s="1"/>
  <c r="BF143" i="7"/>
  <c r="GN143" i="7" s="1"/>
  <c r="HD143" i="7" s="1"/>
  <c r="BE28" i="7"/>
  <c r="GM28" i="7" s="1"/>
  <c r="HC28" i="7" s="1"/>
  <c r="BF28" i="7"/>
  <c r="GN28" i="7" s="1"/>
  <c r="BB144" i="7"/>
  <c r="BR144" i="7" s="1"/>
  <c r="BC95" i="7"/>
  <c r="BG28" i="7"/>
  <c r="BD135" i="7"/>
  <c r="BF88" i="7"/>
  <c r="GN88" i="7" s="1"/>
  <c r="HD88" i="7" s="1"/>
  <c r="BF135" i="7"/>
  <c r="GN135" i="7" s="1"/>
  <c r="HD135" i="7" s="1"/>
  <c r="BB89" i="7"/>
  <c r="BC74" i="7"/>
  <c r="GK74" i="7" s="1"/>
  <c r="HA74" i="7" s="1"/>
  <c r="BC23" i="7"/>
  <c r="GK23" i="7" s="1"/>
  <c r="HA23" i="7" s="1"/>
  <c r="BG141" i="7"/>
  <c r="BG99" i="7"/>
  <c r="GO99" i="7" s="1"/>
  <c r="HE99" i="7" s="1"/>
  <c r="BB64" i="7"/>
  <c r="BF136" i="7"/>
  <c r="GN136" i="7" s="1"/>
  <c r="HD136" i="7" s="1"/>
  <c r="BD96" i="7"/>
  <c r="GL96" i="7" s="1"/>
  <c r="HB96" i="7" s="1"/>
  <c r="BF66" i="7"/>
  <c r="GN66" i="7" s="1"/>
  <c r="HD66" i="7" s="1"/>
  <c r="BC137" i="7"/>
  <c r="GK137" i="7" s="1"/>
  <c r="HA137" i="7" s="1"/>
  <c r="BE96" i="7"/>
  <c r="GM96" i="7" s="1"/>
  <c r="HC96" i="7" s="1"/>
  <c r="BG66" i="7"/>
  <c r="BC138" i="7"/>
  <c r="BF96" i="7"/>
  <c r="GN96" i="7" s="1"/>
  <c r="BB67" i="7"/>
  <c r="BB14" i="7"/>
  <c r="BR14" i="7" s="1"/>
  <c r="BB148" i="7"/>
  <c r="BE73" i="7"/>
  <c r="GM73" i="7" s="1"/>
  <c r="HC73" i="7" s="1"/>
  <c r="BC21" i="7"/>
  <c r="BB100" i="7"/>
  <c r="BB75" i="7"/>
  <c r="BB21" i="7"/>
  <c r="BR21" i="7" s="1"/>
  <c r="BE100" i="7"/>
  <c r="BD76" i="7"/>
  <c r="BF21" i="7"/>
  <c r="GN21" i="7" s="1"/>
  <c r="HD21" i="7" s="1"/>
  <c r="BB22" i="7"/>
  <c r="BB101" i="7"/>
  <c r="BR101" i="7" s="1"/>
  <c r="BF100" i="7"/>
  <c r="GN100" i="7" s="1"/>
  <c r="HD100" i="7" s="1"/>
  <c r="BE76" i="7"/>
  <c r="BG21" i="7"/>
  <c r="GO21" i="7" s="1"/>
  <c r="HE21" i="7" s="1"/>
  <c r="BG100" i="7"/>
  <c r="GO100" i="7" s="1"/>
  <c r="HE100" i="7" s="1"/>
  <c r="BF76" i="7"/>
  <c r="BD23" i="7"/>
  <c r="GL23" i="7" s="1"/>
  <c r="BF95" i="7"/>
  <c r="GN95" i="7" s="1"/>
  <c r="HD95" i="7" s="1"/>
  <c r="BE141" i="7"/>
  <c r="GM141" i="7" s="1"/>
  <c r="HC141" i="7" s="1"/>
  <c r="BG72" i="7"/>
  <c r="GO72" i="7" s="1"/>
  <c r="HE72" i="7" s="1"/>
  <c r="BF23" i="7"/>
  <c r="BF141" i="7"/>
  <c r="GN141" i="7" s="1"/>
  <c r="HD141" i="7" s="1"/>
  <c r="BB73" i="7"/>
  <c r="BR73" i="7" s="1"/>
  <c r="BG23" i="7"/>
  <c r="BB142" i="7"/>
  <c r="BR142" i="7" s="1"/>
  <c r="BC73" i="7"/>
  <c r="GK73" i="7" s="1"/>
  <c r="HA73" i="7" s="1"/>
  <c r="BB24" i="7"/>
  <c r="BF142" i="7"/>
  <c r="GN142" i="7" s="1"/>
  <c r="HD142" i="7" s="1"/>
  <c r="BF73" i="7"/>
  <c r="GN73" i="7" s="1"/>
  <c r="BE88" i="7"/>
  <c r="GM88" i="7" s="1"/>
  <c r="HC88" i="7" s="1"/>
  <c r="BE87" i="7"/>
  <c r="BU87" i="7" s="1"/>
  <c r="BE67" i="7"/>
  <c r="GM67" i="7" s="1"/>
  <c r="HC67" i="7" s="1"/>
  <c r="BG88" i="7"/>
  <c r="GO88" i="7" s="1"/>
  <c r="HE88" i="7" s="1"/>
  <c r="BF67" i="7"/>
  <c r="GN67" i="7" s="1"/>
  <c r="HD67" i="7" s="1"/>
  <c r="BC16" i="7"/>
  <c r="GK16" i="7" s="1"/>
  <c r="HA16" i="7" s="1"/>
  <c r="BE89" i="7"/>
  <c r="GM89" i="7" s="1"/>
  <c r="BF89" i="7"/>
  <c r="BF72" i="7"/>
  <c r="GN72" i="7" s="1"/>
  <c r="HD72" i="7" s="1"/>
  <c r="BG20" i="7"/>
  <c r="BE142" i="7"/>
  <c r="GM142" i="7" s="1"/>
  <c r="BC24" i="7"/>
  <c r="BE63" i="7"/>
  <c r="BF63" i="7"/>
  <c r="BV63" i="7" s="1"/>
  <c r="BD144" i="7"/>
  <c r="GL144" i="7" s="1"/>
  <c r="BD24" i="7"/>
  <c r="BE95" i="7"/>
  <c r="BD63" i="7"/>
  <c r="BG147" i="7"/>
  <c r="GO147" i="7" s="1"/>
  <c r="HE147" i="7" s="1"/>
  <c r="BE24" i="7"/>
  <c r="J309" i="7"/>
  <c r="BC148" i="7"/>
  <c r="GK148" i="7" s="1"/>
  <c r="HA148" i="7" s="1"/>
  <c r="BD95" i="7"/>
  <c r="GL95" i="7" s="1"/>
  <c r="HB95" i="7" s="1"/>
  <c r="BD148" i="7"/>
  <c r="GL148" i="7" s="1"/>
  <c r="HB148" i="7" s="1"/>
  <c r="BE101" i="7"/>
  <c r="GM101" i="7" s="1"/>
  <c r="HC101" i="7" s="1"/>
  <c r="BD73" i="7"/>
  <c r="GL73" i="7" s="1"/>
  <c r="HB73" i="7" s="1"/>
  <c r="BD74" i="7"/>
  <c r="GL74" i="7" s="1"/>
  <c r="BE74" i="7"/>
  <c r="GM74" i="7" s="1"/>
  <c r="BF74" i="7"/>
  <c r="GN74" i="7" s="1"/>
  <c r="HD74" i="7" s="1"/>
  <c r="BG74" i="7"/>
  <c r="GO74" i="7" s="1"/>
  <c r="HE74" i="7" s="1"/>
  <c r="BE135" i="7"/>
  <c r="BG63" i="7"/>
  <c r="BD136" i="7"/>
  <c r="BC64" i="7"/>
  <c r="GK64" i="7" s="1"/>
  <c r="HA64" i="7" s="1"/>
  <c r="BE136" i="7"/>
  <c r="GM136" i="7" s="1"/>
  <c r="HC136" i="7" s="1"/>
  <c r="BG67" i="7"/>
  <c r="GO67" i="7" s="1"/>
  <c r="HE67" i="7" s="1"/>
  <c r="BD141" i="7"/>
  <c r="BB134" i="7"/>
  <c r="BR134" i="7" s="1"/>
  <c r="BF15" i="7"/>
  <c r="GN15" i="7" s="1"/>
  <c r="BG15" i="7"/>
  <c r="GO15" i="7" s="1"/>
  <c r="BF19" i="7"/>
  <c r="BB16" i="7"/>
  <c r="BR16" i="7" s="1"/>
  <c r="BE15" i="7"/>
  <c r="GM15" i="7" s="1"/>
  <c r="HC15" i="7" s="1"/>
  <c r="BE23" i="7"/>
  <c r="GM23" i="7" s="1"/>
  <c r="HC23" i="7" s="1"/>
  <c r="AB84" i="7"/>
  <c r="FR27" i="7"/>
  <c r="FR96" i="7"/>
  <c r="FR139" i="7"/>
  <c r="AR17" i="7"/>
  <c r="FT17" i="7"/>
  <c r="FZ17" i="7" s="1"/>
  <c r="FT146" i="7"/>
  <c r="AR146" i="7"/>
  <c r="FV89" i="7"/>
  <c r="FT137" i="7"/>
  <c r="AR137" i="7"/>
  <c r="FR66" i="7"/>
  <c r="AZ68" i="7"/>
  <c r="GB68" i="7"/>
  <c r="GH68" i="7" s="1"/>
  <c r="G93" i="21"/>
  <c r="D93" i="21"/>
  <c r="V55" i="22"/>
  <c r="AF39" i="25" s="1"/>
  <c r="U40" i="22"/>
  <c r="V41" i="22"/>
  <c r="AF25" i="25" s="1"/>
  <c r="AF24" i="25" s="1"/>
  <c r="V47" i="22"/>
  <c r="AF31" i="25" s="1"/>
  <c r="AF30" i="25" s="1"/>
  <c r="U46" i="22"/>
  <c r="V59" i="22"/>
  <c r="AF43" i="25" s="1"/>
  <c r="AF42" i="25" s="1"/>
  <c r="U58" i="22"/>
  <c r="V53" i="22"/>
  <c r="AF37" i="25" s="1"/>
  <c r="AF36" i="25" s="1"/>
  <c r="U52" i="22"/>
  <c r="V64" i="22"/>
  <c r="A124" i="26"/>
  <c r="A117" i="21"/>
  <c r="O118" i="21" s="1"/>
  <c r="Q121" i="21" s="1"/>
  <c r="V26" i="22"/>
  <c r="AF10" i="25" s="1"/>
  <c r="V21" i="22"/>
  <c r="AF5" i="25" s="1"/>
  <c r="R36" i="22"/>
  <c r="AB20" i="25" s="1"/>
  <c r="K17" i="26" l="1"/>
  <c r="AG17" i="26" s="1"/>
  <c r="AK17" i="26" s="1"/>
  <c r="V17" i="26"/>
  <c r="D87" i="56" a="1"/>
  <c r="D87" i="56" s="1"/>
  <c r="N82" i="21"/>
  <c r="Q82" i="21" s="1"/>
  <c r="D88" i="56" a="1"/>
  <c r="D88" i="56" s="1"/>
  <c r="G54" i="51"/>
  <c r="F86" i="21"/>
  <c r="H89" i="56" a="1"/>
  <c r="H89" i="56" s="1"/>
  <c r="F82" i="21"/>
  <c r="N86" i="21"/>
  <c r="I34" i="7" s="1"/>
  <c r="EQ34" i="7" s="1"/>
  <c r="G50" i="51"/>
  <c r="E82" i="21"/>
  <c r="I85" i="21"/>
  <c r="D53" i="51" s="1"/>
  <c r="U30" i="22"/>
  <c r="AE14" i="25" s="1"/>
  <c r="G52" i="51"/>
  <c r="E85" i="21"/>
  <c r="G89" i="56" a="1"/>
  <c r="G89" i="56" s="1"/>
  <c r="M85" i="21"/>
  <c r="F85" i="21"/>
  <c r="G53" i="51"/>
  <c r="G87" i="56" a="1"/>
  <c r="G87" i="56" s="1"/>
  <c r="E86" i="21"/>
  <c r="H87" i="56" a="1"/>
  <c r="H87" i="56" s="1"/>
  <c r="N84" i="21"/>
  <c r="G34" i="7" s="1"/>
  <c r="EO34" i="7" s="1"/>
  <c r="C87" i="21"/>
  <c r="C88" i="21" s="1"/>
  <c r="Q16" i="35" s="1"/>
  <c r="F89" i="56" a="1"/>
  <c r="F89" i="56" s="1"/>
  <c r="F87" i="56" a="1"/>
  <c r="F87" i="56" s="1"/>
  <c r="F88" i="56" a="1"/>
  <c r="F88" i="56" s="1"/>
  <c r="E84" i="21"/>
  <c r="F22" i="25"/>
  <c r="F23" i="25" s="1"/>
  <c r="F24" i="25" s="1"/>
  <c r="C22" i="25"/>
  <c r="C23" i="25" s="1"/>
  <c r="K23" i="25" s="1"/>
  <c r="R33" i="22"/>
  <c r="AB17" i="25" s="1"/>
  <c r="S32" i="22"/>
  <c r="AC16" i="25" s="1"/>
  <c r="J105" i="36"/>
  <c r="O82" i="21"/>
  <c r="CE19" i="7" s="1"/>
  <c r="Y82" i="21"/>
  <c r="O86" i="21"/>
  <c r="I19" i="7" s="1"/>
  <c r="EQ19" i="7" s="1"/>
  <c r="Y86" i="21"/>
  <c r="N81" i="21"/>
  <c r="Q81" i="21" s="1"/>
  <c r="O81" i="21"/>
  <c r="I19" i="45" s="1"/>
  <c r="J19" i="45" s="1"/>
  <c r="Y83" i="21"/>
  <c r="N83" i="21"/>
  <c r="F34" i="7" s="1"/>
  <c r="EN34" i="7" s="1"/>
  <c r="P16" i="35"/>
  <c r="O84" i="21"/>
  <c r="CM19" i="7" s="1"/>
  <c r="Y84" i="21"/>
  <c r="N85" i="21"/>
  <c r="H34" i="7" s="1"/>
  <c r="EP34" i="7" s="1"/>
  <c r="W87" i="21"/>
  <c r="G87" i="21"/>
  <c r="O85" i="21"/>
  <c r="H19" i="7" s="1"/>
  <c r="EP19" i="7" s="1"/>
  <c r="K369" i="25"/>
  <c r="C371" i="25"/>
  <c r="C372" i="25" s="1"/>
  <c r="K372" i="25" s="1"/>
  <c r="CL275" i="7" s="1"/>
  <c r="E368" i="25"/>
  <c r="D274" i="7" s="1"/>
  <c r="EL274" i="7" s="1"/>
  <c r="G310" i="25"/>
  <c r="G311" i="25" s="1"/>
  <c r="G312" i="25" s="1"/>
  <c r="K398" i="25"/>
  <c r="K399" i="25"/>
  <c r="CG279" i="7" s="1"/>
  <c r="E107" i="25"/>
  <c r="I238" i="45" s="1"/>
  <c r="J238" i="45" s="1"/>
  <c r="K108" i="25"/>
  <c r="E252" i="25"/>
  <c r="D258" i="7" s="1"/>
  <c r="CB258" i="7" s="1"/>
  <c r="C254" i="25"/>
  <c r="C255" i="25" s="1"/>
  <c r="E254" i="25" s="1"/>
  <c r="E258" i="7" s="1"/>
  <c r="EM258" i="7" s="1"/>
  <c r="E397" i="25"/>
  <c r="D278" i="45" s="1"/>
  <c r="E278" i="45" s="1"/>
  <c r="C138" i="25"/>
  <c r="C139" i="25" s="1"/>
  <c r="C140" i="25" s="1"/>
  <c r="K140" i="25" s="1"/>
  <c r="CL243" i="7" s="1"/>
  <c r="E136" i="25"/>
  <c r="D242" i="45" s="1"/>
  <c r="E242" i="45" s="1"/>
  <c r="C197" i="25"/>
  <c r="C198" i="25" s="1"/>
  <c r="K198" i="25" s="1"/>
  <c r="CL251" i="7" s="1"/>
  <c r="G339" i="25"/>
  <c r="G340" i="25" s="1"/>
  <c r="G341" i="25" s="1"/>
  <c r="G342" i="25" s="1"/>
  <c r="G343" i="25" s="1"/>
  <c r="E194" i="25"/>
  <c r="D250" i="7" s="1"/>
  <c r="EL250" i="7" s="1"/>
  <c r="K224" i="25"/>
  <c r="E78" i="25"/>
  <c r="I234" i="45" s="1"/>
  <c r="J234" i="45" s="1"/>
  <c r="K195" i="25"/>
  <c r="C226" i="25"/>
  <c r="K226" i="25" s="1"/>
  <c r="C110" i="25"/>
  <c r="C111" i="25" s="1"/>
  <c r="K111" i="25" s="1"/>
  <c r="CL239" i="7" s="1"/>
  <c r="C80" i="25"/>
  <c r="C81" i="25" s="1"/>
  <c r="E80" i="25" s="1"/>
  <c r="E234" i="7" s="1"/>
  <c r="E223" i="25"/>
  <c r="I254" i="45" s="1"/>
  <c r="J254" i="45" s="1"/>
  <c r="C52" i="25"/>
  <c r="E51" i="25" s="1"/>
  <c r="E230" i="7" s="1"/>
  <c r="EM230" i="7" s="1"/>
  <c r="K51" i="25"/>
  <c r="CG231" i="7" s="1"/>
  <c r="G397" i="25"/>
  <c r="G398" i="25" s="1"/>
  <c r="G399" i="25" s="1"/>
  <c r="G400" i="25" s="1"/>
  <c r="G401" i="25" s="1"/>
  <c r="E426" i="25"/>
  <c r="D282" i="45" s="1"/>
  <c r="E282" i="45" s="1"/>
  <c r="C428" i="25"/>
  <c r="C429" i="25" s="1"/>
  <c r="K429" i="25" s="1"/>
  <c r="C284" i="25"/>
  <c r="K284" i="25" s="1"/>
  <c r="E339" i="25"/>
  <c r="D270" i="7" s="1"/>
  <c r="CB270" i="7" s="1"/>
  <c r="G165" i="25"/>
  <c r="G166" i="25" s="1"/>
  <c r="G167" i="25" s="1"/>
  <c r="G49" i="25"/>
  <c r="G51" i="25" s="1"/>
  <c r="G52" i="25" s="1"/>
  <c r="G53" i="25" s="1"/>
  <c r="G426" i="25"/>
  <c r="G427" i="25" s="1"/>
  <c r="G428" i="25" s="1"/>
  <c r="G429" i="25" s="1"/>
  <c r="G430" i="25" s="1"/>
  <c r="G281" i="25"/>
  <c r="G282" i="25" s="1"/>
  <c r="G283" i="25" s="1"/>
  <c r="G284" i="25" s="1"/>
  <c r="G285" i="25" s="1"/>
  <c r="G252" i="25"/>
  <c r="G253" i="25" s="1"/>
  <c r="G254" i="25" s="1"/>
  <c r="G255" i="25" s="1"/>
  <c r="G256" i="25" s="1"/>
  <c r="E310" i="25"/>
  <c r="D266" i="7" s="1"/>
  <c r="CB266" i="7" s="1"/>
  <c r="G20" i="25"/>
  <c r="G21" i="25" s="1"/>
  <c r="G136" i="25"/>
  <c r="G137" i="25" s="1"/>
  <c r="G138" i="25" s="1"/>
  <c r="G78" i="25"/>
  <c r="G79" i="25" s="1"/>
  <c r="G80" i="25" s="1"/>
  <c r="G81" i="25" s="1"/>
  <c r="G82" i="25" s="1"/>
  <c r="T31" i="22"/>
  <c r="AD15" i="25" s="1"/>
  <c r="V29" i="22"/>
  <c r="AF13" i="25" s="1"/>
  <c r="C312" i="25"/>
  <c r="C313" i="25" s="1"/>
  <c r="K313" i="25" s="1"/>
  <c r="G194" i="25"/>
  <c r="G195" i="25" s="1"/>
  <c r="G196" i="25" s="1"/>
  <c r="C341" i="25"/>
  <c r="C342" i="25" s="1"/>
  <c r="E341" i="25" s="1"/>
  <c r="E270" i="7" s="1"/>
  <c r="EM270" i="7" s="1"/>
  <c r="G223" i="25"/>
  <c r="G224" i="25" s="1"/>
  <c r="G225" i="25" s="1"/>
  <c r="Z21" i="25"/>
  <c r="H368" i="25" s="1"/>
  <c r="K282" i="25"/>
  <c r="E165" i="25"/>
  <c r="D246" i="7" s="1"/>
  <c r="CB246" i="7" s="1"/>
  <c r="E281" i="25"/>
  <c r="I262" i="45" s="1"/>
  <c r="J262" i="45" s="1"/>
  <c r="G107" i="25"/>
  <c r="G108" i="25" s="1"/>
  <c r="G109" i="25" s="1"/>
  <c r="K50" i="25"/>
  <c r="E49" i="25"/>
  <c r="K166" i="25"/>
  <c r="C168" i="25"/>
  <c r="K168" i="25" s="1"/>
  <c r="H41" i="51"/>
  <c r="H43" i="51"/>
  <c r="Q68" i="21"/>
  <c r="CG33" i="7"/>
  <c r="CF33" i="7"/>
  <c r="Y73" i="21"/>
  <c r="H45" i="51"/>
  <c r="I33" i="7"/>
  <c r="EQ33" i="7" s="1"/>
  <c r="D33" i="7"/>
  <c r="EL33" i="7" s="1"/>
  <c r="H44" i="51"/>
  <c r="F33" i="7"/>
  <c r="EN33" i="7" s="1"/>
  <c r="G33" i="7"/>
  <c r="EO33" i="7" s="1"/>
  <c r="CM18" i="7"/>
  <c r="D33" i="45"/>
  <c r="E33" i="45" s="1"/>
  <c r="G18" i="7"/>
  <c r="EO18" i="7" s="1"/>
  <c r="I33" i="45"/>
  <c r="J33" i="45" s="1"/>
  <c r="CO18" i="7"/>
  <c r="H40" i="51"/>
  <c r="CN18" i="7"/>
  <c r="C74" i="21"/>
  <c r="Q15" i="35" s="1"/>
  <c r="F73" i="21"/>
  <c r="O73" i="21"/>
  <c r="F18" i="45" s="1"/>
  <c r="H42" i="51"/>
  <c r="CL33" i="7"/>
  <c r="CJ18" i="7"/>
  <c r="Q69" i="21"/>
  <c r="CH18" i="7"/>
  <c r="CL18" i="7"/>
  <c r="CK18" i="7"/>
  <c r="N73" i="21"/>
  <c r="F18" i="7"/>
  <c r="EN18" i="7" s="1"/>
  <c r="M13" i="23"/>
  <c r="L13" i="23"/>
  <c r="R13" i="23"/>
  <c r="S13" i="23" s="1"/>
  <c r="T13" i="23" s="1"/>
  <c r="E176" i="56" a="1"/>
  <c r="E176" i="56" s="1"/>
  <c r="G18" i="40"/>
  <c r="G19" i="40" s="1"/>
  <c r="R155" i="7"/>
  <c r="R156" i="7" s="1"/>
  <c r="R290" i="7" s="1"/>
  <c r="FB87" i="7"/>
  <c r="FB117" i="7" s="1"/>
  <c r="FB155" i="7" s="1"/>
  <c r="FB156" i="7" s="1"/>
  <c r="FB290" i="7" s="1"/>
  <c r="S155" i="7"/>
  <c r="S156" i="7" s="1"/>
  <c r="S290" i="7" s="1"/>
  <c r="H18" i="40"/>
  <c r="H19" i="40" s="1"/>
  <c r="C19" i="40"/>
  <c r="P155" i="7"/>
  <c r="P156" i="7" s="1"/>
  <c r="P290" i="7" s="1"/>
  <c r="P292" i="7" s="1"/>
  <c r="E18" i="40"/>
  <c r="E19" i="40" s="1"/>
  <c r="D18" i="40"/>
  <c r="D19" i="40" s="1"/>
  <c r="O155" i="7"/>
  <c r="O156" i="7" s="1"/>
  <c r="O290" i="7" s="1"/>
  <c r="N292" i="7"/>
  <c r="N293" i="7" s="1"/>
  <c r="Q155" i="7"/>
  <c r="Q156" i="7" s="1"/>
  <c r="Q290" i="7" s="1"/>
  <c r="Q297" i="7" s="1"/>
  <c r="F18" i="40"/>
  <c r="F19" i="40" s="1"/>
  <c r="S121" i="21"/>
  <c r="R123" i="21"/>
  <c r="R124" i="21" s="1"/>
  <c r="R125" i="21" s="1"/>
  <c r="R126" i="21" s="1"/>
  <c r="R127" i="21" s="1"/>
  <c r="R128" i="21" s="1"/>
  <c r="P123" i="21"/>
  <c r="P56" i="21"/>
  <c r="T56" i="21" s="1"/>
  <c r="E68" i="56" a="1"/>
  <c r="E68" i="56" s="1"/>
  <c r="P97" i="21"/>
  <c r="D95" i="56" a="1"/>
  <c r="D95" i="56" s="1"/>
  <c r="P70" i="21"/>
  <c r="T70" i="21" s="1"/>
  <c r="E77" i="56" a="1"/>
  <c r="E77" i="56" s="1"/>
  <c r="P84" i="21"/>
  <c r="E86" i="56" a="1"/>
  <c r="E86" i="56" s="1"/>
  <c r="P110" i="21"/>
  <c r="C104" i="56" a="1"/>
  <c r="C104" i="56" s="1"/>
  <c r="Q55" i="21"/>
  <c r="G12" i="52"/>
  <c r="H12" i="52" s="1"/>
  <c r="F313" i="25"/>
  <c r="F314" i="25" s="1"/>
  <c r="T34" i="22"/>
  <c r="AD18" i="25" s="1"/>
  <c r="C401" i="25"/>
  <c r="C402" i="25" s="1"/>
  <c r="E401" i="25" s="1"/>
  <c r="F278" i="7" s="1"/>
  <c r="EN278" i="7" s="1"/>
  <c r="E399" i="25"/>
  <c r="E278" i="7" s="1"/>
  <c r="CG278" i="7" s="1"/>
  <c r="I16" i="51"/>
  <c r="J16" i="51" s="1"/>
  <c r="CO132" i="7"/>
  <c r="G61" i="7"/>
  <c r="EO61" i="7" s="1"/>
  <c r="CN56" i="7"/>
  <c r="CN61" i="7"/>
  <c r="CM127" i="7"/>
  <c r="G127" i="7"/>
  <c r="EO127" i="7" s="1"/>
  <c r="CI118" i="7"/>
  <c r="F118" i="7"/>
  <c r="EN118" i="7" s="1"/>
  <c r="G50" i="7"/>
  <c r="EO50" i="7" s="1"/>
  <c r="CJ118" i="7"/>
  <c r="CK118" i="7"/>
  <c r="CH118" i="7"/>
  <c r="G48" i="7"/>
  <c r="EO48" i="7" s="1"/>
  <c r="CN127" i="7"/>
  <c r="CM61" i="7"/>
  <c r="CN48" i="7"/>
  <c r="CO48" i="7"/>
  <c r="CM48" i="7"/>
  <c r="CN132" i="7"/>
  <c r="CN50" i="7"/>
  <c r="CM132" i="7"/>
  <c r="G60" i="7"/>
  <c r="EO60" i="7" s="1"/>
  <c r="CI62" i="7"/>
  <c r="CJ62" i="7"/>
  <c r="CO59" i="7"/>
  <c r="CO56" i="7"/>
  <c r="G59" i="7"/>
  <c r="EO59" i="7" s="1"/>
  <c r="CM56" i="7"/>
  <c r="CM59" i="7"/>
  <c r="CM60" i="7"/>
  <c r="CO53" i="7"/>
  <c r="CO61" i="7"/>
  <c r="CM55" i="7"/>
  <c r="L74" i="25"/>
  <c r="H313" i="56" s="1" a="1"/>
  <c r="H313" i="56" s="1"/>
  <c r="G313" i="56" a="1"/>
  <c r="G313" i="56" s="1"/>
  <c r="P30" i="21"/>
  <c r="G50" i="56" a="1"/>
  <c r="G50" i="56" s="1"/>
  <c r="Q29" i="21"/>
  <c r="I17" i="51" s="1"/>
  <c r="J17" i="51" s="1"/>
  <c r="T29" i="21"/>
  <c r="G126" i="7"/>
  <c r="EO126" i="7" s="1"/>
  <c r="CO126" i="7"/>
  <c r="CN53" i="7"/>
  <c r="P16" i="21"/>
  <c r="G41" i="56" a="1"/>
  <c r="G41" i="56" s="1"/>
  <c r="T15" i="21"/>
  <c r="Q15" i="21"/>
  <c r="L45" i="25"/>
  <c r="H305" i="56" s="1" a="1"/>
  <c r="H305" i="56" s="1"/>
  <c r="G305" i="56" a="1"/>
  <c r="G305" i="56" s="1"/>
  <c r="L248" i="25"/>
  <c r="H361" i="56" s="1" a="1"/>
  <c r="H361" i="56" s="1"/>
  <c r="G361" i="56" a="1"/>
  <c r="G361" i="56" s="1"/>
  <c r="L393" i="25"/>
  <c r="H401" i="56" s="1" a="1"/>
  <c r="H401" i="56" s="1"/>
  <c r="G401" i="56" a="1"/>
  <c r="G401" i="56" s="1"/>
  <c r="L277" i="25"/>
  <c r="H369" i="56" s="1" a="1"/>
  <c r="H369" i="56" s="1"/>
  <c r="G369" i="56" a="1"/>
  <c r="G369" i="56" s="1"/>
  <c r="L16" i="25"/>
  <c r="H297" i="56" s="1" a="1"/>
  <c r="H297" i="56" s="1"/>
  <c r="G297" i="56" a="1"/>
  <c r="G297" i="56" s="1"/>
  <c r="CN124" i="7"/>
  <c r="L132" i="25"/>
  <c r="H329" i="56" s="1" a="1"/>
  <c r="H329" i="56" s="1"/>
  <c r="G329" i="56" a="1"/>
  <c r="G329" i="56" s="1"/>
  <c r="L161" i="25"/>
  <c r="H337" i="56" s="1" a="1"/>
  <c r="H337" i="56" s="1"/>
  <c r="G337" i="56" a="1"/>
  <c r="G337" i="56" s="1"/>
  <c r="CK62" i="7"/>
  <c r="CO55" i="7"/>
  <c r="L422" i="25"/>
  <c r="H409" i="56" s="1" a="1"/>
  <c r="H409" i="56" s="1"/>
  <c r="G409" i="56" a="1"/>
  <c r="G409" i="56" s="1"/>
  <c r="L103" i="25"/>
  <c r="H321" i="56" s="1" a="1"/>
  <c r="H321" i="56" s="1"/>
  <c r="G321" i="56" a="1"/>
  <c r="G321" i="56" s="1"/>
  <c r="N160" i="25"/>
  <c r="G124" i="7"/>
  <c r="EO124" i="7" s="1"/>
  <c r="CM51" i="7"/>
  <c r="L190" i="25"/>
  <c r="H345" i="56" s="1" a="1"/>
  <c r="H345" i="56" s="1"/>
  <c r="G345" i="56" a="1"/>
  <c r="G345" i="56" s="1"/>
  <c r="L364" i="25"/>
  <c r="H393" i="56" s="1" a="1"/>
  <c r="H393" i="56" s="1"/>
  <c r="G393" i="56" a="1"/>
  <c r="G393" i="56" s="1"/>
  <c r="CM124" i="7"/>
  <c r="G51" i="7"/>
  <c r="EO51" i="7" s="1"/>
  <c r="L306" i="25"/>
  <c r="H377" i="56" s="1" a="1"/>
  <c r="H377" i="56" s="1"/>
  <c r="G377" i="56" a="1"/>
  <c r="G377" i="56" s="1"/>
  <c r="CN126" i="7"/>
  <c r="L219" i="25"/>
  <c r="H353" i="56" s="1" a="1"/>
  <c r="H353" i="56" s="1"/>
  <c r="G353" i="56" a="1"/>
  <c r="G353" i="56" s="1"/>
  <c r="N102" i="25"/>
  <c r="CM53" i="7"/>
  <c r="CL62" i="7"/>
  <c r="G102" i="7"/>
  <c r="I7" i="51"/>
  <c r="J7" i="51" s="1"/>
  <c r="N276" i="25"/>
  <c r="N247" i="25"/>
  <c r="CO51" i="7"/>
  <c r="L335" i="25"/>
  <c r="H385" i="56" s="1" a="1"/>
  <c r="H385" i="56" s="1"/>
  <c r="G385" i="56" a="1"/>
  <c r="G385" i="56" s="1"/>
  <c r="CH62" i="7"/>
  <c r="G53" i="7"/>
  <c r="EO53" i="7" s="1"/>
  <c r="P44" i="21"/>
  <c r="G59" i="56" a="1"/>
  <c r="G59" i="56" s="1"/>
  <c r="Q43" i="21"/>
  <c r="I26" i="51" s="1"/>
  <c r="J26" i="51" s="1"/>
  <c r="Q37" i="22"/>
  <c r="AA21" i="25" s="1"/>
  <c r="CO131" i="7"/>
  <c r="CN51" i="7"/>
  <c r="CO135" i="7"/>
  <c r="G135" i="7"/>
  <c r="EO135" i="7" s="1"/>
  <c r="G61" i="52" s="1"/>
  <c r="H61" i="52" s="1"/>
  <c r="CM135" i="7"/>
  <c r="CN135" i="7"/>
  <c r="K102" i="25"/>
  <c r="M102" i="25" s="1"/>
  <c r="H121" i="7" s="1"/>
  <c r="EP121" i="7" s="1"/>
  <c r="G320" i="56" a="1"/>
  <c r="G320" i="56" s="1"/>
  <c r="G184" i="56" a="1"/>
  <c r="G184" i="56" s="1"/>
  <c r="M29" i="23"/>
  <c r="R29" i="23"/>
  <c r="S29" i="23" s="1"/>
  <c r="L29" i="23"/>
  <c r="H135" i="7" s="1"/>
  <c r="EP135" i="7" s="1"/>
  <c r="G78" i="52" s="1"/>
  <c r="H78" i="52" s="1"/>
  <c r="K276" i="25"/>
  <c r="M276" i="25" s="1"/>
  <c r="G368" i="56" a="1"/>
  <c r="G368" i="56" s="1"/>
  <c r="G62" i="51"/>
  <c r="G98" i="56" a="1"/>
  <c r="G98" i="56" s="1"/>
  <c r="G96" i="56" a="1"/>
  <c r="G96" i="56" s="1"/>
  <c r="G97" i="56" a="1"/>
  <c r="G97" i="56" s="1"/>
  <c r="CO148" i="7"/>
  <c r="CM148" i="7"/>
  <c r="CN148" i="7"/>
  <c r="G137" i="7"/>
  <c r="G200" i="56" a="1"/>
  <c r="G200" i="56" s="1"/>
  <c r="M57" i="23"/>
  <c r="R57" i="23"/>
  <c r="S57" i="23" s="1"/>
  <c r="T57" i="23" s="1"/>
  <c r="L57" i="23"/>
  <c r="H137" i="7" s="1"/>
  <c r="EP137" i="7" s="1"/>
  <c r="G76" i="52" s="1"/>
  <c r="H76" i="52" s="1"/>
  <c r="G248" i="56" a="1"/>
  <c r="G248" i="56" s="1"/>
  <c r="M141" i="23"/>
  <c r="L141" i="23"/>
  <c r="H143" i="7" s="1"/>
  <c r="EP143" i="7" s="1"/>
  <c r="R141" i="23"/>
  <c r="S141" i="23" s="1"/>
  <c r="T141" i="23" s="1"/>
  <c r="K73" i="25"/>
  <c r="H49" i="7" s="1"/>
  <c r="EP49" i="7" s="1"/>
  <c r="G312" i="56" a="1"/>
  <c r="G312" i="56" s="1"/>
  <c r="CN131" i="7"/>
  <c r="CN54" i="7"/>
  <c r="K160" i="25"/>
  <c r="M160" i="25" s="1"/>
  <c r="H123" i="7" s="1"/>
  <c r="EP123" i="7" s="1"/>
  <c r="G336" i="56" a="1"/>
  <c r="G336" i="56" s="1"/>
  <c r="G129" i="7"/>
  <c r="EO129" i="7" s="1"/>
  <c r="CM131" i="7"/>
  <c r="CO54" i="7"/>
  <c r="D97" i="56" a="1"/>
  <c r="D97" i="56" s="1"/>
  <c r="D96" i="56" a="1"/>
  <c r="D96" i="56" s="1"/>
  <c r="D98" i="56" a="1"/>
  <c r="D98" i="56" s="1"/>
  <c r="CO129" i="7"/>
  <c r="G144" i="7"/>
  <c r="K189" i="25"/>
  <c r="M189" i="25" s="1"/>
  <c r="G344" i="56" a="1"/>
  <c r="G344" i="56" s="1"/>
  <c r="G54" i="7"/>
  <c r="EO54" i="7" s="1"/>
  <c r="I99" i="21"/>
  <c r="D62" i="51" s="1"/>
  <c r="G94" i="56" a="1"/>
  <c r="G94" i="56" s="1"/>
  <c r="CN129" i="7"/>
  <c r="CM118" i="7"/>
  <c r="CM54" i="7"/>
  <c r="CN59" i="7"/>
  <c r="CM50" i="7"/>
  <c r="G56" i="7"/>
  <c r="EO56" i="7" s="1"/>
  <c r="CO118" i="7"/>
  <c r="CO50" i="7"/>
  <c r="G256" i="56" a="1"/>
  <c r="G256" i="56" s="1"/>
  <c r="R155" i="23"/>
  <c r="S155" i="23" s="1"/>
  <c r="M155" i="23"/>
  <c r="L155" i="23"/>
  <c r="H144" i="7" s="1"/>
  <c r="EP144" i="7" s="1"/>
  <c r="G224" i="56" a="1"/>
  <c r="G224" i="56" s="1"/>
  <c r="L99" i="23"/>
  <c r="H140" i="7" s="1"/>
  <c r="EP140" i="7" s="1"/>
  <c r="M99" i="23"/>
  <c r="R99" i="23"/>
  <c r="S99" i="23" s="1"/>
  <c r="G280" i="56" a="1"/>
  <c r="G280" i="56" s="1"/>
  <c r="M197" i="23"/>
  <c r="R197" i="23"/>
  <c r="S197" i="23" s="1"/>
  <c r="L197" i="23"/>
  <c r="G52" i="7"/>
  <c r="EO52" i="7" s="1"/>
  <c r="K334" i="25"/>
  <c r="M334" i="25" s="1"/>
  <c r="G384" i="56" a="1"/>
  <c r="G384" i="56" s="1"/>
  <c r="K421" i="25"/>
  <c r="M421" i="25" s="1"/>
  <c r="G408" i="56" a="1"/>
  <c r="G408" i="56" s="1"/>
  <c r="K15" i="25"/>
  <c r="M15" i="25" s="1"/>
  <c r="G296" i="56" a="1"/>
  <c r="G296" i="56" s="1"/>
  <c r="G118" i="7"/>
  <c r="EO118" i="7" s="1"/>
  <c r="I98" i="21"/>
  <c r="D61" i="51" s="1"/>
  <c r="F94" i="56" a="1"/>
  <c r="F94" i="56" s="1"/>
  <c r="G232" i="56" a="1"/>
  <c r="G232" i="56" s="1"/>
  <c r="M113" i="23"/>
  <c r="R113" i="23"/>
  <c r="S113" i="23" s="1"/>
  <c r="T113" i="23" s="1"/>
  <c r="L113" i="23"/>
  <c r="H141" i="7" s="1"/>
  <c r="G57" i="7"/>
  <c r="EO57" i="7" s="1"/>
  <c r="G47" i="7"/>
  <c r="EO47" i="7" s="1"/>
  <c r="K131" i="25"/>
  <c r="H51" i="7" s="1"/>
  <c r="EP51" i="7" s="1"/>
  <c r="G328" i="56" a="1"/>
  <c r="G328" i="56" s="1"/>
  <c r="CM47" i="7"/>
  <c r="K363" i="25"/>
  <c r="M363" i="25" s="1"/>
  <c r="G392" i="56" a="1"/>
  <c r="G392" i="56" s="1"/>
  <c r="CO58" i="7"/>
  <c r="G58" i="51"/>
  <c r="C97" i="56" a="1"/>
  <c r="C97" i="56" s="1"/>
  <c r="C96" i="56" a="1"/>
  <c r="C96" i="56" s="1"/>
  <c r="C98" i="56" a="1"/>
  <c r="C98" i="56" s="1"/>
  <c r="G130" i="7"/>
  <c r="EO130" i="7" s="1"/>
  <c r="CO49" i="7"/>
  <c r="F62" i="7"/>
  <c r="CN52" i="7"/>
  <c r="CO52" i="7"/>
  <c r="G63" i="51"/>
  <c r="H98" i="56" a="1"/>
  <c r="H98" i="56" s="1"/>
  <c r="H96" i="56" a="1"/>
  <c r="H96" i="56" s="1"/>
  <c r="H97" i="56" a="1"/>
  <c r="H97" i="56" s="1"/>
  <c r="CN125" i="7"/>
  <c r="I97" i="21"/>
  <c r="D60" i="51" s="1"/>
  <c r="E94" i="56" a="1"/>
  <c r="E94" i="56" s="1"/>
  <c r="I95" i="21"/>
  <c r="D58" i="51" s="1"/>
  <c r="C94" i="56" a="1"/>
  <c r="C94" i="56" s="1"/>
  <c r="G240" i="56" a="1"/>
  <c r="G240" i="56" s="1"/>
  <c r="R127" i="23"/>
  <c r="S127" i="23" s="1"/>
  <c r="M127" i="23"/>
  <c r="L127" i="23"/>
  <c r="CO47" i="7"/>
  <c r="CM130" i="7"/>
  <c r="CN49" i="7"/>
  <c r="G55" i="7"/>
  <c r="EO55" i="7" s="1"/>
  <c r="CN60" i="7"/>
  <c r="CN47" i="7"/>
  <c r="K305" i="25"/>
  <c r="M305" i="25" s="1"/>
  <c r="G376" i="56" a="1"/>
  <c r="G376" i="56" s="1"/>
  <c r="K218" i="25"/>
  <c r="M218" i="25" s="1"/>
  <c r="G352" i="56" a="1"/>
  <c r="G352" i="56" s="1"/>
  <c r="CM58" i="7"/>
  <c r="CO130" i="7"/>
  <c r="G49" i="7"/>
  <c r="G288" i="56" a="1"/>
  <c r="G288" i="56" s="1"/>
  <c r="M211" i="23"/>
  <c r="L211" i="23"/>
  <c r="R211" i="23"/>
  <c r="S211" i="23" s="1"/>
  <c r="G192" i="56" a="1"/>
  <c r="G192" i="56" s="1"/>
  <c r="M43" i="23"/>
  <c r="L43" i="23"/>
  <c r="R43" i="23"/>
  <c r="S43" i="23" s="1"/>
  <c r="CM52" i="7"/>
  <c r="G60" i="51"/>
  <c r="E96" i="56" a="1"/>
  <c r="E96" i="56" s="1"/>
  <c r="E98" i="56" a="1"/>
  <c r="E98" i="56" s="1"/>
  <c r="E97" i="56" a="1"/>
  <c r="E97" i="56" s="1"/>
  <c r="K392" i="25"/>
  <c r="M392" i="25" s="1"/>
  <c r="G400" i="56" a="1"/>
  <c r="G400" i="56" s="1"/>
  <c r="K247" i="25"/>
  <c r="M247" i="25" s="1"/>
  <c r="G360" i="56" a="1"/>
  <c r="G360" i="56" s="1"/>
  <c r="G272" i="56" a="1"/>
  <c r="G272" i="56" s="1"/>
  <c r="M183" i="23"/>
  <c r="L183" i="23"/>
  <c r="H146" i="7" s="1"/>
  <c r="EP146" i="7" s="1"/>
  <c r="R183" i="23"/>
  <c r="S183" i="23" s="1"/>
  <c r="CN57" i="7"/>
  <c r="G264" i="56" a="1"/>
  <c r="G264" i="56" s="1"/>
  <c r="L169" i="23"/>
  <c r="R169" i="23"/>
  <c r="S169" i="23" s="1"/>
  <c r="M169" i="23"/>
  <c r="CO125" i="7"/>
  <c r="CM125" i="7"/>
  <c r="CO57" i="7"/>
  <c r="CM57" i="7"/>
  <c r="CN58" i="7"/>
  <c r="CN55" i="7"/>
  <c r="CO60" i="7"/>
  <c r="K44" i="25"/>
  <c r="H48" i="7" s="1"/>
  <c r="EP48" i="7" s="1"/>
  <c r="G304" i="56" a="1"/>
  <c r="G304" i="56" s="1"/>
  <c r="G58" i="7"/>
  <c r="EO58" i="7" s="1"/>
  <c r="F96" i="56" a="1"/>
  <c r="F96" i="56" s="1"/>
  <c r="F98" i="56" a="1"/>
  <c r="F98" i="56" s="1"/>
  <c r="F97" i="56" a="1"/>
  <c r="F97" i="56" s="1"/>
  <c r="CM49" i="7"/>
  <c r="G208" i="56" a="1"/>
  <c r="G208" i="56" s="1"/>
  <c r="L71" i="23"/>
  <c r="M71" i="23"/>
  <c r="R71" i="23"/>
  <c r="S71" i="23" s="1"/>
  <c r="CM136" i="7"/>
  <c r="G136" i="7"/>
  <c r="EO136" i="7" s="1"/>
  <c r="CN136" i="7"/>
  <c r="CO136" i="7"/>
  <c r="G216" i="56" a="1"/>
  <c r="G216" i="56" s="1"/>
  <c r="R85" i="23"/>
  <c r="S85" i="23" s="1"/>
  <c r="T85" i="23" s="1"/>
  <c r="L85" i="23"/>
  <c r="M85" i="23"/>
  <c r="F342" i="25"/>
  <c r="F343" i="25" s="1"/>
  <c r="F197" i="25"/>
  <c r="F198" i="25" s="1"/>
  <c r="F110" i="25"/>
  <c r="F111" i="25" s="1"/>
  <c r="F226" i="25"/>
  <c r="F227" i="25" s="1"/>
  <c r="F81" i="25"/>
  <c r="F82" i="25" s="1"/>
  <c r="F429" i="25"/>
  <c r="F430" i="25" s="1"/>
  <c r="F255" i="25"/>
  <c r="F256" i="25" s="1"/>
  <c r="F168" i="25"/>
  <c r="F169" i="25" s="1"/>
  <c r="F371" i="25"/>
  <c r="F372" i="25" s="1"/>
  <c r="S35" i="22"/>
  <c r="AC19" i="25" s="1"/>
  <c r="F139" i="25"/>
  <c r="F140" i="25" s="1"/>
  <c r="F400" i="25"/>
  <c r="F401" i="25" s="1"/>
  <c r="EL32" i="7"/>
  <c r="ER32" i="7" s="1"/>
  <c r="HG32" i="7" s="1"/>
  <c r="CF149" i="7"/>
  <c r="CF154" i="7" s="1"/>
  <c r="R14" i="23"/>
  <c r="S14" i="23" s="1"/>
  <c r="T14" i="23" s="1"/>
  <c r="M14" i="23"/>
  <c r="L14" i="23"/>
  <c r="R16" i="23" s="1"/>
  <c r="S16" i="23" s="1"/>
  <c r="T16" i="23" s="1"/>
  <c r="CD149" i="7"/>
  <c r="CD154" i="7" s="1"/>
  <c r="E149" i="7"/>
  <c r="E154" i="7" s="1"/>
  <c r="CC149" i="7"/>
  <c r="CC154" i="7" s="1"/>
  <c r="CE149" i="7"/>
  <c r="CE154" i="7" s="1"/>
  <c r="G8" i="52"/>
  <c r="H8" i="52" s="1"/>
  <c r="G56" i="52"/>
  <c r="H56" i="52" s="1"/>
  <c r="T137" i="23"/>
  <c r="CL88" i="7"/>
  <c r="CI88" i="7"/>
  <c r="CH88" i="7"/>
  <c r="CK88" i="7"/>
  <c r="CJ88" i="7"/>
  <c r="F88" i="7"/>
  <c r="EN88" i="7" s="1"/>
  <c r="D88" i="7"/>
  <c r="EL88" i="7" s="1"/>
  <c r="D88" i="45"/>
  <c r="E88" i="45" s="1"/>
  <c r="I88" i="45"/>
  <c r="J88" i="45" s="1"/>
  <c r="EM134" i="7"/>
  <c r="G29" i="52" s="1"/>
  <c r="H29" i="52" s="1"/>
  <c r="EL138" i="7"/>
  <c r="AA31" i="21"/>
  <c r="AB31" i="21"/>
  <c r="F32" i="45"/>
  <c r="S31" i="21"/>
  <c r="V44" i="26"/>
  <c r="BC10" i="26"/>
  <c r="D149" i="7"/>
  <c r="D154" i="7" s="1"/>
  <c r="I149" i="45"/>
  <c r="I154" i="45" s="1"/>
  <c r="EL142" i="7"/>
  <c r="J149" i="45"/>
  <c r="J154" i="45" s="1"/>
  <c r="AD156" i="7"/>
  <c r="AD290" i="7" s="1"/>
  <c r="AK30" i="26"/>
  <c r="AM30" i="26" s="1"/>
  <c r="AQ84" i="7"/>
  <c r="FF295" i="7"/>
  <c r="N100" i="21"/>
  <c r="EN135" i="7"/>
  <c r="N95" i="21"/>
  <c r="FE297" i="7"/>
  <c r="AG73" i="26"/>
  <c r="AK73" i="26" s="1"/>
  <c r="AM73" i="26" s="1"/>
  <c r="AA107" i="26"/>
  <c r="FE292" i="7"/>
  <c r="FE293" i="7" s="1"/>
  <c r="FE298" i="7" s="1"/>
  <c r="P107" i="26"/>
  <c r="BE25" i="26" s="1"/>
  <c r="AF107" i="26"/>
  <c r="AL107" i="26" s="1"/>
  <c r="FF297" i="7"/>
  <c r="FF299" i="7" s="1"/>
  <c r="AS26" i="26"/>
  <c r="V297" i="7"/>
  <c r="AG87" i="26"/>
  <c r="AK87" i="26" s="1"/>
  <c r="AM87" i="26" s="1"/>
  <c r="FZ146" i="7"/>
  <c r="AF102" i="26"/>
  <c r="AL102" i="26" s="1"/>
  <c r="P18" i="26"/>
  <c r="O68" i="35" s="1"/>
  <c r="AA102" i="26"/>
  <c r="P103" i="26"/>
  <c r="BE21" i="26" s="1"/>
  <c r="EL147" i="7"/>
  <c r="BA26" i="26"/>
  <c r="BC12" i="26"/>
  <c r="P102" i="26"/>
  <c r="BE20" i="26" s="1"/>
  <c r="BS98" i="7"/>
  <c r="K31" i="7"/>
  <c r="N98" i="21"/>
  <c r="AP84" i="7"/>
  <c r="AE156" i="7"/>
  <c r="AE290" i="7" s="1"/>
  <c r="AE292" i="7" s="1"/>
  <c r="AE293" i="7" s="1"/>
  <c r="AE298" i="7" s="1"/>
  <c r="P78" i="26"/>
  <c r="O72" i="35" s="1"/>
  <c r="N99" i="21"/>
  <c r="FN84" i="7"/>
  <c r="BV88" i="7"/>
  <c r="P106" i="26"/>
  <c r="BE24" i="26" s="1"/>
  <c r="HD26" i="7"/>
  <c r="BA15" i="26"/>
  <c r="AN84" i="7"/>
  <c r="AH156" i="7"/>
  <c r="AH290" i="7" s="1"/>
  <c r="AH297" i="7" s="1"/>
  <c r="Q140" i="36"/>
  <c r="T140" i="36" s="1"/>
  <c r="CN119" i="7"/>
  <c r="G119" i="7"/>
  <c r="EO119" i="7" s="1"/>
  <c r="ER87" i="7"/>
  <c r="AA106" i="26"/>
  <c r="AA103" i="26"/>
  <c r="AB156" i="7"/>
  <c r="AB290" i="7" s="1"/>
  <c r="FZ92" i="7"/>
  <c r="FG297" i="7"/>
  <c r="FG299" i="7" s="1"/>
  <c r="FG295" i="7"/>
  <c r="BW145" i="7"/>
  <c r="E149" i="45"/>
  <c r="E154" i="45" s="1"/>
  <c r="BC11" i="26"/>
  <c r="AF103" i="26"/>
  <c r="AL103" i="26" s="1"/>
  <c r="AU84" i="7"/>
  <c r="GC84" i="7"/>
  <c r="CM119" i="7"/>
  <c r="BV21" i="7"/>
  <c r="BV67" i="7"/>
  <c r="Q61" i="36"/>
  <c r="T61" i="36" s="1"/>
  <c r="Q181" i="36"/>
  <c r="T181" i="36" s="1"/>
  <c r="S182" i="36" s="1"/>
  <c r="S183" i="36" s="1"/>
  <c r="BR26" i="26"/>
  <c r="BV90" i="7"/>
  <c r="AF106" i="26"/>
  <c r="AL106" i="26" s="1"/>
  <c r="EN62" i="7"/>
  <c r="F40" i="52" s="1"/>
  <c r="X292" i="7"/>
  <c r="X293" i="7" s="1"/>
  <c r="X298" i="7" s="1"/>
  <c r="X299" i="7" s="1"/>
  <c r="P104" i="26"/>
  <c r="BE22" i="26" s="1"/>
  <c r="BT65" i="7"/>
  <c r="N104" i="26"/>
  <c r="AB104" i="26" s="1"/>
  <c r="BS139" i="7"/>
  <c r="AG58" i="26"/>
  <c r="AK58" i="26" s="1"/>
  <c r="AM58" i="26" s="1"/>
  <c r="AA104" i="26"/>
  <c r="BU90" i="7"/>
  <c r="HD73" i="7"/>
  <c r="BT145" i="7"/>
  <c r="FH297" i="7"/>
  <c r="FH299" i="7" s="1"/>
  <c r="FP155" i="7"/>
  <c r="F119" i="26"/>
  <c r="P119" i="26" s="1"/>
  <c r="GL100" i="7"/>
  <c r="HB100" i="7" s="1"/>
  <c r="BT100" i="7"/>
  <c r="S27" i="44" s="1"/>
  <c r="BV148" i="7"/>
  <c r="GK68" i="7"/>
  <c r="HA68" i="7" s="1"/>
  <c r="BS68" i="7"/>
  <c r="GM77" i="7"/>
  <c r="HC77" i="7" s="1"/>
  <c r="BU77" i="7"/>
  <c r="I117" i="25"/>
  <c r="B112" i="26"/>
  <c r="G117" i="26" s="1"/>
  <c r="I110" i="26"/>
  <c r="D112" i="26"/>
  <c r="H117" i="26" s="1"/>
  <c r="C94" i="7"/>
  <c r="EK94" i="7" s="1"/>
  <c r="A145" i="36"/>
  <c r="C109" i="45"/>
  <c r="C21" i="7"/>
  <c r="EK21" i="7" s="1"/>
  <c r="C109" i="7"/>
  <c r="EK109" i="7" s="1"/>
  <c r="C21" i="45"/>
  <c r="A48" i="41"/>
  <c r="C36" i="7"/>
  <c r="EK36" i="7" s="1"/>
  <c r="A48" i="40"/>
  <c r="C94" i="45"/>
  <c r="C36" i="45"/>
  <c r="CI121" i="7"/>
  <c r="CJ121" i="7"/>
  <c r="CH121" i="7"/>
  <c r="CL121" i="7"/>
  <c r="CK121" i="7"/>
  <c r="F121" i="7"/>
  <c r="EN121" i="7" s="1"/>
  <c r="G110" i="21"/>
  <c r="G112" i="21"/>
  <c r="G113" i="21"/>
  <c r="G111" i="21"/>
  <c r="W109" i="21"/>
  <c r="G109" i="21"/>
  <c r="W114" i="21"/>
  <c r="W111" i="21"/>
  <c r="G114" i="21"/>
  <c r="W112" i="21"/>
  <c r="W110" i="21"/>
  <c r="X109" i="21"/>
  <c r="W113" i="21"/>
  <c r="X110" i="21"/>
  <c r="X114" i="21"/>
  <c r="X112" i="21"/>
  <c r="X113" i="21"/>
  <c r="X111" i="21"/>
  <c r="X115" i="21"/>
  <c r="J116" i="21" s="1"/>
  <c r="BC26" i="26"/>
  <c r="EM88" i="7"/>
  <c r="P21" i="36"/>
  <c r="Q21" i="36" s="1"/>
  <c r="Q20" i="36"/>
  <c r="P201" i="36"/>
  <c r="Q201" i="36" s="1"/>
  <c r="Q200" i="36"/>
  <c r="T200" i="36" s="1"/>
  <c r="X16" i="36"/>
  <c r="T41" i="36"/>
  <c r="J32" i="7"/>
  <c r="CN91" i="7"/>
  <c r="G91" i="7"/>
  <c r="EO91" i="7" s="1"/>
  <c r="CM91" i="7"/>
  <c r="CO91" i="7"/>
  <c r="I103" i="25"/>
  <c r="J103" i="25"/>
  <c r="G32" i="26"/>
  <c r="U31" i="26"/>
  <c r="AJ31" i="26"/>
  <c r="CO121" i="7"/>
  <c r="CN121" i="7"/>
  <c r="CM121" i="7"/>
  <c r="G121" i="7"/>
  <c r="EO121" i="7" s="1"/>
  <c r="H46" i="26"/>
  <c r="K45" i="26"/>
  <c r="AG45" i="26" s="1"/>
  <c r="ER153" i="7"/>
  <c r="HG153" i="7" s="1"/>
  <c r="HG150" i="7"/>
  <c r="EL126" i="7"/>
  <c r="I393" i="25"/>
  <c r="J393" i="25"/>
  <c r="J132" i="45"/>
  <c r="I133" i="45"/>
  <c r="J133" i="45" s="1"/>
  <c r="G7" i="52"/>
  <c r="H7" i="52" s="1"/>
  <c r="ES153" i="7"/>
  <c r="Y100" i="21"/>
  <c r="O100" i="21"/>
  <c r="EL132" i="7"/>
  <c r="GO19" i="7"/>
  <c r="HE19" i="7" s="1"/>
  <c r="BW19" i="7"/>
  <c r="AB91" i="26"/>
  <c r="BC13" i="26"/>
  <c r="J335" i="25"/>
  <c r="I335" i="25"/>
  <c r="CG89" i="7"/>
  <c r="CE89" i="7"/>
  <c r="CF89" i="7"/>
  <c r="CD89" i="7"/>
  <c r="CC89" i="7"/>
  <c r="E89" i="7"/>
  <c r="EM89" i="7" s="1"/>
  <c r="M100" i="21"/>
  <c r="W117" i="26"/>
  <c r="AH117" i="26"/>
  <c r="I118" i="26"/>
  <c r="M96" i="21"/>
  <c r="F122" i="26"/>
  <c r="P122" i="26" s="1"/>
  <c r="I364" i="25"/>
  <c r="J364" i="25"/>
  <c r="Y99" i="21"/>
  <c r="O99" i="21"/>
  <c r="H20" i="7" s="1"/>
  <c r="E95" i="21"/>
  <c r="F95" i="21"/>
  <c r="C101" i="21"/>
  <c r="G46" i="26"/>
  <c r="U45" i="26"/>
  <c r="AJ45" i="26"/>
  <c r="P161" i="36"/>
  <c r="Q161" i="36" s="1"/>
  <c r="Q160" i="36"/>
  <c r="T160" i="36" s="1"/>
  <c r="S68" i="21"/>
  <c r="Z68" i="21"/>
  <c r="AA68" i="21" s="1"/>
  <c r="AB68" i="21" s="1"/>
  <c r="U68" i="21"/>
  <c r="EO17" i="7"/>
  <c r="CG104" i="7"/>
  <c r="E104" i="7"/>
  <c r="EM104" i="7" s="1"/>
  <c r="CF104" i="7"/>
  <c r="I23" i="51"/>
  <c r="J23" i="51" s="1"/>
  <c r="CB122" i="7"/>
  <c r="D122" i="45"/>
  <c r="E122" i="45" s="1"/>
  <c r="D122" i="7"/>
  <c r="CL119" i="7"/>
  <c r="CH119" i="7"/>
  <c r="CJ119" i="7"/>
  <c r="F119" i="7"/>
  <c r="EN119" i="7" s="1"/>
  <c r="CI119" i="7"/>
  <c r="CK119" i="7"/>
  <c r="B119" i="21"/>
  <c r="B118" i="21"/>
  <c r="F118" i="21"/>
  <c r="J121" i="21" s="1"/>
  <c r="F119" i="21"/>
  <c r="Q141" i="36"/>
  <c r="F121" i="26"/>
  <c r="I31" i="25"/>
  <c r="J16" i="25"/>
  <c r="I16" i="25"/>
  <c r="I261" i="25"/>
  <c r="I262" i="25" s="1"/>
  <c r="I263" i="25" s="1"/>
  <c r="S67" i="21"/>
  <c r="Z67" i="21"/>
  <c r="AA67" i="21" s="1"/>
  <c r="AB67" i="21" s="1"/>
  <c r="U67" i="21"/>
  <c r="N97" i="21"/>
  <c r="HB137" i="7"/>
  <c r="E17" i="45"/>
  <c r="F17" i="45" s="1"/>
  <c r="F118" i="26"/>
  <c r="I176" i="25"/>
  <c r="CG121" i="7"/>
  <c r="CF121" i="7"/>
  <c r="CE121" i="7"/>
  <c r="E121" i="7"/>
  <c r="EM121" i="7" s="1"/>
  <c r="CD121" i="7"/>
  <c r="CC121" i="7"/>
  <c r="G123" i="7"/>
  <c r="CM123" i="7"/>
  <c r="CO123" i="7"/>
  <c r="CN123" i="7"/>
  <c r="H75" i="26"/>
  <c r="K74" i="26"/>
  <c r="V74" i="26" s="1"/>
  <c r="EL127" i="7"/>
  <c r="Z71" i="21"/>
  <c r="AA71" i="21" s="1"/>
  <c r="AB71" i="21" s="1"/>
  <c r="S71" i="21"/>
  <c r="H91" i="7" s="1"/>
  <c r="U71" i="21"/>
  <c r="P63" i="26"/>
  <c r="O71" i="35" s="1"/>
  <c r="AB102" i="26"/>
  <c r="Q74" i="35"/>
  <c r="AH89" i="26"/>
  <c r="W89" i="26"/>
  <c r="I90" i="26"/>
  <c r="I24" i="51"/>
  <c r="J24" i="51" s="1"/>
  <c r="F104" i="7"/>
  <c r="EN104" i="7" s="1"/>
  <c r="CL104" i="7"/>
  <c r="CK104" i="7"/>
  <c r="CP83" i="7"/>
  <c r="BU23" i="7"/>
  <c r="CO89" i="7"/>
  <c r="CM89" i="7"/>
  <c r="G89" i="7"/>
  <c r="CN89" i="7"/>
  <c r="Y32" i="26"/>
  <c r="AL32" i="26"/>
  <c r="V21" i="36"/>
  <c r="J125" i="36"/>
  <c r="J294" i="7"/>
  <c r="EQ294" i="7"/>
  <c r="ER294" i="7" s="1"/>
  <c r="P81" i="36"/>
  <c r="Q81" i="36" s="1"/>
  <c r="Q80" i="36"/>
  <c r="T80" i="36" s="1"/>
  <c r="G61" i="51"/>
  <c r="E98" i="21"/>
  <c r="F98" i="21"/>
  <c r="Y77" i="26"/>
  <c r="AL77" i="26"/>
  <c r="AQ155" i="7"/>
  <c r="F117" i="26"/>
  <c r="EQ18" i="7"/>
  <c r="K31" i="26"/>
  <c r="AG31" i="26" s="1"/>
  <c r="H32" i="26"/>
  <c r="Y62" i="26"/>
  <c r="AL62" i="26"/>
  <c r="E99" i="21"/>
  <c r="F99" i="21"/>
  <c r="P33" i="26"/>
  <c r="O69" i="35" s="1"/>
  <c r="Q180" i="36"/>
  <c r="T180" i="36" s="1"/>
  <c r="FZ25" i="7"/>
  <c r="FL84" i="7"/>
  <c r="FZ101" i="7"/>
  <c r="W103" i="26"/>
  <c r="I104" i="26"/>
  <c r="AH103" i="26"/>
  <c r="CB121" i="7"/>
  <c r="D121" i="7"/>
  <c r="D121" i="45"/>
  <c r="E121" i="45" s="1"/>
  <c r="CP32" i="7"/>
  <c r="P48" i="26"/>
  <c r="O70" i="35" s="1"/>
  <c r="AW24" i="26"/>
  <c r="AW26" i="26" s="1"/>
  <c r="I96" i="21"/>
  <c r="D59" i="51" s="1"/>
  <c r="AU26" i="26"/>
  <c r="AF105" i="26"/>
  <c r="N105" i="26"/>
  <c r="AB105" i="26" s="1"/>
  <c r="AA105" i="26"/>
  <c r="P105" i="26"/>
  <c r="V30" i="26"/>
  <c r="CO122" i="7"/>
  <c r="CM122" i="7"/>
  <c r="G122" i="7"/>
  <c r="EO122" i="7" s="1"/>
  <c r="CN122" i="7"/>
  <c r="E119" i="7"/>
  <c r="EM119" i="7" s="1"/>
  <c r="CE119" i="7"/>
  <c r="CF119" i="7"/>
  <c r="CD119" i="7"/>
  <c r="CG119" i="7"/>
  <c r="CC119" i="7"/>
  <c r="HB145" i="7"/>
  <c r="T54" i="21"/>
  <c r="T68" i="21"/>
  <c r="I190" i="25"/>
  <c r="J190" i="25"/>
  <c r="CP102" i="7"/>
  <c r="BD26" i="26"/>
  <c r="BW140" i="7"/>
  <c r="FM155" i="7"/>
  <c r="AY26" i="26"/>
  <c r="M98" i="21"/>
  <c r="CC122" i="7"/>
  <c r="CF122" i="7"/>
  <c r="E122" i="7"/>
  <c r="EM122" i="7" s="1"/>
  <c r="CG122" i="7"/>
  <c r="CD122" i="7"/>
  <c r="CE122" i="7"/>
  <c r="BF23" i="26"/>
  <c r="BT23" i="26"/>
  <c r="BF13" i="26"/>
  <c r="BF20" i="26"/>
  <c r="BT22" i="26"/>
  <c r="BF22" i="26"/>
  <c r="BT20" i="26"/>
  <c r="BF25" i="26"/>
  <c r="BF10" i="26"/>
  <c r="BF21" i="26"/>
  <c r="BT21" i="26"/>
  <c r="BF24" i="26"/>
  <c r="BF14" i="26"/>
  <c r="BE9" i="26"/>
  <c r="BF9" i="26"/>
  <c r="BF11" i="26"/>
  <c r="BF12" i="26"/>
  <c r="BE10" i="26"/>
  <c r="BT24" i="26"/>
  <c r="BT25" i="26"/>
  <c r="BE13" i="26"/>
  <c r="BE14" i="26"/>
  <c r="BW136" i="7"/>
  <c r="EL118" i="7"/>
  <c r="Q100" i="36"/>
  <c r="T100" i="36" s="1"/>
  <c r="AH32" i="26"/>
  <c r="W32" i="26"/>
  <c r="I87" i="25"/>
  <c r="I88" i="25" s="1"/>
  <c r="M97" i="21"/>
  <c r="I89" i="45"/>
  <c r="J89" i="45" s="1"/>
  <c r="D89" i="7"/>
  <c r="D89" i="45"/>
  <c r="S45" i="21"/>
  <c r="EL131" i="7"/>
  <c r="I74" i="25"/>
  <c r="J74" i="25"/>
  <c r="F120" i="26"/>
  <c r="D133" i="26"/>
  <c r="F127" i="26"/>
  <c r="I132" i="26" s="1"/>
  <c r="D132" i="26"/>
  <c r="D137" i="26"/>
  <c r="D134" i="26"/>
  <c r="E136" i="26"/>
  <c r="D136" i="26"/>
  <c r="E137" i="26"/>
  <c r="E132" i="26"/>
  <c r="E133" i="26"/>
  <c r="D135" i="26"/>
  <c r="E135" i="26"/>
  <c r="B126" i="26"/>
  <c r="E134" i="26"/>
  <c r="EL17" i="7"/>
  <c r="J17" i="7"/>
  <c r="K102" i="26"/>
  <c r="V102" i="26" s="1"/>
  <c r="H103" i="26"/>
  <c r="P93" i="26"/>
  <c r="Q101" i="36"/>
  <c r="K16" i="7"/>
  <c r="EL18" i="7"/>
  <c r="I104" i="45"/>
  <c r="J104" i="45" s="1"/>
  <c r="D104" i="45"/>
  <c r="E104" i="45" s="1"/>
  <c r="D104" i="7"/>
  <c r="I22" i="51"/>
  <c r="J22" i="51" s="1"/>
  <c r="Q40" i="36"/>
  <c r="T40" i="36" s="1"/>
  <c r="F89" i="7"/>
  <c r="EN89" i="7" s="1"/>
  <c r="CK89" i="7"/>
  <c r="CH89" i="7"/>
  <c r="CI89" i="7"/>
  <c r="CL89" i="7"/>
  <c r="CJ89" i="7"/>
  <c r="EL129" i="7"/>
  <c r="T55" i="21"/>
  <c r="G101" i="21"/>
  <c r="G128" i="7"/>
  <c r="EO128" i="7" s="1"/>
  <c r="CM128" i="7"/>
  <c r="CN128" i="7"/>
  <c r="CO128" i="7"/>
  <c r="H60" i="26"/>
  <c r="K59" i="26"/>
  <c r="V59" i="26" s="1"/>
  <c r="F52" i="25"/>
  <c r="U59" i="26"/>
  <c r="AJ59" i="26"/>
  <c r="G60" i="26"/>
  <c r="Z72" i="21"/>
  <c r="AA72" i="21" s="1"/>
  <c r="S72" i="21"/>
  <c r="I91" i="7" s="1"/>
  <c r="EQ91" i="7" s="1"/>
  <c r="U72" i="21"/>
  <c r="G120" i="7"/>
  <c r="CM120" i="7"/>
  <c r="CN120" i="7"/>
  <c r="CO120" i="7"/>
  <c r="U102" i="26"/>
  <c r="AJ102" i="26"/>
  <c r="G103" i="26"/>
  <c r="Z70" i="21"/>
  <c r="AA70" i="21" s="1"/>
  <c r="AB70" i="21" s="1"/>
  <c r="U70" i="21"/>
  <c r="F6" i="52"/>
  <c r="W101" i="21"/>
  <c r="EL130" i="7"/>
  <c r="J45" i="25"/>
  <c r="I45" i="25"/>
  <c r="CP17" i="7"/>
  <c r="P121" i="36"/>
  <c r="Q121" i="36" s="1"/>
  <c r="Q120" i="36"/>
  <c r="T120" i="36" s="1"/>
  <c r="FZ99" i="7"/>
  <c r="Y47" i="26"/>
  <c r="AL47" i="26"/>
  <c r="BU28" i="7"/>
  <c r="Q60" i="36"/>
  <c r="T60" i="36" s="1"/>
  <c r="EL103" i="7"/>
  <c r="CB103" i="7"/>
  <c r="I58" i="25"/>
  <c r="I59" i="25" s="1"/>
  <c r="I60" i="25" s="1"/>
  <c r="BD15" i="26"/>
  <c r="BU27" i="7"/>
  <c r="J17" i="45"/>
  <c r="S69" i="21"/>
  <c r="Z69" i="21"/>
  <c r="AA69" i="21" s="1"/>
  <c r="AB69" i="21" s="1"/>
  <c r="U69" i="21"/>
  <c r="D120" i="45"/>
  <c r="E120" i="45" s="1"/>
  <c r="D120" i="7"/>
  <c r="CB120" i="7"/>
  <c r="I161" i="25"/>
  <c r="J161" i="25"/>
  <c r="E97" i="21"/>
  <c r="F97" i="21"/>
  <c r="AA45" i="21"/>
  <c r="AB44" i="21"/>
  <c r="AB45" i="21" s="1"/>
  <c r="I277" i="25"/>
  <c r="J277" i="25"/>
  <c r="G59" i="51"/>
  <c r="F96" i="21"/>
  <c r="E96" i="21"/>
  <c r="EL124" i="7"/>
  <c r="I61" i="26"/>
  <c r="AH60" i="26"/>
  <c r="W60" i="26"/>
  <c r="G104" i="7"/>
  <c r="EO104" i="7" s="1"/>
  <c r="I25" i="51"/>
  <c r="J25" i="51" s="1"/>
  <c r="N96" i="21"/>
  <c r="Q96" i="21" s="1"/>
  <c r="O96" i="21"/>
  <c r="Y96" i="21"/>
  <c r="EM17" i="7"/>
  <c r="T67" i="21"/>
  <c r="F284" i="25"/>
  <c r="AL92" i="26"/>
  <c r="T69" i="21"/>
  <c r="K88" i="26"/>
  <c r="AG88" i="26" s="1"/>
  <c r="H89" i="26"/>
  <c r="G371" i="25"/>
  <c r="G372" i="25" s="1"/>
  <c r="I205" i="25"/>
  <c r="Y98" i="21"/>
  <c r="O98" i="21"/>
  <c r="CH122" i="7"/>
  <c r="F122" i="7"/>
  <c r="EN122" i="7" s="1"/>
  <c r="CL122" i="7"/>
  <c r="CJ122" i="7"/>
  <c r="CI122" i="7"/>
  <c r="CK122" i="7"/>
  <c r="CC120" i="7"/>
  <c r="E120" i="7"/>
  <c r="EM120" i="7" s="1"/>
  <c r="CG120" i="7"/>
  <c r="CE120" i="7"/>
  <c r="CD120" i="7"/>
  <c r="CF120" i="7"/>
  <c r="F100" i="21"/>
  <c r="E100" i="21"/>
  <c r="HE136" i="7"/>
  <c r="AB87" i="26"/>
  <c r="N93" i="26"/>
  <c r="P73" i="35" s="1"/>
  <c r="Q73" i="35"/>
  <c r="BT92" i="7"/>
  <c r="I76" i="26"/>
  <c r="AH75" i="26"/>
  <c r="W75" i="26"/>
  <c r="D149" i="45"/>
  <c r="D154" i="45" s="1"/>
  <c r="F154" i="45" s="1"/>
  <c r="FI297" i="7"/>
  <c r="FI299" i="7" s="1"/>
  <c r="AY15" i="26"/>
  <c r="I319" i="25"/>
  <c r="I320" i="25" s="1"/>
  <c r="I321" i="25" s="1"/>
  <c r="J248" i="25"/>
  <c r="I248" i="25"/>
  <c r="EL128" i="7"/>
  <c r="B48" i="41"/>
  <c r="B145" i="36"/>
  <c r="K145" i="36" s="1"/>
  <c r="B48" i="40"/>
  <c r="D119" i="45"/>
  <c r="E119" i="45" s="1"/>
  <c r="CB119" i="7"/>
  <c r="D119" i="7"/>
  <c r="J306" i="25"/>
  <c r="I306" i="25"/>
  <c r="T53" i="21"/>
  <c r="M95" i="21"/>
  <c r="EL125" i="7"/>
  <c r="F19" i="7"/>
  <c r="CK19" i="7"/>
  <c r="CH19" i="7"/>
  <c r="CJ19" i="7"/>
  <c r="CI19" i="7"/>
  <c r="CL19" i="7"/>
  <c r="M99" i="21"/>
  <c r="AK44" i="26"/>
  <c r="AM44" i="26" s="1"/>
  <c r="GC155" i="7"/>
  <c r="J219" i="25"/>
  <c r="I219" i="25"/>
  <c r="I422" i="25"/>
  <c r="J422" i="25"/>
  <c r="I290" i="25"/>
  <c r="I291" i="25" s="1"/>
  <c r="I292" i="25" s="1"/>
  <c r="P17" i="35"/>
  <c r="O95" i="21"/>
  <c r="Y95" i="21"/>
  <c r="CK120" i="7"/>
  <c r="F120" i="7"/>
  <c r="EN120" i="7" s="1"/>
  <c r="CL120" i="7"/>
  <c r="CH120" i="7"/>
  <c r="CI120" i="7"/>
  <c r="CJ120" i="7"/>
  <c r="G75" i="26"/>
  <c r="U74" i="26"/>
  <c r="AJ74" i="26"/>
  <c r="E118" i="45"/>
  <c r="BV147" i="7"/>
  <c r="I147" i="25"/>
  <c r="FZ77" i="7"/>
  <c r="G89" i="26"/>
  <c r="AJ88" i="26"/>
  <c r="U88" i="26"/>
  <c r="AL91" i="26"/>
  <c r="I100" i="21"/>
  <c r="D63" i="51" s="1"/>
  <c r="Y97" i="21"/>
  <c r="O97" i="21"/>
  <c r="T82" i="21"/>
  <c r="W46" i="26"/>
  <c r="AH46" i="26"/>
  <c r="I47" i="26"/>
  <c r="C110" i="21"/>
  <c r="B67" i="51"/>
  <c r="C67" i="51"/>
  <c r="E70" i="51"/>
  <c r="B68" i="51"/>
  <c r="E67" i="51"/>
  <c r="F67" i="51"/>
  <c r="B69" i="51"/>
  <c r="C109" i="21"/>
  <c r="E68" i="51"/>
  <c r="E71" i="51"/>
  <c r="F69" i="51"/>
  <c r="L105" i="21"/>
  <c r="B70" i="51"/>
  <c r="F71" i="51"/>
  <c r="F68" i="51"/>
  <c r="B71" i="51"/>
  <c r="U107" i="21"/>
  <c r="F72" i="51"/>
  <c r="B72" i="51"/>
  <c r="E72" i="51"/>
  <c r="C113" i="21"/>
  <c r="C112" i="21"/>
  <c r="E69" i="51"/>
  <c r="C111" i="21"/>
  <c r="F70" i="51"/>
  <c r="O107" i="21"/>
  <c r="C114" i="21"/>
  <c r="K109" i="21"/>
  <c r="L109" i="21"/>
  <c r="L110" i="21"/>
  <c r="K110" i="21"/>
  <c r="D103" i="56" s="1" a="1"/>
  <c r="D103" i="56" s="1"/>
  <c r="C68" i="51"/>
  <c r="K111" i="21"/>
  <c r="L111" i="21"/>
  <c r="C69" i="51"/>
  <c r="C70" i="51"/>
  <c r="K112" i="21"/>
  <c r="L112" i="21"/>
  <c r="L113" i="21"/>
  <c r="K113" i="21"/>
  <c r="C71" i="51"/>
  <c r="K114" i="21"/>
  <c r="H103" i="56" s="1" a="1"/>
  <c r="H103" i="56" s="1"/>
  <c r="L114" i="21"/>
  <c r="C72" i="51"/>
  <c r="J132" i="25"/>
  <c r="I132" i="25"/>
  <c r="BC14" i="26"/>
  <c r="AL17" i="26"/>
  <c r="AM17" i="26" s="1"/>
  <c r="Y17" i="26"/>
  <c r="BU19" i="7"/>
  <c r="AT155" i="7"/>
  <c r="BV26" i="7"/>
  <c r="BT137" i="7"/>
  <c r="HD15" i="7"/>
  <c r="FV44" i="7"/>
  <c r="AJ155" i="7"/>
  <c r="BT20" i="7"/>
  <c r="BS73" i="7"/>
  <c r="BU16" i="7"/>
  <c r="BS27" i="7"/>
  <c r="HB20" i="7"/>
  <c r="FY117" i="7"/>
  <c r="BS90" i="7"/>
  <c r="GD155" i="7"/>
  <c r="BV140" i="7"/>
  <c r="BU74" i="7"/>
  <c r="BS91" i="7"/>
  <c r="BU92" i="7"/>
  <c r="BS94" i="7"/>
  <c r="BW72" i="7"/>
  <c r="BT88" i="7"/>
  <c r="FO155" i="7"/>
  <c r="HC74" i="7"/>
  <c r="BV141" i="7"/>
  <c r="AJ84" i="7"/>
  <c r="FZ144" i="7"/>
  <c r="BU141" i="7"/>
  <c r="BV97" i="7"/>
  <c r="BV28" i="7"/>
  <c r="BW101" i="7"/>
  <c r="BW64" i="7"/>
  <c r="FY44" i="7"/>
  <c r="BU20" i="7"/>
  <c r="HD97" i="7"/>
  <c r="BU69" i="7"/>
  <c r="HD28" i="7"/>
  <c r="BT99" i="7"/>
  <c r="BS65" i="7"/>
  <c r="BU15" i="7"/>
  <c r="BU140" i="7"/>
  <c r="FJ156" i="7"/>
  <c r="FJ290" i="7" s="1"/>
  <c r="BV20" i="7"/>
  <c r="BV18" i="7"/>
  <c r="BW15" i="7"/>
  <c r="BS145" i="7"/>
  <c r="BU96" i="7"/>
  <c r="AL84" i="7"/>
  <c r="FM84" i="7"/>
  <c r="BT77" i="7"/>
  <c r="BV69" i="7"/>
  <c r="BW88" i="7"/>
  <c r="FZ70" i="7"/>
  <c r="BT17" i="7"/>
  <c r="HE15" i="7"/>
  <c r="AI156" i="7"/>
  <c r="AI290" i="7" s="1"/>
  <c r="AI297" i="7" s="1"/>
  <c r="BW139" i="7"/>
  <c r="BT98" i="7"/>
  <c r="BS93" i="7"/>
  <c r="HD69" i="7"/>
  <c r="BT142" i="7"/>
  <c r="AM155" i="7"/>
  <c r="BV77" i="7"/>
  <c r="BT64" i="7"/>
  <c r="BT146" i="7"/>
  <c r="BS25" i="7"/>
  <c r="BT67" i="7"/>
  <c r="BW99" i="7"/>
  <c r="FU149" i="7"/>
  <c r="FU154" i="7" s="1"/>
  <c r="BW144" i="7"/>
  <c r="HB142" i="7"/>
  <c r="FU117" i="7"/>
  <c r="BW26" i="7"/>
  <c r="BU143" i="7"/>
  <c r="FQ84" i="7"/>
  <c r="BT95" i="7"/>
  <c r="BV145" i="7"/>
  <c r="BS146" i="7"/>
  <c r="FZ91" i="7"/>
  <c r="AM84" i="7"/>
  <c r="HE26" i="7"/>
  <c r="BS100" i="7"/>
  <c r="P27" i="44" s="1"/>
  <c r="BV15" i="7"/>
  <c r="BT69" i="7"/>
  <c r="BU98" i="7"/>
  <c r="HD145" i="7"/>
  <c r="FU44" i="7"/>
  <c r="BW18" i="7"/>
  <c r="BT148" i="7"/>
  <c r="BT28" i="7"/>
  <c r="BS101" i="7"/>
  <c r="FW78" i="7"/>
  <c r="FW83" i="7" s="1"/>
  <c r="FW84" i="7" s="1"/>
  <c r="HB69" i="7"/>
  <c r="BU67" i="7"/>
  <c r="BU148" i="7"/>
  <c r="BT143" i="7"/>
  <c r="BH68" i="7"/>
  <c r="GJ68" i="7"/>
  <c r="GZ68" i="7" s="1"/>
  <c r="GJ17" i="7"/>
  <c r="GZ17" i="7" s="1"/>
  <c r="BH17" i="7"/>
  <c r="BT96" i="7"/>
  <c r="AA290" i="7"/>
  <c r="FV149" i="7"/>
  <c r="FV154" i="7" s="1"/>
  <c r="GN89" i="7"/>
  <c r="HD89" i="7" s="1"/>
  <c r="BV89" i="7"/>
  <c r="BH93" i="7"/>
  <c r="GJ93" i="7"/>
  <c r="GZ93" i="7" s="1"/>
  <c r="BT97" i="7"/>
  <c r="GL14" i="7"/>
  <c r="BD44" i="7"/>
  <c r="BS137" i="7"/>
  <c r="BW89" i="7"/>
  <c r="HD70" i="7"/>
  <c r="BH19" i="7"/>
  <c r="GJ19" i="7"/>
  <c r="BS72" i="7"/>
  <c r="FZ138" i="7"/>
  <c r="BS147" i="7"/>
  <c r="GM21" i="7"/>
  <c r="HC21" i="7" s="1"/>
  <c r="BU21" i="7"/>
  <c r="BU147" i="7"/>
  <c r="FO84" i="7"/>
  <c r="FW117" i="7"/>
  <c r="BV72" i="7"/>
  <c r="FZ147" i="7"/>
  <c r="BU18" i="7"/>
  <c r="GJ75" i="7"/>
  <c r="GP75" i="7" s="1"/>
  <c r="BH75" i="7"/>
  <c r="BR75" i="7"/>
  <c r="GO28" i="7"/>
  <c r="HE28" i="7" s="1"/>
  <c r="BW28" i="7"/>
  <c r="GN134" i="7"/>
  <c r="BF149" i="7"/>
  <c r="BF154" i="7" s="1"/>
  <c r="BV154" i="7" s="1"/>
  <c r="GK17" i="7"/>
  <c r="HA17" i="7" s="1"/>
  <c r="BS17" i="7"/>
  <c r="GM137" i="7"/>
  <c r="HC137" i="7" s="1"/>
  <c r="BU137" i="7"/>
  <c r="GF84" i="7"/>
  <c r="FZ100" i="7"/>
  <c r="BV64" i="7"/>
  <c r="BW25" i="7"/>
  <c r="AY84" i="7"/>
  <c r="FD156" i="7"/>
  <c r="BS18" i="7"/>
  <c r="FX44" i="7"/>
  <c r="FW149" i="7"/>
  <c r="FW154" i="7" s="1"/>
  <c r="HB92" i="7"/>
  <c r="FR117" i="7"/>
  <c r="BV17" i="7"/>
  <c r="BU142" i="7"/>
  <c r="BW21" i="7"/>
  <c r="HA100" i="7"/>
  <c r="BT94" i="7"/>
  <c r="AO155" i="7"/>
  <c r="BR93" i="7"/>
  <c r="GN76" i="7"/>
  <c r="HD76" i="7" s="1"/>
  <c r="BV76" i="7"/>
  <c r="GJ22" i="7"/>
  <c r="BH22" i="7"/>
  <c r="EX292" i="7"/>
  <c r="EX297" i="7"/>
  <c r="FZ28" i="7"/>
  <c r="BT70" i="7"/>
  <c r="HD68" i="7"/>
  <c r="BU101" i="7"/>
  <c r="FZ69" i="7"/>
  <c r="HE73" i="7"/>
  <c r="BS148" i="7"/>
  <c r="GH63" i="7"/>
  <c r="GH78" i="7" s="1"/>
  <c r="GH83" i="7" s="1"/>
  <c r="GB78" i="7"/>
  <c r="GB83" i="7" s="1"/>
  <c r="FX117" i="7"/>
  <c r="BV22" i="7"/>
  <c r="BW77" i="7"/>
  <c r="BV101" i="7"/>
  <c r="BU94" i="7"/>
  <c r="BU73" i="7"/>
  <c r="HA27" i="7"/>
  <c r="HB99" i="7"/>
  <c r="GN24" i="7"/>
  <c r="HD24" i="7" s="1"/>
  <c r="BV24" i="7"/>
  <c r="GK15" i="7"/>
  <c r="HA15" i="7" s="1"/>
  <c r="BS15" i="7"/>
  <c r="AR149" i="7"/>
  <c r="AR154" i="7" s="1"/>
  <c r="BH92" i="7"/>
  <c r="GJ92" i="7"/>
  <c r="GZ92" i="7" s="1"/>
  <c r="BR92" i="7"/>
  <c r="BT21" i="7"/>
  <c r="GL91" i="7"/>
  <c r="HB91" i="7" s="1"/>
  <c r="BT91" i="7"/>
  <c r="BW70" i="7"/>
  <c r="BW147" i="7"/>
  <c r="AZ149" i="7"/>
  <c r="AZ154" i="7" s="1"/>
  <c r="BS20" i="7"/>
  <c r="AP155" i="7"/>
  <c r="HE77" i="7"/>
  <c r="HD101" i="7"/>
  <c r="W290" i="7"/>
  <c r="BV74" i="7"/>
  <c r="BW90" i="7"/>
  <c r="BU25" i="7"/>
  <c r="BS28" i="7"/>
  <c r="BR22" i="7"/>
  <c r="GK143" i="7"/>
  <c r="HA143" i="7" s="1"/>
  <c r="BS143" i="7"/>
  <c r="V293" i="7"/>
  <c r="GO20" i="7"/>
  <c r="HE20" i="7" s="1"/>
  <c r="BW20" i="7"/>
  <c r="BE44" i="7"/>
  <c r="GM14" i="7"/>
  <c r="HC14" i="7" s="1"/>
  <c r="GM71" i="7"/>
  <c r="HC71" i="7" s="1"/>
  <c r="BU71" i="7"/>
  <c r="FZ88" i="7"/>
  <c r="GO63" i="7"/>
  <c r="HE63" i="7" s="1"/>
  <c r="BG78" i="7"/>
  <c r="BG83" i="7" s="1"/>
  <c r="BW63" i="7"/>
  <c r="GL25" i="7"/>
  <c r="HB25" i="7" s="1"/>
  <c r="BT25" i="7"/>
  <c r="GH87" i="7"/>
  <c r="GH117" i="7" s="1"/>
  <c r="GB117" i="7"/>
  <c r="BU70" i="7"/>
  <c r="BV100" i="7"/>
  <c r="Y27" i="44" s="1"/>
  <c r="GJ89" i="7"/>
  <c r="BH89" i="7"/>
  <c r="GK134" i="7"/>
  <c r="BC149" i="7"/>
  <c r="BC154" i="7" s="1"/>
  <c r="BS154" i="7" s="1"/>
  <c r="BS134" i="7"/>
  <c r="GG155" i="7"/>
  <c r="BV70" i="7"/>
  <c r="BU139" i="7"/>
  <c r="HB21" i="7"/>
  <c r="AR44" i="7"/>
  <c r="BW67" i="7"/>
  <c r="GM100" i="7"/>
  <c r="HC100" i="7" s="1"/>
  <c r="BU100" i="7"/>
  <c r="V27" i="44" s="1"/>
  <c r="GM64" i="7"/>
  <c r="HC64" i="7" s="1"/>
  <c r="BU64" i="7"/>
  <c r="BT73" i="7"/>
  <c r="FT44" i="7"/>
  <c r="FZ14" i="7"/>
  <c r="GK26" i="7"/>
  <c r="HA26" i="7" s="1"/>
  <c r="BS26" i="7"/>
  <c r="FZ71" i="7"/>
  <c r="FX78" i="7"/>
  <c r="FX83" i="7" s="1"/>
  <c r="BU66" i="7"/>
  <c r="GM24" i="7"/>
  <c r="HC24" i="7" s="1"/>
  <c r="BU24" i="7"/>
  <c r="BH142" i="7"/>
  <c r="GJ142" i="7"/>
  <c r="GZ142" i="7" s="1"/>
  <c r="GJ148" i="7"/>
  <c r="BH148" i="7"/>
  <c r="BR148" i="7"/>
  <c r="GN92" i="7"/>
  <c r="HD92" i="7" s="1"/>
  <c r="BV92" i="7"/>
  <c r="BH27" i="7"/>
  <c r="GJ27" i="7"/>
  <c r="GJ72" i="7"/>
  <c r="BH72" i="7"/>
  <c r="BC44" i="7"/>
  <c r="GK14" i="7"/>
  <c r="HA14" i="7" s="1"/>
  <c r="BS14" i="7"/>
  <c r="GN93" i="7"/>
  <c r="HD93" i="7" s="1"/>
  <c r="BV93" i="7"/>
  <c r="BB78" i="7"/>
  <c r="BB83" i="7" s="1"/>
  <c r="GJ63" i="7"/>
  <c r="BH63" i="7"/>
  <c r="GJ66" i="7"/>
  <c r="BH66" i="7"/>
  <c r="BD117" i="7"/>
  <c r="GL87" i="7"/>
  <c r="HB87" i="7" s="1"/>
  <c r="HC66" i="7"/>
  <c r="BU72" i="7"/>
  <c r="BT18" i="7"/>
  <c r="HE70" i="7"/>
  <c r="GH134" i="7"/>
  <c r="GH149" i="7" s="1"/>
  <c r="GH154" i="7" s="1"/>
  <c r="GB149" i="7"/>
  <c r="GB154" i="7" s="1"/>
  <c r="AT84" i="7"/>
  <c r="BW91" i="7"/>
  <c r="BV142" i="7"/>
  <c r="BS92" i="7"/>
  <c r="AR117" i="7"/>
  <c r="BS136" i="7"/>
  <c r="BV16" i="7"/>
  <c r="AN155" i="7"/>
  <c r="FZ74" i="7"/>
  <c r="BV95" i="7"/>
  <c r="FZ27" i="7"/>
  <c r="BW94" i="7"/>
  <c r="BR89" i="7"/>
  <c r="GM63" i="7"/>
  <c r="BE78" i="7"/>
  <c r="BE83" i="7" s="1"/>
  <c r="GK24" i="7"/>
  <c r="HA24" i="7" s="1"/>
  <c r="BS24" i="7"/>
  <c r="GK76" i="7"/>
  <c r="HA76" i="7" s="1"/>
  <c r="BS76" i="7"/>
  <c r="FZ73" i="7"/>
  <c r="GN99" i="7"/>
  <c r="HD99" i="7" s="1"/>
  <c r="BV99" i="7"/>
  <c r="GO97" i="7"/>
  <c r="HE97" i="7" s="1"/>
  <c r="BW97" i="7"/>
  <c r="FZ20" i="7"/>
  <c r="GK135" i="7"/>
  <c r="HA135" i="7" s="1"/>
  <c r="BS135" i="7"/>
  <c r="HB97" i="7"/>
  <c r="BU22" i="7"/>
  <c r="BW100" i="7"/>
  <c r="AB27" i="44" s="1"/>
  <c r="GN27" i="7"/>
  <c r="HD27" i="7" s="1"/>
  <c r="BV27" i="7"/>
  <c r="AZ117" i="7"/>
  <c r="FZ96" i="7"/>
  <c r="GN139" i="7"/>
  <c r="HD139" i="7" s="1"/>
  <c r="BV139" i="7"/>
  <c r="HC89" i="7"/>
  <c r="BT23" i="7"/>
  <c r="FR149" i="7"/>
  <c r="FR154" i="7" s="1"/>
  <c r="BH18" i="7"/>
  <c r="GJ18" i="7"/>
  <c r="GP18" i="7" s="1"/>
  <c r="HB23" i="7"/>
  <c r="FZ75" i="7"/>
  <c r="GL26" i="7"/>
  <c r="HB26" i="7" s="1"/>
  <c r="BT26" i="7"/>
  <c r="HA75" i="7"/>
  <c r="GM87" i="7"/>
  <c r="BE117" i="7"/>
  <c r="GO93" i="7"/>
  <c r="HE93" i="7" s="1"/>
  <c r="BW93" i="7"/>
  <c r="FR44" i="7"/>
  <c r="GL135" i="7"/>
  <c r="HB135" i="7" s="1"/>
  <c r="BT135" i="7"/>
  <c r="GJ100" i="7"/>
  <c r="BH100" i="7"/>
  <c r="BR100" i="7"/>
  <c r="BF44" i="7"/>
  <c r="GN14" i="7"/>
  <c r="BV14" i="7"/>
  <c r="FZ136" i="7"/>
  <c r="BT89" i="7"/>
  <c r="HB89" i="7"/>
  <c r="GO23" i="7"/>
  <c r="HE23" i="7" s="1"/>
  <c r="BW23" i="7"/>
  <c r="BB44" i="7"/>
  <c r="BH14" i="7"/>
  <c r="GJ14" i="7"/>
  <c r="GZ14" i="7" s="1"/>
  <c r="GJ143" i="7"/>
  <c r="GZ143" i="7" s="1"/>
  <c r="BH143" i="7"/>
  <c r="GL139" i="7"/>
  <c r="HB139" i="7" s="1"/>
  <c r="BT139" i="7"/>
  <c r="GJ88" i="7"/>
  <c r="BH88" i="7"/>
  <c r="GN144" i="7"/>
  <c r="HD144" i="7" s="1"/>
  <c r="BV144" i="7"/>
  <c r="BU88" i="7"/>
  <c r="BU14" i="7"/>
  <c r="BV135" i="7"/>
  <c r="BS71" i="7"/>
  <c r="BS144" i="7"/>
  <c r="BT140" i="7"/>
  <c r="BW68" i="7"/>
  <c r="AZ44" i="7"/>
  <c r="HE91" i="7"/>
  <c r="BW135" i="7"/>
  <c r="BU145" i="7"/>
  <c r="FZ87" i="7"/>
  <c r="FT117" i="7"/>
  <c r="BW71" i="7"/>
  <c r="BW75" i="7"/>
  <c r="FV117" i="7"/>
  <c r="BS89" i="7"/>
  <c r="BW137" i="7"/>
  <c r="BR27" i="7"/>
  <c r="GL68" i="7"/>
  <c r="HB68" i="7" s="1"/>
  <c r="BT68" i="7"/>
  <c r="GM26" i="7"/>
  <c r="HC26" i="7" s="1"/>
  <c r="BU26" i="7"/>
  <c r="GL16" i="7"/>
  <c r="HB16" i="7" s="1"/>
  <c r="BT16" i="7"/>
  <c r="GM144" i="7"/>
  <c r="HC144" i="7" s="1"/>
  <c r="BU144" i="7"/>
  <c r="FA292" i="7"/>
  <c r="FA297" i="7"/>
  <c r="GJ65" i="7"/>
  <c r="BH65" i="7"/>
  <c r="BH64" i="7"/>
  <c r="GJ64" i="7"/>
  <c r="GZ64" i="7" s="1"/>
  <c r="BR64" i="7"/>
  <c r="GJ95" i="7"/>
  <c r="BH95" i="7"/>
  <c r="AW155" i="7"/>
  <c r="HB71" i="7"/>
  <c r="GJ20" i="7"/>
  <c r="BH20" i="7"/>
  <c r="BS64" i="7"/>
  <c r="BS74" i="7"/>
  <c r="GL134" i="7"/>
  <c r="HB134" i="7" s="1"/>
  <c r="BD149" i="7"/>
  <c r="BD154" i="7" s="1"/>
  <c r="BT154" i="7" s="1"/>
  <c r="BT134" i="7"/>
  <c r="BT19" i="7"/>
  <c r="BH97" i="7"/>
  <c r="GJ97" i="7"/>
  <c r="BV68" i="7"/>
  <c r="GG84" i="7"/>
  <c r="GJ74" i="7"/>
  <c r="GP74" i="7" s="1"/>
  <c r="BH74" i="7"/>
  <c r="GN91" i="7"/>
  <c r="HD91" i="7" s="1"/>
  <c r="BV91" i="7"/>
  <c r="BH16" i="7"/>
  <c r="GJ16" i="7"/>
  <c r="GZ16" i="7" s="1"/>
  <c r="GL63" i="7"/>
  <c r="HB63" i="7" s="1"/>
  <c r="BD78" i="7"/>
  <c r="BD83" i="7" s="1"/>
  <c r="BT63" i="7"/>
  <c r="GJ73" i="7"/>
  <c r="GP73" i="7" s="1"/>
  <c r="BH73" i="7"/>
  <c r="GJ67" i="7"/>
  <c r="GP67" i="7" s="1"/>
  <c r="BH67" i="7"/>
  <c r="BR67" i="7"/>
  <c r="BH69" i="7"/>
  <c r="GJ69" i="7"/>
  <c r="GP69" i="7" s="1"/>
  <c r="BH139" i="7"/>
  <c r="GJ139" i="7"/>
  <c r="BR139" i="7"/>
  <c r="GK70" i="7"/>
  <c r="HA70" i="7" s="1"/>
  <c r="BS70" i="7"/>
  <c r="GN94" i="7"/>
  <c r="HD94" i="7" s="1"/>
  <c r="BV94" i="7"/>
  <c r="FZ145" i="7"/>
  <c r="AO84" i="7"/>
  <c r="BW92" i="7"/>
  <c r="AR78" i="7"/>
  <c r="AR83" i="7" s="1"/>
  <c r="FU78" i="7"/>
  <c r="FU83" i="7" s="1"/>
  <c r="EY290" i="7"/>
  <c r="Z290" i="7"/>
  <c r="HA144" i="7"/>
  <c r="GH14" i="7"/>
  <c r="GH44" i="7" s="1"/>
  <c r="GB44" i="7"/>
  <c r="FZ23" i="7"/>
  <c r="BW146" i="7"/>
  <c r="AL155" i="7"/>
  <c r="BU99" i="7"/>
  <c r="BT15" i="7"/>
  <c r="HE137" i="7"/>
  <c r="GL141" i="7"/>
  <c r="HB141" i="7" s="1"/>
  <c r="BT141" i="7"/>
  <c r="GM17" i="7"/>
  <c r="HC17" i="7" s="1"/>
  <c r="BU17" i="7"/>
  <c r="GK140" i="7"/>
  <c r="HA140" i="7" s="1"/>
  <c r="BS140" i="7"/>
  <c r="GJ91" i="7"/>
  <c r="BH91" i="7"/>
  <c r="EZ290" i="7"/>
  <c r="GN98" i="7"/>
  <c r="HD98" i="7" s="1"/>
  <c r="BV98" i="7"/>
  <c r="AF156" i="7"/>
  <c r="BT71" i="7"/>
  <c r="GM135" i="7"/>
  <c r="HC135" i="7" s="1"/>
  <c r="BU135" i="7"/>
  <c r="GO87" i="7"/>
  <c r="HE87" i="7" s="1"/>
  <c r="BG117" i="7"/>
  <c r="BV146" i="7"/>
  <c r="AG156" i="7"/>
  <c r="GJ146" i="7"/>
  <c r="GP146" i="7" s="1"/>
  <c r="BH146" i="7"/>
  <c r="BR146" i="7"/>
  <c r="BU89" i="7"/>
  <c r="FZ142" i="7"/>
  <c r="BU146" i="7"/>
  <c r="GJ23" i="7"/>
  <c r="BH23" i="7"/>
  <c r="BH141" i="7"/>
  <c r="GJ141" i="7"/>
  <c r="GZ141" i="7" s="1"/>
  <c r="GL76" i="7"/>
  <c r="HB76" i="7" s="1"/>
  <c r="BT76" i="7"/>
  <c r="BV136" i="7"/>
  <c r="GK142" i="7"/>
  <c r="HA142" i="7" s="1"/>
  <c r="BS142" i="7"/>
  <c r="GJ76" i="7"/>
  <c r="BH76" i="7"/>
  <c r="AX84" i="7"/>
  <c r="FZ22" i="7"/>
  <c r="AZ78" i="7"/>
  <c r="AZ83" i="7" s="1"/>
  <c r="GM95" i="7"/>
  <c r="HC95" i="7" s="1"/>
  <c r="BU95" i="7"/>
  <c r="GO16" i="7"/>
  <c r="HE16" i="7" s="1"/>
  <c r="BW16" i="7"/>
  <c r="BH26" i="7"/>
  <c r="GJ26" i="7"/>
  <c r="GO17" i="7"/>
  <c r="HE17" i="7" s="1"/>
  <c r="BW17" i="7"/>
  <c r="BH87" i="7"/>
  <c r="BB117" i="7"/>
  <c r="GJ87" i="7"/>
  <c r="GJ90" i="7"/>
  <c r="GP90" i="7" s="1"/>
  <c r="BH90" i="7"/>
  <c r="GJ136" i="7"/>
  <c r="BH136" i="7"/>
  <c r="BT147" i="7"/>
  <c r="BU136" i="7"/>
  <c r="BW24" i="7"/>
  <c r="FZ21" i="7"/>
  <c r="BT144" i="7"/>
  <c r="BU97" i="7"/>
  <c r="BS19" i="7"/>
  <c r="BW69" i="7"/>
  <c r="HE146" i="7"/>
  <c r="BS66" i="7"/>
  <c r="BV75" i="7"/>
  <c r="HC99" i="7"/>
  <c r="BV66" i="7"/>
  <c r="BW76" i="7"/>
  <c r="EV292" i="7"/>
  <c r="EV297" i="7"/>
  <c r="FZ68" i="7"/>
  <c r="BG44" i="7"/>
  <c r="GO14" i="7"/>
  <c r="HE14" i="7" s="1"/>
  <c r="BW27" i="7"/>
  <c r="BW138" i="7"/>
  <c r="GL136" i="7"/>
  <c r="HB136" i="7" s="1"/>
  <c r="BT136" i="7"/>
  <c r="BS67" i="7"/>
  <c r="GO143" i="7"/>
  <c r="HE143" i="7" s="1"/>
  <c r="BW143" i="7"/>
  <c r="GL93" i="7"/>
  <c r="HB93" i="7" s="1"/>
  <c r="BT93" i="7"/>
  <c r="BT72" i="7"/>
  <c r="FZ134" i="7"/>
  <c r="FT149" i="7"/>
  <c r="FT154" i="7" s="1"/>
  <c r="AY155" i="7"/>
  <c r="BS75" i="7"/>
  <c r="FZ65" i="7"/>
  <c r="BH28" i="7"/>
  <c r="GJ28" i="7"/>
  <c r="BR28" i="7"/>
  <c r="BG149" i="7"/>
  <c r="BG154" i="7" s="1"/>
  <c r="BW154" i="7" s="1"/>
  <c r="GO134" i="7"/>
  <c r="HE134" i="7" s="1"/>
  <c r="BS16" i="7"/>
  <c r="BR17" i="7"/>
  <c r="HE89" i="7"/>
  <c r="BU63" i="7"/>
  <c r="GN138" i="7"/>
  <c r="HD138" i="7" s="1"/>
  <c r="BV138" i="7"/>
  <c r="FX149" i="7"/>
  <c r="FX154" i="7" s="1"/>
  <c r="HD64" i="7"/>
  <c r="GK21" i="7"/>
  <c r="HA21" i="7" s="1"/>
  <c r="BS21" i="7"/>
  <c r="GM138" i="7"/>
  <c r="HC138" i="7" s="1"/>
  <c r="BU138" i="7"/>
  <c r="GK88" i="7"/>
  <c r="HA88" i="7" s="1"/>
  <c r="BS88" i="7"/>
  <c r="BV25" i="7"/>
  <c r="GN23" i="7"/>
  <c r="HD23" i="7" s="1"/>
  <c r="BV23" i="7"/>
  <c r="GK138" i="7"/>
  <c r="HA138" i="7" s="1"/>
  <c r="BS138" i="7"/>
  <c r="GJ15" i="7"/>
  <c r="BH15" i="7"/>
  <c r="GM134" i="7"/>
  <c r="BE149" i="7"/>
  <c r="BE154" i="7" s="1"/>
  <c r="BU154" i="7" s="1"/>
  <c r="BH147" i="7"/>
  <c r="GJ147" i="7"/>
  <c r="GP147" i="7" s="1"/>
  <c r="HB147" i="7"/>
  <c r="FZ89" i="7"/>
  <c r="BR97" i="7"/>
  <c r="BW148" i="7"/>
  <c r="BR18" i="7"/>
  <c r="FT78" i="7"/>
  <c r="FT83" i="7" s="1"/>
  <c r="FZ63" i="7"/>
  <c r="FP84" i="7"/>
  <c r="HB144" i="7"/>
  <c r="EW292" i="7"/>
  <c r="EW297" i="7"/>
  <c r="HC97" i="7"/>
  <c r="HA19" i="7"/>
  <c r="BV96" i="7"/>
  <c r="BW96" i="7"/>
  <c r="BR141" i="7"/>
  <c r="FQ155" i="7"/>
  <c r="BV71" i="7"/>
  <c r="BS99" i="7"/>
  <c r="CB154" i="7"/>
  <c r="BR65" i="7"/>
  <c r="BC78" i="7"/>
  <c r="BC83" i="7" s="1"/>
  <c r="GK63" i="7"/>
  <c r="HE138" i="7"/>
  <c r="GO141" i="7"/>
  <c r="HE141" i="7" s="1"/>
  <c r="BW141" i="7"/>
  <c r="GE155" i="7"/>
  <c r="BH101" i="7"/>
  <c r="GJ101" i="7"/>
  <c r="BR20" i="7"/>
  <c r="FZ15" i="7"/>
  <c r="BH77" i="7"/>
  <c r="GJ77" i="7"/>
  <c r="BR77" i="7"/>
  <c r="FV78" i="7"/>
  <c r="FV83" i="7" s="1"/>
  <c r="GL66" i="7"/>
  <c r="HB66" i="7" s="1"/>
  <c r="BT66" i="7"/>
  <c r="BH94" i="7"/>
  <c r="GJ94" i="7"/>
  <c r="GZ94" i="7" s="1"/>
  <c r="BT75" i="7"/>
  <c r="FI295" i="7"/>
  <c r="GJ21" i="7"/>
  <c r="GZ21" i="7" s="1"/>
  <c r="BH21" i="7"/>
  <c r="GK95" i="7"/>
  <c r="HA95" i="7" s="1"/>
  <c r="BS95" i="7"/>
  <c r="FL155" i="7"/>
  <c r="BS77" i="7"/>
  <c r="GJ144" i="7"/>
  <c r="BH144" i="7"/>
  <c r="O309" i="7"/>
  <c r="V9" i="36"/>
  <c r="K32" i="33"/>
  <c r="GJ99" i="7"/>
  <c r="GZ99" i="7" s="1"/>
  <c r="BH99" i="7"/>
  <c r="FR78" i="7"/>
  <c r="FR83" i="7" s="1"/>
  <c r="GL24" i="7"/>
  <c r="HB24" i="7" s="1"/>
  <c r="BT24" i="7"/>
  <c r="GO66" i="7"/>
  <c r="HE66" i="7" s="1"/>
  <c r="BW66" i="7"/>
  <c r="GJ25" i="7"/>
  <c r="GZ25" i="7" s="1"/>
  <c r="BH25" i="7"/>
  <c r="GL27" i="7"/>
  <c r="HB27" i="7" s="1"/>
  <c r="BT27" i="7"/>
  <c r="BH140" i="7"/>
  <c r="GJ140" i="7"/>
  <c r="BR140" i="7"/>
  <c r="GO95" i="7"/>
  <c r="HE95" i="7" s="1"/>
  <c r="BW95" i="7"/>
  <c r="AV84" i="7"/>
  <c r="BS96" i="7"/>
  <c r="Y292" i="7"/>
  <c r="Y293" i="7" s="1"/>
  <c r="Y298" i="7" s="1"/>
  <c r="Y297" i="7"/>
  <c r="BW87" i="7"/>
  <c r="BX87" i="7" s="1"/>
  <c r="AU155" i="7"/>
  <c r="GE84" i="7"/>
  <c r="BU93" i="7"/>
  <c r="BU75" i="7"/>
  <c r="BV137" i="7"/>
  <c r="BU91" i="7"/>
  <c r="FY78" i="7"/>
  <c r="FY83" i="7" s="1"/>
  <c r="BS141" i="7"/>
  <c r="BT74" i="7"/>
  <c r="BW22" i="7"/>
  <c r="FZ66" i="7"/>
  <c r="BT90" i="7"/>
  <c r="HD96" i="7"/>
  <c r="FH295" i="7"/>
  <c r="BS69" i="7"/>
  <c r="FZ76" i="7"/>
  <c r="FZ90" i="7"/>
  <c r="AX155" i="7"/>
  <c r="BV143" i="7"/>
  <c r="BR23" i="7"/>
  <c r="BC117" i="7"/>
  <c r="GK87" i="7"/>
  <c r="GM65" i="7"/>
  <c r="HC65" i="7" s="1"/>
  <c r="BU65" i="7"/>
  <c r="GO142" i="7"/>
  <c r="HE142" i="7" s="1"/>
  <c r="BW142" i="7"/>
  <c r="GM76" i="7"/>
  <c r="HC76" i="7" s="1"/>
  <c r="BU76" i="7"/>
  <c r="GN87" i="7"/>
  <c r="BF117" i="7"/>
  <c r="BH145" i="7"/>
  <c r="GJ145" i="7"/>
  <c r="BR145" i="7"/>
  <c r="FY149" i="7"/>
  <c r="FY154" i="7" s="1"/>
  <c r="GJ138" i="7"/>
  <c r="BH138" i="7"/>
  <c r="BT101" i="7"/>
  <c r="GJ137" i="7"/>
  <c r="BH137" i="7"/>
  <c r="GK97" i="7"/>
  <c r="HA97" i="7" s="1"/>
  <c r="BS97" i="7"/>
  <c r="BH71" i="7"/>
  <c r="GJ71" i="7"/>
  <c r="HE25" i="7"/>
  <c r="BW73" i="7"/>
  <c r="FZ64" i="7"/>
  <c r="HC142" i="7"/>
  <c r="GJ24" i="7"/>
  <c r="GZ24" i="7" s="1"/>
  <c r="BH24" i="7"/>
  <c r="BR24" i="7"/>
  <c r="GJ96" i="7"/>
  <c r="GP96" i="7" s="1"/>
  <c r="BH96" i="7"/>
  <c r="FZ137" i="7"/>
  <c r="GJ70" i="7"/>
  <c r="BH70" i="7"/>
  <c r="BR70" i="7"/>
  <c r="GN19" i="7"/>
  <c r="HD19" i="7" s="1"/>
  <c r="BV19" i="7"/>
  <c r="BW65" i="7"/>
  <c r="BB149" i="7"/>
  <c r="BB154" i="7" s="1"/>
  <c r="BR154" i="7" s="1"/>
  <c r="GJ134" i="7"/>
  <c r="BH134" i="7"/>
  <c r="GN63" i="7"/>
  <c r="BF78" i="7"/>
  <c r="BF83" i="7" s="1"/>
  <c r="GM68" i="7"/>
  <c r="HC68" i="7" s="1"/>
  <c r="BU68" i="7"/>
  <c r="GJ98" i="7"/>
  <c r="GZ98" i="7" s="1"/>
  <c r="BH98" i="7"/>
  <c r="BR98" i="7"/>
  <c r="GL22" i="7"/>
  <c r="HB22" i="7" s="1"/>
  <c r="BT22" i="7"/>
  <c r="GK22" i="7"/>
  <c r="HA22" i="7" s="1"/>
  <c r="BS22" i="7"/>
  <c r="GJ135" i="7"/>
  <c r="BH135" i="7"/>
  <c r="FZ97" i="7"/>
  <c r="GD84" i="7"/>
  <c r="BW98" i="7"/>
  <c r="BV65" i="7"/>
  <c r="AW84" i="7"/>
  <c r="FZ26" i="7"/>
  <c r="BT138" i="7"/>
  <c r="BV73" i="7"/>
  <c r="BS23" i="7"/>
  <c r="HA141" i="7"/>
  <c r="HB74" i="7"/>
  <c r="HE22" i="7"/>
  <c r="AV155" i="7"/>
  <c r="BR68" i="7"/>
  <c r="FZ135" i="7"/>
  <c r="FZ141" i="7"/>
  <c r="GF155" i="7"/>
  <c r="FN155" i="7"/>
  <c r="BW74" i="7"/>
  <c r="FZ19" i="7"/>
  <c r="G107" i="21"/>
  <c r="D107" i="21"/>
  <c r="V40" i="22"/>
  <c r="V52" i="22"/>
  <c r="V46" i="22"/>
  <c r="V58" i="22"/>
  <c r="S36" i="22"/>
  <c r="AC20" i="25" s="1"/>
  <c r="V30" i="22"/>
  <c r="AF14" i="25" s="1"/>
  <c r="A139" i="26"/>
  <c r="A131" i="21"/>
  <c r="O132" i="21" s="1"/>
  <c r="Q135" i="21" s="1"/>
  <c r="E34" i="7" l="1"/>
  <c r="EM34" i="7" s="1"/>
  <c r="CF34" i="7"/>
  <c r="CG34" i="7"/>
  <c r="F87" i="21"/>
  <c r="T32" i="22"/>
  <c r="AD16" i="25" s="1"/>
  <c r="S33" i="22"/>
  <c r="AC17" i="25" s="1"/>
  <c r="E19" i="7"/>
  <c r="EM19" i="7" s="1"/>
  <c r="CD19" i="7"/>
  <c r="H50" i="51"/>
  <c r="CF19" i="7"/>
  <c r="G22" i="25"/>
  <c r="G23" i="25" s="1"/>
  <c r="H20" i="25"/>
  <c r="L20" i="25" s="1"/>
  <c r="E87" i="21"/>
  <c r="F88" i="21" s="1"/>
  <c r="R16" i="35" s="1"/>
  <c r="E6" i="52"/>
  <c r="E20" i="25"/>
  <c r="I226" i="45" s="1"/>
  <c r="J226" i="45" s="1"/>
  <c r="CC19" i="7"/>
  <c r="CG19" i="7"/>
  <c r="K21" i="25"/>
  <c r="H54" i="51"/>
  <c r="G19" i="7"/>
  <c r="EO19" i="7" s="1"/>
  <c r="I34" i="45"/>
  <c r="J34" i="45" s="1"/>
  <c r="D34" i="45"/>
  <c r="E34" i="45" s="1"/>
  <c r="CN19" i="7"/>
  <c r="H49" i="51"/>
  <c r="D19" i="45"/>
  <c r="E19" i="45" s="1"/>
  <c r="D19" i="7"/>
  <c r="EL19" i="7" s="1"/>
  <c r="D34" i="7"/>
  <c r="CB34" i="7" s="1"/>
  <c r="CK34" i="7"/>
  <c r="CL34" i="7"/>
  <c r="H51" i="51"/>
  <c r="Y87" i="21"/>
  <c r="H52" i="51"/>
  <c r="Q83" i="21"/>
  <c r="N87" i="21"/>
  <c r="CO19" i="7"/>
  <c r="O87" i="21"/>
  <c r="H53" i="51"/>
  <c r="E370" i="25"/>
  <c r="E274" i="7" s="1"/>
  <c r="CG274" i="7" s="1"/>
  <c r="CG276" i="7" s="1"/>
  <c r="I274" i="45"/>
  <c r="J274" i="45" s="1"/>
  <c r="CB274" i="7"/>
  <c r="K371" i="25"/>
  <c r="C373" i="25"/>
  <c r="K373" i="25" s="1"/>
  <c r="D274" i="45"/>
  <c r="E274" i="45" s="1"/>
  <c r="E22" i="25"/>
  <c r="E226" i="7" s="1"/>
  <c r="EM226" i="7" s="1"/>
  <c r="K22" i="25"/>
  <c r="CG227" i="7" s="1"/>
  <c r="C24" i="25"/>
  <c r="C25" i="25" s="1"/>
  <c r="C26" i="25" s="1"/>
  <c r="K26" i="25" s="1"/>
  <c r="D238" i="45"/>
  <c r="E238" i="45" s="1"/>
  <c r="K255" i="25"/>
  <c r="C112" i="25"/>
  <c r="E111" i="25" s="1"/>
  <c r="F238" i="7" s="1"/>
  <c r="EN238" i="7" s="1"/>
  <c r="D238" i="7"/>
  <c r="CB238" i="7" s="1"/>
  <c r="CG280" i="7"/>
  <c r="E196" i="25"/>
  <c r="E250" i="7" s="1"/>
  <c r="CG250" i="7" s="1"/>
  <c r="CG252" i="7" s="1"/>
  <c r="I258" i="45"/>
  <c r="J258" i="45" s="1"/>
  <c r="C141" i="25"/>
  <c r="K141" i="25" s="1"/>
  <c r="CG258" i="7"/>
  <c r="E138" i="25"/>
  <c r="E242" i="7" s="1"/>
  <c r="CG242" i="7" s="1"/>
  <c r="K254" i="25"/>
  <c r="CG259" i="7" s="1"/>
  <c r="I242" i="45"/>
  <c r="J242" i="45" s="1"/>
  <c r="K139" i="25"/>
  <c r="CB250" i="7"/>
  <c r="C199" i="25"/>
  <c r="E198" i="25" s="1"/>
  <c r="F250" i="7" s="1"/>
  <c r="D242" i="7"/>
  <c r="CB242" i="7" s="1"/>
  <c r="C256" i="25"/>
  <c r="K256" i="25" s="1"/>
  <c r="CL259" i="7" s="1"/>
  <c r="D258" i="45"/>
  <c r="E258" i="45" s="1"/>
  <c r="I278" i="45"/>
  <c r="J278" i="45" s="1"/>
  <c r="EL258" i="7"/>
  <c r="D278" i="7"/>
  <c r="CB278" i="7" s="1"/>
  <c r="D234" i="7"/>
  <c r="CB234" i="7" s="1"/>
  <c r="K138" i="25"/>
  <c r="CG243" i="7" s="1"/>
  <c r="D234" i="45"/>
  <c r="E234" i="45" s="1"/>
  <c r="E109" i="25"/>
  <c r="E238" i="7" s="1"/>
  <c r="CG238" i="7" s="1"/>
  <c r="I250" i="45"/>
  <c r="J250" i="45" s="1"/>
  <c r="K197" i="25"/>
  <c r="K80" i="25"/>
  <c r="CG235" i="7" s="1"/>
  <c r="D250" i="45"/>
  <c r="E250" i="45" s="1"/>
  <c r="E225" i="25"/>
  <c r="E254" i="7" s="1"/>
  <c r="CG254" i="7" s="1"/>
  <c r="CG256" i="7" s="1"/>
  <c r="C82" i="25"/>
  <c r="C83" i="25" s="1"/>
  <c r="K83" i="25" s="1"/>
  <c r="D266" i="45"/>
  <c r="E266" i="45" s="1"/>
  <c r="E283" i="25"/>
  <c r="E262" i="7" s="1"/>
  <c r="EM262" i="7" s="1"/>
  <c r="K110" i="25"/>
  <c r="C53" i="25"/>
  <c r="K53" i="25" s="1"/>
  <c r="CL231" i="7" s="1"/>
  <c r="D254" i="7"/>
  <c r="CB254" i="7" s="1"/>
  <c r="K81" i="25"/>
  <c r="C227" i="25"/>
  <c r="C228" i="25" s="1"/>
  <c r="E227" i="25" s="1"/>
  <c r="F254" i="7" s="1"/>
  <c r="CL254" i="7" s="1"/>
  <c r="D254" i="45"/>
  <c r="E254" i="45" s="1"/>
  <c r="D282" i="7"/>
  <c r="CB282" i="7" s="1"/>
  <c r="I246" i="45"/>
  <c r="J246" i="45" s="1"/>
  <c r="K52" i="25"/>
  <c r="CG230" i="7"/>
  <c r="CG232" i="7" s="1"/>
  <c r="I266" i="45"/>
  <c r="J266" i="45" s="1"/>
  <c r="EL246" i="7"/>
  <c r="K428" i="25"/>
  <c r="CG283" i="7" s="1"/>
  <c r="C430" i="25"/>
  <c r="C431" i="25" s="1"/>
  <c r="K431" i="25" s="1"/>
  <c r="E167" i="25"/>
  <c r="E246" i="7" s="1"/>
  <c r="CG246" i="7" s="1"/>
  <c r="D270" i="45"/>
  <c r="E270" i="45" s="1"/>
  <c r="I282" i="45"/>
  <c r="J282" i="45" s="1"/>
  <c r="EL266" i="7"/>
  <c r="W29" i="22"/>
  <c r="AG13" i="25" s="1"/>
  <c r="EL270" i="7"/>
  <c r="CG270" i="7"/>
  <c r="H397" i="25"/>
  <c r="L397" i="25" s="1"/>
  <c r="K312" i="25"/>
  <c r="CG267" i="7" s="1"/>
  <c r="C314" i="25"/>
  <c r="K314" i="25" s="1"/>
  <c r="CL267" i="7" s="1"/>
  <c r="U31" i="22"/>
  <c r="AE15" i="25" s="1"/>
  <c r="H339" i="25"/>
  <c r="L339" i="25" s="1"/>
  <c r="C285" i="25"/>
  <c r="K285" i="25" s="1"/>
  <c r="CL263" i="7" s="1"/>
  <c r="H136" i="25"/>
  <c r="L136" i="25" s="1"/>
  <c r="E23" i="52"/>
  <c r="K342" i="25"/>
  <c r="H165" i="25"/>
  <c r="L165" i="25" s="1"/>
  <c r="H252" i="25"/>
  <c r="L252" i="25" s="1"/>
  <c r="H194" i="25"/>
  <c r="L194" i="25" s="1"/>
  <c r="C169" i="25"/>
  <c r="K169" i="25" s="1"/>
  <c r="CL247" i="7" s="1"/>
  <c r="H281" i="25"/>
  <c r="L281" i="25" s="1"/>
  <c r="C343" i="25"/>
  <c r="K343" i="25" s="1"/>
  <c r="CL271" i="7" s="1"/>
  <c r="K341" i="25"/>
  <c r="CG271" i="7" s="1"/>
  <c r="E428" i="25"/>
  <c r="E282" i="7" s="1"/>
  <c r="CG282" i="7" s="1"/>
  <c r="E312" i="25"/>
  <c r="E266" i="7" s="1"/>
  <c r="CG266" i="7" s="1"/>
  <c r="I270" i="45"/>
  <c r="J270" i="45" s="1"/>
  <c r="H78" i="25"/>
  <c r="L78" i="25" s="1"/>
  <c r="D230" i="45"/>
  <c r="E230" i="45" s="1"/>
  <c r="I230" i="45"/>
  <c r="J230" i="45" s="1"/>
  <c r="D230" i="7"/>
  <c r="D262" i="7"/>
  <c r="EL262" i="7" s="1"/>
  <c r="H107" i="25"/>
  <c r="L107" i="25" s="1"/>
  <c r="D246" i="45"/>
  <c r="E246" i="45" s="1"/>
  <c r="H310" i="25"/>
  <c r="L310" i="25" s="1"/>
  <c r="H223" i="25"/>
  <c r="H224" i="25" s="1"/>
  <c r="H225" i="25" s="1"/>
  <c r="L225" i="25" s="1"/>
  <c r="H426" i="25"/>
  <c r="L426" i="25" s="1"/>
  <c r="L49" i="25"/>
  <c r="U34" i="22"/>
  <c r="AE18" i="25" s="1"/>
  <c r="D262" i="45"/>
  <c r="E262" i="45" s="1"/>
  <c r="CB33" i="7"/>
  <c r="CP33" i="7" s="1"/>
  <c r="N161" i="25"/>
  <c r="F33" i="45"/>
  <c r="J33" i="7"/>
  <c r="K33" i="7" s="1"/>
  <c r="ER33" i="7"/>
  <c r="HG33" i="7" s="1"/>
  <c r="CP18" i="7"/>
  <c r="J18" i="7"/>
  <c r="K18" i="7" s="1"/>
  <c r="H369" i="25"/>
  <c r="H370" i="25" s="1"/>
  <c r="L370" i="25" s="1"/>
  <c r="CK134" i="7"/>
  <c r="CK149" i="7" s="1"/>
  <c r="CK154" i="7" s="1"/>
  <c r="CJ134" i="7"/>
  <c r="CJ149" i="7" s="1"/>
  <c r="CJ154" i="7" s="1"/>
  <c r="CI134" i="7"/>
  <c r="CI149" i="7" s="1"/>
  <c r="CI154" i="7" s="1"/>
  <c r="CH134" i="7"/>
  <c r="CH149" i="7" s="1"/>
  <c r="CH154" i="7" s="1"/>
  <c r="CL134" i="7"/>
  <c r="CL149" i="7" s="1"/>
  <c r="CL154" i="7" s="1"/>
  <c r="F134" i="7"/>
  <c r="Q292" i="7"/>
  <c r="Q293" i="7" s="1"/>
  <c r="P297" i="7"/>
  <c r="I18" i="40"/>
  <c r="S292" i="7"/>
  <c r="S293" i="7" s="1"/>
  <c r="H35" i="40" s="1"/>
  <c r="H36" i="40" s="1"/>
  <c r="S297" i="7"/>
  <c r="R292" i="7"/>
  <c r="R293" i="7" s="1"/>
  <c r="R295" i="7" s="1"/>
  <c r="G18" i="39" s="1"/>
  <c r="R297" i="7"/>
  <c r="O292" i="7"/>
  <c r="O293" i="7" s="1"/>
  <c r="O298" i="7" s="1"/>
  <c r="O297" i="7"/>
  <c r="Q97" i="21"/>
  <c r="S135" i="21"/>
  <c r="P137" i="21"/>
  <c r="R137" i="21"/>
  <c r="R138" i="21" s="1"/>
  <c r="R139" i="21" s="1"/>
  <c r="R140" i="21" s="1"/>
  <c r="R141" i="21" s="1"/>
  <c r="R142" i="21" s="1"/>
  <c r="Q70" i="21"/>
  <c r="I43" i="51" s="1"/>
  <c r="J43" i="51" s="1"/>
  <c r="F77" i="56" a="1"/>
  <c r="F77" i="56" s="1"/>
  <c r="P71" i="21"/>
  <c r="P57" i="21"/>
  <c r="F68" i="56" a="1"/>
  <c r="F68" i="56" s="1"/>
  <c r="Q56" i="21"/>
  <c r="G105" i="7" s="1"/>
  <c r="EO105" i="7" s="1"/>
  <c r="D104" i="56" a="1"/>
  <c r="D104" i="56" s="1"/>
  <c r="P111" i="21"/>
  <c r="P124" i="21"/>
  <c r="C113" i="56" a="1"/>
  <c r="C113" i="56" s="1"/>
  <c r="F86" i="56" a="1"/>
  <c r="F86" i="56" s="1"/>
  <c r="P85" i="21"/>
  <c r="E95" i="56" a="1"/>
  <c r="E95" i="56" s="1"/>
  <c r="P98" i="21"/>
  <c r="Q98" i="21" s="1"/>
  <c r="Q84" i="21"/>
  <c r="C403" i="25"/>
  <c r="C404" i="25" s="1"/>
  <c r="K404" i="25" s="1"/>
  <c r="K402" i="25"/>
  <c r="EM278" i="7"/>
  <c r="N74" i="25"/>
  <c r="N422" i="25"/>
  <c r="N335" i="25"/>
  <c r="CL278" i="7"/>
  <c r="K401" i="25"/>
  <c r="CL279" i="7" s="1"/>
  <c r="CP132" i="7"/>
  <c r="CP48" i="7"/>
  <c r="CP127" i="7"/>
  <c r="L368" i="25"/>
  <c r="N364" i="25"/>
  <c r="N45" i="25"/>
  <c r="F199" i="25"/>
  <c r="F200" i="25" s="1"/>
  <c r="N103" i="25"/>
  <c r="R37" i="22"/>
  <c r="AB21" i="25" s="1"/>
  <c r="N16" i="25"/>
  <c r="F402" i="25"/>
  <c r="F403" i="25" s="1"/>
  <c r="N132" i="25"/>
  <c r="CP51" i="7"/>
  <c r="CP61" i="7"/>
  <c r="H59" i="7"/>
  <c r="EP59" i="7" s="1"/>
  <c r="CP52" i="7"/>
  <c r="CP124" i="7"/>
  <c r="CP56" i="7"/>
  <c r="H57" i="7"/>
  <c r="EP57" i="7" s="1"/>
  <c r="CP53" i="7"/>
  <c r="CP126" i="7"/>
  <c r="L16" i="23"/>
  <c r="I134" i="7" s="1"/>
  <c r="EQ134" i="7" s="1"/>
  <c r="G90" i="52" s="1"/>
  <c r="H90" i="52" s="1"/>
  <c r="CP129" i="7"/>
  <c r="CP135" i="7"/>
  <c r="CP130" i="7"/>
  <c r="H104" i="7"/>
  <c r="EP104" i="7" s="1"/>
  <c r="CP125" i="7"/>
  <c r="CP136" i="7"/>
  <c r="CP49" i="7"/>
  <c r="H50" i="7"/>
  <c r="EP50" i="7" s="1"/>
  <c r="CP118" i="7"/>
  <c r="CP60" i="7"/>
  <c r="CP59" i="7"/>
  <c r="CP58" i="7"/>
  <c r="N219" i="25"/>
  <c r="H53" i="7"/>
  <c r="EP53" i="7" s="1"/>
  <c r="CM62" i="7"/>
  <c r="EO102" i="7"/>
  <c r="H50" i="56" a="1"/>
  <c r="H50" i="56" s="1"/>
  <c r="Q30" i="21"/>
  <c r="Q31" i="21" s="1"/>
  <c r="T30" i="21"/>
  <c r="CP55" i="7"/>
  <c r="N277" i="25"/>
  <c r="H54" i="7"/>
  <c r="EP54" i="7" s="1"/>
  <c r="N393" i="25"/>
  <c r="CO62" i="7"/>
  <c r="N306" i="25"/>
  <c r="H103" i="7"/>
  <c r="M73" i="25"/>
  <c r="H120" i="7" s="1"/>
  <c r="EP120" i="7" s="1"/>
  <c r="H56" i="7"/>
  <c r="EP56" i="7" s="1"/>
  <c r="CP148" i="7"/>
  <c r="CP50" i="7"/>
  <c r="N190" i="25"/>
  <c r="CN62" i="7"/>
  <c r="I8" i="51"/>
  <c r="J8" i="51" s="1"/>
  <c r="H102" i="7"/>
  <c r="EP102" i="7" s="1"/>
  <c r="N248" i="25"/>
  <c r="G62" i="7"/>
  <c r="CP54" i="7"/>
  <c r="H59" i="56" a="1"/>
  <c r="H59" i="56" s="1"/>
  <c r="Q44" i="21"/>
  <c r="T44" i="21"/>
  <c r="H41" i="56" a="1"/>
  <c r="H41" i="56" s="1"/>
  <c r="T16" i="21"/>
  <c r="Q16" i="21"/>
  <c r="CP131" i="7"/>
  <c r="K335" i="25"/>
  <c r="M335" i="25" s="1"/>
  <c r="I129" i="7" s="1"/>
  <c r="EQ129" i="7" s="1"/>
  <c r="H384" i="56" a="1"/>
  <c r="H384" i="56" s="1"/>
  <c r="H288" i="56" a="1"/>
  <c r="H288" i="56" s="1"/>
  <c r="R212" i="23"/>
  <c r="S212" i="23" s="1"/>
  <c r="T212" i="23" s="1"/>
  <c r="L212" i="23"/>
  <c r="I148" i="7" s="1"/>
  <c r="EQ148" i="7" s="1"/>
  <c r="M212" i="23"/>
  <c r="G70" i="51"/>
  <c r="F106" i="56" a="1"/>
  <c r="F106" i="56" s="1"/>
  <c r="F105" i="56" a="1"/>
  <c r="F105" i="56" s="1"/>
  <c r="F107" i="56" a="1"/>
  <c r="F107" i="56" s="1"/>
  <c r="EO49" i="7"/>
  <c r="EO62" i="7" s="1"/>
  <c r="K364" i="25"/>
  <c r="M364" i="25" s="1"/>
  <c r="I130" i="7" s="1"/>
  <c r="EQ130" i="7" s="1"/>
  <c r="H392" i="56" a="1"/>
  <c r="H392" i="56" s="1"/>
  <c r="G107" i="56" a="1"/>
  <c r="G107" i="56" s="1"/>
  <c r="G106" i="56" a="1"/>
  <c r="G106" i="56" s="1"/>
  <c r="G105" i="56" a="1"/>
  <c r="G105" i="56" s="1"/>
  <c r="K190" i="25"/>
  <c r="K191" i="25" s="1"/>
  <c r="H344" i="56" a="1"/>
  <c r="H344" i="56" s="1"/>
  <c r="H176" i="56" a="1"/>
  <c r="H176" i="56" s="1"/>
  <c r="M16" i="23"/>
  <c r="H147" i="7"/>
  <c r="CP47" i="7"/>
  <c r="CP57" i="7"/>
  <c r="T197" i="23"/>
  <c r="K161" i="25"/>
  <c r="M161" i="25" s="1"/>
  <c r="H336" i="56" a="1"/>
  <c r="H336" i="56" s="1"/>
  <c r="M44" i="25"/>
  <c r="H119" i="7" s="1"/>
  <c r="EP119" i="7" s="1"/>
  <c r="H139" i="7"/>
  <c r="T29" i="23"/>
  <c r="K74" i="25"/>
  <c r="M74" i="25" s="1"/>
  <c r="H312" i="56" a="1"/>
  <c r="H312" i="56" s="1"/>
  <c r="I113" i="21"/>
  <c r="D71" i="51" s="1"/>
  <c r="G103" i="56" a="1"/>
  <c r="G103" i="56" s="1"/>
  <c r="EP141" i="7"/>
  <c r="H280" i="56" a="1"/>
  <c r="H280" i="56" s="1"/>
  <c r="M198" i="23"/>
  <c r="L198" i="23"/>
  <c r="I147" i="7" s="1"/>
  <c r="EQ147" i="7" s="1"/>
  <c r="R198" i="23"/>
  <c r="S198" i="23" s="1"/>
  <c r="T198" i="23" s="1"/>
  <c r="H107" i="56" a="1"/>
  <c r="H107" i="56" s="1"/>
  <c r="H106" i="56" a="1"/>
  <c r="H106" i="56" s="1"/>
  <c r="H105" i="56" a="1"/>
  <c r="H105" i="56" s="1"/>
  <c r="H148" i="7"/>
  <c r="K248" i="25"/>
  <c r="M248" i="25" s="1"/>
  <c r="I126" i="7" s="1"/>
  <c r="EQ126" i="7" s="1"/>
  <c r="H360" i="56" a="1"/>
  <c r="H360" i="56" s="1"/>
  <c r="H272" i="56" a="1"/>
  <c r="H272" i="56" s="1"/>
  <c r="L184" i="23"/>
  <c r="I146" i="7" s="1"/>
  <c r="EQ146" i="7" s="1"/>
  <c r="ER146" i="7" s="1"/>
  <c r="M184" i="23"/>
  <c r="R184" i="23"/>
  <c r="S184" i="23" s="1"/>
  <c r="T184" i="23" s="1"/>
  <c r="D105" i="56" a="1"/>
  <c r="D105" i="56" s="1"/>
  <c r="D107" i="56" a="1"/>
  <c r="D107" i="56" s="1"/>
  <c r="D106" i="56" a="1"/>
  <c r="D106" i="56" s="1"/>
  <c r="H58" i="7"/>
  <c r="EP58" i="7" s="1"/>
  <c r="K103" i="25"/>
  <c r="M103" i="25" s="1"/>
  <c r="H320" i="56" a="1"/>
  <c r="H320" i="56" s="1"/>
  <c r="H248" i="56" a="1"/>
  <c r="H248" i="56" s="1"/>
  <c r="L142" i="23"/>
  <c r="M142" i="23"/>
  <c r="R142" i="23"/>
  <c r="S142" i="23" s="1"/>
  <c r="H145" i="7"/>
  <c r="H136" i="7"/>
  <c r="EO144" i="7"/>
  <c r="I109" i="21"/>
  <c r="D67" i="51" s="1"/>
  <c r="C103" i="56" a="1"/>
  <c r="C103" i="56" s="1"/>
  <c r="H240" i="56" a="1"/>
  <c r="H240" i="56" s="1"/>
  <c r="R128" i="23"/>
  <c r="S128" i="23" s="1"/>
  <c r="T128" i="23" s="1"/>
  <c r="L128" i="23"/>
  <c r="I142" i="7" s="1"/>
  <c r="EQ142" i="7" s="1"/>
  <c r="M128" i="23"/>
  <c r="K277" i="25"/>
  <c r="M277" i="25" s="1"/>
  <c r="I127" i="7" s="1"/>
  <c r="EQ127" i="7" s="1"/>
  <c r="H368" i="56" a="1"/>
  <c r="H368" i="56" s="1"/>
  <c r="K16" i="25"/>
  <c r="M16" i="25" s="1"/>
  <c r="I118" i="7" s="1"/>
  <c r="H296" i="56" a="1"/>
  <c r="H296" i="56" s="1"/>
  <c r="H55" i="7"/>
  <c r="EP55" i="7" s="1"/>
  <c r="H52" i="7"/>
  <c r="EP52" i="7" s="1"/>
  <c r="H184" i="56" a="1"/>
  <c r="H184" i="56" s="1"/>
  <c r="L30" i="23"/>
  <c r="I135" i="7" s="1"/>
  <c r="R30" i="23"/>
  <c r="S30" i="23" s="1"/>
  <c r="T30" i="23" s="1"/>
  <c r="M30" i="23"/>
  <c r="H47" i="7"/>
  <c r="EP47" i="7" s="1"/>
  <c r="K306" i="25"/>
  <c r="K307" i="25" s="1"/>
  <c r="H376" i="56" a="1"/>
  <c r="H376" i="56" s="1"/>
  <c r="M131" i="25"/>
  <c r="H122" i="7" s="1"/>
  <c r="EP122" i="7" s="1"/>
  <c r="T71" i="23"/>
  <c r="T169" i="23"/>
  <c r="T43" i="23"/>
  <c r="I111" i="21"/>
  <c r="D69" i="51" s="1"/>
  <c r="E103" i="56" a="1"/>
  <c r="E103" i="56" s="1"/>
  <c r="K45" i="25"/>
  <c r="I48" i="7" s="1"/>
  <c r="H304" i="56" a="1"/>
  <c r="H304" i="56" s="1"/>
  <c r="H138" i="7"/>
  <c r="H142" i="7"/>
  <c r="T155" i="23"/>
  <c r="H200" i="56" a="1"/>
  <c r="H200" i="56" s="1"/>
  <c r="L58" i="23"/>
  <c r="M58" i="23"/>
  <c r="R58" i="23"/>
  <c r="S58" i="23" s="1"/>
  <c r="T183" i="23"/>
  <c r="E105" i="56" a="1"/>
  <c r="E105" i="56" s="1"/>
  <c r="E107" i="56" a="1"/>
  <c r="E107" i="56" s="1"/>
  <c r="E106" i="56" a="1"/>
  <c r="E106" i="56" s="1"/>
  <c r="K132" i="25"/>
  <c r="M132" i="25" s="1"/>
  <c r="I122" i="7" s="1"/>
  <c r="EQ122" i="7" s="1"/>
  <c r="H328" i="56" a="1"/>
  <c r="H328" i="56" s="1"/>
  <c r="I112" i="21"/>
  <c r="D70" i="51" s="1"/>
  <c r="F103" i="56" a="1"/>
  <c r="F103" i="56" s="1"/>
  <c r="H232" i="56" a="1"/>
  <c r="H232" i="56" s="1"/>
  <c r="L114" i="23"/>
  <c r="R114" i="23"/>
  <c r="S114" i="23" s="1"/>
  <c r="T114" i="23" s="1"/>
  <c r="T115" i="23" s="1"/>
  <c r="M114" i="23"/>
  <c r="H61" i="7"/>
  <c r="EP61" i="7" s="1"/>
  <c r="F344" i="25"/>
  <c r="F345" i="25" s="1"/>
  <c r="H224" i="56" a="1"/>
  <c r="H224" i="56" s="1"/>
  <c r="R100" i="23"/>
  <c r="S100" i="23" s="1"/>
  <c r="T100" i="23" s="1"/>
  <c r="M100" i="23"/>
  <c r="L100" i="23"/>
  <c r="I140" i="7" s="1"/>
  <c r="EQ140" i="7" s="1"/>
  <c r="ER140" i="7" s="1"/>
  <c r="K422" i="25"/>
  <c r="K423" i="25" s="1"/>
  <c r="H408" i="56" a="1"/>
  <c r="H408" i="56" s="1"/>
  <c r="H60" i="7"/>
  <c r="EP60" i="7" s="1"/>
  <c r="C107" i="56" a="1"/>
  <c r="C107" i="56" s="1"/>
  <c r="C105" i="56" a="1"/>
  <c r="C105" i="56" s="1"/>
  <c r="C106" i="56" a="1"/>
  <c r="C106" i="56" s="1"/>
  <c r="K219" i="25"/>
  <c r="M219" i="25" s="1"/>
  <c r="I125" i="7" s="1"/>
  <c r="EQ125" i="7" s="1"/>
  <c r="H352" i="56" a="1"/>
  <c r="H352" i="56" s="1"/>
  <c r="H264" i="56" a="1"/>
  <c r="H264" i="56" s="1"/>
  <c r="M170" i="23"/>
  <c r="R170" i="23"/>
  <c r="S170" i="23" s="1"/>
  <c r="T170" i="23" s="1"/>
  <c r="L170" i="23"/>
  <c r="I145" i="7" s="1"/>
  <c r="EQ145" i="7" s="1"/>
  <c r="EO137" i="7"/>
  <c r="T211" i="23"/>
  <c r="H216" i="56" a="1"/>
  <c r="H216" i="56" s="1"/>
  <c r="R86" i="23"/>
  <c r="S86" i="23" s="1"/>
  <c r="L86" i="23"/>
  <c r="I139" i="7" s="1"/>
  <c r="EQ139" i="7" s="1"/>
  <c r="M86" i="23"/>
  <c r="T99" i="23"/>
  <c r="K393" i="25"/>
  <c r="M393" i="25" s="1"/>
  <c r="I131" i="7" s="1"/>
  <c r="EQ131" i="7" s="1"/>
  <c r="H400" i="56" a="1"/>
  <c r="H400" i="56" s="1"/>
  <c r="H208" i="56" a="1"/>
  <c r="H208" i="56" s="1"/>
  <c r="R72" i="23"/>
  <c r="S72" i="23" s="1"/>
  <c r="T72" i="23" s="1"/>
  <c r="L72" i="23"/>
  <c r="I138" i="7" s="1"/>
  <c r="EQ138" i="7" s="1"/>
  <c r="M72" i="23"/>
  <c r="H192" i="56" a="1"/>
  <c r="H192" i="56" s="1"/>
  <c r="R44" i="23"/>
  <c r="S44" i="23" s="1"/>
  <c r="T44" i="23" s="1"/>
  <c r="M44" i="23"/>
  <c r="L44" i="23"/>
  <c r="I136" i="7" s="1"/>
  <c r="EQ136" i="7" s="1"/>
  <c r="G97" i="52" s="1"/>
  <c r="H97" i="52" s="1"/>
  <c r="T127" i="23"/>
  <c r="H256" i="56" a="1"/>
  <c r="H256" i="56" s="1"/>
  <c r="L156" i="23"/>
  <c r="I144" i="7" s="1"/>
  <c r="EQ144" i="7" s="1"/>
  <c r="R156" i="23"/>
  <c r="S156" i="23" s="1"/>
  <c r="T156" i="23" s="1"/>
  <c r="M156" i="23"/>
  <c r="F373" i="25"/>
  <c r="F374" i="25" s="1"/>
  <c r="F228" i="25"/>
  <c r="F229" i="25" s="1"/>
  <c r="F141" i="25"/>
  <c r="F142" i="25" s="1"/>
  <c r="F25" i="25"/>
  <c r="F26" i="25" s="1"/>
  <c r="F431" i="25"/>
  <c r="F432" i="25" s="1"/>
  <c r="F112" i="25"/>
  <c r="F113" i="25" s="1"/>
  <c r="T35" i="22"/>
  <c r="AD19" i="25" s="1"/>
  <c r="F170" i="25"/>
  <c r="F171" i="25" s="1"/>
  <c r="G35" i="7"/>
  <c r="EO35" i="7" s="1"/>
  <c r="I35" i="45"/>
  <c r="J35" i="45" s="1"/>
  <c r="Q95" i="21"/>
  <c r="H35" i="7"/>
  <c r="EP35" i="7" s="1"/>
  <c r="I35" i="7"/>
  <c r="EQ35" i="7" s="1"/>
  <c r="G134" i="7"/>
  <c r="CN134" i="7"/>
  <c r="CN149" i="7" s="1"/>
  <c r="CN154" i="7" s="1"/>
  <c r="CM134" i="7"/>
  <c r="CO134" i="7"/>
  <c r="CO149" i="7" s="1"/>
  <c r="CO154" i="7" s="1"/>
  <c r="G44" i="52"/>
  <c r="H44" i="52" s="1"/>
  <c r="EM149" i="7"/>
  <c r="EM154" i="7" s="1"/>
  <c r="G22" i="52"/>
  <c r="H22" i="52" s="1"/>
  <c r="CP88" i="7"/>
  <c r="U82" i="21"/>
  <c r="J88" i="7"/>
  <c r="U85" i="21"/>
  <c r="Z83" i="21"/>
  <c r="AA83" i="21" s="1"/>
  <c r="AB83" i="21" s="1"/>
  <c r="Z86" i="21"/>
  <c r="AA86" i="21" s="1"/>
  <c r="U81" i="21"/>
  <c r="X23" i="36"/>
  <c r="AA23" i="36" s="1"/>
  <c r="H58" i="51"/>
  <c r="FU155" i="7"/>
  <c r="N110" i="21"/>
  <c r="N109" i="21"/>
  <c r="BE11" i="26"/>
  <c r="D35" i="45"/>
  <c r="E35" i="45" s="1"/>
  <c r="D35" i="7"/>
  <c r="EL35" i="7" s="1"/>
  <c r="HF98" i="7"/>
  <c r="AQ156" i="7"/>
  <c r="AQ290" i="7" s="1"/>
  <c r="AQ292" i="7" s="1"/>
  <c r="AQ293" i="7" s="1"/>
  <c r="AQ298" i="7" s="1"/>
  <c r="AI292" i="7"/>
  <c r="AI293" i="7" s="1"/>
  <c r="AI298" i="7" s="1"/>
  <c r="AI299" i="7" s="1"/>
  <c r="BC84" i="7"/>
  <c r="AH292" i="7"/>
  <c r="AH293" i="7" s="1"/>
  <c r="AH298" i="7" s="1"/>
  <c r="AH299" i="7" s="1"/>
  <c r="AM156" i="7"/>
  <c r="AM290" i="7" s="1"/>
  <c r="AM297" i="7" s="1"/>
  <c r="FE299" i="7"/>
  <c r="FY84" i="7"/>
  <c r="FP156" i="7"/>
  <c r="FP290" i="7" s="1"/>
  <c r="FP292" i="7" s="1"/>
  <c r="FP293" i="7" s="1"/>
  <c r="H63" i="51"/>
  <c r="N119" i="26"/>
  <c r="AB119" i="26" s="1"/>
  <c r="AG59" i="26"/>
  <c r="AK59" i="26" s="1"/>
  <c r="AM59" i="26" s="1"/>
  <c r="AF119" i="26"/>
  <c r="AL119" i="26" s="1"/>
  <c r="F137" i="26"/>
  <c r="AF137" i="26" s="1"/>
  <c r="AA119" i="26"/>
  <c r="N113" i="21"/>
  <c r="EL149" i="7"/>
  <c r="EL154" i="7" s="1"/>
  <c r="AU156" i="7"/>
  <c r="AU290" i="7" s="1"/>
  <c r="AU292" i="7" s="1"/>
  <c r="AU293" i="7" s="1"/>
  <c r="AU298" i="7" s="1"/>
  <c r="GC156" i="7"/>
  <c r="GC290" i="7" s="1"/>
  <c r="GC292" i="7" s="1"/>
  <c r="GC293" i="7" s="1"/>
  <c r="GC298" i="7" s="1"/>
  <c r="N112" i="21"/>
  <c r="G67" i="51"/>
  <c r="FE295" i="7"/>
  <c r="FY155" i="7"/>
  <c r="AE297" i="7"/>
  <c r="AE299" i="7" s="1"/>
  <c r="CK133" i="7"/>
  <c r="BC15" i="26"/>
  <c r="BC155" i="7"/>
  <c r="AP156" i="7"/>
  <c r="AP290" i="7" s="1"/>
  <c r="AP292" i="7" s="1"/>
  <c r="AP293" i="7" s="1"/>
  <c r="AP298" i="7" s="1"/>
  <c r="G71" i="51"/>
  <c r="AK88" i="26"/>
  <c r="AM88" i="26" s="1"/>
  <c r="AN156" i="7"/>
  <c r="AN290" i="7" s="1"/>
  <c r="AN297" i="7" s="1"/>
  <c r="EM133" i="7"/>
  <c r="G23" i="52" s="1"/>
  <c r="H23" i="52" s="1"/>
  <c r="E107" i="7"/>
  <c r="EM107" i="7" s="1"/>
  <c r="P108" i="26"/>
  <c r="F101" i="21"/>
  <c r="CP128" i="7"/>
  <c r="GP98" i="7"/>
  <c r="X17" i="36"/>
  <c r="AA17" i="36" s="1"/>
  <c r="BX134" i="7"/>
  <c r="FO156" i="7"/>
  <c r="FO290" i="7" s="1"/>
  <c r="X295" i="7"/>
  <c r="E19" i="39" s="1"/>
  <c r="G257" i="25"/>
  <c r="G258" i="25" s="1"/>
  <c r="V45" i="26"/>
  <c r="AT156" i="7"/>
  <c r="AT290" i="7" s="1"/>
  <c r="AT292" i="7" s="1"/>
  <c r="BE12" i="26"/>
  <c r="CC133" i="7"/>
  <c r="CH133" i="7"/>
  <c r="N111" i="21"/>
  <c r="V88" i="26"/>
  <c r="CG133" i="7"/>
  <c r="AK31" i="26"/>
  <c r="AM31" i="26" s="1"/>
  <c r="N108" i="26"/>
  <c r="CL133" i="7"/>
  <c r="FM156" i="7"/>
  <c r="FM290" i="7" s="1"/>
  <c r="FM297" i="7" s="1"/>
  <c r="CI133" i="7"/>
  <c r="CD133" i="7"/>
  <c r="GF156" i="7"/>
  <c r="GF290" i="7" s="1"/>
  <c r="GF297" i="7" s="1"/>
  <c r="BX95" i="7"/>
  <c r="GZ147" i="7"/>
  <c r="HF147" i="7" s="1"/>
  <c r="CF133" i="7"/>
  <c r="GP88" i="7"/>
  <c r="GP15" i="7"/>
  <c r="CE133" i="7"/>
  <c r="CN133" i="7"/>
  <c r="FL156" i="7"/>
  <c r="FL290" i="7" s="1"/>
  <c r="FL297" i="7" s="1"/>
  <c r="CJ133" i="7"/>
  <c r="BR149" i="7"/>
  <c r="CO133" i="7"/>
  <c r="BE23" i="26"/>
  <c r="BE26" i="26" s="1"/>
  <c r="AJ156" i="7"/>
  <c r="AJ290" i="7" s="1"/>
  <c r="M114" i="21"/>
  <c r="I114" i="21"/>
  <c r="D72" i="51" s="1"/>
  <c r="I77" i="26"/>
  <c r="W76" i="26"/>
  <c r="AH76" i="26"/>
  <c r="AJ103" i="26"/>
  <c r="U103" i="26"/>
  <c r="G104" i="26"/>
  <c r="K75" i="26"/>
  <c r="V75" i="26" s="1"/>
  <c r="H76" i="26"/>
  <c r="T201" i="36"/>
  <c r="S202" i="36" s="1"/>
  <c r="S203" i="36" s="1"/>
  <c r="X24" i="36"/>
  <c r="G110" i="25"/>
  <c r="CN20" i="7"/>
  <c r="CM20" i="7"/>
  <c r="CO20" i="7"/>
  <c r="G20" i="7"/>
  <c r="EO20" i="7" s="1"/>
  <c r="H61" i="51"/>
  <c r="G431" i="25"/>
  <c r="G432" i="25" s="1"/>
  <c r="G139" i="25"/>
  <c r="T84" i="21"/>
  <c r="H129" i="7"/>
  <c r="EN19" i="7"/>
  <c r="B132" i="21"/>
  <c r="F132" i="21"/>
  <c r="J135" i="21" s="1"/>
  <c r="F133" i="21"/>
  <c r="B133" i="21"/>
  <c r="CP103" i="7"/>
  <c r="H131" i="7"/>
  <c r="K117" i="26"/>
  <c r="AG117" i="26" s="1"/>
  <c r="H118" i="26"/>
  <c r="O114" i="21"/>
  <c r="Y114" i="21"/>
  <c r="G168" i="25"/>
  <c r="EO89" i="7"/>
  <c r="BH22" i="26"/>
  <c r="BH13" i="26"/>
  <c r="BH21" i="26"/>
  <c r="BV23" i="26"/>
  <c r="BH14" i="26"/>
  <c r="BH11" i="26"/>
  <c r="BV21" i="26"/>
  <c r="BH25" i="26"/>
  <c r="BV22" i="26"/>
  <c r="BH9" i="26"/>
  <c r="BV25" i="26"/>
  <c r="BH12" i="26"/>
  <c r="BV24" i="26"/>
  <c r="BV20" i="26"/>
  <c r="BH10" i="26"/>
  <c r="BH23" i="26"/>
  <c r="BH20" i="26"/>
  <c r="BH24" i="26"/>
  <c r="BG25" i="26"/>
  <c r="HF93" i="7"/>
  <c r="M110" i="21"/>
  <c r="F136" i="26"/>
  <c r="X50" i="36"/>
  <c r="T20" i="36"/>
  <c r="EO123" i="7"/>
  <c r="T83" i="21"/>
  <c r="BV44" i="7"/>
  <c r="EL89" i="7"/>
  <c r="J89" i="7"/>
  <c r="EL122" i="7"/>
  <c r="BX76" i="7"/>
  <c r="BY76" i="7" s="1"/>
  <c r="O112" i="21"/>
  <c r="Y112" i="21"/>
  <c r="G72" i="51"/>
  <c r="E114" i="21"/>
  <c r="F114" i="21"/>
  <c r="CP120" i="7"/>
  <c r="H128" i="7"/>
  <c r="EP128" i="7" s="1"/>
  <c r="EM234" i="7"/>
  <c r="CG234" i="7"/>
  <c r="AG102" i="26"/>
  <c r="AK102" i="26" s="1"/>
  <c r="AM102" i="26" s="1"/>
  <c r="AF120" i="26"/>
  <c r="N120" i="26"/>
  <c r="AB120" i="26" s="1"/>
  <c r="AA120" i="26"/>
  <c r="P120" i="26"/>
  <c r="BG23" i="26" s="1"/>
  <c r="CP121" i="7"/>
  <c r="F83" i="25"/>
  <c r="M112" i="21"/>
  <c r="H127" i="7"/>
  <c r="K89" i="26"/>
  <c r="AG89" i="26" s="1"/>
  <c r="H90" i="26"/>
  <c r="H59" i="51"/>
  <c r="CD20" i="7"/>
  <c r="CF20" i="7"/>
  <c r="CE20" i="7"/>
  <c r="E20" i="7"/>
  <c r="CG20" i="7"/>
  <c r="CC20" i="7"/>
  <c r="EL120" i="7"/>
  <c r="EO120" i="7"/>
  <c r="G133" i="7"/>
  <c r="CG106" i="7"/>
  <c r="CF106" i="7"/>
  <c r="E106" i="7"/>
  <c r="EM106" i="7" s="1"/>
  <c r="I41" i="51"/>
  <c r="J41" i="51" s="1"/>
  <c r="V31" i="26"/>
  <c r="CP122" i="7"/>
  <c r="G344" i="25"/>
  <c r="G345" i="25" s="1"/>
  <c r="I119" i="26"/>
  <c r="W118" i="26"/>
  <c r="AH118" i="26"/>
  <c r="K32" i="7"/>
  <c r="BY32" i="7"/>
  <c r="GP137" i="7"/>
  <c r="FV84" i="7"/>
  <c r="GZ96" i="7"/>
  <c r="HF96" i="7" s="1"/>
  <c r="CF35" i="7"/>
  <c r="CG35" i="7"/>
  <c r="E35" i="7"/>
  <c r="EM35" i="7" s="1"/>
  <c r="E133" i="45"/>
  <c r="K103" i="26"/>
  <c r="AG103" i="26" s="1"/>
  <c r="H104" i="26"/>
  <c r="AH104" i="26"/>
  <c r="I105" i="26"/>
  <c r="W104" i="26"/>
  <c r="K32" i="26"/>
  <c r="V32" i="26" s="1"/>
  <c r="CM133" i="7"/>
  <c r="CP123" i="7"/>
  <c r="CC91" i="7"/>
  <c r="CF91" i="7"/>
  <c r="CG91" i="7"/>
  <c r="CE91" i="7"/>
  <c r="E91" i="7"/>
  <c r="EM91" i="7" s="1"/>
  <c r="CD91" i="7"/>
  <c r="S62" i="36"/>
  <c r="S63" i="36" s="1"/>
  <c r="M113" i="21"/>
  <c r="O113" i="21"/>
  <c r="H21" i="7" s="1"/>
  <c r="EP21" i="7" s="1"/>
  <c r="Y113" i="21"/>
  <c r="I42" i="51"/>
  <c r="J42" i="51" s="1"/>
  <c r="CI91" i="7"/>
  <c r="CJ91" i="7"/>
  <c r="F91" i="7"/>
  <c r="EN91" i="7" s="1"/>
  <c r="CK91" i="7"/>
  <c r="CL91" i="7"/>
  <c r="CH91" i="7"/>
  <c r="X20" i="36"/>
  <c r="T121" i="36"/>
  <c r="S122" i="36" s="1"/>
  <c r="S123" i="36" s="1"/>
  <c r="K17" i="7"/>
  <c r="Z58" i="21"/>
  <c r="AA58" i="21" s="1"/>
  <c r="S58" i="21"/>
  <c r="I90" i="7" s="1"/>
  <c r="U58" i="21"/>
  <c r="BF15" i="26"/>
  <c r="AA121" i="26"/>
  <c r="AF121" i="26"/>
  <c r="N121" i="26"/>
  <c r="AB121" i="26" s="1"/>
  <c r="P121" i="26"/>
  <c r="BG24" i="26" s="1"/>
  <c r="AA16" i="36"/>
  <c r="Y16" i="36"/>
  <c r="G83" i="25"/>
  <c r="G84" i="25" s="1"/>
  <c r="GP91" i="7"/>
  <c r="GB84" i="7"/>
  <c r="E113" i="21"/>
  <c r="F113" i="21"/>
  <c r="F110" i="21"/>
  <c r="E110" i="21"/>
  <c r="ER17" i="7"/>
  <c r="Z56" i="21"/>
  <c r="AA56" i="21" s="1"/>
  <c r="AB56" i="21" s="1"/>
  <c r="S56" i="21"/>
  <c r="U56" i="21"/>
  <c r="CG105" i="7"/>
  <c r="E105" i="7"/>
  <c r="EM105" i="7" s="1"/>
  <c r="CF105" i="7"/>
  <c r="G286" i="25"/>
  <c r="G287" i="25" s="1"/>
  <c r="AJ46" i="26"/>
  <c r="G47" i="26"/>
  <c r="U46" i="26"/>
  <c r="I105" i="45"/>
  <c r="J105" i="45" s="1"/>
  <c r="D105" i="7"/>
  <c r="D105" i="45"/>
  <c r="E105" i="45" s="1"/>
  <c r="G226" i="25"/>
  <c r="H61" i="26"/>
  <c r="K60" i="26"/>
  <c r="AG60" i="26" s="1"/>
  <c r="BT117" i="7"/>
  <c r="O109" i="21"/>
  <c r="P18" i="35"/>
  <c r="Y109" i="21"/>
  <c r="D133" i="45"/>
  <c r="F133" i="45" s="1"/>
  <c r="G373" i="25"/>
  <c r="G374" i="25" s="1"/>
  <c r="EL121" i="7"/>
  <c r="X22" i="36"/>
  <c r="T161" i="36"/>
  <c r="AA73" i="21"/>
  <c r="AB72" i="21"/>
  <c r="AB73" i="21" s="1"/>
  <c r="GP89" i="7"/>
  <c r="F134" i="26"/>
  <c r="H125" i="7"/>
  <c r="T141" i="36"/>
  <c r="S142" i="36" s="1"/>
  <c r="S143" i="36" s="1"/>
  <c r="X21" i="36"/>
  <c r="G54" i="25"/>
  <c r="G55" i="25" s="1"/>
  <c r="D106" i="45"/>
  <c r="E106" i="45" s="1"/>
  <c r="D106" i="7"/>
  <c r="I106" i="45"/>
  <c r="J106" i="45" s="1"/>
  <c r="BG22" i="26"/>
  <c r="Y110" i="21"/>
  <c r="O110" i="21"/>
  <c r="HF21" i="7"/>
  <c r="I118" i="25"/>
  <c r="BF26" i="26"/>
  <c r="BS78" i="7"/>
  <c r="BS83" i="7" s="1"/>
  <c r="O111" i="21"/>
  <c r="Y111" i="21"/>
  <c r="I110" i="21"/>
  <c r="D68" i="51" s="1"/>
  <c r="U54" i="21"/>
  <c r="Z54" i="21"/>
  <c r="AA54" i="21" s="1"/>
  <c r="AB54" i="21" s="1"/>
  <c r="S54" i="21"/>
  <c r="I32" i="51" s="1"/>
  <c r="J32" i="51" s="1"/>
  <c r="AJ89" i="26"/>
  <c r="U89" i="26"/>
  <c r="G90" i="26"/>
  <c r="H126" i="7"/>
  <c r="I125" i="26"/>
  <c r="D127" i="26"/>
  <c r="H132" i="26" s="1"/>
  <c r="B127" i="26"/>
  <c r="G132" i="26" s="1"/>
  <c r="H132" i="7"/>
  <c r="H60" i="51"/>
  <c r="F35" i="7"/>
  <c r="EN35" i="7" s="1"/>
  <c r="CL35" i="7"/>
  <c r="CK35" i="7"/>
  <c r="W115" i="21"/>
  <c r="G402" i="25"/>
  <c r="G403" i="25" s="1"/>
  <c r="Z84" i="21"/>
  <c r="AA84" i="21" s="1"/>
  <c r="AB84" i="21" s="1"/>
  <c r="S84" i="21"/>
  <c r="U84" i="21"/>
  <c r="O73" i="35"/>
  <c r="CK20" i="7"/>
  <c r="CH20" i="7"/>
  <c r="CL20" i="7"/>
  <c r="CJ20" i="7"/>
  <c r="CI20" i="7"/>
  <c r="F20" i="7"/>
  <c r="EN20" i="7" s="1"/>
  <c r="M109" i="21"/>
  <c r="F105" i="7"/>
  <c r="EN105" i="7" s="1"/>
  <c r="CK105" i="7"/>
  <c r="CL105" i="7"/>
  <c r="GP77" i="7"/>
  <c r="E112" i="21"/>
  <c r="F112" i="21"/>
  <c r="GH84" i="7"/>
  <c r="EN133" i="7"/>
  <c r="G40" i="52" s="1"/>
  <c r="H40" i="52" s="1"/>
  <c r="F135" i="26"/>
  <c r="W126" i="21"/>
  <c r="W125" i="21"/>
  <c r="W123" i="21"/>
  <c r="X126" i="21"/>
  <c r="G127" i="21"/>
  <c r="X124" i="21"/>
  <c r="W124" i="21"/>
  <c r="X125" i="21"/>
  <c r="G128" i="21"/>
  <c r="X123" i="21"/>
  <c r="G124" i="21"/>
  <c r="W127" i="21"/>
  <c r="W128" i="21"/>
  <c r="G125" i="21"/>
  <c r="G123" i="21"/>
  <c r="G126" i="21"/>
  <c r="X128" i="21"/>
  <c r="X129" i="21"/>
  <c r="J130" i="21" s="1"/>
  <c r="X127" i="21"/>
  <c r="N101" i="21"/>
  <c r="C102" i="21"/>
  <c r="Q17" i="35" s="1"/>
  <c r="E101" i="21"/>
  <c r="F102" i="21" s="1"/>
  <c r="R17" i="35" s="1"/>
  <c r="G118" i="26"/>
  <c r="U117" i="26"/>
  <c r="AJ117" i="26"/>
  <c r="T101" i="36"/>
  <c r="S102" i="36" s="1"/>
  <c r="S103" i="36" s="1"/>
  <c r="X19" i="36"/>
  <c r="T81" i="21"/>
  <c r="BT26" i="26"/>
  <c r="AZ84" i="7"/>
  <c r="EL119" i="7"/>
  <c r="D133" i="7"/>
  <c r="K46" i="26"/>
  <c r="V46" i="26" s="1"/>
  <c r="H47" i="26"/>
  <c r="HF92" i="7"/>
  <c r="S55" i="21"/>
  <c r="Z55" i="21"/>
  <c r="AA55" i="21" s="1"/>
  <c r="AB55" i="21" s="1"/>
  <c r="U55" i="21"/>
  <c r="O101" i="21"/>
  <c r="I20" i="7"/>
  <c r="Y101" i="21"/>
  <c r="FU84" i="7"/>
  <c r="EP91" i="7"/>
  <c r="AK45" i="26"/>
  <c r="AM45" i="26" s="1"/>
  <c r="S42" i="36"/>
  <c r="S43" i="36" s="1"/>
  <c r="M111" i="21"/>
  <c r="N114" i="21"/>
  <c r="AA118" i="26"/>
  <c r="AF118" i="26"/>
  <c r="AL118" i="26" s="1"/>
  <c r="N118" i="26"/>
  <c r="AB118" i="26" s="1"/>
  <c r="P118" i="26"/>
  <c r="BG21" i="26" s="1"/>
  <c r="C123" i="21"/>
  <c r="C128" i="21"/>
  <c r="U121" i="21"/>
  <c r="C126" i="21"/>
  <c r="C127" i="21"/>
  <c r="B81" i="51"/>
  <c r="C125" i="21"/>
  <c r="F80" i="51"/>
  <c r="E81" i="51"/>
  <c r="O121" i="21"/>
  <c r="F77" i="51"/>
  <c r="B80" i="51"/>
  <c r="B79" i="51"/>
  <c r="E77" i="51"/>
  <c r="B77" i="51"/>
  <c r="E80" i="51"/>
  <c r="B78" i="51"/>
  <c r="E76" i="51"/>
  <c r="F76" i="51"/>
  <c r="B76" i="51"/>
  <c r="F78" i="51"/>
  <c r="E78" i="51"/>
  <c r="C124" i="21"/>
  <c r="F81" i="51"/>
  <c r="E79" i="51"/>
  <c r="F79" i="51"/>
  <c r="L119" i="21"/>
  <c r="L123" i="21"/>
  <c r="K123" i="21"/>
  <c r="C76" i="51"/>
  <c r="L124" i="21"/>
  <c r="K124" i="21"/>
  <c r="D112" i="56" s="1" a="1"/>
  <c r="D112" i="56" s="1"/>
  <c r="C77" i="51"/>
  <c r="C78" i="51"/>
  <c r="L125" i="21"/>
  <c r="K125" i="21"/>
  <c r="K126" i="21"/>
  <c r="L126" i="21"/>
  <c r="C79" i="51"/>
  <c r="K127" i="21"/>
  <c r="L127" i="21"/>
  <c r="C80" i="51"/>
  <c r="L128" i="21"/>
  <c r="K128" i="21"/>
  <c r="C81" i="51"/>
  <c r="CP89" i="7"/>
  <c r="U32" i="26"/>
  <c r="AJ32" i="26"/>
  <c r="G115" i="21"/>
  <c r="T21" i="36"/>
  <c r="X15" i="36"/>
  <c r="X51" i="36"/>
  <c r="EP20" i="7"/>
  <c r="HC44" i="7"/>
  <c r="H118" i="7"/>
  <c r="AR84" i="7"/>
  <c r="G76" i="26"/>
  <c r="U75" i="26"/>
  <c r="AJ75" i="26"/>
  <c r="F257" i="25"/>
  <c r="CB104" i="7"/>
  <c r="CP104" i="7" s="1"/>
  <c r="EL104" i="7"/>
  <c r="I89" i="25"/>
  <c r="AL105" i="26"/>
  <c r="T81" i="36"/>
  <c r="S82" i="36" s="1"/>
  <c r="S83" i="36" s="1"/>
  <c r="X18" i="36"/>
  <c r="E133" i="7"/>
  <c r="ER18" i="7"/>
  <c r="U60" i="26"/>
  <c r="AJ60" i="26"/>
  <c r="G61" i="26"/>
  <c r="ER88" i="7"/>
  <c r="BX72" i="7"/>
  <c r="BY72" i="7" s="1"/>
  <c r="W61" i="26"/>
  <c r="AH61" i="26"/>
  <c r="I62" i="26"/>
  <c r="F53" i="25"/>
  <c r="F133" i="26"/>
  <c r="AG74" i="26"/>
  <c r="AK74" i="26" s="1"/>
  <c r="AM74" i="26" s="1"/>
  <c r="G313" i="25"/>
  <c r="I40" i="51"/>
  <c r="J40" i="51" s="1"/>
  <c r="I91" i="45"/>
  <c r="J91" i="45" s="1"/>
  <c r="D91" i="45"/>
  <c r="E91" i="45" s="1"/>
  <c r="D91" i="7"/>
  <c r="S73" i="21"/>
  <c r="C110" i="45"/>
  <c r="C37" i="45"/>
  <c r="C110" i="7"/>
  <c r="EK110" i="7" s="1"/>
  <c r="A165" i="36"/>
  <c r="A49" i="40"/>
  <c r="C37" i="7"/>
  <c r="EK37" i="7" s="1"/>
  <c r="C95" i="45"/>
  <c r="C95" i="7"/>
  <c r="EK95" i="7" s="1"/>
  <c r="C22" i="45"/>
  <c r="A49" i="41"/>
  <c r="C22" i="7"/>
  <c r="EK22" i="7" s="1"/>
  <c r="AA122" i="26"/>
  <c r="AF122" i="26"/>
  <c r="N122" i="26"/>
  <c r="AB122" i="26" s="1"/>
  <c r="J145" i="36"/>
  <c r="V22" i="36"/>
  <c r="F315" i="25"/>
  <c r="H130" i="7"/>
  <c r="D150" i="26"/>
  <c r="E147" i="26"/>
  <c r="F142" i="26"/>
  <c r="I147" i="26" s="1"/>
  <c r="B141" i="26"/>
  <c r="E149" i="26"/>
  <c r="D151" i="26"/>
  <c r="D152" i="26"/>
  <c r="E152" i="26"/>
  <c r="D147" i="26"/>
  <c r="D148" i="26"/>
  <c r="E148" i="26"/>
  <c r="D149" i="26"/>
  <c r="E150" i="26"/>
  <c r="E151" i="26"/>
  <c r="HF25" i="7"/>
  <c r="AH132" i="26"/>
  <c r="W132" i="26"/>
  <c r="I133" i="26"/>
  <c r="W90" i="26"/>
  <c r="AH90" i="26"/>
  <c r="I91" i="26"/>
  <c r="H62" i="51"/>
  <c r="F109" i="21"/>
  <c r="C115" i="21"/>
  <c r="E109" i="21"/>
  <c r="E89" i="45"/>
  <c r="CP119" i="7"/>
  <c r="CB133" i="7"/>
  <c r="G69" i="51"/>
  <c r="E111" i="21"/>
  <c r="F111" i="21"/>
  <c r="H124" i="7"/>
  <c r="BX91" i="7"/>
  <c r="F106" i="7"/>
  <c r="EN106" i="7" s="1"/>
  <c r="CK106" i="7"/>
  <c r="CL106" i="7"/>
  <c r="Z57" i="21"/>
  <c r="AA57" i="21" s="1"/>
  <c r="AB57" i="21" s="1"/>
  <c r="S57" i="21"/>
  <c r="H90" i="7" s="1"/>
  <c r="EP90" i="7" s="1"/>
  <c r="U57" i="21"/>
  <c r="G197" i="25"/>
  <c r="S53" i="21"/>
  <c r="I31" i="51" s="1"/>
  <c r="J31" i="51" s="1"/>
  <c r="Z53" i="21"/>
  <c r="AA53" i="21" s="1"/>
  <c r="AB53" i="21" s="1"/>
  <c r="U53" i="21"/>
  <c r="AH47" i="26"/>
  <c r="W47" i="26"/>
  <c r="BX145" i="7"/>
  <c r="GZ90" i="7"/>
  <c r="HF90" i="7" s="1"/>
  <c r="BX21" i="7"/>
  <c r="G68" i="51"/>
  <c r="D20" i="7"/>
  <c r="D20" i="45"/>
  <c r="I20" i="45"/>
  <c r="J20" i="45" s="1"/>
  <c r="F133" i="7"/>
  <c r="F285" i="25"/>
  <c r="F132" i="26"/>
  <c r="AF117" i="26"/>
  <c r="AA117" i="26"/>
  <c r="N117" i="26"/>
  <c r="BG9" i="26" s="1"/>
  <c r="P117" i="26"/>
  <c r="B49" i="41"/>
  <c r="B49" i="40"/>
  <c r="B165" i="36"/>
  <c r="K165" i="36" s="1"/>
  <c r="GP97" i="7"/>
  <c r="HA44" i="7"/>
  <c r="BR117" i="7"/>
  <c r="BT44" i="7"/>
  <c r="GP100" i="7"/>
  <c r="BX99" i="7"/>
  <c r="BX16" i="7"/>
  <c r="BY16" i="7" s="1"/>
  <c r="BG155" i="7"/>
  <c r="BW155" i="7" s="1"/>
  <c r="BX27" i="7"/>
  <c r="BU117" i="7"/>
  <c r="BV117" i="7"/>
  <c r="FX155" i="7"/>
  <c r="BX135" i="7"/>
  <c r="HE117" i="7"/>
  <c r="GZ18" i="7"/>
  <c r="HF18" i="7" s="1"/>
  <c r="GP76" i="7"/>
  <c r="BU149" i="7"/>
  <c r="BX143" i="7"/>
  <c r="BX144" i="7"/>
  <c r="BX71" i="7"/>
  <c r="BY71" i="7" s="1"/>
  <c r="BW44" i="7"/>
  <c r="BV78" i="7"/>
  <c r="BV83" i="7" s="1"/>
  <c r="FR84" i="7"/>
  <c r="GK149" i="7"/>
  <c r="GK154" i="7" s="1"/>
  <c r="HA154" i="7" s="1"/>
  <c r="HB149" i="7"/>
  <c r="BX25" i="7"/>
  <c r="GM149" i="7"/>
  <c r="GM154" i="7" s="1"/>
  <c r="HC154" i="7" s="1"/>
  <c r="GD156" i="7"/>
  <c r="GD290" i="7" s="1"/>
  <c r="GD292" i="7" s="1"/>
  <c r="GD293" i="7" s="1"/>
  <c r="GD298" i="7" s="1"/>
  <c r="BX138" i="7"/>
  <c r="BS117" i="7"/>
  <c r="GZ15" i="7"/>
  <c r="HF15" i="7" s="1"/>
  <c r="HG15" i="7" s="1"/>
  <c r="BX147" i="7"/>
  <c r="FV155" i="7"/>
  <c r="GP66" i="7"/>
  <c r="BX101" i="7"/>
  <c r="BV149" i="7"/>
  <c r="BX141" i="7"/>
  <c r="BX142" i="7"/>
  <c r="BX15" i="7"/>
  <c r="BY15" i="7" s="1"/>
  <c r="GP95" i="7"/>
  <c r="GM117" i="7"/>
  <c r="BX26" i="7"/>
  <c r="HE149" i="7"/>
  <c r="BX70" i="7"/>
  <c r="BY70" i="7" s="1"/>
  <c r="GP28" i="7"/>
  <c r="GZ67" i="7"/>
  <c r="HF67" i="7" s="1"/>
  <c r="HG67" i="7" s="1"/>
  <c r="GZ89" i="7"/>
  <c r="HF89" i="7" s="1"/>
  <c r="BF84" i="7"/>
  <c r="BX97" i="7"/>
  <c r="BU78" i="7"/>
  <c r="BU83" i="7" s="1"/>
  <c r="GZ69" i="7"/>
  <c r="HF69" i="7" s="1"/>
  <c r="HG69" i="7" s="1"/>
  <c r="BX77" i="7"/>
  <c r="BY77" i="7" s="1"/>
  <c r="BX94" i="7"/>
  <c r="BX64" i="7"/>
  <c r="BY64" i="7" s="1"/>
  <c r="FT155" i="7"/>
  <c r="GB155" i="7"/>
  <c r="GP22" i="7"/>
  <c r="HF16" i="7"/>
  <c r="HG16" i="7" s="1"/>
  <c r="BX66" i="7"/>
  <c r="BY66" i="7" s="1"/>
  <c r="HF141" i="7"/>
  <c r="BF155" i="7"/>
  <c r="BV155" i="7" s="1"/>
  <c r="GZ76" i="7"/>
  <c r="HF76" i="7" s="1"/>
  <c r="HG76" i="7" s="1"/>
  <c r="BX88" i="7"/>
  <c r="GP64" i="7"/>
  <c r="GH155" i="7"/>
  <c r="GZ28" i="7"/>
  <c r="HF28" i="7" s="1"/>
  <c r="BX137" i="7"/>
  <c r="BX74" i="7"/>
  <c r="BY74" i="7" s="1"/>
  <c r="BX17" i="7"/>
  <c r="BY17" i="7" s="1"/>
  <c r="GP20" i="7"/>
  <c r="GP135" i="7"/>
  <c r="BX140" i="7"/>
  <c r="GE156" i="7"/>
  <c r="GE290" i="7" s="1"/>
  <c r="GE292" i="7" s="1"/>
  <c r="GE293" i="7" s="1"/>
  <c r="GE298" i="7" s="1"/>
  <c r="GZ75" i="7"/>
  <c r="HF75" i="7" s="1"/>
  <c r="HG75" i="7" s="1"/>
  <c r="BX136" i="7"/>
  <c r="FT84" i="7"/>
  <c r="GL44" i="7"/>
  <c r="BW149" i="7"/>
  <c r="BX28" i="7"/>
  <c r="HF64" i="7"/>
  <c r="HG64" i="7" s="1"/>
  <c r="BX69" i="7"/>
  <c r="BY69" i="7" s="1"/>
  <c r="BB155" i="7"/>
  <c r="BR155" i="7" s="1"/>
  <c r="AR155" i="7"/>
  <c r="BX73" i="7"/>
  <c r="BY73" i="7" s="1"/>
  <c r="EV293" i="7"/>
  <c r="FW155" i="7"/>
  <c r="BU44" i="7"/>
  <c r="GZ91" i="7"/>
  <c r="HF91" i="7" s="1"/>
  <c r="HE78" i="7"/>
  <c r="HE83" i="7" s="1"/>
  <c r="GP24" i="7"/>
  <c r="FZ117" i="7"/>
  <c r="BX98" i="7"/>
  <c r="HF99" i="7"/>
  <c r="BX90" i="7"/>
  <c r="BX22" i="7"/>
  <c r="GZ77" i="7"/>
  <c r="HF77" i="7" s="1"/>
  <c r="HG77" i="7" s="1"/>
  <c r="AA292" i="7"/>
  <c r="AA297" i="7"/>
  <c r="GP145" i="7"/>
  <c r="GZ145" i="7"/>
  <c r="HF145" i="7" s="1"/>
  <c r="GP25" i="7"/>
  <c r="HB14" i="7"/>
  <c r="HB44" i="7" s="1"/>
  <c r="BE155" i="7"/>
  <c r="BW78" i="7"/>
  <c r="BW83" i="7" s="1"/>
  <c r="Y295" i="7"/>
  <c r="F19" i="39" s="1"/>
  <c r="BY87" i="7"/>
  <c r="FA293" i="7"/>
  <c r="HF94" i="7"/>
  <c r="GP14" i="7"/>
  <c r="GJ44" i="7"/>
  <c r="BX148" i="7"/>
  <c r="GO78" i="7"/>
  <c r="GO83" i="7" s="1"/>
  <c r="GZ137" i="7"/>
  <c r="HF137" i="7" s="1"/>
  <c r="FN156" i="7"/>
  <c r="BX24" i="7"/>
  <c r="GP87" i="7"/>
  <c r="GJ117" i="7"/>
  <c r="AO156" i="7"/>
  <c r="AO290" i="7" s="1"/>
  <c r="BH117" i="7"/>
  <c r="GL149" i="7"/>
  <c r="GL154" i="7" s="1"/>
  <c r="HB154" i="7" s="1"/>
  <c r="BH44" i="7"/>
  <c r="GP17" i="7"/>
  <c r="GZ87" i="7"/>
  <c r="GN44" i="7"/>
  <c r="AW156" i="7"/>
  <c r="AW290" i="7" s="1"/>
  <c r="GJ78" i="7"/>
  <c r="GJ83" i="7" s="1"/>
  <c r="GP63" i="7"/>
  <c r="GZ63" i="7"/>
  <c r="GP70" i="7"/>
  <c r="GZ70" i="7"/>
  <c r="HF70" i="7" s="1"/>
  <c r="HG70" i="7" s="1"/>
  <c r="BX96" i="7"/>
  <c r="BX67" i="7"/>
  <c r="BY67" i="7" s="1"/>
  <c r="GP27" i="7"/>
  <c r="GZ27" i="7"/>
  <c r="HF27" i="7" s="1"/>
  <c r="HC134" i="7"/>
  <c r="HC149" i="7" s="1"/>
  <c r="BX19" i="7"/>
  <c r="GP19" i="7"/>
  <c r="GZ19" i="7"/>
  <c r="HF19" i="7" s="1"/>
  <c r="BX63" i="7"/>
  <c r="BY63" i="7" s="1"/>
  <c r="BR78" i="7"/>
  <c r="GP94" i="7"/>
  <c r="EW293" i="7"/>
  <c r="GP23" i="7"/>
  <c r="BB84" i="7"/>
  <c r="GM78" i="7"/>
  <c r="GM83" i="7" s="1"/>
  <c r="HC63" i="7"/>
  <c r="HC78" i="7" s="1"/>
  <c r="HC83" i="7" s="1"/>
  <c r="GP148" i="7"/>
  <c r="GZ148" i="7"/>
  <c r="HF148" i="7" s="1"/>
  <c r="BX92" i="7"/>
  <c r="GN149" i="7"/>
  <c r="GN154" i="7" s="1"/>
  <c r="HD154" i="7" s="1"/>
  <c r="HD134" i="7"/>
  <c r="HD149" i="7" s="1"/>
  <c r="GP68" i="7"/>
  <c r="V298" i="7"/>
  <c r="V295" i="7"/>
  <c r="HB117" i="7"/>
  <c r="HF143" i="7"/>
  <c r="GZ66" i="7"/>
  <c r="HF66" i="7" s="1"/>
  <c r="HG66" i="7" s="1"/>
  <c r="GP72" i="7"/>
  <c r="GZ72" i="7"/>
  <c r="HF72" i="7" s="1"/>
  <c r="HG72" i="7" s="1"/>
  <c r="BT78" i="7"/>
  <c r="BT83" i="7" s="1"/>
  <c r="GK78" i="7"/>
  <c r="GK83" i="7" s="1"/>
  <c r="FZ149" i="7"/>
  <c r="FZ154" i="7" s="1"/>
  <c r="Z292" i="7"/>
  <c r="Z297" i="7"/>
  <c r="GL78" i="7"/>
  <c r="GL83" i="7" s="1"/>
  <c r="BX89" i="7"/>
  <c r="GP142" i="7"/>
  <c r="GZ88" i="7"/>
  <c r="HF88" i="7" s="1"/>
  <c r="GP92" i="7"/>
  <c r="HD14" i="7"/>
  <c r="HD44" i="7" s="1"/>
  <c r="GP138" i="7"/>
  <c r="GZ138" i="7"/>
  <c r="HF138" i="7" s="1"/>
  <c r="AG290" i="7"/>
  <c r="M27" i="44"/>
  <c r="BX100" i="7"/>
  <c r="GP93" i="7"/>
  <c r="BX139" i="7"/>
  <c r="BS44" i="7"/>
  <c r="GZ95" i="7"/>
  <c r="HF95" i="7" s="1"/>
  <c r="BX154" i="7"/>
  <c r="GZ97" i="7"/>
  <c r="HF97" i="7" s="1"/>
  <c r="P293" i="7"/>
  <c r="AF290" i="7"/>
  <c r="GN117" i="7"/>
  <c r="HD87" i="7"/>
  <c r="HD117" i="7" s="1"/>
  <c r="BH149" i="7"/>
  <c r="BH154" i="7" s="1"/>
  <c r="BX23" i="7"/>
  <c r="GO44" i="7"/>
  <c r="EY292" i="7"/>
  <c r="EY297" i="7"/>
  <c r="GP16" i="7"/>
  <c r="GZ146" i="7"/>
  <c r="HF146" i="7" s="1"/>
  <c r="AD292" i="7"/>
  <c r="AD297" i="7"/>
  <c r="AE295" i="7"/>
  <c r="D20" i="39" s="1"/>
  <c r="BH78" i="7"/>
  <c r="BH83" i="7" s="1"/>
  <c r="EX293" i="7"/>
  <c r="FX84" i="7"/>
  <c r="FZ44" i="7"/>
  <c r="GP136" i="7"/>
  <c r="GZ136" i="7"/>
  <c r="HF136" i="7" s="1"/>
  <c r="GP140" i="7"/>
  <c r="GZ140" i="7"/>
  <c r="HF140" i="7" s="1"/>
  <c r="HE44" i="7"/>
  <c r="AZ155" i="7"/>
  <c r="BT149" i="7"/>
  <c r="HB78" i="7"/>
  <c r="HB83" i="7" s="1"/>
  <c r="GJ149" i="7"/>
  <c r="GJ154" i="7" s="1"/>
  <c r="GZ154" i="7" s="1"/>
  <c r="GP134" i="7"/>
  <c r="GZ134" i="7"/>
  <c r="BX14" i="7"/>
  <c r="GP99" i="7"/>
  <c r="BX65" i="7"/>
  <c r="BY65" i="7" s="1"/>
  <c r="BG84" i="7"/>
  <c r="HF142" i="7"/>
  <c r="GZ20" i="7"/>
  <c r="HF20" i="7" s="1"/>
  <c r="BX75" i="7"/>
  <c r="BY75" i="7" s="1"/>
  <c r="GP144" i="7"/>
  <c r="GZ144" i="7"/>
  <c r="HF144" i="7" s="1"/>
  <c r="W292" i="7"/>
  <c r="W297" i="7"/>
  <c r="FD290" i="7"/>
  <c r="GP101" i="7"/>
  <c r="GZ101" i="7"/>
  <c r="HF101" i="7" s="1"/>
  <c r="GO149" i="7"/>
  <c r="GO154" i="7" s="1"/>
  <c r="HE154" i="7" s="1"/>
  <c r="GP139" i="7"/>
  <c r="GZ139" i="7"/>
  <c r="HF139" i="7" s="1"/>
  <c r="GK44" i="7"/>
  <c r="GZ100" i="7"/>
  <c r="HF100" i="7" s="1"/>
  <c r="GP141" i="7"/>
  <c r="AY156" i="7"/>
  <c r="BR44" i="7"/>
  <c r="GZ73" i="7"/>
  <c r="HF73" i="7" s="1"/>
  <c r="HG73" i="7" s="1"/>
  <c r="FZ78" i="7"/>
  <c r="FZ83" i="7" s="1"/>
  <c r="HF17" i="7"/>
  <c r="HF68" i="7"/>
  <c r="HG68" i="7" s="1"/>
  <c r="EZ292" i="7"/>
  <c r="EZ297" i="7"/>
  <c r="GL117" i="7"/>
  <c r="GG156" i="7"/>
  <c r="GG290" i="7" s="1"/>
  <c r="FQ156" i="7"/>
  <c r="HF24" i="7"/>
  <c r="BX93" i="7"/>
  <c r="GP65" i="7"/>
  <c r="BX68" i="7"/>
  <c r="BY68" i="7" s="1"/>
  <c r="GZ65" i="7"/>
  <c r="HF65" i="7" s="1"/>
  <c r="HG65" i="7" s="1"/>
  <c r="GP21" i="7"/>
  <c r="AV156" i="7"/>
  <c r="AV290" i="7" s="1"/>
  <c r="GP26" i="7"/>
  <c r="GZ26" i="7"/>
  <c r="HF26" i="7" s="1"/>
  <c r="GK117" i="7"/>
  <c r="HA63" i="7"/>
  <c r="HA78" i="7" s="1"/>
  <c r="HA83" i="7" s="1"/>
  <c r="BW117" i="7"/>
  <c r="GZ22" i="7"/>
  <c r="HF22" i="7" s="1"/>
  <c r="HA87" i="7"/>
  <c r="HA117" i="7" s="1"/>
  <c r="GZ74" i="7"/>
  <c r="HF74" i="7" s="1"/>
  <c r="HG74" i="7" s="1"/>
  <c r="BD155" i="7"/>
  <c r="BS149" i="7"/>
  <c r="GM44" i="7"/>
  <c r="FR155" i="7"/>
  <c r="N298" i="7"/>
  <c r="C35" i="40"/>
  <c r="N295" i="7"/>
  <c r="BX20" i="7"/>
  <c r="GO117" i="7"/>
  <c r="GZ135" i="7"/>
  <c r="HF135" i="7" s="1"/>
  <c r="GP143" i="7"/>
  <c r="HC87" i="7"/>
  <c r="HC117" i="7" s="1"/>
  <c r="GP71" i="7"/>
  <c r="GZ71" i="7"/>
  <c r="HF71" i="7" s="1"/>
  <c r="HG71" i="7" s="1"/>
  <c r="GN78" i="7"/>
  <c r="GN83" i="7" s="1"/>
  <c r="HD63" i="7"/>
  <c r="HD78" i="7" s="1"/>
  <c r="HD83" i="7" s="1"/>
  <c r="AX156" i="7"/>
  <c r="AX290" i="7" s="1"/>
  <c r="Y299" i="7"/>
  <c r="BX18" i="7"/>
  <c r="GZ23" i="7"/>
  <c r="HF23" i="7" s="1"/>
  <c r="BX146" i="7"/>
  <c r="AL156" i="7"/>
  <c r="HA134" i="7"/>
  <c r="HA149" i="7" s="1"/>
  <c r="BE84" i="7"/>
  <c r="BD84" i="7"/>
  <c r="G121" i="21"/>
  <c r="D121" i="21"/>
  <c r="W30" i="22"/>
  <c r="AG14" i="25" s="1"/>
  <c r="A145" i="21"/>
  <c r="O146" i="21" s="1"/>
  <c r="Q149" i="21" s="1"/>
  <c r="T33" i="22"/>
  <c r="AD17" i="25" s="1"/>
  <c r="U32" i="22"/>
  <c r="AE16" i="25" s="1"/>
  <c r="A154" i="26"/>
  <c r="T36" i="22"/>
  <c r="AD20" i="25" s="1"/>
  <c r="D226" i="45" l="1"/>
  <c r="E226" i="45" s="1"/>
  <c r="D226" i="7"/>
  <c r="EL226" i="7" s="1"/>
  <c r="F34" i="45"/>
  <c r="J19" i="7"/>
  <c r="K19" i="7" s="1"/>
  <c r="CP19" i="7"/>
  <c r="EL34" i="7"/>
  <c r="ER34" i="7" s="1"/>
  <c r="HG34" i="7" s="1"/>
  <c r="F19" i="45"/>
  <c r="J34" i="7"/>
  <c r="K34" i="7" s="1"/>
  <c r="C374" i="25"/>
  <c r="C375" i="25" s="1"/>
  <c r="K375" i="25" s="1"/>
  <c r="EM274" i="7"/>
  <c r="E372" i="25"/>
  <c r="F274" i="7" s="1"/>
  <c r="CL274" i="7" s="1"/>
  <c r="CG226" i="7"/>
  <c r="CG228" i="7" s="1"/>
  <c r="E24" i="25"/>
  <c r="F226" i="7" s="1"/>
  <c r="EN226" i="7" s="1"/>
  <c r="K24" i="25"/>
  <c r="CL227" i="7" s="1"/>
  <c r="K25" i="25"/>
  <c r="C27" i="25"/>
  <c r="E26" i="25" s="1"/>
  <c r="EM250" i="7"/>
  <c r="CL238" i="7"/>
  <c r="CL240" i="7" s="1"/>
  <c r="K112" i="25"/>
  <c r="C113" i="25"/>
  <c r="C114" i="25" s="1"/>
  <c r="C115" i="25" s="1"/>
  <c r="K115" i="25" s="1"/>
  <c r="EL238" i="7"/>
  <c r="EL234" i="7"/>
  <c r="EM242" i="7"/>
  <c r="C142" i="25"/>
  <c r="C143" i="25" s="1"/>
  <c r="E140" i="25"/>
  <c r="F242" i="7" s="1"/>
  <c r="K199" i="25"/>
  <c r="EL242" i="7"/>
  <c r="CG260" i="7"/>
  <c r="EL278" i="7"/>
  <c r="C257" i="25"/>
  <c r="E256" i="25" s="1"/>
  <c r="F258" i="7" s="1"/>
  <c r="C200" i="25"/>
  <c r="C201" i="25" s="1"/>
  <c r="K201" i="25" s="1"/>
  <c r="CG262" i="7"/>
  <c r="CG264" i="7" s="1"/>
  <c r="CP278" i="7"/>
  <c r="EM254" i="7"/>
  <c r="EM238" i="7"/>
  <c r="C432" i="25"/>
  <c r="C433" i="25" s="1"/>
  <c r="K433" i="25" s="1"/>
  <c r="K82" i="25"/>
  <c r="CL235" i="7" s="1"/>
  <c r="E430" i="25"/>
  <c r="F282" i="7" s="1"/>
  <c r="CL282" i="7" s="1"/>
  <c r="CP282" i="7" s="1"/>
  <c r="E82" i="25"/>
  <c r="F234" i="7" s="1"/>
  <c r="EN234" i="7" s="1"/>
  <c r="C84" i="25"/>
  <c r="C85" i="25" s="1"/>
  <c r="K85" i="25" s="1"/>
  <c r="EL282" i="7"/>
  <c r="C170" i="25"/>
  <c r="E169" i="25" s="1"/>
  <c r="F246" i="7" s="1"/>
  <c r="EN246" i="7" s="1"/>
  <c r="EL254" i="7"/>
  <c r="EM246" i="7"/>
  <c r="C229" i="25"/>
  <c r="C230" i="25" s="1"/>
  <c r="C231" i="25" s="1"/>
  <c r="C232" i="25" s="1"/>
  <c r="CG272" i="7"/>
  <c r="K227" i="25"/>
  <c r="CL255" i="7" s="1"/>
  <c r="CL256" i="7" s="1"/>
  <c r="K228" i="25"/>
  <c r="EN254" i="7"/>
  <c r="C54" i="25"/>
  <c r="C55" i="25" s="1"/>
  <c r="C56" i="25" s="1"/>
  <c r="K56" i="25" s="1"/>
  <c r="K430" i="25"/>
  <c r="CL283" i="7" s="1"/>
  <c r="H137" i="25"/>
  <c r="L137" i="25" s="1"/>
  <c r="M136" i="25" s="1"/>
  <c r="D243" i="7" s="1"/>
  <c r="EL243" i="7" s="1"/>
  <c r="H108" i="25"/>
  <c r="H109" i="25" s="1"/>
  <c r="L109" i="25" s="1"/>
  <c r="L223" i="25"/>
  <c r="H427" i="25"/>
  <c r="H428" i="25" s="1"/>
  <c r="H429" i="25" s="1"/>
  <c r="J428" i="25" s="1"/>
  <c r="E281" i="7" s="1"/>
  <c r="H195" i="25"/>
  <c r="L195" i="25" s="1"/>
  <c r="M194" i="25" s="1"/>
  <c r="I251" i="45" s="1"/>
  <c r="J251" i="45" s="1"/>
  <c r="H340" i="25"/>
  <c r="L340" i="25" s="1"/>
  <c r="M339" i="25" s="1"/>
  <c r="D271" i="7" s="1"/>
  <c r="H50" i="25"/>
  <c r="H51" i="25" s="1"/>
  <c r="H52" i="25" s="1"/>
  <c r="J51" i="25" s="1"/>
  <c r="E229" i="7" s="1"/>
  <c r="EM266" i="7"/>
  <c r="H398" i="25"/>
  <c r="H399" i="25" s="1"/>
  <c r="L399" i="25" s="1"/>
  <c r="C286" i="25"/>
  <c r="E285" i="25" s="1"/>
  <c r="F262" i="7" s="1"/>
  <c r="CL262" i="7" s="1"/>
  <c r="CL264" i="7" s="1"/>
  <c r="H253" i="25"/>
  <c r="J252" i="25" s="1"/>
  <c r="D257" i="45" s="1"/>
  <c r="CB262" i="7"/>
  <c r="H282" i="25"/>
  <c r="J281" i="25" s="1"/>
  <c r="D261" i="7" s="1"/>
  <c r="CB261" i="7" s="1"/>
  <c r="H166" i="25"/>
  <c r="J165" i="25" s="1"/>
  <c r="D245" i="7" s="1"/>
  <c r="EL245" i="7" s="1"/>
  <c r="CG268" i="7"/>
  <c r="V31" i="22"/>
  <c r="AF15" i="25" s="1"/>
  <c r="C344" i="25"/>
  <c r="K344" i="25" s="1"/>
  <c r="H79" i="25"/>
  <c r="O69" i="25" s="1"/>
  <c r="EM282" i="7"/>
  <c r="H21" i="25"/>
  <c r="L21" i="25" s="1"/>
  <c r="M20" i="25" s="1"/>
  <c r="D227" i="7" s="1"/>
  <c r="EL227" i="7" s="1"/>
  <c r="C315" i="25"/>
  <c r="E314" i="25" s="1"/>
  <c r="F266" i="7" s="1"/>
  <c r="CL266" i="7" s="1"/>
  <c r="V34" i="22"/>
  <c r="AF18" i="25" s="1"/>
  <c r="H311" i="25"/>
  <c r="L311" i="25" s="1"/>
  <c r="M310" i="25" s="1"/>
  <c r="D267" i="45" s="1"/>
  <c r="E267" i="45" s="1"/>
  <c r="CB230" i="7"/>
  <c r="EL230" i="7"/>
  <c r="L224" i="25"/>
  <c r="BY33" i="7"/>
  <c r="J368" i="25"/>
  <c r="D273" i="45" s="1"/>
  <c r="E273" i="45" s="1"/>
  <c r="J223" i="25"/>
  <c r="D253" i="45" s="1"/>
  <c r="E253" i="45" s="1"/>
  <c r="BY18" i="7"/>
  <c r="L369" i="25"/>
  <c r="M368" i="25" s="1"/>
  <c r="I275" i="45" s="1"/>
  <c r="J275" i="45" s="1"/>
  <c r="H371" i="25"/>
  <c r="L371" i="25" s="1"/>
  <c r="M370" i="25" s="1"/>
  <c r="E275" i="7" s="1"/>
  <c r="O214" i="25"/>
  <c r="O359" i="25"/>
  <c r="EN134" i="7"/>
  <c r="G46" i="52" s="1"/>
  <c r="H46" i="52" s="1"/>
  <c r="F149" i="7"/>
  <c r="F154" i="7" s="1"/>
  <c r="M15" i="23"/>
  <c r="L15" i="23"/>
  <c r="H134" i="7" s="1"/>
  <c r="EP134" i="7" s="1"/>
  <c r="G176" i="56" a="1"/>
  <c r="G176" i="56" s="1"/>
  <c r="R15" i="23"/>
  <c r="S15" i="23" s="1"/>
  <c r="T297" i="7"/>
  <c r="S295" i="7"/>
  <c r="H18" i="39" s="1"/>
  <c r="R298" i="7"/>
  <c r="R299" i="7" s="1"/>
  <c r="G35" i="40"/>
  <c r="G36" i="40" s="1"/>
  <c r="S298" i="7"/>
  <c r="S299" i="7" s="1"/>
  <c r="T292" i="7"/>
  <c r="T293" i="7" s="1"/>
  <c r="D35" i="40"/>
  <c r="D36" i="40" s="1"/>
  <c r="O295" i="7"/>
  <c r="D18" i="39" s="1"/>
  <c r="I19" i="40"/>
  <c r="B10" i="40"/>
  <c r="G106" i="7"/>
  <c r="EO106" i="7" s="1"/>
  <c r="F95" i="56" a="1"/>
  <c r="F95" i="56" s="1"/>
  <c r="P99" i="21"/>
  <c r="T99" i="21" s="1"/>
  <c r="P86" i="21"/>
  <c r="Q85" i="21"/>
  <c r="H107" i="7" s="1"/>
  <c r="EP107" i="7" s="1"/>
  <c r="G86" i="56" a="1"/>
  <c r="G86" i="56" s="1"/>
  <c r="P112" i="21"/>
  <c r="E104" i="56" a="1"/>
  <c r="E104" i="56" s="1"/>
  <c r="S149" i="21"/>
  <c r="P151" i="21"/>
  <c r="R151" i="21"/>
  <c r="R152" i="21" s="1"/>
  <c r="R153" i="21" s="1"/>
  <c r="R154" i="21" s="1"/>
  <c r="R155" i="21" s="1"/>
  <c r="R156" i="21" s="1"/>
  <c r="K403" i="25"/>
  <c r="P125" i="21"/>
  <c r="D113" i="56" a="1"/>
  <c r="D113" i="56" s="1"/>
  <c r="Q71" i="21"/>
  <c r="P72" i="21"/>
  <c r="G77" i="56" a="1"/>
  <c r="G77" i="56" s="1"/>
  <c r="T71" i="21"/>
  <c r="P138" i="21"/>
  <c r="C122" i="56" a="1"/>
  <c r="C122" i="56" s="1"/>
  <c r="Q57" i="21"/>
  <c r="H105" i="7" s="1"/>
  <c r="EP105" i="7" s="1"/>
  <c r="T57" i="21"/>
  <c r="P58" i="21"/>
  <c r="G68" i="56" a="1"/>
  <c r="G68" i="56" s="1"/>
  <c r="I34" i="51"/>
  <c r="J34" i="51" s="1"/>
  <c r="T85" i="21"/>
  <c r="E403" i="25"/>
  <c r="G278" i="7" s="1"/>
  <c r="F201" i="25"/>
  <c r="F202" i="25" s="1"/>
  <c r="C405" i="25"/>
  <c r="C406" i="25" s="1"/>
  <c r="K406" i="25" s="1"/>
  <c r="F172" i="25"/>
  <c r="F173" i="25" s="1"/>
  <c r="CL280" i="7"/>
  <c r="H226" i="25"/>
  <c r="H227" i="25" s="1"/>
  <c r="S37" i="22"/>
  <c r="AC21" i="25" s="1"/>
  <c r="J146" i="7"/>
  <c r="O63" i="35" s="1"/>
  <c r="K220" i="25"/>
  <c r="S73" i="23"/>
  <c r="S213" i="23"/>
  <c r="T73" i="23"/>
  <c r="T213" i="23"/>
  <c r="I57" i="7"/>
  <c r="EQ57" i="7" s="1"/>
  <c r="ER57" i="7" s="1"/>
  <c r="HG57" i="7" s="1"/>
  <c r="K133" i="25"/>
  <c r="M422" i="25"/>
  <c r="I132" i="7" s="1"/>
  <c r="EQ132" i="7" s="1"/>
  <c r="S45" i="23"/>
  <c r="L199" i="23"/>
  <c r="I51" i="7"/>
  <c r="EQ51" i="7" s="1"/>
  <c r="ER51" i="7" s="1"/>
  <c r="HG51" i="7" s="1"/>
  <c r="I61" i="7"/>
  <c r="EQ61" i="7" s="1"/>
  <c r="ER61" i="7" s="1"/>
  <c r="HG61" i="7" s="1"/>
  <c r="T45" i="23"/>
  <c r="K75" i="25"/>
  <c r="K249" i="25"/>
  <c r="I55" i="7"/>
  <c r="EQ55" i="7" s="1"/>
  <c r="ER55" i="7" s="1"/>
  <c r="HG55" i="7" s="1"/>
  <c r="M306" i="25"/>
  <c r="I128" i="7" s="1"/>
  <c r="EQ128" i="7" s="1"/>
  <c r="ER128" i="7" s="1"/>
  <c r="HG128" i="7" s="1"/>
  <c r="I59" i="7"/>
  <c r="EQ59" i="7" s="1"/>
  <c r="ER59" i="7" s="1"/>
  <c r="HG59" i="7" s="1"/>
  <c r="I54" i="7"/>
  <c r="J54" i="7" s="1"/>
  <c r="T157" i="23"/>
  <c r="S199" i="23"/>
  <c r="L129" i="23"/>
  <c r="T199" i="23"/>
  <c r="L73" i="23"/>
  <c r="CP62" i="7"/>
  <c r="I58" i="7"/>
  <c r="EQ58" i="7" s="1"/>
  <c r="ER58" i="7" s="1"/>
  <c r="HG58" i="7" s="1"/>
  <c r="J144" i="7"/>
  <c r="O61" i="35" s="1"/>
  <c r="S101" i="23"/>
  <c r="EP103" i="7"/>
  <c r="T129" i="23"/>
  <c r="I49" i="7"/>
  <c r="EQ49" i="7" s="1"/>
  <c r="ER49" i="7" s="1"/>
  <c r="HG49" i="7" s="1"/>
  <c r="K162" i="25"/>
  <c r="T101" i="23"/>
  <c r="I102" i="7"/>
  <c r="EQ102" i="7" s="1"/>
  <c r="ER102" i="7" s="1"/>
  <c r="HG102" i="7" s="1"/>
  <c r="I9" i="51"/>
  <c r="J9" i="51" s="1"/>
  <c r="Q17" i="21"/>
  <c r="K336" i="25"/>
  <c r="K278" i="25"/>
  <c r="L185" i="23"/>
  <c r="I104" i="7"/>
  <c r="I27" i="51"/>
  <c r="J27" i="51" s="1"/>
  <c r="Q45" i="21"/>
  <c r="I103" i="7"/>
  <c r="EQ103" i="7" s="1"/>
  <c r="I18" i="51"/>
  <c r="J18" i="51" s="1"/>
  <c r="I56" i="7"/>
  <c r="EQ56" i="7" s="1"/>
  <c r="ER56" i="7" s="1"/>
  <c r="HG56" i="7" s="1"/>
  <c r="S157" i="23"/>
  <c r="G116" i="56" a="1"/>
  <c r="G116" i="56" s="1"/>
  <c r="G115" i="56" a="1"/>
  <c r="G115" i="56" s="1"/>
  <c r="G114" i="56" a="1"/>
  <c r="G114" i="56" s="1"/>
  <c r="K394" i="25"/>
  <c r="G77" i="51"/>
  <c r="D115" i="56" a="1"/>
  <c r="D115" i="56" s="1"/>
  <c r="D116" i="56" a="1"/>
  <c r="D116" i="56" s="1"/>
  <c r="D114" i="56" a="1"/>
  <c r="D114" i="56" s="1"/>
  <c r="I141" i="7"/>
  <c r="L115" i="23"/>
  <c r="C114" i="56" a="1"/>
  <c r="C114" i="56" s="1"/>
  <c r="C116" i="56" a="1"/>
  <c r="C116" i="56" s="1"/>
  <c r="C115" i="56" a="1"/>
  <c r="C115" i="56" s="1"/>
  <c r="J140" i="7"/>
  <c r="O57" i="35" s="1"/>
  <c r="I128" i="21"/>
  <c r="D81" i="51" s="1"/>
  <c r="H112" i="56" a="1"/>
  <c r="H112" i="56" s="1"/>
  <c r="G59" i="52"/>
  <c r="H59" i="52" s="1"/>
  <c r="S31" i="23"/>
  <c r="H62" i="7"/>
  <c r="M45" i="25"/>
  <c r="I119" i="7" s="1"/>
  <c r="L31" i="23"/>
  <c r="T31" i="23"/>
  <c r="K46" i="25"/>
  <c r="S129" i="23"/>
  <c r="L157" i="23"/>
  <c r="L87" i="23"/>
  <c r="EQ135" i="7"/>
  <c r="J135" i="7"/>
  <c r="O52" i="35" s="1"/>
  <c r="EP142" i="7"/>
  <c r="ER142" i="7" s="1"/>
  <c r="HG142" i="7" s="1"/>
  <c r="J142" i="7"/>
  <c r="O59" i="35" s="1"/>
  <c r="T86" i="23"/>
  <c r="T87" i="23" s="1"/>
  <c r="S87" i="23"/>
  <c r="EP139" i="7"/>
  <c r="ER139" i="7" s="1"/>
  <c r="HG139" i="7" s="1"/>
  <c r="J139" i="7"/>
  <c r="O56" i="35" s="1"/>
  <c r="I50" i="7"/>
  <c r="S171" i="23"/>
  <c r="K17" i="25"/>
  <c r="I47" i="7"/>
  <c r="EQ47" i="7" s="1"/>
  <c r="I53" i="7"/>
  <c r="EQ53" i="7" s="1"/>
  <c r="ER53" i="7" s="1"/>
  <c r="HG53" i="7" s="1"/>
  <c r="L45" i="23"/>
  <c r="I123" i="21"/>
  <c r="D76" i="51" s="1"/>
  <c r="C112" i="56" a="1"/>
  <c r="C112" i="56" s="1"/>
  <c r="T142" i="23"/>
  <c r="T143" i="23" s="1"/>
  <c r="S143" i="23"/>
  <c r="K104" i="25"/>
  <c r="M190" i="25"/>
  <c r="I124" i="7" s="1"/>
  <c r="EQ124" i="7" s="1"/>
  <c r="HG146" i="7"/>
  <c r="I126" i="21"/>
  <c r="D79" i="51" s="1"/>
  <c r="F112" i="56" a="1"/>
  <c r="F112" i="56" s="1"/>
  <c r="T171" i="23"/>
  <c r="L213" i="23"/>
  <c r="EP148" i="7"/>
  <c r="ER148" i="7" s="1"/>
  <c r="HG148" i="7" s="1"/>
  <c r="J148" i="7"/>
  <c r="O65" i="35" s="1"/>
  <c r="S185" i="23"/>
  <c r="ER144" i="7"/>
  <c r="HG144" i="7" s="1"/>
  <c r="T185" i="23"/>
  <c r="S115" i="23"/>
  <c r="L101" i="23"/>
  <c r="I52" i="7"/>
  <c r="J52" i="7" s="1"/>
  <c r="T58" i="23"/>
  <c r="T59" i="23" s="1"/>
  <c r="S59" i="23"/>
  <c r="EP136" i="7"/>
  <c r="J136" i="7"/>
  <c r="O53" i="35" s="1"/>
  <c r="I143" i="7"/>
  <c r="L143" i="23"/>
  <c r="F116" i="56" a="1"/>
  <c r="F116" i="56" s="1"/>
  <c r="F114" i="56" a="1"/>
  <c r="F114" i="56" s="1"/>
  <c r="F115" i="56" a="1"/>
  <c r="F115" i="56" s="1"/>
  <c r="HG140" i="7"/>
  <c r="G81" i="51"/>
  <c r="H115" i="56" a="1"/>
  <c r="H115" i="56" s="1"/>
  <c r="H116" i="56" a="1"/>
  <c r="H116" i="56" s="1"/>
  <c r="H114" i="56" a="1"/>
  <c r="H114" i="56" s="1"/>
  <c r="EP138" i="7"/>
  <c r="ER138" i="7" s="1"/>
  <c r="HG138" i="7" s="1"/>
  <c r="J138" i="7"/>
  <c r="O55" i="35" s="1"/>
  <c r="I125" i="21"/>
  <c r="D78" i="51" s="1"/>
  <c r="E112" i="56" a="1"/>
  <c r="E112" i="56" s="1"/>
  <c r="K365" i="25"/>
  <c r="L171" i="23"/>
  <c r="EP147" i="7"/>
  <c r="ER147" i="7" s="1"/>
  <c r="HG147" i="7" s="1"/>
  <c r="J147" i="7"/>
  <c r="O64" i="35" s="1"/>
  <c r="E114" i="56" a="1"/>
  <c r="E114" i="56" s="1"/>
  <c r="E116" i="56" a="1"/>
  <c r="E116" i="56" s="1"/>
  <c r="E115" i="56" a="1"/>
  <c r="E115" i="56" s="1"/>
  <c r="I127" i="21"/>
  <c r="D80" i="51" s="1"/>
  <c r="G112" i="56" a="1"/>
  <c r="G112" i="56" s="1"/>
  <c r="I60" i="7"/>
  <c r="EQ60" i="7" s="1"/>
  <c r="ER60" i="7" s="1"/>
  <c r="HG60" i="7" s="1"/>
  <c r="I137" i="7"/>
  <c r="L59" i="23"/>
  <c r="EP145" i="7"/>
  <c r="ER145" i="7" s="1"/>
  <c r="HG145" i="7" s="1"/>
  <c r="J145" i="7"/>
  <c r="O62" i="35" s="1"/>
  <c r="F230" i="25"/>
  <c r="F231" i="25" s="1"/>
  <c r="F143" i="25"/>
  <c r="F144" i="25" s="1"/>
  <c r="F375" i="25"/>
  <c r="F376" i="25" s="1"/>
  <c r="U35" i="22"/>
  <c r="AE19" i="25" s="1"/>
  <c r="F346" i="25"/>
  <c r="F347" i="25" s="1"/>
  <c r="F404" i="25"/>
  <c r="F405" i="25" s="1"/>
  <c r="F114" i="25"/>
  <c r="F115" i="25" s="1"/>
  <c r="F27" i="25"/>
  <c r="F28" i="25" s="1"/>
  <c r="F433" i="25"/>
  <c r="F434" i="25" s="1"/>
  <c r="D36" i="7"/>
  <c r="CB36" i="7" s="1"/>
  <c r="Q109" i="21"/>
  <c r="CF36" i="7"/>
  <c r="Q110" i="21"/>
  <c r="CK36" i="7"/>
  <c r="Q111" i="21"/>
  <c r="H36" i="7"/>
  <c r="EP36" i="7" s="1"/>
  <c r="G36" i="7"/>
  <c r="EO36" i="7" s="1"/>
  <c r="H33" i="52"/>
  <c r="CM149" i="7"/>
  <c r="CP134" i="7"/>
  <c r="EO134" i="7"/>
  <c r="G63" i="52" s="1"/>
  <c r="H63" i="52" s="1"/>
  <c r="G149" i="7"/>
  <c r="G154" i="7" s="1"/>
  <c r="G73" i="52"/>
  <c r="H73" i="52" s="1"/>
  <c r="Z82" i="21"/>
  <c r="AA82" i="21" s="1"/>
  <c r="AB82" i="21" s="1"/>
  <c r="S82" i="21"/>
  <c r="I50" i="51" s="1"/>
  <c r="J50" i="51" s="1"/>
  <c r="BY88" i="7"/>
  <c r="S83" i="21"/>
  <c r="F92" i="7" s="1"/>
  <c r="EN92" i="7" s="1"/>
  <c r="U83" i="21"/>
  <c r="S81" i="21"/>
  <c r="I92" i="45" s="1"/>
  <c r="J92" i="45" s="1"/>
  <c r="Z81" i="21"/>
  <c r="AA81" i="21" s="1"/>
  <c r="AB81" i="21" s="1"/>
  <c r="S85" i="21"/>
  <c r="H92" i="7" s="1"/>
  <c r="EP92" i="7" s="1"/>
  <c r="Z85" i="21"/>
  <c r="AA85" i="21" s="1"/>
  <c r="AB85" i="21" s="1"/>
  <c r="Y23" i="36"/>
  <c r="U86" i="21"/>
  <c r="S86" i="21"/>
  <c r="I92" i="7" s="1"/>
  <c r="EQ92" i="7" s="1"/>
  <c r="FU156" i="7"/>
  <c r="FU290" i="7" s="1"/>
  <c r="FU292" i="7" s="1"/>
  <c r="H67" i="51"/>
  <c r="F35" i="45"/>
  <c r="D36" i="45"/>
  <c r="E36" i="45" s="1"/>
  <c r="I36" i="45"/>
  <c r="J36" i="45" s="1"/>
  <c r="BE15" i="26"/>
  <c r="H68" i="51"/>
  <c r="E36" i="7"/>
  <c r="EM36" i="7" s="1"/>
  <c r="CG36" i="7"/>
  <c r="FP297" i="7"/>
  <c r="AI295" i="7"/>
  <c r="H20" i="39" s="1"/>
  <c r="AQ297" i="7"/>
  <c r="AQ299" i="7" s="1"/>
  <c r="FY156" i="7"/>
  <c r="FY290" i="7" s="1"/>
  <c r="FY292" i="7" s="1"/>
  <c r="FY293" i="7" s="1"/>
  <c r="FY298" i="7" s="1"/>
  <c r="FP298" i="7"/>
  <c r="FP295" i="7"/>
  <c r="AH295" i="7"/>
  <c r="G20" i="39" s="1"/>
  <c r="CB35" i="7"/>
  <c r="CP35" i="7" s="1"/>
  <c r="V60" i="26"/>
  <c r="BC156" i="7"/>
  <c r="BC290" i="7" s="1"/>
  <c r="AG75" i="26"/>
  <c r="AK75" i="26" s="1"/>
  <c r="AM75" i="26" s="1"/>
  <c r="BG11" i="26"/>
  <c r="BG156" i="7"/>
  <c r="BG290" i="7" s="1"/>
  <c r="BG292" i="7" s="1"/>
  <c r="BG293" i="7" s="1"/>
  <c r="BG298" i="7" s="1"/>
  <c r="AQ295" i="7"/>
  <c r="H21" i="39" s="1"/>
  <c r="AG46" i="26"/>
  <c r="AK46" i="26" s="1"/>
  <c r="AM46" i="26" s="1"/>
  <c r="O74" i="35"/>
  <c r="AM292" i="7"/>
  <c r="AM293" i="7" s="1"/>
  <c r="AM298" i="7" s="1"/>
  <c r="AM299" i="7" s="1"/>
  <c r="AU297" i="7"/>
  <c r="AU299" i="7" s="1"/>
  <c r="AA137" i="26"/>
  <c r="J122" i="7"/>
  <c r="BY122" i="7" s="1"/>
  <c r="H70" i="51"/>
  <c r="P137" i="26"/>
  <c r="BI25" i="26" s="1"/>
  <c r="GC297" i="7"/>
  <c r="GC299" i="7" s="1"/>
  <c r="N137" i="26"/>
  <c r="AB137" i="26" s="1"/>
  <c r="G259" i="25"/>
  <c r="G260" i="25" s="1"/>
  <c r="HG17" i="7"/>
  <c r="V117" i="26"/>
  <c r="F152" i="26"/>
  <c r="AA152" i="26" s="1"/>
  <c r="BS155" i="7"/>
  <c r="P11" i="33" s="1"/>
  <c r="W129" i="21"/>
  <c r="AP297" i="7"/>
  <c r="AP299" i="7" s="1"/>
  <c r="N127" i="21"/>
  <c r="N126" i="21"/>
  <c r="CF107" i="7"/>
  <c r="P74" i="35"/>
  <c r="HG18" i="7"/>
  <c r="AN292" i="7"/>
  <c r="AN293" i="7" s="1"/>
  <c r="AN298" i="7" s="1"/>
  <c r="AN299" i="7" s="1"/>
  <c r="AQ20" i="26"/>
  <c r="F36" i="7"/>
  <c r="EN36" i="7" s="1"/>
  <c r="ER19" i="7"/>
  <c r="HG19" i="7" s="1"/>
  <c r="GM84" i="7"/>
  <c r="AK89" i="26"/>
  <c r="AM89" i="26" s="1"/>
  <c r="FV156" i="7"/>
  <c r="FV290" i="7" s="1"/>
  <c r="FV292" i="7" s="1"/>
  <c r="FV293" i="7" s="1"/>
  <c r="FV298" i="7" s="1"/>
  <c r="CL36" i="7"/>
  <c r="FT156" i="7"/>
  <c r="FT290" i="7" s="1"/>
  <c r="FT292" i="7" s="1"/>
  <c r="BY19" i="7"/>
  <c r="ER35" i="7"/>
  <c r="HG35" i="7" s="1"/>
  <c r="M249" i="25"/>
  <c r="EP62" i="7"/>
  <c r="F74" i="52" s="1"/>
  <c r="FL292" i="7"/>
  <c r="FL293" i="7" s="1"/>
  <c r="AR156" i="7"/>
  <c r="AR290" i="7" s="1"/>
  <c r="M220" i="25"/>
  <c r="EO133" i="7"/>
  <c r="G57" i="52" s="1"/>
  <c r="AQ23" i="26"/>
  <c r="EL133" i="7"/>
  <c r="G6" i="52" s="1"/>
  <c r="H6" i="52" s="1"/>
  <c r="H16" i="52" s="1"/>
  <c r="Y17" i="36"/>
  <c r="CG107" i="7"/>
  <c r="N123" i="21"/>
  <c r="AQ21" i="26"/>
  <c r="GL155" i="7"/>
  <c r="HB155" i="7" s="1"/>
  <c r="CP133" i="7"/>
  <c r="F148" i="26"/>
  <c r="AA148" i="26" s="1"/>
  <c r="AT297" i="7"/>
  <c r="F147" i="26"/>
  <c r="AA147" i="26" s="1"/>
  <c r="BG13" i="26"/>
  <c r="AQ24" i="26"/>
  <c r="BU84" i="7"/>
  <c r="V11" i="44" s="1"/>
  <c r="BV84" i="7"/>
  <c r="Y11" i="44" s="1"/>
  <c r="GK84" i="7"/>
  <c r="HG88" i="7"/>
  <c r="BG14" i="26"/>
  <c r="GM155" i="7"/>
  <c r="HC155" i="7" s="1"/>
  <c r="P123" i="26"/>
  <c r="GE297" i="7"/>
  <c r="GE299" i="7" s="1"/>
  <c r="GF292" i="7"/>
  <c r="GF293" i="7" s="1"/>
  <c r="GF298" i="7" s="1"/>
  <c r="GF299" i="7" s="1"/>
  <c r="BY89" i="7"/>
  <c r="GB156" i="7"/>
  <c r="GB290" i="7" s="1"/>
  <c r="GB292" i="7" s="1"/>
  <c r="F115" i="21"/>
  <c r="GH156" i="7"/>
  <c r="GH290" i="7" s="1"/>
  <c r="BH15" i="26"/>
  <c r="FM292" i="7"/>
  <c r="FM293" i="7" s="1"/>
  <c r="FM298" i="7" s="1"/>
  <c r="FM299" i="7" s="1"/>
  <c r="AQ22" i="26"/>
  <c r="BT84" i="7"/>
  <c r="D26" i="33" s="1"/>
  <c r="F151" i="26"/>
  <c r="N151" i="26" s="1"/>
  <c r="AB151" i="26" s="1"/>
  <c r="J35" i="7"/>
  <c r="K35" i="7" s="1"/>
  <c r="V89" i="26"/>
  <c r="AQ25" i="26"/>
  <c r="BG10" i="26"/>
  <c r="M365" i="25"/>
  <c r="AZ156" i="7"/>
  <c r="AZ290" i="7" s="1"/>
  <c r="F150" i="26"/>
  <c r="AF150" i="26" s="1"/>
  <c r="AL150" i="26" s="1"/>
  <c r="N128" i="21"/>
  <c r="M133" i="25"/>
  <c r="ER122" i="7"/>
  <c r="HG122" i="7" s="1"/>
  <c r="W140" i="21"/>
  <c r="W138" i="21"/>
  <c r="W141" i="21"/>
  <c r="G137" i="21"/>
  <c r="W137" i="21"/>
  <c r="W142" i="21"/>
  <c r="G140" i="21"/>
  <c r="G139" i="21"/>
  <c r="W139" i="21"/>
  <c r="G138" i="21"/>
  <c r="G142" i="21"/>
  <c r="G141" i="21"/>
  <c r="X142" i="21"/>
  <c r="X140" i="21"/>
  <c r="X138" i="21"/>
  <c r="X137" i="21"/>
  <c r="X143" i="21"/>
  <c r="J144" i="21" s="1"/>
  <c r="X139" i="21"/>
  <c r="X141" i="21"/>
  <c r="AH133" i="26"/>
  <c r="I134" i="26"/>
  <c r="W133" i="26"/>
  <c r="K47" i="26"/>
  <c r="AG47" i="26" s="1"/>
  <c r="F316" i="25"/>
  <c r="CL250" i="7"/>
  <c r="EN250" i="7"/>
  <c r="CB106" i="7"/>
  <c r="CP106" i="7" s="1"/>
  <c r="EL106" i="7"/>
  <c r="W62" i="26"/>
  <c r="AH62" i="26"/>
  <c r="FR156" i="7"/>
  <c r="FR290" i="7" s="1"/>
  <c r="G91" i="26"/>
  <c r="U90" i="26"/>
  <c r="AJ90" i="26"/>
  <c r="G56" i="25"/>
  <c r="G57" i="25" s="1"/>
  <c r="G288" i="25"/>
  <c r="G289" i="25" s="1"/>
  <c r="EM20" i="7"/>
  <c r="EQ118" i="7"/>
  <c r="O115" i="21"/>
  <c r="I21" i="7"/>
  <c r="EQ21" i="7" s="1"/>
  <c r="G111" i="25"/>
  <c r="BD156" i="7"/>
  <c r="BD290" i="7" s="1"/>
  <c r="BT290" i="7" s="1"/>
  <c r="AB86" i="21"/>
  <c r="O124" i="21"/>
  <c r="Y124" i="21"/>
  <c r="EP132" i="7"/>
  <c r="AK60" i="26"/>
  <c r="AM60" i="26" s="1"/>
  <c r="W105" i="26"/>
  <c r="I106" i="26"/>
  <c r="AH105" i="26"/>
  <c r="AA24" i="36"/>
  <c r="Y24" i="36"/>
  <c r="EL91" i="7"/>
  <c r="ER91" i="7" s="1"/>
  <c r="HG91" i="7" s="1"/>
  <c r="J91" i="7"/>
  <c r="T95" i="21"/>
  <c r="O127" i="21"/>
  <c r="H22" i="7" s="1"/>
  <c r="Y127" i="21"/>
  <c r="G375" i="25"/>
  <c r="G376" i="25" s="1"/>
  <c r="H62" i="26"/>
  <c r="K61" i="26"/>
  <c r="V61" i="26" s="1"/>
  <c r="EQ90" i="7"/>
  <c r="I121" i="7"/>
  <c r="M104" i="25"/>
  <c r="I52" i="51"/>
  <c r="J52" i="51" s="1"/>
  <c r="G107" i="7"/>
  <c r="EO107" i="7" s="1"/>
  <c r="AH77" i="26"/>
  <c r="W77" i="26"/>
  <c r="B50" i="40"/>
  <c r="B50" i="41"/>
  <c r="B185" i="36"/>
  <c r="K185" i="36" s="1"/>
  <c r="CG248" i="7"/>
  <c r="CL90" i="7"/>
  <c r="CH90" i="7"/>
  <c r="CI90" i="7"/>
  <c r="CK90" i="7"/>
  <c r="CJ90" i="7"/>
  <c r="F90" i="7"/>
  <c r="C111" i="7"/>
  <c r="EK111" i="7" s="1"/>
  <c r="C23" i="45"/>
  <c r="C111" i="45"/>
  <c r="C38" i="45"/>
  <c r="C38" i="7"/>
  <c r="EK38" i="7" s="1"/>
  <c r="A50" i="40"/>
  <c r="A50" i="41"/>
  <c r="C96" i="45"/>
  <c r="A185" i="36"/>
  <c r="C23" i="7"/>
  <c r="EK23" i="7" s="1"/>
  <c r="C96" i="7"/>
  <c r="EK96" i="7" s="1"/>
  <c r="M336" i="25"/>
  <c r="AA22" i="36"/>
  <c r="Y22" i="36"/>
  <c r="CG244" i="7"/>
  <c r="EL20" i="7"/>
  <c r="J20" i="7"/>
  <c r="BY20" i="7" s="1"/>
  <c r="AK103" i="26"/>
  <c r="AM103" i="26" s="1"/>
  <c r="BS84" i="7"/>
  <c r="P11" i="44" s="1"/>
  <c r="E115" i="21"/>
  <c r="F116" i="21" s="1"/>
  <c r="R18" i="35" s="1"/>
  <c r="C116" i="21"/>
  <c r="Q18" i="35" s="1"/>
  <c r="M126" i="21"/>
  <c r="AA20" i="36"/>
  <c r="Y20" i="36"/>
  <c r="V103" i="26"/>
  <c r="H77" i="26"/>
  <c r="K76" i="26"/>
  <c r="V76" i="26" s="1"/>
  <c r="K118" i="26"/>
  <c r="AG118" i="26" s="1"/>
  <c r="H119" i="26"/>
  <c r="K137" i="21"/>
  <c r="C140" i="21"/>
  <c r="K140" i="21"/>
  <c r="F121" i="56" s="1" a="1"/>
  <c r="F121" i="56" s="1"/>
  <c r="C137" i="21"/>
  <c r="C142" i="21"/>
  <c r="U135" i="21"/>
  <c r="E87" i="51"/>
  <c r="F88" i="51"/>
  <c r="E85" i="51"/>
  <c r="O135" i="21"/>
  <c r="F85" i="51"/>
  <c r="L139" i="21"/>
  <c r="F89" i="51"/>
  <c r="C141" i="21"/>
  <c r="C89" i="51"/>
  <c r="E90" i="51"/>
  <c r="B87" i="51"/>
  <c r="L137" i="21"/>
  <c r="F90" i="51"/>
  <c r="C87" i="51"/>
  <c r="C88" i="51"/>
  <c r="K138" i="21"/>
  <c r="B85" i="51"/>
  <c r="L138" i="21"/>
  <c r="C85" i="51"/>
  <c r="C86" i="51"/>
  <c r="E89" i="51"/>
  <c r="E88" i="51"/>
  <c r="F87" i="51"/>
  <c r="C139" i="21"/>
  <c r="K139" i="21"/>
  <c r="C138" i="21"/>
  <c r="B89" i="51"/>
  <c r="B86" i="51"/>
  <c r="B90" i="51"/>
  <c r="L133" i="21"/>
  <c r="L140" i="21"/>
  <c r="E86" i="51"/>
  <c r="F86" i="51"/>
  <c r="B88" i="51"/>
  <c r="L141" i="21"/>
  <c r="K141" i="21"/>
  <c r="L142" i="21"/>
  <c r="K142" i="21"/>
  <c r="C90" i="51"/>
  <c r="G77" i="26"/>
  <c r="AJ76" i="26"/>
  <c r="U76" i="26"/>
  <c r="E162" i="26"/>
  <c r="F157" i="26"/>
  <c r="I162" i="26" s="1"/>
  <c r="B156" i="26"/>
  <c r="D162" i="26"/>
  <c r="D164" i="26"/>
  <c r="D165" i="26"/>
  <c r="E165" i="26"/>
  <c r="E163" i="26"/>
  <c r="D166" i="26"/>
  <c r="D163" i="26"/>
  <c r="E164" i="26"/>
  <c r="E166" i="26"/>
  <c r="D167" i="26"/>
  <c r="E167" i="26"/>
  <c r="AA21" i="36"/>
  <c r="Y21" i="36"/>
  <c r="AH119" i="26"/>
  <c r="I120" i="26"/>
  <c r="W119" i="26"/>
  <c r="F127" i="21"/>
  <c r="E127" i="21"/>
  <c r="G85" i="25"/>
  <c r="G86" i="25" s="1"/>
  <c r="I120" i="7"/>
  <c r="M75" i="25"/>
  <c r="F128" i="21"/>
  <c r="E128" i="21"/>
  <c r="AA135" i="26"/>
  <c r="AF135" i="26"/>
  <c r="AL135" i="26" s="1"/>
  <c r="N135" i="26"/>
  <c r="AB135" i="26" s="1"/>
  <c r="P135" i="26"/>
  <c r="BI23" i="26" s="1"/>
  <c r="EL105" i="7"/>
  <c r="CB105" i="7"/>
  <c r="CP105" i="7" s="1"/>
  <c r="CP91" i="7"/>
  <c r="M278" i="25"/>
  <c r="BV26" i="26"/>
  <c r="M394" i="25"/>
  <c r="G169" i="25"/>
  <c r="AF133" i="26"/>
  <c r="AL133" i="26" s="1"/>
  <c r="AA133" i="26"/>
  <c r="N133" i="26"/>
  <c r="AB133" i="26" s="1"/>
  <c r="P133" i="26"/>
  <c r="BI21" i="26" s="1"/>
  <c r="F286" i="25"/>
  <c r="G24" i="25"/>
  <c r="J165" i="36"/>
  <c r="V23" i="36"/>
  <c r="Y128" i="21"/>
  <c r="O128" i="21"/>
  <c r="I22" i="7" s="1"/>
  <c r="EQ22" i="7" s="1"/>
  <c r="F125" i="21"/>
  <c r="E125" i="21"/>
  <c r="Y123" i="21"/>
  <c r="O123" i="21"/>
  <c r="P19" i="35"/>
  <c r="AA19" i="36"/>
  <c r="Y19" i="36"/>
  <c r="CP254" i="7"/>
  <c r="G140" i="25"/>
  <c r="F149" i="26"/>
  <c r="G314" i="25"/>
  <c r="M17" i="25"/>
  <c r="N125" i="21"/>
  <c r="E124" i="21"/>
  <c r="F124" i="21"/>
  <c r="E123" i="21"/>
  <c r="F123" i="21"/>
  <c r="C129" i="21"/>
  <c r="G129" i="21"/>
  <c r="G90" i="7"/>
  <c r="CM90" i="7"/>
  <c r="CN90" i="7"/>
  <c r="CO90" i="7"/>
  <c r="EP127" i="7"/>
  <c r="ER127" i="7" s="1"/>
  <c r="HG127" i="7" s="1"/>
  <c r="J127" i="7"/>
  <c r="BY127" i="7" s="1"/>
  <c r="AL120" i="26"/>
  <c r="EP131" i="7"/>
  <c r="ER131" i="7" s="1"/>
  <c r="HG131" i="7" s="1"/>
  <c r="J131" i="7"/>
  <c r="BY131" i="7" s="1"/>
  <c r="G433" i="25"/>
  <c r="G434" i="25" s="1"/>
  <c r="EP130" i="7"/>
  <c r="ER130" i="7" s="1"/>
  <c r="HG130" i="7" s="1"/>
  <c r="J130" i="7"/>
  <c r="BY130" i="7" s="1"/>
  <c r="CP34" i="7"/>
  <c r="AA136" i="26"/>
  <c r="AF136" i="26"/>
  <c r="N136" i="26"/>
  <c r="AB136" i="26" s="1"/>
  <c r="P136" i="26"/>
  <c r="BI24" i="26" s="1"/>
  <c r="CI21" i="7"/>
  <c r="CL21" i="7"/>
  <c r="CJ21" i="7"/>
  <c r="CK21" i="7"/>
  <c r="F21" i="7"/>
  <c r="EN21" i="7" s="1"/>
  <c r="CH21" i="7"/>
  <c r="S22" i="36"/>
  <c r="S23" i="36" s="1"/>
  <c r="EP126" i="7"/>
  <c r="ER126" i="7" s="1"/>
  <c r="HG126" i="7" s="1"/>
  <c r="J126" i="7"/>
  <c r="BY126" i="7" s="1"/>
  <c r="AA18" i="36"/>
  <c r="Y18" i="36"/>
  <c r="M123" i="21"/>
  <c r="BH26" i="26"/>
  <c r="AL117" i="26"/>
  <c r="AK117" i="26"/>
  <c r="I123" i="7"/>
  <c r="M162" i="25"/>
  <c r="EQ48" i="7"/>
  <c r="ER48" i="7" s="1"/>
  <c r="HG48" i="7" s="1"/>
  <c r="J48" i="7"/>
  <c r="I140" i="26"/>
  <c r="D142" i="26"/>
  <c r="H147" i="26" s="1"/>
  <c r="B142" i="26"/>
  <c r="G147" i="26" s="1"/>
  <c r="AL122" i="26"/>
  <c r="EP118" i="7"/>
  <c r="H133" i="7"/>
  <c r="J118" i="7"/>
  <c r="BY118" i="7" s="1"/>
  <c r="M125" i="21"/>
  <c r="G78" i="51"/>
  <c r="CG240" i="7"/>
  <c r="D21" i="7"/>
  <c r="D21" i="45"/>
  <c r="E21" i="45" s="1"/>
  <c r="I21" i="45"/>
  <c r="BG12" i="26"/>
  <c r="CG284" i="7"/>
  <c r="CG287" i="7" s="1"/>
  <c r="BW84" i="7"/>
  <c r="G26" i="33" s="1"/>
  <c r="N115" i="21"/>
  <c r="H72" i="51"/>
  <c r="I36" i="7"/>
  <c r="EQ36" i="7" s="1"/>
  <c r="AJ47" i="26"/>
  <c r="U47" i="26"/>
  <c r="H69" i="51"/>
  <c r="EP129" i="7"/>
  <c r="ER129" i="7" s="1"/>
  <c r="HG129" i="7" s="1"/>
  <c r="J129" i="7"/>
  <c r="BY129" i="7" s="1"/>
  <c r="AA15" i="36"/>
  <c r="X25" i="36"/>
  <c r="Y15" i="36"/>
  <c r="G198" i="25"/>
  <c r="M128" i="21"/>
  <c r="Y115" i="21"/>
  <c r="T98" i="21"/>
  <c r="CM92" i="7"/>
  <c r="G92" i="7"/>
  <c r="EO92" i="7" s="1"/>
  <c r="CN92" i="7"/>
  <c r="CO92" i="7"/>
  <c r="T97" i="21"/>
  <c r="D107" i="45"/>
  <c r="E107" i="45" s="1"/>
  <c r="D107" i="7"/>
  <c r="I107" i="45"/>
  <c r="J107" i="45" s="1"/>
  <c r="F84" i="25"/>
  <c r="AL137" i="26"/>
  <c r="E90" i="7"/>
  <c r="CG90" i="7"/>
  <c r="CD90" i="7"/>
  <c r="CE90" i="7"/>
  <c r="CC90" i="7"/>
  <c r="CF90" i="7"/>
  <c r="ER89" i="7"/>
  <c r="HG89" i="7" s="1"/>
  <c r="GK155" i="7"/>
  <c r="EP124" i="7"/>
  <c r="I148" i="26"/>
  <c r="AH147" i="26"/>
  <c r="W147" i="26"/>
  <c r="Y125" i="21"/>
  <c r="O125" i="21"/>
  <c r="EQ20" i="7"/>
  <c r="G80" i="51"/>
  <c r="G133" i="26"/>
  <c r="AJ132" i="26"/>
  <c r="U132" i="26"/>
  <c r="F258" i="25"/>
  <c r="D90" i="7"/>
  <c r="D90" i="45"/>
  <c r="I90" i="45"/>
  <c r="S59" i="21"/>
  <c r="F54" i="25"/>
  <c r="U104" i="26"/>
  <c r="G105" i="26"/>
  <c r="AJ104" i="26"/>
  <c r="E20" i="45"/>
  <c r="F20" i="45" s="1"/>
  <c r="M124" i="21"/>
  <c r="AG32" i="26"/>
  <c r="AK32" i="26" s="1"/>
  <c r="AM32" i="26" s="1"/>
  <c r="G346" i="25"/>
  <c r="G347" i="25" s="1"/>
  <c r="G227" i="25"/>
  <c r="G21" i="7"/>
  <c r="CM21" i="7"/>
  <c r="CO21" i="7"/>
  <c r="CN21" i="7"/>
  <c r="F126" i="21"/>
  <c r="E126" i="21"/>
  <c r="N132" i="26"/>
  <c r="BI9" i="26" s="1"/>
  <c r="AA132" i="26"/>
  <c r="AF132" i="26"/>
  <c r="AL132" i="26" s="1"/>
  <c r="P132" i="26"/>
  <c r="N124" i="21"/>
  <c r="Q124" i="21" s="1"/>
  <c r="G79" i="51"/>
  <c r="I33" i="51"/>
  <c r="J33" i="51" s="1"/>
  <c r="H133" i="26"/>
  <c r="K132" i="26"/>
  <c r="V132" i="26" s="1"/>
  <c r="CF21" i="7"/>
  <c r="CG21" i="7"/>
  <c r="CC21" i="7"/>
  <c r="E21" i="7"/>
  <c r="EM21" i="7" s="1"/>
  <c r="CD21" i="7"/>
  <c r="CE21" i="7"/>
  <c r="N134" i="26"/>
  <c r="AB134" i="26" s="1"/>
  <c r="AF134" i="26"/>
  <c r="AL134" i="26" s="1"/>
  <c r="AA134" i="26"/>
  <c r="P134" i="26"/>
  <c r="BI22" i="26" s="1"/>
  <c r="AL121" i="26"/>
  <c r="CG236" i="7"/>
  <c r="AJ118" i="26"/>
  <c r="U118" i="26"/>
  <c r="G119" i="26"/>
  <c r="U61" i="26"/>
  <c r="AJ61" i="26"/>
  <c r="G62" i="26"/>
  <c r="S162" i="36"/>
  <c r="S163" i="36" s="1"/>
  <c r="F107" i="7"/>
  <c r="EN107" i="7" s="1"/>
  <c r="CL107" i="7"/>
  <c r="CK107" i="7"/>
  <c r="F57" i="52"/>
  <c r="H71" i="51"/>
  <c r="T96" i="21"/>
  <c r="M127" i="21"/>
  <c r="AA59" i="21"/>
  <c r="AB58" i="21"/>
  <c r="AB59" i="21" s="1"/>
  <c r="B147" i="21"/>
  <c r="B51" i="40" s="1"/>
  <c r="F147" i="21"/>
  <c r="F146" i="21"/>
  <c r="B146" i="21"/>
  <c r="Q75" i="35"/>
  <c r="AB117" i="26"/>
  <c r="N123" i="26"/>
  <c r="P75" i="35" s="1"/>
  <c r="H105" i="26"/>
  <c r="K104" i="26"/>
  <c r="AG104" i="26" s="1"/>
  <c r="HA84" i="7"/>
  <c r="O126" i="21"/>
  <c r="Y126" i="21"/>
  <c r="EP125" i="7"/>
  <c r="ER125" i="7" s="1"/>
  <c r="HG125" i="7" s="1"/>
  <c r="J125" i="7"/>
  <c r="BY125" i="7" s="1"/>
  <c r="H91" i="26"/>
  <c r="K90" i="26"/>
  <c r="V90" i="26" s="1"/>
  <c r="BG20" i="26"/>
  <c r="BG26" i="26" s="1"/>
  <c r="HC84" i="7"/>
  <c r="W91" i="26"/>
  <c r="AH91" i="26"/>
  <c r="I92" i="26"/>
  <c r="I124" i="21"/>
  <c r="D77" i="51" s="1"/>
  <c r="G76" i="51"/>
  <c r="G404" i="25"/>
  <c r="G405" i="25" s="1"/>
  <c r="BJ12" i="26"/>
  <c r="BJ9" i="26"/>
  <c r="BJ14" i="26"/>
  <c r="BJ13" i="26"/>
  <c r="BJ10" i="26"/>
  <c r="BJ11" i="26"/>
  <c r="CP20" i="7"/>
  <c r="F27" i="33"/>
  <c r="Y11" i="33"/>
  <c r="Y12" i="44"/>
  <c r="GN155" i="7"/>
  <c r="HD155" i="7" s="1"/>
  <c r="BF156" i="7"/>
  <c r="BF290" i="7" s="1"/>
  <c r="BN290" i="7" s="1"/>
  <c r="AU295" i="7"/>
  <c r="D22" i="39" s="1"/>
  <c r="GL84" i="7"/>
  <c r="BX149" i="7"/>
  <c r="BB156" i="7"/>
  <c r="BB290" i="7" s="1"/>
  <c r="BB292" i="7" s="1"/>
  <c r="HE84" i="7"/>
  <c r="FX156" i="7"/>
  <c r="FX290" i="7" s="1"/>
  <c r="GO155" i="7"/>
  <c r="HE155" i="7" s="1"/>
  <c r="AP295" i="7"/>
  <c r="G21" i="39" s="1"/>
  <c r="HF154" i="7"/>
  <c r="FB292" i="7"/>
  <c r="GD297" i="7"/>
  <c r="GD299" i="7" s="1"/>
  <c r="HB84" i="7"/>
  <c r="GO84" i="7"/>
  <c r="GJ155" i="7"/>
  <c r="GZ155" i="7" s="1"/>
  <c r="AB297" i="7"/>
  <c r="AF292" i="7"/>
  <c r="AF297" i="7"/>
  <c r="GJ84" i="7"/>
  <c r="AL290" i="7"/>
  <c r="V299" i="7"/>
  <c r="HF87" i="7"/>
  <c r="GZ117" i="7"/>
  <c r="FQ290" i="7"/>
  <c r="Z293" i="7"/>
  <c r="FA298" i="7"/>
  <c r="FA295" i="7"/>
  <c r="AT293" i="7"/>
  <c r="G27" i="33"/>
  <c r="AB11" i="33"/>
  <c r="AB12" i="44"/>
  <c r="EW298" i="7"/>
  <c r="EW295" i="7"/>
  <c r="GP44" i="7"/>
  <c r="AD293" i="7"/>
  <c r="AY290" i="7"/>
  <c r="FW156" i="7"/>
  <c r="EV298" i="7"/>
  <c r="EV295" i="7"/>
  <c r="BX78" i="7"/>
  <c r="BR83" i="7"/>
  <c r="BR84" i="7" s="1"/>
  <c r="HF134" i="7"/>
  <c r="GZ149" i="7"/>
  <c r="GP149" i="7"/>
  <c r="GP154" i="7" s="1"/>
  <c r="W293" i="7"/>
  <c r="AB292" i="7"/>
  <c r="AB293" i="7" s="1"/>
  <c r="AW292" i="7"/>
  <c r="AW293" i="7" s="1"/>
  <c r="AW298" i="7" s="1"/>
  <c r="AW297" i="7"/>
  <c r="Q298" i="7"/>
  <c r="F35" i="40"/>
  <c r="F36" i="40" s="1"/>
  <c r="Q295" i="7"/>
  <c r="F18" i="39" s="1"/>
  <c r="HD84" i="7"/>
  <c r="O299" i="7"/>
  <c r="GD295" i="7"/>
  <c r="AV292" i="7"/>
  <c r="AV293" i="7" s="1"/>
  <c r="AV298" i="7" s="1"/>
  <c r="AV297" i="7"/>
  <c r="GN84" i="7"/>
  <c r="AG292" i="7"/>
  <c r="AG297" i="7"/>
  <c r="GP117" i="7"/>
  <c r="GG292" i="7"/>
  <c r="GG293" i="7" s="1"/>
  <c r="GG298" i="7" s="1"/>
  <c r="GG297" i="7"/>
  <c r="GP78" i="7"/>
  <c r="GP83" i="7" s="1"/>
  <c r="M12" i="44"/>
  <c r="B27" i="33"/>
  <c r="M11" i="33"/>
  <c r="C18" i="39"/>
  <c r="BH84" i="7"/>
  <c r="FZ155" i="7"/>
  <c r="GC295" i="7"/>
  <c r="C19" i="39"/>
  <c r="AX292" i="7"/>
  <c r="AX293" i="7" s="1"/>
  <c r="AX298" i="7" s="1"/>
  <c r="AX297" i="7"/>
  <c r="BX117" i="7"/>
  <c r="FO292" i="7"/>
  <c r="FO293" i="7" s="1"/>
  <c r="FO298" i="7" s="1"/>
  <c r="FO297" i="7"/>
  <c r="AO292" i="7"/>
  <c r="AO293" i="7" s="1"/>
  <c r="AO298" i="7" s="1"/>
  <c r="AO297" i="7"/>
  <c r="FN290" i="7"/>
  <c r="HF63" i="7"/>
  <c r="HG63" i="7" s="1"/>
  <c r="GZ78" i="7"/>
  <c r="EZ293" i="7"/>
  <c r="AE27" i="44"/>
  <c r="AA293" i="7"/>
  <c r="FB297" i="7"/>
  <c r="FZ84" i="7"/>
  <c r="GZ44" i="7"/>
  <c r="BX44" i="7"/>
  <c r="BY14" i="7"/>
  <c r="EY293" i="7"/>
  <c r="BT155" i="7"/>
  <c r="BE156" i="7"/>
  <c r="BE290" i="7" s="1"/>
  <c r="BU290" i="7" s="1"/>
  <c r="BU155" i="7"/>
  <c r="EX298" i="7"/>
  <c r="EX295" i="7"/>
  <c r="P298" i="7"/>
  <c r="E35" i="40"/>
  <c r="E36" i="40" s="1"/>
  <c r="P295" i="7"/>
  <c r="E18" i="39" s="1"/>
  <c r="FD292" i="7"/>
  <c r="FD297" i="7"/>
  <c r="C36" i="40"/>
  <c r="N299" i="7"/>
  <c r="GE295" i="7"/>
  <c r="BH155" i="7"/>
  <c r="HF14" i="7"/>
  <c r="D135" i="21"/>
  <c r="G135" i="21"/>
  <c r="A169" i="26"/>
  <c r="U33" i="22"/>
  <c r="AE17" i="25" s="1"/>
  <c r="A159" i="21"/>
  <c r="O160" i="21" s="1"/>
  <c r="Q163" i="21" s="1"/>
  <c r="V32" i="22"/>
  <c r="AF16" i="25" s="1"/>
  <c r="U36" i="22"/>
  <c r="AE20" i="25" s="1"/>
  <c r="BY34" i="7" l="1"/>
  <c r="CB226" i="7"/>
  <c r="K374" i="25"/>
  <c r="E374" i="25"/>
  <c r="G274" i="7" s="1"/>
  <c r="EO274" i="7" s="1"/>
  <c r="EN274" i="7"/>
  <c r="C376" i="25"/>
  <c r="C377" i="25" s="1"/>
  <c r="K377" i="25" s="1"/>
  <c r="CL226" i="7"/>
  <c r="CL228" i="7" s="1"/>
  <c r="C28" i="25"/>
  <c r="C29" i="25" s="1"/>
  <c r="K27" i="25"/>
  <c r="CP238" i="7"/>
  <c r="C116" i="25"/>
  <c r="E115" i="25" s="1"/>
  <c r="H238" i="7" s="1"/>
  <c r="EP238" i="7" s="1"/>
  <c r="C202" i="25"/>
  <c r="K202" i="25" s="1"/>
  <c r="E113" i="25"/>
  <c r="G238" i="7" s="1"/>
  <c r="EO238" i="7" s="1"/>
  <c r="K114" i="25"/>
  <c r="K113" i="25"/>
  <c r="K142" i="25"/>
  <c r="K257" i="25"/>
  <c r="C258" i="25"/>
  <c r="C259" i="25" s="1"/>
  <c r="E258" i="25" s="1"/>
  <c r="G258" i="7" s="1"/>
  <c r="EO258" i="7" s="1"/>
  <c r="K200" i="25"/>
  <c r="CL284" i="7"/>
  <c r="CL287" i="7" s="1"/>
  <c r="E200" i="25"/>
  <c r="G250" i="7" s="1"/>
  <c r="EO250" i="7" s="1"/>
  <c r="K170" i="25"/>
  <c r="K432" i="25"/>
  <c r="C434" i="25"/>
  <c r="C435" i="25" s="1"/>
  <c r="E432" i="25"/>
  <c r="G282" i="7" s="1"/>
  <c r="CL234" i="7"/>
  <c r="CP234" i="7" s="1"/>
  <c r="EN282" i="7"/>
  <c r="C171" i="25"/>
  <c r="C172" i="25" s="1"/>
  <c r="C173" i="25" s="1"/>
  <c r="C174" i="25" s="1"/>
  <c r="C175" i="25" s="1"/>
  <c r="K175" i="25" s="1"/>
  <c r="E84" i="25"/>
  <c r="G234" i="7" s="1"/>
  <c r="EO234" i="7" s="1"/>
  <c r="C86" i="25"/>
  <c r="C87" i="25" s="1"/>
  <c r="C88" i="25" s="1"/>
  <c r="K88" i="25" s="1"/>
  <c r="K84" i="25"/>
  <c r="K231" i="25"/>
  <c r="CL246" i="7"/>
  <c r="CL248" i="7" s="1"/>
  <c r="E229" i="25"/>
  <c r="G254" i="7" s="1"/>
  <c r="EO254" i="7" s="1"/>
  <c r="C57" i="25"/>
  <c r="C58" i="25" s="1"/>
  <c r="K58" i="25" s="1"/>
  <c r="K54" i="25"/>
  <c r="K55" i="25"/>
  <c r="K229" i="25"/>
  <c r="K230" i="25"/>
  <c r="E55" i="25"/>
  <c r="G230" i="7" s="1"/>
  <c r="EO230" i="7" s="1"/>
  <c r="W31" i="22"/>
  <c r="AG15" i="25" s="1"/>
  <c r="CB243" i="7"/>
  <c r="E53" i="25"/>
  <c r="F230" i="7" s="1"/>
  <c r="CL230" i="7" s="1"/>
  <c r="CL232" i="7" s="1"/>
  <c r="J107" i="25"/>
  <c r="I237" i="45" s="1"/>
  <c r="J237" i="45" s="1"/>
  <c r="L108" i="25"/>
  <c r="M107" i="25" s="1"/>
  <c r="D239" i="45" s="1"/>
  <c r="E239" i="45" s="1"/>
  <c r="D243" i="45"/>
  <c r="E243" i="45" s="1"/>
  <c r="H110" i="25"/>
  <c r="H111" i="25" s="1"/>
  <c r="H112" i="25" s="1"/>
  <c r="H113" i="25" s="1"/>
  <c r="I271" i="45"/>
  <c r="J271" i="45" s="1"/>
  <c r="H196" i="25"/>
  <c r="H197" i="25" s="1"/>
  <c r="H198" i="25" s="1"/>
  <c r="L198" i="25" s="1"/>
  <c r="I243" i="45"/>
  <c r="J243" i="45" s="1"/>
  <c r="H138" i="25"/>
  <c r="H139" i="25" s="1"/>
  <c r="H140" i="25" s="1"/>
  <c r="H141" i="25" s="1"/>
  <c r="H142" i="25" s="1"/>
  <c r="L428" i="25"/>
  <c r="O98" i="25"/>
  <c r="J136" i="25"/>
  <c r="D241" i="7" s="1"/>
  <c r="EL241" i="7" s="1"/>
  <c r="D251" i="7"/>
  <c r="EL251" i="7" s="1"/>
  <c r="O127" i="25"/>
  <c r="EN262" i="7"/>
  <c r="H254" i="25"/>
  <c r="H255" i="25" s="1"/>
  <c r="O244" i="25" s="1"/>
  <c r="L253" i="25"/>
  <c r="M252" i="25" s="1"/>
  <c r="D259" i="7" s="1"/>
  <c r="EL259" i="7" s="1"/>
  <c r="O330" i="25"/>
  <c r="D257" i="7"/>
  <c r="EL257" i="7" s="1"/>
  <c r="I257" i="45"/>
  <c r="J257" i="45" s="1"/>
  <c r="D251" i="45"/>
  <c r="E251" i="45" s="1"/>
  <c r="J426" i="25"/>
  <c r="D281" i="7" s="1"/>
  <c r="EL281" i="7" s="1"/>
  <c r="K315" i="25"/>
  <c r="H167" i="25"/>
  <c r="L167" i="25" s="1"/>
  <c r="D271" i="45"/>
  <c r="E271" i="45" s="1"/>
  <c r="J339" i="25"/>
  <c r="I269" i="45" s="1"/>
  <c r="J269" i="45" s="1"/>
  <c r="L282" i="25"/>
  <c r="M281" i="25" s="1"/>
  <c r="I263" i="45" s="1"/>
  <c r="J263" i="45" s="1"/>
  <c r="D261" i="45"/>
  <c r="E261" i="45" s="1"/>
  <c r="O388" i="25"/>
  <c r="M223" i="25"/>
  <c r="D255" i="45" s="1"/>
  <c r="E255" i="45" s="1"/>
  <c r="E256" i="45" s="1"/>
  <c r="J49" i="25"/>
  <c r="D229" i="7" s="1"/>
  <c r="EL229" i="7" s="1"/>
  <c r="H341" i="25"/>
  <c r="H342" i="25" s="1"/>
  <c r="J341" i="25" s="1"/>
  <c r="E269" i="7" s="1"/>
  <c r="CD269" i="7" s="1"/>
  <c r="J194" i="25"/>
  <c r="D249" i="7" s="1"/>
  <c r="EL249" i="7" s="1"/>
  <c r="L51" i="25"/>
  <c r="O185" i="25"/>
  <c r="O417" i="25"/>
  <c r="L50" i="25"/>
  <c r="M49" i="25" s="1"/>
  <c r="D231" i="45" s="1"/>
  <c r="E231" i="45" s="1"/>
  <c r="L427" i="25"/>
  <c r="M426" i="25" s="1"/>
  <c r="D283" i="7" s="1"/>
  <c r="H283" i="25"/>
  <c r="H284" i="25" s="1"/>
  <c r="H285" i="25" s="1"/>
  <c r="L285" i="25" s="1"/>
  <c r="O243" i="25"/>
  <c r="I261" i="45"/>
  <c r="J261" i="45" s="1"/>
  <c r="H400" i="25"/>
  <c r="O389" i="25" s="1"/>
  <c r="H80" i="25"/>
  <c r="L80" i="25" s="1"/>
  <c r="J397" i="25"/>
  <c r="D277" i="45" s="1"/>
  <c r="E277" i="45" s="1"/>
  <c r="O40" i="25"/>
  <c r="EL261" i="7"/>
  <c r="CB227" i="7"/>
  <c r="EN266" i="7"/>
  <c r="J20" i="25"/>
  <c r="D225" i="45" s="1"/>
  <c r="E225" i="45" s="1"/>
  <c r="CP262" i="7"/>
  <c r="L166" i="25"/>
  <c r="M165" i="25" s="1"/>
  <c r="I247" i="45" s="1"/>
  <c r="J247" i="45" s="1"/>
  <c r="I245" i="45"/>
  <c r="J245" i="45" s="1"/>
  <c r="O156" i="25"/>
  <c r="W34" i="22"/>
  <c r="AG18" i="25" s="1"/>
  <c r="O272" i="25"/>
  <c r="H22" i="25"/>
  <c r="L22" i="25" s="1"/>
  <c r="E343" i="25"/>
  <c r="F270" i="7" s="1"/>
  <c r="CL270" i="7" s="1"/>
  <c r="E40" i="52"/>
  <c r="D245" i="45"/>
  <c r="E245" i="45" s="1"/>
  <c r="C345" i="25"/>
  <c r="C346" i="25" s="1"/>
  <c r="K346" i="25" s="1"/>
  <c r="CB245" i="7"/>
  <c r="K286" i="25"/>
  <c r="C287" i="25"/>
  <c r="C288" i="25" s="1"/>
  <c r="K288" i="25" s="1"/>
  <c r="L398" i="25"/>
  <c r="M397" i="25" s="1"/>
  <c r="D279" i="7" s="1"/>
  <c r="EL279" i="7" s="1"/>
  <c r="D227" i="45"/>
  <c r="E227" i="45" s="1"/>
  <c r="D267" i="7"/>
  <c r="EL267" i="7" s="1"/>
  <c r="D273" i="7"/>
  <c r="EL273" i="7" s="1"/>
  <c r="I227" i="45"/>
  <c r="J227" i="45" s="1"/>
  <c r="L79" i="25"/>
  <c r="M78" i="25" s="1"/>
  <c r="I235" i="45" s="1"/>
  <c r="J235" i="45" s="1"/>
  <c r="C316" i="25"/>
  <c r="K316" i="25" s="1"/>
  <c r="O301" i="25"/>
  <c r="I267" i="45"/>
  <c r="J267" i="45" s="1"/>
  <c r="O11" i="25"/>
  <c r="J310" i="25"/>
  <c r="D265" i="7" s="1"/>
  <c r="CB265" i="7" s="1"/>
  <c r="J78" i="25"/>
  <c r="D233" i="7" s="1"/>
  <c r="EL233" i="7" s="1"/>
  <c r="I273" i="45"/>
  <c r="J273" i="45" s="1"/>
  <c r="J276" i="45" s="1"/>
  <c r="D6" i="52"/>
  <c r="H312" i="25"/>
  <c r="H313" i="25" s="1"/>
  <c r="H314" i="25" s="1"/>
  <c r="H315" i="25" s="1"/>
  <c r="H316" i="25" s="1"/>
  <c r="O360" i="25"/>
  <c r="J370" i="25"/>
  <c r="E273" i="7" s="1"/>
  <c r="D253" i="7"/>
  <c r="EL253" i="7" s="1"/>
  <c r="H372" i="25"/>
  <c r="H373" i="25" s="1"/>
  <c r="O361" i="25" s="1"/>
  <c r="I253" i="45"/>
  <c r="J253" i="45" s="1"/>
  <c r="H149" i="7"/>
  <c r="H154" i="7" s="1"/>
  <c r="J134" i="7"/>
  <c r="O51" i="35" s="1"/>
  <c r="L17" i="23"/>
  <c r="T15" i="23"/>
  <c r="T17" i="23" s="1"/>
  <c r="S17" i="23"/>
  <c r="G39" i="52"/>
  <c r="H39" i="52" s="1"/>
  <c r="H50" i="52" s="1"/>
  <c r="EN149" i="7"/>
  <c r="EN154" i="7" s="1"/>
  <c r="Q125" i="21"/>
  <c r="P126" i="21"/>
  <c r="Q126" i="21" s="1"/>
  <c r="E113" i="56" a="1"/>
  <c r="E113" i="56" s="1"/>
  <c r="F104" i="56" a="1"/>
  <c r="F104" i="56" s="1"/>
  <c r="P113" i="21"/>
  <c r="T113" i="21" s="1"/>
  <c r="I35" i="51"/>
  <c r="J35" i="51" s="1"/>
  <c r="S163" i="21"/>
  <c r="P165" i="21"/>
  <c r="R165" i="21"/>
  <c r="R166" i="21" s="1"/>
  <c r="R167" i="21" s="1"/>
  <c r="R168" i="21" s="1"/>
  <c r="R169" i="21" s="1"/>
  <c r="R170" i="21" s="1"/>
  <c r="D122" i="56" a="1"/>
  <c r="D122" i="56" s="1"/>
  <c r="P139" i="21"/>
  <c r="T72" i="21"/>
  <c r="H77" i="56" a="1"/>
  <c r="H77" i="56" s="1"/>
  <c r="Q72" i="21"/>
  <c r="P152" i="21"/>
  <c r="C131" i="56" a="1"/>
  <c r="C131" i="56" s="1"/>
  <c r="H86" i="56" a="1"/>
  <c r="H86" i="56" s="1"/>
  <c r="T86" i="21"/>
  <c r="Q86" i="21"/>
  <c r="I54" i="51" s="1"/>
  <c r="J54" i="51" s="1"/>
  <c r="P100" i="21"/>
  <c r="G95" i="56" a="1"/>
  <c r="G95" i="56" s="1"/>
  <c r="Q99" i="21"/>
  <c r="H106" i="7"/>
  <c r="I44" i="51"/>
  <c r="J44" i="51" s="1"/>
  <c r="Q112" i="21"/>
  <c r="T58" i="21"/>
  <c r="H68" i="56" a="1"/>
  <c r="H68" i="56" s="1"/>
  <c r="Q58" i="21"/>
  <c r="E405" i="25"/>
  <c r="H278" i="7" s="1"/>
  <c r="EP278" i="7" s="1"/>
  <c r="K405" i="25"/>
  <c r="C407" i="25"/>
  <c r="C408" i="25" s="1"/>
  <c r="K408" i="25" s="1"/>
  <c r="L226" i="25"/>
  <c r="M225" i="25" s="1"/>
  <c r="E255" i="7" s="1"/>
  <c r="CC255" i="7" s="1"/>
  <c r="H228" i="25"/>
  <c r="H229" i="25" s="1"/>
  <c r="O215" i="25"/>
  <c r="J225" i="25"/>
  <c r="E253" i="7" s="1"/>
  <c r="D275" i="45"/>
  <c r="E275" i="45" s="1"/>
  <c r="E276" i="45" s="1"/>
  <c r="D275" i="7"/>
  <c r="CB275" i="7" s="1"/>
  <c r="BY146" i="7"/>
  <c r="J57" i="7"/>
  <c r="BY57" i="7" s="1"/>
  <c r="K57" i="7" s="1"/>
  <c r="T37" i="22"/>
  <c r="AD21" i="25" s="1"/>
  <c r="J49" i="7"/>
  <c r="BY49" i="7" s="1"/>
  <c r="K49" i="7" s="1"/>
  <c r="J47" i="7"/>
  <c r="BY47" i="7" s="1"/>
  <c r="K47" i="7" s="1"/>
  <c r="J61" i="7"/>
  <c r="BY61" i="7" s="1"/>
  <c r="K61" i="7" s="1"/>
  <c r="ER132" i="7"/>
  <c r="HG132" i="7" s="1"/>
  <c r="J55" i="7"/>
  <c r="BY55" i="7" s="1"/>
  <c r="K55" i="7" s="1"/>
  <c r="J51" i="7"/>
  <c r="BY51" i="7" s="1"/>
  <c r="K51" i="7" s="1"/>
  <c r="J132" i="7"/>
  <c r="BY132" i="7" s="1"/>
  <c r="M307" i="25"/>
  <c r="EQ52" i="7"/>
  <c r="ER52" i="7" s="1"/>
  <c r="HG52" i="7" s="1"/>
  <c r="J59" i="7"/>
  <c r="BY59" i="7" s="1"/>
  <c r="K59" i="7" s="1"/>
  <c r="M423" i="25"/>
  <c r="J128" i="7"/>
  <c r="BY128" i="7" s="1"/>
  <c r="EQ54" i="7"/>
  <c r="ER54" i="7" s="1"/>
  <c r="HG54" i="7" s="1"/>
  <c r="ER124" i="7"/>
  <c r="HG124" i="7" s="1"/>
  <c r="BY136" i="7"/>
  <c r="I62" i="7"/>
  <c r="K62" i="7" s="1"/>
  <c r="J58" i="7"/>
  <c r="BY58" i="7" s="1"/>
  <c r="K58" i="7" s="1"/>
  <c r="J56" i="7"/>
  <c r="BY56" i="7" s="1"/>
  <c r="K56" i="7" s="1"/>
  <c r="M46" i="25"/>
  <c r="BY135" i="7"/>
  <c r="J102" i="7"/>
  <c r="F406" i="25"/>
  <c r="F407" i="25" s="1"/>
  <c r="BY144" i="7"/>
  <c r="J103" i="7"/>
  <c r="ER103" i="7"/>
  <c r="HG103" i="7" s="1"/>
  <c r="EQ104" i="7"/>
  <c r="ER104" i="7" s="1"/>
  <c r="HG104" i="7" s="1"/>
  <c r="J104" i="7"/>
  <c r="F377" i="25"/>
  <c r="F378" i="25" s="1"/>
  <c r="BY139" i="7"/>
  <c r="J50" i="7"/>
  <c r="BY50" i="7" s="1"/>
  <c r="K50" i="7" s="1"/>
  <c r="I142" i="21"/>
  <c r="D90" i="51" s="1"/>
  <c r="H121" i="56" a="1"/>
  <c r="H121" i="56" s="1"/>
  <c r="I138" i="21"/>
  <c r="D86" i="51" s="1"/>
  <c r="D121" i="56" a="1"/>
  <c r="D121" i="56" s="1"/>
  <c r="EQ50" i="7"/>
  <c r="ER50" i="7" s="1"/>
  <c r="HG50" i="7" s="1"/>
  <c r="I141" i="21"/>
  <c r="D89" i="51" s="1"/>
  <c r="G121" i="56" a="1"/>
  <c r="G121" i="56" s="1"/>
  <c r="J60" i="7"/>
  <c r="BY60" i="7" s="1"/>
  <c r="K60" i="7" s="1"/>
  <c r="M191" i="25"/>
  <c r="BY142" i="7"/>
  <c r="BY148" i="7"/>
  <c r="J124" i="7"/>
  <c r="BY124" i="7" s="1"/>
  <c r="G95" i="52"/>
  <c r="H95" i="52" s="1"/>
  <c r="ER135" i="7"/>
  <c r="HG135" i="7" s="1"/>
  <c r="G85" i="51"/>
  <c r="C125" i="56" a="1"/>
  <c r="C125" i="56" s="1"/>
  <c r="C124" i="56" a="1"/>
  <c r="C124" i="56" s="1"/>
  <c r="C123" i="56" a="1"/>
  <c r="C123" i="56" s="1"/>
  <c r="BY138" i="7"/>
  <c r="EQ143" i="7"/>
  <c r="ER143" i="7" s="1"/>
  <c r="HG143" i="7" s="1"/>
  <c r="J143" i="7"/>
  <c r="D125" i="56" a="1"/>
  <c r="D125" i="56" s="1"/>
  <c r="D124" i="56" a="1"/>
  <c r="D124" i="56" s="1"/>
  <c r="D123" i="56" a="1"/>
  <c r="D123" i="56" s="1"/>
  <c r="G90" i="51"/>
  <c r="H124" i="56" a="1"/>
  <c r="H124" i="56" s="1"/>
  <c r="H123" i="56" a="1"/>
  <c r="H123" i="56" s="1"/>
  <c r="H125" i="56" a="1"/>
  <c r="H125" i="56" s="1"/>
  <c r="G88" i="51"/>
  <c r="F124" i="56" a="1"/>
  <c r="F124" i="56" s="1"/>
  <c r="F123" i="56" a="1"/>
  <c r="F123" i="56" s="1"/>
  <c r="F125" i="56" a="1"/>
  <c r="F125" i="56" s="1"/>
  <c r="EQ137" i="7"/>
  <c r="I149" i="7"/>
  <c r="I154" i="7" s="1"/>
  <c r="J137" i="7"/>
  <c r="EQ141" i="7"/>
  <c r="ER141" i="7" s="1"/>
  <c r="HG141" i="7" s="1"/>
  <c r="J141" i="7"/>
  <c r="G125" i="56" a="1"/>
  <c r="G125" i="56" s="1"/>
  <c r="G124" i="56" a="1"/>
  <c r="G124" i="56" s="1"/>
  <c r="G123" i="56" a="1"/>
  <c r="G123" i="56" s="1"/>
  <c r="I139" i="21"/>
  <c r="D87" i="51" s="1"/>
  <c r="E121" i="56" a="1"/>
  <c r="E121" i="56" s="1"/>
  <c r="I137" i="21"/>
  <c r="D85" i="51" s="1"/>
  <c r="C121" i="56" a="1"/>
  <c r="C121" i="56" s="1"/>
  <c r="G80" i="52"/>
  <c r="H80" i="52" s="1"/>
  <c r="ER136" i="7"/>
  <c r="HG136" i="7" s="1"/>
  <c r="J53" i="7"/>
  <c r="BY53" i="7" s="1"/>
  <c r="K53" i="7" s="1"/>
  <c r="E124" i="56" a="1"/>
  <c r="E124" i="56" s="1"/>
  <c r="E123" i="56" a="1"/>
  <c r="E123" i="56" s="1"/>
  <c r="E125" i="56" a="1"/>
  <c r="E125" i="56" s="1"/>
  <c r="EP149" i="7"/>
  <c r="EP154" i="7" s="1"/>
  <c r="BY140" i="7"/>
  <c r="BY145" i="7"/>
  <c r="BY147" i="7"/>
  <c r="F348" i="25"/>
  <c r="F349" i="25" s="1"/>
  <c r="V35" i="22"/>
  <c r="AF19" i="25" s="1"/>
  <c r="F145" i="25"/>
  <c r="F146" i="25" s="1"/>
  <c r="F174" i="25"/>
  <c r="F175" i="25" s="1"/>
  <c r="F435" i="25"/>
  <c r="F436" i="25" s="1"/>
  <c r="F29" i="25"/>
  <c r="F30" i="25" s="1"/>
  <c r="F116" i="25"/>
  <c r="F117" i="25" s="1"/>
  <c r="EL36" i="7"/>
  <c r="ER36" i="7" s="1"/>
  <c r="HG36" i="7" s="1"/>
  <c r="D37" i="45"/>
  <c r="E37" i="45" s="1"/>
  <c r="Q123" i="21"/>
  <c r="G37" i="7"/>
  <c r="EO37" i="7" s="1"/>
  <c r="H37" i="7"/>
  <c r="EP37" i="7" s="1"/>
  <c r="CG92" i="7"/>
  <c r="CC92" i="7"/>
  <c r="CL92" i="7"/>
  <c r="CH92" i="7"/>
  <c r="I51" i="51"/>
  <c r="J51" i="51" s="1"/>
  <c r="CK92" i="7"/>
  <c r="CJ92" i="7"/>
  <c r="CI92" i="7"/>
  <c r="CF92" i="7"/>
  <c r="E92" i="7"/>
  <c r="EM92" i="7" s="1"/>
  <c r="CD92" i="7"/>
  <c r="CE92" i="7"/>
  <c r="EO149" i="7"/>
  <c r="EO154" i="7" s="1"/>
  <c r="ER134" i="7"/>
  <c r="CM154" i="7"/>
  <c r="CP154" i="7" s="1"/>
  <c r="CP149" i="7"/>
  <c r="I53" i="51"/>
  <c r="J53" i="51" s="1"/>
  <c r="D92" i="7"/>
  <c r="EL92" i="7" s="1"/>
  <c r="I49" i="51"/>
  <c r="J49" i="51" s="1"/>
  <c r="D92" i="45"/>
  <c r="E92" i="45" s="1"/>
  <c r="AA87" i="21"/>
  <c r="F36" i="45"/>
  <c r="S87" i="21"/>
  <c r="AB87" i="21"/>
  <c r="FU297" i="7"/>
  <c r="FY297" i="7"/>
  <c r="FY299" i="7" s="1"/>
  <c r="BS156" i="7"/>
  <c r="FP299" i="7"/>
  <c r="BG297" i="7"/>
  <c r="BG299" i="7" s="1"/>
  <c r="AO299" i="7"/>
  <c r="G87" i="25"/>
  <c r="G88" i="25" s="1"/>
  <c r="AG61" i="26"/>
  <c r="AK61" i="26" s="1"/>
  <c r="AM61" i="26" s="1"/>
  <c r="G261" i="25"/>
  <c r="G262" i="25" s="1"/>
  <c r="O418" i="25"/>
  <c r="AM295" i="7"/>
  <c r="D21" i="39" s="1"/>
  <c r="BW156" i="7"/>
  <c r="O41" i="25"/>
  <c r="E26" i="33"/>
  <c r="H81" i="51"/>
  <c r="GG295" i="7"/>
  <c r="BX155" i="7"/>
  <c r="W43" i="36" s="1"/>
  <c r="Y43" i="36" s="1"/>
  <c r="F165" i="26"/>
  <c r="N165" i="26" s="1"/>
  <c r="AB165" i="26" s="1"/>
  <c r="H79" i="51"/>
  <c r="GM156" i="7"/>
  <c r="GM290" i="7" s="1"/>
  <c r="GM297" i="7" s="1"/>
  <c r="P12" i="44"/>
  <c r="P152" i="26"/>
  <c r="BK25" i="26" s="1"/>
  <c r="N152" i="26"/>
  <c r="AB152" i="26" s="1"/>
  <c r="AF152" i="26"/>
  <c r="AL152" i="26" s="1"/>
  <c r="I37" i="7"/>
  <c r="EQ37" i="7" s="1"/>
  <c r="V47" i="26"/>
  <c r="BI14" i="26"/>
  <c r="FV297" i="7"/>
  <c r="FV299" i="7" s="1"/>
  <c r="H57" i="52"/>
  <c r="H67" i="52" s="1"/>
  <c r="S11" i="44"/>
  <c r="AG132" i="26"/>
  <c r="AK132" i="26" s="1"/>
  <c r="AM132" i="26" s="1"/>
  <c r="F26" i="33"/>
  <c r="Y10" i="33"/>
  <c r="GB297" i="7"/>
  <c r="GH297" i="7" s="1"/>
  <c r="C27" i="33"/>
  <c r="GK156" i="7"/>
  <c r="GK290" i="7" s="1"/>
  <c r="V118" i="26"/>
  <c r="O75" i="35"/>
  <c r="FM295" i="7"/>
  <c r="GG299" i="7"/>
  <c r="V10" i="33"/>
  <c r="AQ26" i="26"/>
  <c r="CP36" i="7"/>
  <c r="FT297" i="7"/>
  <c r="AN295" i="7"/>
  <c r="E21" i="39" s="1"/>
  <c r="BI11" i="26"/>
  <c r="AM117" i="26"/>
  <c r="N148" i="26"/>
  <c r="AB148" i="26" s="1"/>
  <c r="H76" i="51"/>
  <c r="G290" i="25"/>
  <c r="G291" i="25" s="1"/>
  <c r="D37" i="7"/>
  <c r="CB37" i="7" s="1"/>
  <c r="G58" i="25"/>
  <c r="G59" i="25" s="1"/>
  <c r="G406" i="25"/>
  <c r="G407" i="25" s="1"/>
  <c r="V104" i="26"/>
  <c r="P148" i="26"/>
  <c r="BK21" i="26" s="1"/>
  <c r="AF148" i="26"/>
  <c r="AL148" i="26" s="1"/>
  <c r="P147" i="26"/>
  <c r="BK20" i="26" s="1"/>
  <c r="N147" i="26"/>
  <c r="Q77" i="35" s="1"/>
  <c r="S10" i="33"/>
  <c r="AF147" i="26"/>
  <c r="AL147" i="26" s="1"/>
  <c r="CG285" i="7"/>
  <c r="CG291" i="7" s="1"/>
  <c r="I133" i="7"/>
  <c r="K133" i="7" s="1"/>
  <c r="N142" i="21"/>
  <c r="GL156" i="7"/>
  <c r="GL290" i="7" s="1"/>
  <c r="P151" i="26"/>
  <c r="BK24" i="26" s="1"/>
  <c r="AF151" i="26"/>
  <c r="AL151" i="26" s="1"/>
  <c r="I37" i="45"/>
  <c r="J37" i="45" s="1"/>
  <c r="AA151" i="26"/>
  <c r="F164" i="26"/>
  <c r="AF164" i="26" s="1"/>
  <c r="AL164" i="26" s="1"/>
  <c r="BF292" i="7"/>
  <c r="BF293" i="7" s="1"/>
  <c r="BF298" i="7" s="1"/>
  <c r="AB10" i="33"/>
  <c r="AB11" i="44"/>
  <c r="AV295" i="7"/>
  <c r="E22" i="39" s="1"/>
  <c r="N137" i="21"/>
  <c r="AV299" i="7"/>
  <c r="BY35" i="7"/>
  <c r="P150" i="26"/>
  <c r="BK23" i="26" s="1"/>
  <c r="AK118" i="26"/>
  <c r="AM118" i="26" s="1"/>
  <c r="GN156" i="7"/>
  <c r="HD156" i="7" s="1"/>
  <c r="GF295" i="7"/>
  <c r="N150" i="26"/>
  <c r="AB150" i="26" s="1"/>
  <c r="BI13" i="26"/>
  <c r="BF297" i="7"/>
  <c r="N141" i="21"/>
  <c r="AG76" i="26"/>
  <c r="AK76" i="26" s="1"/>
  <c r="AM76" i="26" s="1"/>
  <c r="AA150" i="26"/>
  <c r="AK47" i="26"/>
  <c r="AM47" i="26" s="1"/>
  <c r="BH156" i="7"/>
  <c r="BH290" i="7" s="1"/>
  <c r="AK104" i="26"/>
  <c r="AM104" i="26" s="1"/>
  <c r="EP22" i="7"/>
  <c r="BY54" i="7"/>
  <c r="K54" i="7" s="1"/>
  <c r="F85" i="25"/>
  <c r="K143" i="25"/>
  <c r="C144" i="25"/>
  <c r="G112" i="25"/>
  <c r="F287" i="25"/>
  <c r="E142" i="25"/>
  <c r="G141" i="25"/>
  <c r="EO278" i="7"/>
  <c r="AJ62" i="26"/>
  <c r="U62" i="26"/>
  <c r="F259" i="25"/>
  <c r="I121" i="26"/>
  <c r="AH120" i="26"/>
  <c r="W120" i="26"/>
  <c r="G87" i="51"/>
  <c r="F139" i="21"/>
  <c r="E139" i="21"/>
  <c r="T112" i="21"/>
  <c r="F21" i="45"/>
  <c r="F161" i="21"/>
  <c r="F160" i="21"/>
  <c r="B160" i="21"/>
  <c r="B161" i="21"/>
  <c r="B52" i="40" s="1"/>
  <c r="W92" i="26"/>
  <c r="AH92" i="26"/>
  <c r="H430" i="25"/>
  <c r="L429" i="25"/>
  <c r="J90" i="45"/>
  <c r="EM90" i="7"/>
  <c r="Y25" i="36"/>
  <c r="G435" i="25"/>
  <c r="G436" i="25" s="1"/>
  <c r="EN242" i="7"/>
  <c r="CL242" i="7"/>
  <c r="G89" i="51"/>
  <c r="K77" i="26"/>
  <c r="V77" i="26" s="1"/>
  <c r="T109" i="21"/>
  <c r="EQ121" i="7"/>
  <c r="ER121" i="7" s="1"/>
  <c r="HG121" i="7" s="1"/>
  <c r="J121" i="7"/>
  <c r="BY121" i="7" s="1"/>
  <c r="N140" i="21"/>
  <c r="O140" i="21"/>
  <c r="P23" i="35"/>
  <c r="Y140" i="21"/>
  <c r="W106" i="26"/>
  <c r="I107" i="26"/>
  <c r="AH106" i="26"/>
  <c r="CP90" i="7"/>
  <c r="D157" i="26"/>
  <c r="H162" i="26" s="1"/>
  <c r="B157" i="26"/>
  <c r="G162" i="26" s="1"/>
  <c r="I155" i="26"/>
  <c r="F162" i="26"/>
  <c r="U119" i="26"/>
  <c r="G120" i="26"/>
  <c r="AJ119" i="26"/>
  <c r="G25" i="25"/>
  <c r="CG22" i="7"/>
  <c r="CD22" i="7"/>
  <c r="CF22" i="7"/>
  <c r="CE22" i="7"/>
  <c r="CC22" i="7"/>
  <c r="E22" i="7"/>
  <c r="EM22" i="7" s="1"/>
  <c r="E177" i="26"/>
  <c r="D178" i="26"/>
  <c r="F172" i="26"/>
  <c r="I177" i="26" s="1"/>
  <c r="E178" i="26"/>
  <c r="D180" i="26"/>
  <c r="D181" i="26"/>
  <c r="E180" i="26"/>
  <c r="D177" i="26"/>
  <c r="B171" i="26"/>
  <c r="D179" i="26"/>
  <c r="E179" i="26"/>
  <c r="E181" i="26"/>
  <c r="D182" i="26"/>
  <c r="E182" i="26"/>
  <c r="CP266" i="7"/>
  <c r="CL268" i="7"/>
  <c r="G108" i="7"/>
  <c r="EO108" i="7" s="1"/>
  <c r="AL136" i="26"/>
  <c r="M141" i="21"/>
  <c r="EL271" i="7"/>
  <c r="CB271" i="7"/>
  <c r="G315" i="25"/>
  <c r="AJ77" i="26"/>
  <c r="U77" i="26"/>
  <c r="F317" i="25"/>
  <c r="H134" i="26"/>
  <c r="K133" i="26"/>
  <c r="V133" i="26" s="1"/>
  <c r="AF149" i="26"/>
  <c r="AL149" i="26" s="1"/>
  <c r="AA149" i="26"/>
  <c r="N149" i="26"/>
  <c r="AB149" i="26" s="1"/>
  <c r="P149" i="26"/>
  <c r="EM229" i="7"/>
  <c r="CE229" i="7"/>
  <c r="CD229" i="7"/>
  <c r="CC229" i="7"/>
  <c r="H53" i="25"/>
  <c r="L52" i="25"/>
  <c r="BY91" i="7"/>
  <c r="M142" i="21"/>
  <c r="F138" i="21"/>
  <c r="E138" i="21"/>
  <c r="T111" i="21"/>
  <c r="F108" i="7"/>
  <c r="EN108" i="7" s="1"/>
  <c r="CL108" i="7"/>
  <c r="CK108" i="7"/>
  <c r="T110" i="21"/>
  <c r="G348" i="25"/>
  <c r="G349" i="25" s="1"/>
  <c r="K20" i="7"/>
  <c r="ER47" i="7"/>
  <c r="D108" i="7"/>
  <c r="D108" i="45"/>
  <c r="E108" i="45" s="1"/>
  <c r="I108" i="45"/>
  <c r="J108" i="45" s="1"/>
  <c r="H120" i="26"/>
  <c r="K119" i="26"/>
  <c r="V119" i="26" s="1"/>
  <c r="H148" i="26"/>
  <c r="K147" i="26"/>
  <c r="AG147" i="26" s="1"/>
  <c r="BL14" i="26"/>
  <c r="BL9" i="26"/>
  <c r="BK13" i="26"/>
  <c r="BL13" i="26"/>
  <c r="BL12" i="26"/>
  <c r="BL11" i="26"/>
  <c r="BL10" i="26"/>
  <c r="BL290" i="7"/>
  <c r="BL297" i="7" s="1"/>
  <c r="W162" i="26"/>
  <c r="AH162" i="26"/>
  <c r="I163" i="26"/>
  <c r="W134" i="26"/>
  <c r="I135" i="26"/>
  <c r="AH134" i="26"/>
  <c r="G228" i="25"/>
  <c r="L227" i="25"/>
  <c r="AA25" i="36"/>
  <c r="V24" i="36"/>
  <c r="J185" i="36"/>
  <c r="E129" i="21"/>
  <c r="F130" i="21" s="1"/>
  <c r="R19" i="35" s="1"/>
  <c r="C130" i="21"/>
  <c r="Q19" i="35" s="1"/>
  <c r="BD297" i="7"/>
  <c r="BV290" i="7"/>
  <c r="Y18" i="33" s="1"/>
  <c r="BI12" i="26"/>
  <c r="P138" i="26"/>
  <c r="BI20" i="26"/>
  <c r="BI26" i="26" s="1"/>
  <c r="F129" i="21"/>
  <c r="E231" i="25"/>
  <c r="K232" i="25"/>
  <c r="C233" i="25"/>
  <c r="N139" i="21"/>
  <c r="F142" i="21"/>
  <c r="E142" i="21"/>
  <c r="K62" i="26"/>
  <c r="V62" i="26" s="1"/>
  <c r="CL252" i="7"/>
  <c r="CP250" i="7"/>
  <c r="C94" i="51"/>
  <c r="C156" i="21"/>
  <c r="F95" i="51"/>
  <c r="C151" i="21"/>
  <c r="C155" i="21"/>
  <c r="B98" i="51"/>
  <c r="F94" i="51"/>
  <c r="F97" i="51"/>
  <c r="E98" i="51"/>
  <c r="U149" i="21"/>
  <c r="E99" i="51"/>
  <c r="C154" i="21"/>
  <c r="C153" i="21"/>
  <c r="C152" i="21"/>
  <c r="B96" i="51"/>
  <c r="K151" i="21"/>
  <c r="B99" i="51"/>
  <c r="L151" i="21"/>
  <c r="F96" i="51"/>
  <c r="L147" i="21"/>
  <c r="O149" i="21"/>
  <c r="B97" i="51"/>
  <c r="E96" i="51"/>
  <c r="F98" i="51"/>
  <c r="F99" i="51"/>
  <c r="E95" i="51"/>
  <c r="E97" i="51"/>
  <c r="E94" i="51"/>
  <c r="B94" i="51"/>
  <c r="B95" i="51"/>
  <c r="K152" i="21"/>
  <c r="L152" i="21"/>
  <c r="C95" i="51"/>
  <c r="C96" i="51"/>
  <c r="K153" i="21"/>
  <c r="L153" i="21"/>
  <c r="K154" i="21"/>
  <c r="C97" i="51"/>
  <c r="L154" i="21"/>
  <c r="L155" i="21"/>
  <c r="K155" i="21"/>
  <c r="C98" i="51"/>
  <c r="L156" i="21"/>
  <c r="K156" i="21"/>
  <c r="C99" i="51"/>
  <c r="F163" i="26"/>
  <c r="U91" i="26"/>
  <c r="G92" i="26"/>
  <c r="AJ91" i="26"/>
  <c r="EQ119" i="7"/>
  <c r="ER119" i="7" s="1"/>
  <c r="HG119" i="7" s="1"/>
  <c r="J119" i="7"/>
  <c r="BY119" i="7" s="1"/>
  <c r="F141" i="21"/>
  <c r="E141" i="21"/>
  <c r="J36" i="7"/>
  <c r="HA155" i="7"/>
  <c r="HF155" i="7" s="1"/>
  <c r="E37" i="7"/>
  <c r="EM37" i="7" s="1"/>
  <c r="CG37" i="7"/>
  <c r="H77" i="51"/>
  <c r="CF37" i="7"/>
  <c r="AJ133" i="26"/>
  <c r="G134" i="26"/>
  <c r="U133" i="26"/>
  <c r="P10" i="33"/>
  <c r="CL276" i="7"/>
  <c r="CP274" i="7"/>
  <c r="G170" i="25"/>
  <c r="N138" i="21"/>
  <c r="Q138" i="21" s="1"/>
  <c r="F137" i="21"/>
  <c r="E137" i="21"/>
  <c r="C143" i="21"/>
  <c r="BY52" i="7"/>
  <c r="K52" i="7" s="1"/>
  <c r="G377" i="25"/>
  <c r="G378" i="25" s="1"/>
  <c r="C39" i="7"/>
  <c r="EK39" i="7" s="1"/>
  <c r="C24" i="7"/>
  <c r="EK24" i="7" s="1"/>
  <c r="C39" i="45"/>
  <c r="A51" i="40"/>
  <c r="C97" i="7"/>
  <c r="EK97" i="7" s="1"/>
  <c r="C112" i="7"/>
  <c r="EK112" i="7" s="1"/>
  <c r="C112" i="45"/>
  <c r="C24" i="45"/>
  <c r="C97" i="45"/>
  <c r="CC275" i="7"/>
  <c r="CD275" i="7"/>
  <c r="EM275" i="7"/>
  <c r="CE275" i="7"/>
  <c r="BJ15" i="26"/>
  <c r="F55" i="25"/>
  <c r="W143" i="21"/>
  <c r="J21" i="45"/>
  <c r="I22" i="45"/>
  <c r="J22" i="45" s="1"/>
  <c r="D22" i="45"/>
  <c r="E22" i="45" s="1"/>
  <c r="D22" i="7"/>
  <c r="O129" i="21"/>
  <c r="EQ123" i="7"/>
  <c r="ER123" i="7" s="1"/>
  <c r="HG123" i="7" s="1"/>
  <c r="J123" i="7"/>
  <c r="EM281" i="7"/>
  <c r="CC281" i="7"/>
  <c r="CE281" i="7"/>
  <c r="CD281" i="7"/>
  <c r="G199" i="25"/>
  <c r="EO21" i="7"/>
  <c r="E90" i="45"/>
  <c r="ER20" i="7"/>
  <c r="EN90" i="7"/>
  <c r="H106" i="26"/>
  <c r="K105" i="26"/>
  <c r="AG105" i="26" s="1"/>
  <c r="CL22" i="7"/>
  <c r="CK22" i="7"/>
  <c r="CI22" i="7"/>
  <c r="CJ22" i="7"/>
  <c r="CH22" i="7"/>
  <c r="F22" i="7"/>
  <c r="GO156" i="7"/>
  <c r="GO290" i="7" s="1"/>
  <c r="GO292" i="7" s="1"/>
  <c r="GO293" i="7" s="1"/>
  <c r="GO298" i="7" s="1"/>
  <c r="BD292" i="7"/>
  <c r="BD293" i="7" s="1"/>
  <c r="BD298" i="7" s="1"/>
  <c r="C26" i="33"/>
  <c r="BI10" i="26"/>
  <c r="AG90" i="26"/>
  <c r="AK90" i="26" s="1"/>
  <c r="AM90" i="26" s="1"/>
  <c r="W148" i="26"/>
  <c r="I149" i="26"/>
  <c r="AH148" i="26"/>
  <c r="Z98" i="21"/>
  <c r="AA98" i="21" s="1"/>
  <c r="AB98" i="21" s="1"/>
  <c r="U98" i="21"/>
  <c r="S98" i="21"/>
  <c r="I61" i="51" s="1"/>
  <c r="J61" i="51" s="1"/>
  <c r="F232" i="25"/>
  <c r="CL37" i="7"/>
  <c r="CK37" i="7"/>
  <c r="H78" i="51"/>
  <c r="F37" i="7"/>
  <c r="EN37" i="7" s="1"/>
  <c r="Y129" i="21"/>
  <c r="G86" i="51"/>
  <c r="P21" i="35"/>
  <c r="Y138" i="21"/>
  <c r="O138" i="21"/>
  <c r="I140" i="21"/>
  <c r="D88" i="51" s="1"/>
  <c r="M140" i="21"/>
  <c r="S95" i="21"/>
  <c r="Z95" i="21"/>
  <c r="AA95" i="21" s="1"/>
  <c r="U95" i="21"/>
  <c r="G148" i="26"/>
  <c r="U147" i="26"/>
  <c r="AJ147" i="26"/>
  <c r="W151" i="21"/>
  <c r="W152" i="21"/>
  <c r="W153" i="21"/>
  <c r="W156" i="21"/>
  <c r="W155" i="21"/>
  <c r="W154" i="21"/>
  <c r="X151" i="21"/>
  <c r="X156" i="21"/>
  <c r="X154" i="21"/>
  <c r="X155" i="21"/>
  <c r="X152" i="21"/>
  <c r="X153" i="21"/>
  <c r="X157" i="21"/>
  <c r="J158" i="21" s="1"/>
  <c r="CO22" i="7"/>
  <c r="G22" i="7"/>
  <c r="EO22" i="7" s="1"/>
  <c r="CM22" i="7"/>
  <c r="CN22" i="7"/>
  <c r="BY48" i="7"/>
  <c r="K48" i="7" s="1"/>
  <c r="BT156" i="7"/>
  <c r="CL258" i="7"/>
  <c r="EN258" i="7"/>
  <c r="Y139" i="21"/>
  <c r="P22" i="35"/>
  <c r="O139" i="21"/>
  <c r="EL90" i="7"/>
  <c r="J90" i="7"/>
  <c r="CP21" i="7"/>
  <c r="AB132" i="26"/>
  <c r="Q76" i="35"/>
  <c r="N138" i="26"/>
  <c r="P76" i="35" s="1"/>
  <c r="G106" i="26"/>
  <c r="AJ105" i="26"/>
  <c r="U105" i="26"/>
  <c r="E257" i="45"/>
  <c r="Z96" i="21"/>
  <c r="AA96" i="21" s="1"/>
  <c r="AB96" i="21" s="1"/>
  <c r="S96" i="21"/>
  <c r="I59" i="51" s="1"/>
  <c r="J59" i="51" s="1"/>
  <c r="U96" i="21"/>
  <c r="F203" i="25"/>
  <c r="EQ120" i="7"/>
  <c r="ER120" i="7" s="1"/>
  <c r="HG120" i="7" s="1"/>
  <c r="J120" i="7"/>
  <c r="BY120" i="7" s="1"/>
  <c r="F167" i="26"/>
  <c r="F140" i="21"/>
  <c r="E140" i="21"/>
  <c r="S97" i="21"/>
  <c r="I60" i="51" s="1"/>
  <c r="J60" i="51" s="1"/>
  <c r="Z97" i="21"/>
  <c r="AA97" i="21" s="1"/>
  <c r="AB97" i="21" s="1"/>
  <c r="U97" i="21"/>
  <c r="Z99" i="21"/>
  <c r="AA99" i="21" s="1"/>
  <c r="AB99" i="21" s="1"/>
  <c r="S99" i="21"/>
  <c r="H93" i="7" s="1"/>
  <c r="U99" i="21"/>
  <c r="Y137" i="21"/>
  <c r="P20" i="35"/>
  <c r="O137" i="21"/>
  <c r="BG15" i="26"/>
  <c r="EL107" i="7"/>
  <c r="CB107" i="7"/>
  <c r="CP107" i="7" s="1"/>
  <c r="G143" i="21"/>
  <c r="EL21" i="7"/>
  <c r="J21" i="7"/>
  <c r="EO90" i="7"/>
  <c r="M139" i="21"/>
  <c r="G226" i="7"/>
  <c r="O142" i="21"/>
  <c r="I23" i="7" s="1"/>
  <c r="EQ23" i="7" s="1"/>
  <c r="Y142" i="21"/>
  <c r="P25" i="35"/>
  <c r="J149" i="21"/>
  <c r="K91" i="26"/>
  <c r="V91" i="26" s="1"/>
  <c r="H92" i="26"/>
  <c r="CG108" i="7"/>
  <c r="CF108" i="7"/>
  <c r="E108" i="7"/>
  <c r="EM108" i="7" s="1"/>
  <c r="N129" i="21"/>
  <c r="Z100" i="21"/>
  <c r="AA100" i="21" s="1"/>
  <c r="AB100" i="21" s="1"/>
  <c r="S100" i="21"/>
  <c r="I93" i="7" s="1"/>
  <c r="U100" i="21"/>
  <c r="EP133" i="7"/>
  <c r="ER118" i="7"/>
  <c r="H80" i="51"/>
  <c r="F166" i="26"/>
  <c r="P24" i="35"/>
  <c r="Y141" i="21"/>
  <c r="O141" i="21"/>
  <c r="H23" i="7" s="1"/>
  <c r="EP23" i="7" s="1"/>
  <c r="M138" i="21"/>
  <c r="M137" i="21"/>
  <c r="BN297" i="7"/>
  <c r="BN292" i="7"/>
  <c r="AX299" i="7"/>
  <c r="BU156" i="7"/>
  <c r="BB297" i="7"/>
  <c r="AX295" i="7"/>
  <c r="G22" i="39" s="1"/>
  <c r="BG295" i="7"/>
  <c r="H23" i="39" s="1"/>
  <c r="BR156" i="7"/>
  <c r="FO299" i="7"/>
  <c r="GJ156" i="7"/>
  <c r="GJ290" i="7" s="1"/>
  <c r="AJ292" i="7"/>
  <c r="AJ293" i="7" s="1"/>
  <c r="BV156" i="7"/>
  <c r="FW290" i="7"/>
  <c r="EY298" i="7"/>
  <c r="EY295" i="7"/>
  <c r="FN292" i="7"/>
  <c r="FN297" i="7"/>
  <c r="FT293" i="7"/>
  <c r="FJ297" i="7"/>
  <c r="AY292" i="7"/>
  <c r="AY297" i="7"/>
  <c r="AZ297" i="7" s="1"/>
  <c r="BO290" i="7"/>
  <c r="BW290" i="7"/>
  <c r="AT298" i="7"/>
  <c r="AT295" i="7"/>
  <c r="Q299" i="7"/>
  <c r="AD298" i="7"/>
  <c r="AD295" i="7"/>
  <c r="D34" i="33"/>
  <c r="S18" i="44"/>
  <c r="S18" i="33"/>
  <c r="I18" i="39"/>
  <c r="HF117" i="7"/>
  <c r="HG87" i="7"/>
  <c r="FL298" i="7"/>
  <c r="FL295" i="7"/>
  <c r="BC292" i="7"/>
  <c r="BC297" i="7"/>
  <c r="BS290" i="7"/>
  <c r="BK290" i="7"/>
  <c r="HF149" i="7"/>
  <c r="FD293" i="7"/>
  <c r="FJ292" i="7"/>
  <c r="BE297" i="7"/>
  <c r="BE292" i="7"/>
  <c r="BE293" i="7" s="1"/>
  <c r="BE298" i="7" s="1"/>
  <c r="FZ156" i="7"/>
  <c r="FZ290" i="7" s="1"/>
  <c r="GP155" i="7"/>
  <c r="V18" i="44"/>
  <c r="E34" i="33"/>
  <c r="V18" i="33"/>
  <c r="GH292" i="7"/>
  <c r="GB293" i="7"/>
  <c r="EW299" i="7"/>
  <c r="AO295" i="7"/>
  <c r="F21" i="39" s="1"/>
  <c r="FY295" i="7"/>
  <c r="AJ297" i="7"/>
  <c r="AA298" i="7"/>
  <c r="AA295" i="7"/>
  <c r="H19" i="39" s="1"/>
  <c r="FB293" i="7"/>
  <c r="FA299" i="7"/>
  <c r="AG293" i="7"/>
  <c r="EV299" i="7"/>
  <c r="AF293" i="7"/>
  <c r="BB293" i="7"/>
  <c r="M11" i="44"/>
  <c r="B26" i="33"/>
  <c r="M10" i="33"/>
  <c r="P299" i="7"/>
  <c r="FQ292" i="7"/>
  <c r="FQ297" i="7"/>
  <c r="T298" i="7"/>
  <c r="T299" i="7" s="1"/>
  <c r="W298" i="7"/>
  <c r="W295" i="7"/>
  <c r="AW299" i="7"/>
  <c r="GP84" i="7"/>
  <c r="FX292" i="7"/>
  <c r="FX297" i="7"/>
  <c r="FV295" i="7"/>
  <c r="AW295" i="7"/>
  <c r="F22" i="39" s="1"/>
  <c r="V11" i="33"/>
  <c r="E27" i="33"/>
  <c r="V12" i="44"/>
  <c r="HF44" i="7"/>
  <c r="HG14" i="7"/>
  <c r="D27" i="33"/>
  <c r="S12" i="44"/>
  <c r="S11" i="33"/>
  <c r="EZ298" i="7"/>
  <c r="EZ295" i="7"/>
  <c r="Z298" i="7"/>
  <c r="Z295" i="7"/>
  <c r="G19" i="39" s="1"/>
  <c r="I35" i="40"/>
  <c r="I36" i="40" s="1"/>
  <c r="B14" i="40" s="1"/>
  <c r="B9" i="40" s="1"/>
  <c r="EX299" i="7"/>
  <c r="FO295" i="7"/>
  <c r="AL292" i="7"/>
  <c r="AL297" i="7"/>
  <c r="BJ290" i="7"/>
  <c r="BR290" i="7"/>
  <c r="BX83" i="7"/>
  <c r="BY83" i="7" s="1"/>
  <c r="BY78" i="7"/>
  <c r="FU293" i="7"/>
  <c r="GZ83" i="7"/>
  <c r="GZ84" i="7" s="1"/>
  <c r="HF78" i="7"/>
  <c r="T295" i="7"/>
  <c r="BM290" i="7"/>
  <c r="D149" i="21"/>
  <c r="G149" i="21"/>
  <c r="A173" i="21"/>
  <c r="O174" i="21" s="1"/>
  <c r="Q177" i="21" s="1"/>
  <c r="W32" i="22"/>
  <c r="AG16" i="25" s="1"/>
  <c r="A184" i="26"/>
  <c r="V36" i="22"/>
  <c r="AF20" i="25" s="1"/>
  <c r="V33" i="22"/>
  <c r="AF17" i="25" s="1"/>
  <c r="K376" i="25" l="1"/>
  <c r="E376" i="25"/>
  <c r="H274" i="7" s="1"/>
  <c r="EP274" i="7" s="1"/>
  <c r="C378" i="25"/>
  <c r="C379" i="25" s="1"/>
  <c r="K379" i="25" s="1"/>
  <c r="K28" i="25"/>
  <c r="CP226" i="7"/>
  <c r="C203" i="25"/>
  <c r="K203" i="25" s="1"/>
  <c r="C117" i="25"/>
  <c r="C118" i="25" s="1"/>
  <c r="K118" i="25" s="1"/>
  <c r="K116" i="25"/>
  <c r="K258" i="25"/>
  <c r="C260" i="25"/>
  <c r="K260" i="25" s="1"/>
  <c r="CL236" i="7"/>
  <c r="K259" i="25"/>
  <c r="K434" i="25"/>
  <c r="C176" i="25"/>
  <c r="K176" i="25" s="1"/>
  <c r="K173" i="25"/>
  <c r="K174" i="25"/>
  <c r="K171" i="25"/>
  <c r="E173" i="25"/>
  <c r="H246" i="7" s="1"/>
  <c r="EP246" i="7" s="1"/>
  <c r="K87" i="25"/>
  <c r="J109" i="25"/>
  <c r="E237" i="7" s="1"/>
  <c r="EM237" i="7" s="1"/>
  <c r="CP230" i="7"/>
  <c r="L110" i="25"/>
  <c r="M109" i="25" s="1"/>
  <c r="E239" i="7" s="1"/>
  <c r="E86" i="25"/>
  <c r="H234" i="7" s="1"/>
  <c r="EP234" i="7" s="1"/>
  <c r="CP246" i="7"/>
  <c r="C89" i="25"/>
  <c r="K89" i="25" s="1"/>
  <c r="C59" i="25"/>
  <c r="C60" i="25" s="1"/>
  <c r="K60" i="25" s="1"/>
  <c r="K86" i="25"/>
  <c r="E57" i="25"/>
  <c r="H230" i="7" s="1"/>
  <c r="EP230" i="7" s="1"/>
  <c r="K172" i="25"/>
  <c r="E171" i="25"/>
  <c r="G246" i="7" s="1"/>
  <c r="EO246" i="7" s="1"/>
  <c r="K57" i="25"/>
  <c r="H199" i="25"/>
  <c r="H200" i="25" s="1"/>
  <c r="H201" i="25" s="1"/>
  <c r="H202" i="25" s="1"/>
  <c r="O99" i="25"/>
  <c r="I239" i="45"/>
  <c r="J239" i="45" s="1"/>
  <c r="J240" i="45" s="1"/>
  <c r="D239" i="7"/>
  <c r="EL239" i="7" s="1"/>
  <c r="D237" i="45"/>
  <c r="D240" i="45" s="1"/>
  <c r="F240" i="45" s="1"/>
  <c r="EN230" i="7"/>
  <c r="J138" i="25"/>
  <c r="E241" i="7" s="1"/>
  <c r="EM241" i="7" s="1"/>
  <c r="D237" i="7"/>
  <c r="CB237" i="7" s="1"/>
  <c r="D241" i="45"/>
  <c r="D244" i="45" s="1"/>
  <c r="F244" i="45" s="1"/>
  <c r="J196" i="25"/>
  <c r="E249" i="7" s="1"/>
  <c r="CE249" i="7" s="1"/>
  <c r="L197" i="25"/>
  <c r="L111" i="25"/>
  <c r="CB257" i="7"/>
  <c r="I241" i="45"/>
  <c r="J241" i="45" s="1"/>
  <c r="J244" i="45" s="1"/>
  <c r="M428" i="25"/>
  <c r="E283" i="7" s="1"/>
  <c r="O186" i="25"/>
  <c r="L139" i="25"/>
  <c r="L196" i="25"/>
  <c r="L254" i="25"/>
  <c r="O128" i="25"/>
  <c r="J248" i="45"/>
  <c r="J264" i="45"/>
  <c r="J272" i="45"/>
  <c r="CB251" i="7"/>
  <c r="D244" i="7"/>
  <c r="CB241" i="7"/>
  <c r="CB244" i="7" s="1"/>
  <c r="L140" i="25"/>
  <c r="D259" i="45"/>
  <c r="E259" i="45" s="1"/>
  <c r="E260" i="45" s="1"/>
  <c r="L138" i="25"/>
  <c r="D260" i="7"/>
  <c r="L255" i="25"/>
  <c r="H256" i="25"/>
  <c r="H257" i="25" s="1"/>
  <c r="J256" i="25" s="1"/>
  <c r="CB281" i="7"/>
  <c r="I259" i="45"/>
  <c r="J259" i="45" s="1"/>
  <c r="J260" i="45" s="1"/>
  <c r="I281" i="45"/>
  <c r="J281" i="45" s="1"/>
  <c r="D263" i="7"/>
  <c r="D264" i="7" s="1"/>
  <c r="EM269" i="7"/>
  <c r="L342" i="25"/>
  <c r="D263" i="45"/>
  <c r="E263" i="45" s="1"/>
  <c r="E264" i="45" s="1"/>
  <c r="D281" i="45"/>
  <c r="E281" i="45" s="1"/>
  <c r="D269" i="45"/>
  <c r="D272" i="45" s="1"/>
  <c r="F272" i="45" s="1"/>
  <c r="L400" i="25"/>
  <c r="M399" i="25" s="1"/>
  <c r="E279" i="7" s="1"/>
  <c r="CB259" i="7"/>
  <c r="CE269" i="7"/>
  <c r="D256" i="45"/>
  <c r="F256" i="45" s="1"/>
  <c r="CC269" i="7"/>
  <c r="H401" i="25"/>
  <c r="H402" i="25" s="1"/>
  <c r="J401" i="25" s="1"/>
  <c r="J254" i="25"/>
  <c r="E257" i="7" s="1"/>
  <c r="CE257" i="7" s="1"/>
  <c r="D284" i="7"/>
  <c r="D269" i="7"/>
  <c r="CB269" i="7" s="1"/>
  <c r="CB272" i="7" s="1"/>
  <c r="H168" i="25"/>
  <c r="H169" i="25" s="1"/>
  <c r="H170" i="25" s="1"/>
  <c r="H171" i="25" s="1"/>
  <c r="H172" i="25" s="1"/>
  <c r="H173" i="25" s="1"/>
  <c r="D229" i="45"/>
  <c r="D232" i="45" s="1"/>
  <c r="F232" i="45" s="1"/>
  <c r="D255" i="7"/>
  <c r="EL255" i="7" s="1"/>
  <c r="EL256" i="7" s="1"/>
  <c r="CB229" i="7"/>
  <c r="I255" i="45"/>
  <c r="J255" i="45" s="1"/>
  <c r="J256" i="45" s="1"/>
  <c r="D231" i="7"/>
  <c r="D232" i="7" s="1"/>
  <c r="EL283" i="7"/>
  <c r="EL284" i="7" s="1"/>
  <c r="I231" i="45"/>
  <c r="J231" i="45" s="1"/>
  <c r="I272" i="45"/>
  <c r="H343" i="25"/>
  <c r="H344" i="25" s="1"/>
  <c r="J343" i="25" s="1"/>
  <c r="L341" i="25"/>
  <c r="CB283" i="7"/>
  <c r="I229" i="45"/>
  <c r="J229" i="45" s="1"/>
  <c r="K287" i="25"/>
  <c r="D249" i="45"/>
  <c r="D252" i="45" s="1"/>
  <c r="F252" i="45" s="1"/>
  <c r="D252" i="7"/>
  <c r="CB249" i="7"/>
  <c r="I249" i="45"/>
  <c r="I252" i="45" s="1"/>
  <c r="I264" i="45"/>
  <c r="L284" i="25"/>
  <c r="M51" i="25"/>
  <c r="E231" i="7" s="1"/>
  <c r="O273" i="25"/>
  <c r="H81" i="25"/>
  <c r="O70" i="25" s="1"/>
  <c r="H286" i="25"/>
  <c r="H287" i="25" s="1"/>
  <c r="H288" i="25" s="1"/>
  <c r="H289" i="25" s="1"/>
  <c r="D283" i="45"/>
  <c r="E283" i="45" s="1"/>
  <c r="D247" i="7"/>
  <c r="D248" i="7" s="1"/>
  <c r="O331" i="25"/>
  <c r="L283" i="25"/>
  <c r="J399" i="25"/>
  <c r="E277" i="7" s="1"/>
  <c r="CE277" i="7" s="1"/>
  <c r="D247" i="45"/>
  <c r="E247" i="45" s="1"/>
  <c r="E248" i="45" s="1"/>
  <c r="D225" i="7"/>
  <c r="EL225" i="7" s="1"/>
  <c r="EL228" i="7" s="1"/>
  <c r="D277" i="7"/>
  <c r="EL277" i="7" s="1"/>
  <c r="EL280" i="7" s="1"/>
  <c r="I283" i="45"/>
  <c r="J283" i="45" s="1"/>
  <c r="I277" i="45"/>
  <c r="J277" i="45" s="1"/>
  <c r="J283" i="25"/>
  <c r="E261" i="7" s="1"/>
  <c r="EM261" i="7" s="1"/>
  <c r="O302" i="25"/>
  <c r="L314" i="25"/>
  <c r="I276" i="45"/>
  <c r="I225" i="45"/>
  <c r="J225" i="45" s="1"/>
  <c r="J228" i="45" s="1"/>
  <c r="J312" i="25"/>
  <c r="E265" i="7" s="1"/>
  <c r="CC265" i="7" s="1"/>
  <c r="EN270" i="7"/>
  <c r="I248" i="45"/>
  <c r="D265" i="45"/>
  <c r="E265" i="45" s="1"/>
  <c r="E268" i="45" s="1"/>
  <c r="L313" i="25"/>
  <c r="I279" i="45"/>
  <c r="J279" i="45" s="1"/>
  <c r="D228" i="45"/>
  <c r="F228" i="45" s="1"/>
  <c r="C347" i="25"/>
  <c r="K347" i="25" s="1"/>
  <c r="E345" i="25"/>
  <c r="G270" i="7" s="1"/>
  <c r="K345" i="25"/>
  <c r="D279" i="45"/>
  <c r="E279" i="45" s="1"/>
  <c r="E280" i="45" s="1"/>
  <c r="C289" i="25"/>
  <c r="K289" i="25" s="1"/>
  <c r="CB273" i="7"/>
  <c r="CB276" i="7" s="1"/>
  <c r="CB279" i="7"/>
  <c r="L312" i="25"/>
  <c r="E287" i="25"/>
  <c r="G262" i="7" s="1"/>
  <c r="EO262" i="7" s="1"/>
  <c r="CB267" i="7"/>
  <c r="CB268" i="7" s="1"/>
  <c r="D235" i="7"/>
  <c r="D236" i="7" s="1"/>
  <c r="D235" i="45"/>
  <c r="E235" i="45" s="1"/>
  <c r="C317" i="25"/>
  <c r="K317" i="25" s="1"/>
  <c r="H23" i="25"/>
  <c r="L23" i="25" s="1"/>
  <c r="M22" i="25" s="1"/>
  <c r="E227" i="7" s="1"/>
  <c r="E228" i="45"/>
  <c r="D268" i="7"/>
  <c r="I265" i="45"/>
  <c r="I268" i="45" s="1"/>
  <c r="I233" i="45"/>
  <c r="I236" i="45" s="1"/>
  <c r="EL265" i="7"/>
  <c r="EL268" i="7" s="1"/>
  <c r="CB233" i="7"/>
  <c r="D233" i="45"/>
  <c r="E233" i="45" s="1"/>
  <c r="CB253" i="7"/>
  <c r="L372" i="25"/>
  <c r="K154" i="7"/>
  <c r="BY134" i="7"/>
  <c r="Q139" i="21"/>
  <c r="P153" i="21"/>
  <c r="D131" i="56" a="1"/>
  <c r="D131" i="56" s="1"/>
  <c r="I106" i="7"/>
  <c r="EQ106" i="7" s="1"/>
  <c r="I45" i="51"/>
  <c r="J45" i="51" s="1"/>
  <c r="Q73" i="21"/>
  <c r="H108" i="7"/>
  <c r="EP108" i="7" s="1"/>
  <c r="P140" i="21"/>
  <c r="Q140" i="21" s="1"/>
  <c r="E122" i="56" a="1"/>
  <c r="E122" i="56" s="1"/>
  <c r="H95" i="56" a="1"/>
  <c r="H95" i="56" s="1"/>
  <c r="Q100" i="21"/>
  <c r="I108" i="7" s="1"/>
  <c r="EQ108" i="7" s="1"/>
  <c r="T100" i="21"/>
  <c r="EP106" i="7"/>
  <c r="P166" i="21"/>
  <c r="C140" i="56" a="1"/>
  <c r="C140" i="56" s="1"/>
  <c r="Q59" i="21"/>
  <c r="I105" i="7"/>
  <c r="I36" i="51"/>
  <c r="J36" i="51" s="1"/>
  <c r="P114" i="21"/>
  <c r="G104" i="56" a="1"/>
  <c r="G104" i="56" s="1"/>
  <c r="Q113" i="21"/>
  <c r="E407" i="25"/>
  <c r="I278" i="7" s="1"/>
  <c r="K407" i="25"/>
  <c r="S177" i="21"/>
  <c r="R179" i="21"/>
  <c r="R180" i="21" s="1"/>
  <c r="R181" i="21" s="1"/>
  <c r="R182" i="21" s="1"/>
  <c r="R183" i="21" s="1"/>
  <c r="R184" i="21" s="1"/>
  <c r="P179" i="21"/>
  <c r="Q87" i="21"/>
  <c r="I107" i="7"/>
  <c r="P127" i="21"/>
  <c r="T127" i="21" s="1"/>
  <c r="F113" i="56" a="1"/>
  <c r="F113" i="56" s="1"/>
  <c r="EM255" i="7"/>
  <c r="CE255" i="7"/>
  <c r="CD255" i="7"/>
  <c r="E256" i="7"/>
  <c r="H230" i="25"/>
  <c r="H231" i="25" s="1"/>
  <c r="O216" i="25"/>
  <c r="D276" i="45"/>
  <c r="F276" i="45" s="1"/>
  <c r="H317" i="25"/>
  <c r="H318" i="25" s="1"/>
  <c r="J140" i="25"/>
  <c r="F241" i="7" s="1"/>
  <c r="J314" i="25"/>
  <c r="F265" i="7" s="1"/>
  <c r="H114" i="25"/>
  <c r="H115" i="25" s="1"/>
  <c r="U37" i="22"/>
  <c r="AE21" i="25" s="1"/>
  <c r="D276" i="7"/>
  <c r="EL275" i="7"/>
  <c r="EL276" i="7" s="1"/>
  <c r="J111" i="25"/>
  <c r="F237" i="7" s="1"/>
  <c r="F350" i="25"/>
  <c r="H143" i="25"/>
  <c r="H144" i="25" s="1"/>
  <c r="F31" i="25"/>
  <c r="F118" i="25"/>
  <c r="F437" i="25"/>
  <c r="F176" i="25"/>
  <c r="F379" i="25"/>
  <c r="W35" i="22"/>
  <c r="AG19" i="25" s="1"/>
  <c r="F147" i="25"/>
  <c r="J62" i="7"/>
  <c r="BY62" i="7" s="1"/>
  <c r="BY104" i="7"/>
  <c r="O13" i="35"/>
  <c r="EQ62" i="7"/>
  <c r="ES62" i="7" s="1"/>
  <c r="BY103" i="7"/>
  <c r="O12" i="35"/>
  <c r="EQ149" i="7"/>
  <c r="EQ154" i="7" s="1"/>
  <c r="ES154" i="7" s="1"/>
  <c r="BY102" i="7"/>
  <c r="O11" i="35"/>
  <c r="I154" i="21"/>
  <c r="D97" i="51" s="1"/>
  <c r="F130" i="56" a="1"/>
  <c r="F130" i="56" s="1"/>
  <c r="E133" i="56" a="1"/>
  <c r="E133" i="56" s="1"/>
  <c r="E134" i="56" a="1"/>
  <c r="E134" i="56" s="1"/>
  <c r="E132" i="56" a="1"/>
  <c r="E132" i="56" s="1"/>
  <c r="F132" i="56" a="1"/>
  <c r="F132" i="56" s="1"/>
  <c r="F134" i="56" a="1"/>
  <c r="F134" i="56" s="1"/>
  <c r="F133" i="56" a="1"/>
  <c r="F133" i="56" s="1"/>
  <c r="I153" i="21"/>
  <c r="D96" i="51" s="1"/>
  <c r="E130" i="56" a="1"/>
  <c r="E130" i="56" s="1"/>
  <c r="I152" i="21"/>
  <c r="D95" i="51" s="1"/>
  <c r="D130" i="56" a="1"/>
  <c r="D130" i="56" s="1"/>
  <c r="O58" i="35"/>
  <c r="BY141" i="7"/>
  <c r="O54" i="35"/>
  <c r="BY137" i="7"/>
  <c r="J149" i="7"/>
  <c r="G93" i="52"/>
  <c r="H93" i="52" s="1"/>
  <c r="ER137" i="7"/>
  <c r="HG137" i="7" s="1"/>
  <c r="I156" i="21"/>
  <c r="D99" i="51" s="1"/>
  <c r="H130" i="56" a="1"/>
  <c r="H130" i="56" s="1"/>
  <c r="G133" i="56" a="1"/>
  <c r="G133" i="56" s="1"/>
  <c r="G134" i="56" a="1"/>
  <c r="G134" i="56" s="1"/>
  <c r="G132" i="56" a="1"/>
  <c r="G132" i="56" s="1"/>
  <c r="I155" i="21"/>
  <c r="D98" i="51" s="1"/>
  <c r="G130" i="56" a="1"/>
  <c r="G130" i="56" s="1"/>
  <c r="C134" i="56" a="1"/>
  <c r="C134" i="56" s="1"/>
  <c r="C133" i="56" a="1"/>
  <c r="C133" i="56" s="1"/>
  <c r="C132" i="56" a="1"/>
  <c r="C132" i="56" s="1"/>
  <c r="G99" i="51"/>
  <c r="H133" i="56" a="1"/>
  <c r="H133" i="56" s="1"/>
  <c r="H134" i="56" a="1"/>
  <c r="H134" i="56" s="1"/>
  <c r="H132" i="56" a="1"/>
  <c r="H132" i="56" s="1"/>
  <c r="I151" i="21"/>
  <c r="D94" i="51" s="1"/>
  <c r="C130" i="56" a="1"/>
  <c r="C130" i="56" s="1"/>
  <c r="D134" i="56" a="1"/>
  <c r="D134" i="56" s="1"/>
  <c r="D133" i="56" a="1"/>
  <c r="D133" i="56" s="1"/>
  <c r="D132" i="56" a="1"/>
  <c r="D132" i="56" s="1"/>
  <c r="O60" i="35"/>
  <c r="BY143" i="7"/>
  <c r="F37" i="45"/>
  <c r="G38" i="7"/>
  <c r="EO38" i="7" s="1"/>
  <c r="D38" i="45"/>
  <c r="E38" i="45" s="1"/>
  <c r="Q137" i="21"/>
  <c r="H38" i="7"/>
  <c r="EP38" i="7" s="1"/>
  <c r="I38" i="7"/>
  <c r="EQ38" i="7" s="1"/>
  <c r="ER92" i="7"/>
  <c r="HG92" i="7" s="1"/>
  <c r="CP92" i="7"/>
  <c r="J92" i="7"/>
  <c r="BY92" i="7" s="1"/>
  <c r="HG134" i="7"/>
  <c r="G263" i="25"/>
  <c r="F182" i="26"/>
  <c r="AA182" i="26" s="1"/>
  <c r="O129" i="25"/>
  <c r="G350" i="25"/>
  <c r="O303" i="25"/>
  <c r="HC156" i="7"/>
  <c r="AF165" i="26"/>
  <c r="AL165" i="26" s="1"/>
  <c r="P165" i="26"/>
  <c r="BM23" i="26" s="1"/>
  <c r="AA165" i="26"/>
  <c r="GM292" i="7"/>
  <c r="GM293" i="7" s="1"/>
  <c r="GM298" i="7" s="1"/>
  <c r="GM299" i="7" s="1"/>
  <c r="H85" i="51"/>
  <c r="GN290" i="7"/>
  <c r="HD290" i="7" s="1"/>
  <c r="I38" i="45"/>
  <c r="J38" i="45" s="1"/>
  <c r="N155" i="21"/>
  <c r="BK14" i="26"/>
  <c r="F179" i="26"/>
  <c r="P179" i="26" s="1"/>
  <c r="BO22" i="26" s="1"/>
  <c r="F180" i="26"/>
  <c r="AF180" i="26" s="1"/>
  <c r="AL180" i="26" s="1"/>
  <c r="AG62" i="26"/>
  <c r="AK62" i="26" s="1"/>
  <c r="AM62" i="26" s="1"/>
  <c r="HA156" i="7"/>
  <c r="EL37" i="7"/>
  <c r="ER37" i="7" s="1"/>
  <c r="HG37" i="7" s="1"/>
  <c r="AA164" i="26"/>
  <c r="BK10" i="26"/>
  <c r="BF299" i="7"/>
  <c r="P164" i="26"/>
  <c r="BM22" i="26" s="1"/>
  <c r="G292" i="25"/>
  <c r="N164" i="26"/>
  <c r="AB164" i="26" s="1"/>
  <c r="BK9" i="26"/>
  <c r="F181" i="26"/>
  <c r="N181" i="26" s="1"/>
  <c r="AB181" i="26" s="1"/>
  <c r="BL292" i="7"/>
  <c r="BD299" i="7"/>
  <c r="D38" i="7"/>
  <c r="CB38" i="7" s="1"/>
  <c r="AB147" i="26"/>
  <c r="BV292" i="7"/>
  <c r="Y19" i="44" s="1"/>
  <c r="BK11" i="26"/>
  <c r="HB290" i="7"/>
  <c r="GT290" i="7"/>
  <c r="GT297" i="7" s="1"/>
  <c r="GL297" i="7"/>
  <c r="GL292" i="7"/>
  <c r="GL293" i="7" s="1"/>
  <c r="GL298" i="7" s="1"/>
  <c r="N143" i="21"/>
  <c r="N153" i="21"/>
  <c r="AK147" i="26"/>
  <c r="AM147" i="26" s="1"/>
  <c r="HB156" i="7"/>
  <c r="N154" i="21"/>
  <c r="V105" i="26"/>
  <c r="J372" i="25"/>
  <c r="F273" i="7" s="1"/>
  <c r="CI273" i="7" s="1"/>
  <c r="N151" i="21"/>
  <c r="AG91" i="26"/>
  <c r="AK91" i="26" s="1"/>
  <c r="AM91" i="26" s="1"/>
  <c r="CG286" i="7"/>
  <c r="CG288" i="7" s="1"/>
  <c r="BK12" i="26"/>
  <c r="G94" i="51"/>
  <c r="BF295" i="7"/>
  <c r="G23" i="39" s="1"/>
  <c r="G25" i="39" s="1"/>
  <c r="BV293" i="7"/>
  <c r="Y20" i="44" s="1"/>
  <c r="J227" i="25"/>
  <c r="F253" i="7" s="1"/>
  <c r="CI253" i="7" s="1"/>
  <c r="BX156" i="7"/>
  <c r="L2" i="7" s="1"/>
  <c r="AK105" i="26"/>
  <c r="AM105" i="26" s="1"/>
  <c r="F22" i="45"/>
  <c r="FB295" i="7"/>
  <c r="O76" i="35"/>
  <c r="H27" i="33"/>
  <c r="EQ133" i="7"/>
  <c r="G91" i="52" s="1"/>
  <c r="N153" i="26"/>
  <c r="P77" i="35" s="1"/>
  <c r="I62" i="51"/>
  <c r="J62" i="51" s="1"/>
  <c r="ER21" i="7"/>
  <c r="HG21" i="7" s="1"/>
  <c r="GP156" i="7"/>
  <c r="GP290" i="7" s="1"/>
  <c r="BY36" i="7"/>
  <c r="K36" i="7"/>
  <c r="D93" i="45"/>
  <c r="I93" i="45"/>
  <c r="D93" i="7"/>
  <c r="S101" i="21"/>
  <c r="G229" i="25"/>
  <c r="L228" i="25"/>
  <c r="M227" i="25" s="1"/>
  <c r="C169" i="21"/>
  <c r="U163" i="21"/>
  <c r="C166" i="21"/>
  <c r="C167" i="21"/>
  <c r="C168" i="21"/>
  <c r="B103" i="51"/>
  <c r="O163" i="21"/>
  <c r="K166" i="21"/>
  <c r="B104" i="51"/>
  <c r="L161" i="21"/>
  <c r="C165" i="21"/>
  <c r="C104" i="51"/>
  <c r="B105" i="51"/>
  <c r="B106" i="51"/>
  <c r="E106" i="51"/>
  <c r="F103" i="51"/>
  <c r="B107" i="51"/>
  <c r="C105" i="51"/>
  <c r="C103" i="51"/>
  <c r="F105" i="51"/>
  <c r="E107" i="51"/>
  <c r="F106" i="51"/>
  <c r="C170" i="21"/>
  <c r="E104" i="51"/>
  <c r="L166" i="21"/>
  <c r="K165" i="21"/>
  <c r="L165" i="21"/>
  <c r="E108" i="51"/>
  <c r="E105" i="51"/>
  <c r="F108" i="51"/>
  <c r="F104" i="51"/>
  <c r="B108" i="51"/>
  <c r="F107" i="51"/>
  <c r="E103" i="51"/>
  <c r="K167" i="21"/>
  <c r="E139" i="56" s="1" a="1"/>
  <c r="E139" i="56" s="1"/>
  <c r="L167" i="21"/>
  <c r="C106" i="51"/>
  <c r="L168" i="21"/>
  <c r="K168" i="21"/>
  <c r="C107" i="51"/>
  <c r="L169" i="21"/>
  <c r="K169" i="21"/>
  <c r="C108" i="51"/>
  <c r="L170" i="21"/>
  <c r="K170" i="21"/>
  <c r="H54" i="25"/>
  <c r="J53" i="25" s="1"/>
  <c r="L53" i="25"/>
  <c r="Z110" i="21"/>
  <c r="AA110" i="21" s="1"/>
  <c r="AB110" i="21" s="1"/>
  <c r="S110" i="21"/>
  <c r="I68" i="51" s="1"/>
  <c r="J68" i="51" s="1"/>
  <c r="U110" i="21"/>
  <c r="H26" i="33"/>
  <c r="BH297" i="7"/>
  <c r="G437" i="25"/>
  <c r="H89" i="51"/>
  <c r="F233" i="25"/>
  <c r="G98" i="51"/>
  <c r="E155" i="21"/>
  <c r="F155" i="21"/>
  <c r="Z23" i="36"/>
  <c r="Z17" i="36"/>
  <c r="Z16" i="36"/>
  <c r="Z22" i="36"/>
  <c r="Z19" i="36"/>
  <c r="Z15" i="36"/>
  <c r="Z21" i="36"/>
  <c r="Z18" i="36"/>
  <c r="Z20" i="36"/>
  <c r="Z24" i="36"/>
  <c r="CD253" i="7"/>
  <c r="CE253" i="7"/>
  <c r="EM253" i="7"/>
  <c r="CC253" i="7"/>
  <c r="CC256" i="7" s="1"/>
  <c r="CL23" i="7"/>
  <c r="CH23" i="7"/>
  <c r="CI23" i="7"/>
  <c r="CK23" i="7"/>
  <c r="CJ23" i="7"/>
  <c r="F23" i="7"/>
  <c r="EN23" i="7" s="1"/>
  <c r="CN93" i="7"/>
  <c r="CO93" i="7"/>
  <c r="CM93" i="7"/>
  <c r="G93" i="7"/>
  <c r="T123" i="21"/>
  <c r="CC273" i="7"/>
  <c r="EM273" i="7"/>
  <c r="CE273" i="7"/>
  <c r="CE276" i="7" s="1"/>
  <c r="E276" i="7"/>
  <c r="CD273" i="7"/>
  <c r="CD276" i="7" s="1"/>
  <c r="M154" i="21"/>
  <c r="F151" i="21"/>
  <c r="E151" i="21"/>
  <c r="C157" i="21"/>
  <c r="V147" i="26"/>
  <c r="F178" i="26"/>
  <c r="EL252" i="7"/>
  <c r="G95" i="51"/>
  <c r="F152" i="21"/>
  <c r="E152" i="21"/>
  <c r="S111" i="21"/>
  <c r="I69" i="51" s="1"/>
  <c r="J69" i="51" s="1"/>
  <c r="Z111" i="21"/>
  <c r="AA111" i="21" s="1"/>
  <c r="AB111" i="21" s="1"/>
  <c r="U111" i="21"/>
  <c r="O153" i="21"/>
  <c r="Y153" i="21"/>
  <c r="P153" i="26"/>
  <c r="BK22" i="26"/>
  <c r="AH149" i="26"/>
  <c r="W149" i="26"/>
  <c r="I150" i="26"/>
  <c r="U134" i="26"/>
  <c r="AJ134" i="26"/>
  <c r="G135" i="26"/>
  <c r="N163" i="26"/>
  <c r="AB163" i="26" s="1"/>
  <c r="AF163" i="26"/>
  <c r="AL163" i="26" s="1"/>
  <c r="AA163" i="26"/>
  <c r="P163" i="26"/>
  <c r="BM21" i="26" s="1"/>
  <c r="N152" i="21"/>
  <c r="Q152" i="21" s="1"/>
  <c r="H121" i="26"/>
  <c r="K120" i="26"/>
  <c r="V120" i="26" s="1"/>
  <c r="AF162" i="26"/>
  <c r="AA162" i="26"/>
  <c r="N162" i="26"/>
  <c r="P162" i="26"/>
  <c r="E434" i="25"/>
  <c r="CL244" i="7"/>
  <c r="CP242" i="7"/>
  <c r="G171" i="25"/>
  <c r="M155" i="21"/>
  <c r="W107" i="26"/>
  <c r="AH107" i="26"/>
  <c r="G200" i="25"/>
  <c r="G170" i="21"/>
  <c r="W170" i="21"/>
  <c r="W169" i="21"/>
  <c r="X167" i="21"/>
  <c r="G165" i="21"/>
  <c r="G166" i="21"/>
  <c r="X170" i="21"/>
  <c r="G169" i="21"/>
  <c r="W166" i="21"/>
  <c r="W168" i="21"/>
  <c r="W167" i="21"/>
  <c r="G168" i="21"/>
  <c r="W165" i="21"/>
  <c r="X168" i="21"/>
  <c r="G167" i="21"/>
  <c r="X169" i="21"/>
  <c r="X166" i="21"/>
  <c r="X165" i="21"/>
  <c r="X171" i="21"/>
  <c r="J172" i="21" s="1"/>
  <c r="ER90" i="7"/>
  <c r="K144" i="25"/>
  <c r="C145" i="25"/>
  <c r="E144" i="25" s="1"/>
  <c r="H242" i="7" s="1"/>
  <c r="EP242" i="7" s="1"/>
  <c r="AH163" i="26"/>
  <c r="I164" i="26"/>
  <c r="W163" i="26"/>
  <c r="HE156" i="7"/>
  <c r="G242" i="7"/>
  <c r="E156" i="21"/>
  <c r="F156" i="21"/>
  <c r="H149" i="26"/>
  <c r="K148" i="26"/>
  <c r="AG148" i="26" s="1"/>
  <c r="Y143" i="21"/>
  <c r="T126" i="21"/>
  <c r="F86" i="25"/>
  <c r="H88" i="51"/>
  <c r="CM23" i="7"/>
  <c r="CN23" i="7"/>
  <c r="CO23" i="7"/>
  <c r="G23" i="7"/>
  <c r="I109" i="45"/>
  <c r="J109" i="45" s="1"/>
  <c r="D109" i="45"/>
  <c r="E109" i="45" s="1"/>
  <c r="D109" i="7"/>
  <c r="F288" i="25"/>
  <c r="AA101" i="21"/>
  <c r="AB95" i="21"/>
  <c r="AB101" i="21" s="1"/>
  <c r="F153" i="21"/>
  <c r="E153" i="21"/>
  <c r="F154" i="21"/>
  <c r="E154" i="21"/>
  <c r="Z112" i="21"/>
  <c r="AA112" i="21" s="1"/>
  <c r="AB112" i="21" s="1"/>
  <c r="S112" i="21"/>
  <c r="I70" i="51" s="1"/>
  <c r="J70" i="51" s="1"/>
  <c r="U112" i="21"/>
  <c r="BL15" i="26"/>
  <c r="F260" i="25"/>
  <c r="O154" i="21"/>
  <c r="Y154" i="21"/>
  <c r="BT292" i="7"/>
  <c r="S19" i="44" s="1"/>
  <c r="G60" i="25"/>
  <c r="HG118" i="7"/>
  <c r="ER133" i="7"/>
  <c r="HG133" i="7" s="1"/>
  <c r="M153" i="21"/>
  <c r="K21" i="7"/>
  <c r="BY21" i="7"/>
  <c r="EQ93" i="7"/>
  <c r="EP93" i="7"/>
  <c r="CD93" i="7"/>
  <c r="CF93" i="7"/>
  <c r="E93" i="7"/>
  <c r="CC93" i="7"/>
  <c r="CG93" i="7"/>
  <c r="CE93" i="7"/>
  <c r="H86" i="51"/>
  <c r="CF38" i="7"/>
  <c r="E38" i="7"/>
  <c r="EM38" i="7" s="1"/>
  <c r="CG38" i="7"/>
  <c r="BD295" i="7"/>
  <c r="E23" i="39" s="1"/>
  <c r="G97" i="51"/>
  <c r="AG133" i="26"/>
  <c r="AK133" i="26" s="1"/>
  <c r="AM133" i="26" s="1"/>
  <c r="CP22" i="7"/>
  <c r="I122" i="26"/>
  <c r="AH121" i="26"/>
  <c r="W121" i="26"/>
  <c r="H431" i="25"/>
  <c r="O419" i="25" s="1"/>
  <c r="L430" i="25"/>
  <c r="CH93" i="7"/>
  <c r="CJ93" i="7"/>
  <c r="F93" i="7"/>
  <c r="CK93" i="7"/>
  <c r="CL93" i="7"/>
  <c r="CI93" i="7"/>
  <c r="HG47" i="7"/>
  <c r="ER62" i="7"/>
  <c r="G113" i="25"/>
  <c r="L112" i="25"/>
  <c r="EO226" i="7"/>
  <c r="G89" i="25"/>
  <c r="G408" i="25"/>
  <c r="F56" i="25"/>
  <c r="AF167" i="26"/>
  <c r="AL167" i="26" s="1"/>
  <c r="AA167" i="26"/>
  <c r="N167" i="26"/>
  <c r="AB167" i="26" s="1"/>
  <c r="P167" i="26"/>
  <c r="BM25" i="26" s="1"/>
  <c r="CK38" i="7"/>
  <c r="H87" i="51"/>
  <c r="F38" i="7"/>
  <c r="EN38" i="7" s="1"/>
  <c r="CL38" i="7"/>
  <c r="AJ148" i="26"/>
  <c r="U148" i="26"/>
  <c r="G149" i="26"/>
  <c r="CL260" i="7"/>
  <c r="CP258" i="7"/>
  <c r="CP37" i="7"/>
  <c r="F143" i="21"/>
  <c r="GZ156" i="7"/>
  <c r="CC23" i="7"/>
  <c r="CD23" i="7"/>
  <c r="CE23" i="7"/>
  <c r="CF23" i="7"/>
  <c r="E23" i="7"/>
  <c r="CG23" i="7"/>
  <c r="F109" i="7"/>
  <c r="EN109" i="7" s="1"/>
  <c r="CK109" i="7"/>
  <c r="CL109" i="7"/>
  <c r="BN11" i="26"/>
  <c r="BN14" i="26"/>
  <c r="BN9" i="26"/>
  <c r="BM12" i="26"/>
  <c r="BN12" i="26"/>
  <c r="BN13" i="26"/>
  <c r="BN10" i="26"/>
  <c r="AG77" i="26"/>
  <c r="AK77" i="26" s="1"/>
  <c r="AM77" i="26" s="1"/>
  <c r="K29" i="25"/>
  <c r="C30" i="25"/>
  <c r="F187" i="26"/>
  <c r="I192" i="26" s="1"/>
  <c r="E195" i="26"/>
  <c r="E194" i="26"/>
  <c r="D193" i="26"/>
  <c r="D195" i="26"/>
  <c r="D194" i="26"/>
  <c r="B186" i="26"/>
  <c r="D197" i="26"/>
  <c r="E197" i="26"/>
  <c r="E192" i="26"/>
  <c r="E193" i="26"/>
  <c r="D192" i="26"/>
  <c r="D196" i="26"/>
  <c r="E196" i="26"/>
  <c r="W157" i="21"/>
  <c r="H374" i="25"/>
  <c r="L373" i="25"/>
  <c r="K92" i="26"/>
  <c r="V92" i="26" s="1"/>
  <c r="AF166" i="26"/>
  <c r="AA166" i="26"/>
  <c r="N166" i="26"/>
  <c r="AB166" i="26" s="1"/>
  <c r="P166" i="26"/>
  <c r="BM24" i="26" s="1"/>
  <c r="Z113" i="21"/>
  <c r="AA113" i="21" s="1"/>
  <c r="AB113" i="21" s="1"/>
  <c r="S113" i="21"/>
  <c r="H94" i="7" s="1"/>
  <c r="EP94" i="7" s="1"/>
  <c r="U113" i="21"/>
  <c r="BI15" i="26"/>
  <c r="G316" i="25"/>
  <c r="L315" i="25"/>
  <c r="G74" i="52"/>
  <c r="H74" i="52" s="1"/>
  <c r="H84" i="52" s="1"/>
  <c r="J37" i="7"/>
  <c r="EL22" i="7"/>
  <c r="J22" i="7"/>
  <c r="C144" i="21"/>
  <c r="Q20" i="35" s="1"/>
  <c r="E143" i="21"/>
  <c r="F144" i="21" s="1"/>
  <c r="R20" i="35" s="1"/>
  <c r="AG119" i="26"/>
  <c r="AK119" i="26" s="1"/>
  <c r="AM119" i="26" s="1"/>
  <c r="F408" i="25"/>
  <c r="EO282" i="7"/>
  <c r="EL260" i="7"/>
  <c r="N156" i="21"/>
  <c r="Y151" i="21"/>
  <c r="O151" i="21"/>
  <c r="H135" i="26"/>
  <c r="K134" i="26"/>
  <c r="V134" i="26" s="1"/>
  <c r="G163" i="26"/>
  <c r="AJ162" i="26"/>
  <c r="U162" i="26"/>
  <c r="F318" i="25"/>
  <c r="EL244" i="7"/>
  <c r="Y156" i="21"/>
  <c r="O156" i="21"/>
  <c r="G96" i="51"/>
  <c r="Y155" i="21"/>
  <c r="O155" i="21"/>
  <c r="H24" i="7" s="1"/>
  <c r="EP24" i="7" s="1"/>
  <c r="I136" i="26"/>
  <c r="W135" i="26"/>
  <c r="AH135" i="26"/>
  <c r="Z114" i="21"/>
  <c r="AA114" i="21" s="1"/>
  <c r="S114" i="21"/>
  <c r="I94" i="7" s="1"/>
  <c r="EQ94" i="7" s="1"/>
  <c r="U114" i="21"/>
  <c r="F34" i="33"/>
  <c r="Y18" i="44"/>
  <c r="D23" i="7"/>
  <c r="I23" i="45"/>
  <c r="J23" i="45" s="1"/>
  <c r="D23" i="45"/>
  <c r="O143" i="21"/>
  <c r="T124" i="21"/>
  <c r="I178" i="26"/>
  <c r="W177" i="26"/>
  <c r="AH177" i="26"/>
  <c r="K233" i="25"/>
  <c r="C234" i="25"/>
  <c r="K234" i="25" s="1"/>
  <c r="EN22" i="7"/>
  <c r="AJ92" i="26"/>
  <c r="U92" i="26"/>
  <c r="F177" i="26"/>
  <c r="K435" i="25"/>
  <c r="C436" i="25"/>
  <c r="H254" i="7"/>
  <c r="HE290" i="7"/>
  <c r="GO297" i="7"/>
  <c r="GO299" i="7" s="1"/>
  <c r="GW290" i="7"/>
  <c r="GW292" i="7" s="1"/>
  <c r="CB108" i="7"/>
  <c r="CP108" i="7" s="1"/>
  <c r="EL108" i="7"/>
  <c r="K162" i="26"/>
  <c r="AG162" i="26" s="1"/>
  <c r="H163" i="26"/>
  <c r="O152" i="21"/>
  <c r="Y152" i="21"/>
  <c r="AJ106" i="26"/>
  <c r="G107" i="26"/>
  <c r="U106" i="26"/>
  <c r="M152" i="21"/>
  <c r="C40" i="7"/>
  <c r="EK40" i="7" s="1"/>
  <c r="C25" i="7"/>
  <c r="EK25" i="7" s="1"/>
  <c r="C113" i="45"/>
  <c r="A52" i="40"/>
  <c r="C98" i="45"/>
  <c r="C98" i="7"/>
  <c r="EK98" i="7" s="1"/>
  <c r="C40" i="45"/>
  <c r="C113" i="7"/>
  <c r="EK113" i="7" s="1"/>
  <c r="C25" i="45"/>
  <c r="Z109" i="21"/>
  <c r="AA109" i="21" s="1"/>
  <c r="AB109" i="21" s="1"/>
  <c r="S109" i="21"/>
  <c r="U109" i="21"/>
  <c r="D172" i="26"/>
  <c r="H177" i="26" s="1"/>
  <c r="I170" i="26"/>
  <c r="B172" i="26"/>
  <c r="G177" i="26" s="1"/>
  <c r="F175" i="21"/>
  <c r="B174" i="21"/>
  <c r="F174" i="21"/>
  <c r="J177" i="21" s="1"/>
  <c r="B175" i="21"/>
  <c r="B53" i="40" s="1"/>
  <c r="BY90" i="7"/>
  <c r="K106" i="26"/>
  <c r="AG106" i="26" s="1"/>
  <c r="H107" i="26"/>
  <c r="H90" i="51"/>
  <c r="G26" i="25"/>
  <c r="G142" i="25"/>
  <c r="L141" i="25"/>
  <c r="G109" i="7"/>
  <c r="EO109" i="7" s="1"/>
  <c r="J133" i="7"/>
  <c r="BY133" i="7" s="1"/>
  <c r="BY123" i="7"/>
  <c r="G379" i="25"/>
  <c r="CP270" i="7"/>
  <c r="CL272" i="7"/>
  <c r="J163" i="21"/>
  <c r="CF109" i="7"/>
  <c r="CG109" i="7"/>
  <c r="E109" i="7"/>
  <c r="EM109" i="7" s="1"/>
  <c r="U120" i="26"/>
  <c r="AJ120" i="26"/>
  <c r="G121" i="26"/>
  <c r="T125" i="21"/>
  <c r="F204" i="25"/>
  <c r="P26" i="35"/>
  <c r="HG20" i="7"/>
  <c r="M156" i="21"/>
  <c r="M151" i="21"/>
  <c r="I58" i="51"/>
  <c r="J58" i="51" s="1"/>
  <c r="E28" i="25"/>
  <c r="O100" i="25"/>
  <c r="AE12" i="44"/>
  <c r="BX84" i="7"/>
  <c r="W42" i="36" s="1"/>
  <c r="Y42" i="36" s="1"/>
  <c r="BE299" i="7"/>
  <c r="FB298" i="7"/>
  <c r="FB299" i="7" s="1"/>
  <c r="AE11" i="33"/>
  <c r="FL299" i="7"/>
  <c r="BX290" i="7"/>
  <c r="M18" i="44"/>
  <c r="M18" i="33"/>
  <c r="B34" i="33"/>
  <c r="BO292" i="7"/>
  <c r="BO297" i="7"/>
  <c r="ES304" i="7"/>
  <c r="K304" i="7"/>
  <c r="AA299" i="7"/>
  <c r="HF83" i="7"/>
  <c r="HG83" i="7" s="1"/>
  <c r="HG78" i="7"/>
  <c r="AL293" i="7"/>
  <c r="AR292" i="7"/>
  <c r="AR293" i="7" s="1"/>
  <c r="BR292" i="7"/>
  <c r="BB298" i="7"/>
  <c r="BB295" i="7"/>
  <c r="AY293" i="7"/>
  <c r="BW292" i="7"/>
  <c r="AD299" i="7"/>
  <c r="Z299" i="7"/>
  <c r="BN298" i="7"/>
  <c r="C34" i="33"/>
  <c r="P18" i="44"/>
  <c r="P18" i="33"/>
  <c r="L22" i="40"/>
  <c r="FT298" i="7"/>
  <c r="FT295" i="7"/>
  <c r="AT299" i="7"/>
  <c r="BM292" i="7"/>
  <c r="BM297" i="7"/>
  <c r="AE11" i="44"/>
  <c r="AF298" i="7"/>
  <c r="AF295" i="7"/>
  <c r="E20" i="39" s="1"/>
  <c r="BT293" i="7"/>
  <c r="GH293" i="7"/>
  <c r="GB298" i="7"/>
  <c r="GB295" i="7"/>
  <c r="GH295" i="7" s="1"/>
  <c r="C22" i="39"/>
  <c r="AE10" i="33"/>
  <c r="AB18" i="44"/>
  <c r="G34" i="33"/>
  <c r="AB18" i="33"/>
  <c r="FW292" i="7"/>
  <c r="FW297" i="7"/>
  <c r="HC290" i="7"/>
  <c r="GU290" i="7"/>
  <c r="EZ299" i="7"/>
  <c r="FN293" i="7"/>
  <c r="FR292" i="7"/>
  <c r="GO295" i="7"/>
  <c r="BE295" i="7"/>
  <c r="F23" i="39" s="1"/>
  <c r="D19" i="39"/>
  <c r="AB295" i="7"/>
  <c r="BC293" i="7"/>
  <c r="BS292" i="7"/>
  <c r="FU298" i="7"/>
  <c r="FU295" i="7"/>
  <c r="BU292" i="7"/>
  <c r="BK292" i="7"/>
  <c r="BK297" i="7"/>
  <c r="FX293" i="7"/>
  <c r="AG298" i="7"/>
  <c r="AG295" i="7"/>
  <c r="F20" i="39" s="1"/>
  <c r="BU293" i="7"/>
  <c r="AZ292" i="7"/>
  <c r="AZ293" i="7" s="1"/>
  <c r="GJ297" i="7"/>
  <c r="GJ292" i="7"/>
  <c r="GR290" i="7"/>
  <c r="GZ290" i="7"/>
  <c r="BJ292" i="7"/>
  <c r="BP290" i="7"/>
  <c r="BJ297" i="7"/>
  <c r="EY299" i="7"/>
  <c r="GK297" i="7"/>
  <c r="GK292" i="7"/>
  <c r="HA290" i="7"/>
  <c r="GS290" i="7"/>
  <c r="C20" i="39"/>
  <c r="W299" i="7"/>
  <c r="AB298" i="7"/>
  <c r="AB299" i="7" s="1"/>
  <c r="FR297" i="7"/>
  <c r="AR297" i="7"/>
  <c r="BH292" i="7"/>
  <c r="BH293" i="7" s="1"/>
  <c r="FQ293" i="7"/>
  <c r="HE292" i="7"/>
  <c r="FD298" i="7"/>
  <c r="FJ293" i="7"/>
  <c r="FD295" i="7"/>
  <c r="FJ295" i="7" s="1"/>
  <c r="D163" i="21"/>
  <c r="G163" i="21"/>
  <c r="A199" i="26"/>
  <c r="W33" i="22"/>
  <c r="AG17" i="25" s="1"/>
  <c r="W36" i="22"/>
  <c r="AG20" i="25" s="1"/>
  <c r="A187" i="21"/>
  <c r="O188" i="21" s="1"/>
  <c r="Q191" i="21" s="1"/>
  <c r="C261" i="25" l="1"/>
  <c r="E260" i="25" s="1"/>
  <c r="H258" i="7" s="1"/>
  <c r="K378" i="25"/>
  <c r="E378" i="25"/>
  <c r="E380" i="25" s="1"/>
  <c r="E202" i="25"/>
  <c r="H250" i="7" s="1"/>
  <c r="EP250" i="7" s="1"/>
  <c r="C204" i="25"/>
  <c r="K204" i="25" s="1"/>
  <c r="K117" i="25"/>
  <c r="E175" i="25"/>
  <c r="I246" i="7" s="1"/>
  <c r="EQ246" i="7" s="1"/>
  <c r="ER246" i="7" s="1"/>
  <c r="HG246" i="7" s="1"/>
  <c r="E240" i="7"/>
  <c r="CE237" i="7"/>
  <c r="CD237" i="7"/>
  <c r="I240" i="45"/>
  <c r="CC237" i="7"/>
  <c r="CE239" i="7"/>
  <c r="CC239" i="7"/>
  <c r="EM239" i="7"/>
  <c r="EM240" i="7" s="1"/>
  <c r="CD239" i="7"/>
  <c r="E59" i="25"/>
  <c r="I230" i="7" s="1"/>
  <c r="EQ230" i="7" s="1"/>
  <c r="ER230" i="7" s="1"/>
  <c r="HG230" i="7" s="1"/>
  <c r="E88" i="25"/>
  <c r="E90" i="25" s="1"/>
  <c r="K59" i="25"/>
  <c r="E237" i="45"/>
  <c r="E240" i="45" s="1"/>
  <c r="O187" i="25"/>
  <c r="J198" i="25"/>
  <c r="F249" i="7" s="1"/>
  <c r="EN249" i="7" s="1"/>
  <c r="L199" i="25"/>
  <c r="M198" i="25" s="1"/>
  <c r="F251" i="7" s="1"/>
  <c r="CB239" i="7"/>
  <c r="CB240" i="7" s="1"/>
  <c r="CE241" i="7"/>
  <c r="CD241" i="7"/>
  <c r="CC241" i="7"/>
  <c r="D240" i="7"/>
  <c r="EL237" i="7"/>
  <c r="EL240" i="7" s="1"/>
  <c r="CC249" i="7"/>
  <c r="M138" i="25"/>
  <c r="E243" i="7" s="1"/>
  <c r="CD243" i="7" s="1"/>
  <c r="M111" i="25"/>
  <c r="F239" i="7" s="1"/>
  <c r="F240" i="7" s="1"/>
  <c r="CD249" i="7"/>
  <c r="CB260" i="7"/>
  <c r="EM249" i="7"/>
  <c r="M196" i="25"/>
  <c r="E251" i="7" s="1"/>
  <c r="E252" i="7" s="1"/>
  <c r="E241" i="45"/>
  <c r="E244" i="45" s="1"/>
  <c r="I244" i="45"/>
  <c r="CB263" i="7"/>
  <c r="CB264" i="7" s="1"/>
  <c r="M254" i="25"/>
  <c r="E259" i="7" s="1"/>
  <c r="EM259" i="7" s="1"/>
  <c r="M341" i="25"/>
  <c r="E271" i="7" s="1"/>
  <c r="E272" i="7" s="1"/>
  <c r="CB284" i="7"/>
  <c r="CB287" i="7" s="1"/>
  <c r="M140" i="25"/>
  <c r="F243" i="7" s="1"/>
  <c r="F244" i="7" s="1"/>
  <c r="CB252" i="7"/>
  <c r="L256" i="25"/>
  <c r="J284" i="45"/>
  <c r="L343" i="25"/>
  <c r="CD265" i="7"/>
  <c r="E249" i="45"/>
  <c r="E252" i="45" s="1"/>
  <c r="I256" i="45"/>
  <c r="D260" i="45"/>
  <c r="F260" i="45" s="1"/>
  <c r="E284" i="45"/>
  <c r="EL263" i="7"/>
  <c r="EL264" i="7" s="1"/>
  <c r="EL269" i="7"/>
  <c r="EL272" i="7" s="1"/>
  <c r="I260" i="45"/>
  <c r="L286" i="25"/>
  <c r="M285" i="25" s="1"/>
  <c r="F263" i="7" s="1"/>
  <c r="CH263" i="7" s="1"/>
  <c r="D256" i="7"/>
  <c r="EM257" i="7"/>
  <c r="L168" i="25"/>
  <c r="M167" i="25" s="1"/>
  <c r="E247" i="7" s="1"/>
  <c r="CE247" i="7" s="1"/>
  <c r="EL247" i="7"/>
  <c r="EL248" i="7" s="1"/>
  <c r="J167" i="25"/>
  <c r="E245" i="7" s="1"/>
  <c r="CD245" i="7" s="1"/>
  <c r="J285" i="25"/>
  <c r="F261" i="7" s="1"/>
  <c r="CI261" i="7" s="1"/>
  <c r="L287" i="25"/>
  <c r="O158" i="25"/>
  <c r="L170" i="25"/>
  <c r="J232" i="45"/>
  <c r="L169" i="25"/>
  <c r="L401" i="25"/>
  <c r="CB247" i="7"/>
  <c r="CB248" i="7" s="1"/>
  <c r="O157" i="25"/>
  <c r="CD257" i="7"/>
  <c r="E269" i="45"/>
  <c r="E272" i="45" s="1"/>
  <c r="J169" i="25"/>
  <c r="F245" i="7" s="1"/>
  <c r="EN245" i="7" s="1"/>
  <c r="E229" i="45"/>
  <c r="E232" i="45" s="1"/>
  <c r="CC257" i="7"/>
  <c r="D272" i="7"/>
  <c r="D264" i="45"/>
  <c r="F264" i="45" s="1"/>
  <c r="CB255" i="7"/>
  <c r="CB256" i="7" s="1"/>
  <c r="L81" i="25"/>
  <c r="M80" i="25" s="1"/>
  <c r="E235" i="7" s="1"/>
  <c r="EM235" i="7" s="1"/>
  <c r="EL231" i="7"/>
  <c r="EL232" i="7" s="1"/>
  <c r="CE265" i="7"/>
  <c r="H82" i="25"/>
  <c r="H83" i="25" s="1"/>
  <c r="O71" i="25" s="1"/>
  <c r="CB231" i="7"/>
  <c r="CB232" i="7" s="1"/>
  <c r="I232" i="45"/>
  <c r="M283" i="25"/>
  <c r="E263" i="7" s="1"/>
  <c r="CD263" i="7" s="1"/>
  <c r="D248" i="45"/>
  <c r="F248" i="45" s="1"/>
  <c r="CB225" i="7"/>
  <c r="CB228" i="7" s="1"/>
  <c r="O274" i="25"/>
  <c r="J249" i="45"/>
  <c r="J252" i="45" s="1"/>
  <c r="CB277" i="7"/>
  <c r="CB280" i="7" s="1"/>
  <c r="D280" i="7"/>
  <c r="D228" i="7"/>
  <c r="J280" i="45"/>
  <c r="M314" i="25"/>
  <c r="F267" i="7" s="1"/>
  <c r="D284" i="45"/>
  <c r="F284" i="45" s="1"/>
  <c r="J80" i="25"/>
  <c r="E233" i="7" s="1"/>
  <c r="EM233" i="7" s="1"/>
  <c r="CD277" i="7"/>
  <c r="CC261" i="7"/>
  <c r="CD261" i="7"/>
  <c r="EM277" i="7"/>
  <c r="CE261" i="7"/>
  <c r="EM265" i="7"/>
  <c r="CC277" i="7"/>
  <c r="I284" i="45"/>
  <c r="C348" i="25"/>
  <c r="E347" i="25" s="1"/>
  <c r="H270" i="7" s="1"/>
  <c r="EP270" i="7" s="1"/>
  <c r="I280" i="45"/>
  <c r="I228" i="45"/>
  <c r="M312" i="25"/>
  <c r="E267" i="7" s="1"/>
  <c r="E268" i="7" s="1"/>
  <c r="D268" i="45"/>
  <c r="F268" i="45" s="1"/>
  <c r="EL235" i="7"/>
  <c r="EL236" i="7" s="1"/>
  <c r="CB235" i="7"/>
  <c r="CB236" i="7" s="1"/>
  <c r="C290" i="25"/>
  <c r="C291" i="25" s="1"/>
  <c r="K291" i="25" s="1"/>
  <c r="D280" i="45"/>
  <c r="F280" i="45" s="1"/>
  <c r="C318" i="25"/>
  <c r="K318" i="25" s="1"/>
  <c r="D23" i="52"/>
  <c r="E57" i="52"/>
  <c r="E316" i="25"/>
  <c r="G266" i="7" s="1"/>
  <c r="EO266" i="7" s="1"/>
  <c r="E236" i="45"/>
  <c r="J22" i="25"/>
  <c r="E225" i="7" s="1"/>
  <c r="E228" i="7" s="1"/>
  <c r="O12" i="25"/>
  <c r="D236" i="45"/>
  <c r="F236" i="45" s="1"/>
  <c r="J233" i="45"/>
  <c r="J236" i="45" s="1"/>
  <c r="M372" i="25"/>
  <c r="F275" i="7" s="1"/>
  <c r="H24" i="25"/>
  <c r="H25" i="25" s="1"/>
  <c r="H26" i="25" s="1"/>
  <c r="H27" i="25" s="1"/>
  <c r="H28" i="25" s="1"/>
  <c r="H29" i="25" s="1"/>
  <c r="H30" i="25" s="1"/>
  <c r="J265" i="45"/>
  <c r="J268" i="45" s="1"/>
  <c r="CD256" i="7"/>
  <c r="I63" i="51"/>
  <c r="J63" i="51" s="1"/>
  <c r="J106" i="7"/>
  <c r="O15" i="35" s="1"/>
  <c r="ER106" i="7"/>
  <c r="HG106" i="7" s="1"/>
  <c r="J108" i="7"/>
  <c r="BY108" i="7" s="1"/>
  <c r="ER108" i="7"/>
  <c r="HG108" i="7" s="1"/>
  <c r="D140" i="56" a="1"/>
  <c r="D140" i="56" s="1"/>
  <c r="P167" i="21"/>
  <c r="E409" i="25"/>
  <c r="H109" i="7"/>
  <c r="EP109" i="7" s="1"/>
  <c r="G113" i="56" a="1"/>
  <c r="G113" i="56" s="1"/>
  <c r="P128" i="21"/>
  <c r="Q127" i="21"/>
  <c r="H110" i="7" s="1"/>
  <c r="EP110" i="7" s="1"/>
  <c r="S191" i="21"/>
  <c r="R193" i="21"/>
  <c r="R194" i="21" s="1"/>
  <c r="R195" i="21" s="1"/>
  <c r="R196" i="21" s="1"/>
  <c r="R197" i="21" s="1"/>
  <c r="R198" i="21" s="1"/>
  <c r="P193" i="21"/>
  <c r="C149" i="56" a="1"/>
  <c r="C149" i="56" s="1"/>
  <c r="P180" i="21"/>
  <c r="P154" i="21"/>
  <c r="E131" i="56" a="1"/>
  <c r="E131" i="56" s="1"/>
  <c r="H104" i="56" a="1"/>
  <c r="H104" i="56" s="1"/>
  <c r="Q114" i="21"/>
  <c r="I109" i="7" s="1"/>
  <c r="EQ109" i="7" s="1"/>
  <c r="T114" i="21"/>
  <c r="EQ105" i="7"/>
  <c r="ER105" i="7" s="1"/>
  <c r="HG105" i="7" s="1"/>
  <c r="J105" i="7"/>
  <c r="P141" i="21"/>
  <c r="T141" i="21" s="1"/>
  <c r="F122" i="56" a="1"/>
  <c r="F122" i="56" s="1"/>
  <c r="EQ107" i="7"/>
  <c r="ER107" i="7" s="1"/>
  <c r="HG107" i="7" s="1"/>
  <c r="J107" i="7"/>
  <c r="BY107" i="7" s="1"/>
  <c r="Q101" i="21"/>
  <c r="CE256" i="7"/>
  <c r="H290" i="25"/>
  <c r="H291" i="25" s="1"/>
  <c r="J287" i="25"/>
  <c r="G261" i="7" s="1"/>
  <c r="EO261" i="7" s="1"/>
  <c r="H319" i="25"/>
  <c r="H320" i="25" s="1"/>
  <c r="H203" i="25"/>
  <c r="H204" i="25" s="1"/>
  <c r="H174" i="25"/>
  <c r="H175" i="25" s="1"/>
  <c r="H232" i="25"/>
  <c r="H233" i="25" s="1"/>
  <c r="H116" i="25"/>
  <c r="H117" i="25" s="1"/>
  <c r="V37" i="22"/>
  <c r="AF21" i="25" s="1"/>
  <c r="H145" i="25"/>
  <c r="H146" i="25" s="1"/>
  <c r="ER149" i="7"/>
  <c r="ER154" i="7" s="1"/>
  <c r="HG154" i="7" s="1"/>
  <c r="F91" i="52"/>
  <c r="H91" i="52" s="1"/>
  <c r="H101" i="52" s="1"/>
  <c r="I4" i="55" s="1"/>
  <c r="I169" i="21"/>
  <c r="D107" i="51" s="1"/>
  <c r="G139" i="56" a="1"/>
  <c r="G139" i="56" s="1"/>
  <c r="J154" i="7"/>
  <c r="BY154" i="7" s="1"/>
  <c r="BY149" i="7"/>
  <c r="I168" i="21"/>
  <c r="D106" i="51" s="1"/>
  <c r="F139" i="56" a="1"/>
  <c r="F139" i="56" s="1"/>
  <c r="G103" i="51"/>
  <c r="C142" i="56" a="1"/>
  <c r="C142" i="56" s="1"/>
  <c r="C141" i="56" a="1"/>
  <c r="C141" i="56" s="1"/>
  <c r="C143" i="56" a="1"/>
  <c r="C143" i="56" s="1"/>
  <c r="I166" i="21"/>
  <c r="D104" i="51" s="1"/>
  <c r="D139" i="56" a="1"/>
  <c r="D139" i="56" s="1"/>
  <c r="I165" i="21"/>
  <c r="D103" i="51" s="1"/>
  <c r="C139" i="56" a="1"/>
  <c r="C139" i="56" s="1"/>
  <c r="F142" i="56" a="1"/>
  <c r="F142" i="56" s="1"/>
  <c r="F141" i="56" a="1"/>
  <c r="F141" i="56" s="1"/>
  <c r="F143" i="56" a="1"/>
  <c r="F143" i="56" s="1"/>
  <c r="G105" i="51"/>
  <c r="E142" i="56" a="1"/>
  <c r="E142" i="56" s="1"/>
  <c r="E141" i="56" a="1"/>
  <c r="E141" i="56" s="1"/>
  <c r="E143" i="56" a="1"/>
  <c r="E143" i="56" s="1"/>
  <c r="D142" i="56" a="1"/>
  <c r="D142" i="56" s="1"/>
  <c r="D141" i="56" a="1"/>
  <c r="D141" i="56" s="1"/>
  <c r="D143" i="56" a="1"/>
  <c r="D143" i="56" s="1"/>
  <c r="H141" i="56" a="1"/>
  <c r="H141" i="56" s="1"/>
  <c r="H142" i="56" a="1"/>
  <c r="H142" i="56" s="1"/>
  <c r="H143" i="56" a="1"/>
  <c r="H143" i="56" s="1"/>
  <c r="I170" i="21"/>
  <c r="D108" i="51" s="1"/>
  <c r="H139" i="56" a="1"/>
  <c r="H139" i="56" s="1"/>
  <c r="G142" i="56" a="1"/>
  <c r="G142" i="56" s="1"/>
  <c r="G141" i="56" a="1"/>
  <c r="G141" i="56" s="1"/>
  <c r="G143" i="56" a="1"/>
  <c r="G143" i="56" s="1"/>
  <c r="F38" i="45"/>
  <c r="CK39" i="7"/>
  <c r="Q153" i="21"/>
  <c r="H39" i="7"/>
  <c r="EP39" i="7" s="1"/>
  <c r="D39" i="7"/>
  <c r="CB39" i="7" s="1"/>
  <c r="Q151" i="21"/>
  <c r="G39" i="7"/>
  <c r="EO39" i="7" s="1"/>
  <c r="N179" i="26"/>
  <c r="AB179" i="26" s="1"/>
  <c r="AF182" i="26"/>
  <c r="AL182" i="26" s="1"/>
  <c r="P182" i="26"/>
  <c r="BO25" i="26" s="1"/>
  <c r="N182" i="26"/>
  <c r="AB182" i="26" s="1"/>
  <c r="AA180" i="26"/>
  <c r="N180" i="26"/>
  <c r="AB180" i="26" s="1"/>
  <c r="P181" i="26"/>
  <c r="BO24" i="26" s="1"/>
  <c r="P180" i="26"/>
  <c r="BO23" i="26" s="1"/>
  <c r="AF179" i="26"/>
  <c r="AL179" i="26" s="1"/>
  <c r="AA179" i="26"/>
  <c r="O245" i="25"/>
  <c r="V106" i="26"/>
  <c r="GN292" i="7"/>
  <c r="GN293" i="7" s="1"/>
  <c r="GN298" i="7" s="1"/>
  <c r="GN297" i="7"/>
  <c r="GV290" i="7"/>
  <c r="GV297" i="7" s="1"/>
  <c r="GM295" i="7"/>
  <c r="W171" i="21"/>
  <c r="O275" i="25"/>
  <c r="O332" i="25"/>
  <c r="GL299" i="7"/>
  <c r="F36" i="33"/>
  <c r="F37" i="33" s="1"/>
  <c r="F69" i="33" s="1"/>
  <c r="O42" i="25"/>
  <c r="Y20" i="33"/>
  <c r="Y19" i="33"/>
  <c r="F35" i="33"/>
  <c r="N169" i="21"/>
  <c r="N165" i="21"/>
  <c r="N168" i="21"/>
  <c r="EN253" i="7"/>
  <c r="HB292" i="7"/>
  <c r="BK15" i="26"/>
  <c r="GT292" i="7"/>
  <c r="BV295" i="7"/>
  <c r="P3" i="21" s="1"/>
  <c r="CJ253" i="7"/>
  <c r="AG120" i="26"/>
  <c r="AK120" i="26" s="1"/>
  <c r="AM120" i="26" s="1"/>
  <c r="AF181" i="26"/>
  <c r="AL181" i="26" s="1"/>
  <c r="BM11" i="26"/>
  <c r="CH273" i="7"/>
  <c r="AA181" i="26"/>
  <c r="F196" i="26"/>
  <c r="AA196" i="26" s="1"/>
  <c r="CJ273" i="7"/>
  <c r="I39" i="45"/>
  <c r="J39" i="45" s="1"/>
  <c r="F39" i="7"/>
  <c r="EN39" i="7" s="1"/>
  <c r="CL39" i="7"/>
  <c r="D39" i="45"/>
  <c r="E39" i="45" s="1"/>
  <c r="F193" i="26"/>
  <c r="AA193" i="26" s="1"/>
  <c r="CL285" i="7"/>
  <c r="CL286" i="7" s="1"/>
  <c r="CL288" i="7" s="1"/>
  <c r="EN273" i="7"/>
  <c r="H97" i="51"/>
  <c r="H98" i="51"/>
  <c r="EL38" i="7"/>
  <c r="ER38" i="7" s="1"/>
  <c r="HG38" i="7" s="1"/>
  <c r="HF156" i="7"/>
  <c r="ET2" i="7" s="1"/>
  <c r="GL295" i="7"/>
  <c r="CH253" i="7"/>
  <c r="H96" i="51"/>
  <c r="GW297" i="7"/>
  <c r="H94" i="51"/>
  <c r="AK148" i="26"/>
  <c r="AM148" i="26" s="1"/>
  <c r="ES133" i="7"/>
  <c r="AK106" i="26"/>
  <c r="AM106" i="26" s="1"/>
  <c r="N166" i="21"/>
  <c r="BM14" i="26"/>
  <c r="J430" i="25"/>
  <c r="F281" i="7" s="1"/>
  <c r="BM10" i="26"/>
  <c r="I71" i="51"/>
  <c r="J71" i="51" s="1"/>
  <c r="CP38" i="7"/>
  <c r="F192" i="26"/>
  <c r="N192" i="26" s="1"/>
  <c r="AJ298" i="7"/>
  <c r="AJ299" i="7" s="1"/>
  <c r="F197" i="26"/>
  <c r="N197" i="26" s="1"/>
  <c r="AB197" i="26" s="1"/>
  <c r="O77" i="35"/>
  <c r="F25" i="39"/>
  <c r="V162" i="26"/>
  <c r="J38" i="7"/>
  <c r="K38" i="7" s="1"/>
  <c r="F195" i="26"/>
  <c r="N195" i="26" s="1"/>
  <c r="AB195" i="26" s="1"/>
  <c r="F255" i="7"/>
  <c r="F277" i="7"/>
  <c r="CC227" i="7"/>
  <c r="CD227" i="7"/>
  <c r="CE227" i="7"/>
  <c r="EM227" i="7"/>
  <c r="N157" i="21"/>
  <c r="I39" i="7"/>
  <c r="EQ39" i="7" s="1"/>
  <c r="H99" i="51"/>
  <c r="HG62" i="7"/>
  <c r="F234" i="25"/>
  <c r="M167" i="21"/>
  <c r="G111" i="7"/>
  <c r="EO111" i="7" s="1"/>
  <c r="T140" i="21"/>
  <c r="G178" i="26"/>
  <c r="AJ177" i="26"/>
  <c r="U177" i="26"/>
  <c r="T138" i="21"/>
  <c r="W164" i="26"/>
  <c r="I165" i="26"/>
  <c r="AH164" i="26"/>
  <c r="M170" i="21"/>
  <c r="H345" i="25"/>
  <c r="L344" i="25"/>
  <c r="BP9" i="26"/>
  <c r="BP13" i="26"/>
  <c r="BP14" i="26"/>
  <c r="BP11" i="26"/>
  <c r="BP10" i="26"/>
  <c r="BP12" i="26"/>
  <c r="BO13" i="26"/>
  <c r="G172" i="25"/>
  <c r="J171" i="25" s="1"/>
  <c r="L171" i="25"/>
  <c r="EM256" i="7"/>
  <c r="G106" i="51"/>
  <c r="K177" i="26"/>
  <c r="AG177" i="26" s="1"/>
  <c r="H178" i="26"/>
  <c r="E233" i="25"/>
  <c r="F319" i="25"/>
  <c r="EM23" i="7"/>
  <c r="T137" i="21"/>
  <c r="EN93" i="7"/>
  <c r="F87" i="25"/>
  <c r="K145" i="25"/>
  <c r="C146" i="25"/>
  <c r="EO23" i="7"/>
  <c r="Q78" i="35"/>
  <c r="AB162" i="26"/>
  <c r="N168" i="26"/>
  <c r="P78" i="35" s="1"/>
  <c r="CF94" i="7"/>
  <c r="CE94" i="7"/>
  <c r="CG94" i="7"/>
  <c r="E94" i="7"/>
  <c r="EM94" i="7" s="1"/>
  <c r="CD94" i="7"/>
  <c r="CC94" i="7"/>
  <c r="F57" i="25"/>
  <c r="BK26" i="26"/>
  <c r="G108" i="51"/>
  <c r="E170" i="21"/>
  <c r="F170" i="21"/>
  <c r="Y157" i="21"/>
  <c r="F169" i="21"/>
  <c r="E169" i="21"/>
  <c r="H55" i="25"/>
  <c r="L54" i="25"/>
  <c r="M53" i="25" s="1"/>
  <c r="N170" i="21"/>
  <c r="CH237" i="7"/>
  <c r="CI237" i="7"/>
  <c r="EN237" i="7"/>
  <c r="CJ237" i="7"/>
  <c r="F257" i="7"/>
  <c r="G110" i="7"/>
  <c r="EO110" i="7" s="1"/>
  <c r="Z125" i="21"/>
  <c r="AA125" i="21" s="1"/>
  <c r="AB125" i="21" s="1"/>
  <c r="S125" i="21"/>
  <c r="I78" i="51" s="1"/>
  <c r="J78" i="51" s="1"/>
  <c r="U125" i="21"/>
  <c r="W178" i="26"/>
  <c r="I179" i="26"/>
  <c r="AH178" i="26"/>
  <c r="K22" i="7"/>
  <c r="BY22" i="7"/>
  <c r="I185" i="26"/>
  <c r="D187" i="26"/>
  <c r="H192" i="26" s="1"/>
  <c r="B187" i="26"/>
  <c r="G192" i="26" s="1"/>
  <c r="H258" i="25"/>
  <c r="L257" i="25"/>
  <c r="O169" i="21"/>
  <c r="H25" i="7" s="1"/>
  <c r="EP25" i="7" s="1"/>
  <c r="Y169" i="21"/>
  <c r="J93" i="45"/>
  <c r="O166" i="21"/>
  <c r="Y166" i="21"/>
  <c r="G114" i="25"/>
  <c r="J113" i="25" s="1"/>
  <c r="L113" i="25"/>
  <c r="EN241" i="7"/>
  <c r="CI241" i="7"/>
  <c r="CH241" i="7"/>
  <c r="CJ241" i="7"/>
  <c r="F166" i="21"/>
  <c r="E166" i="21"/>
  <c r="G317" i="25"/>
  <c r="O304" i="25" s="1"/>
  <c r="L316" i="25"/>
  <c r="B117" i="51"/>
  <c r="B115" i="51"/>
  <c r="B114" i="51"/>
  <c r="E114" i="51"/>
  <c r="U177" i="21"/>
  <c r="C183" i="21"/>
  <c r="F116" i="51"/>
  <c r="E115" i="51"/>
  <c r="F114" i="51"/>
  <c r="E117" i="51"/>
  <c r="B113" i="51"/>
  <c r="E113" i="51"/>
  <c r="B112" i="51"/>
  <c r="F112" i="51"/>
  <c r="C182" i="21"/>
  <c r="C181" i="21"/>
  <c r="C179" i="21"/>
  <c r="O177" i="21"/>
  <c r="C180" i="21"/>
  <c r="F113" i="51"/>
  <c r="C184" i="21"/>
  <c r="B116" i="51"/>
  <c r="E116" i="51"/>
  <c r="E112" i="51"/>
  <c r="F117" i="51"/>
  <c r="F115" i="51"/>
  <c r="L175" i="21"/>
  <c r="C112" i="51"/>
  <c r="L179" i="21"/>
  <c r="K179" i="21"/>
  <c r="C113" i="51"/>
  <c r="L180" i="21"/>
  <c r="K180" i="21"/>
  <c r="D148" i="56" s="1" a="1"/>
  <c r="D148" i="56" s="1"/>
  <c r="L181" i="21"/>
  <c r="K181" i="21"/>
  <c r="C114" i="51"/>
  <c r="L182" i="21"/>
  <c r="K182" i="21"/>
  <c r="C115" i="51"/>
  <c r="K183" i="21"/>
  <c r="C116" i="51"/>
  <c r="L183" i="21"/>
  <c r="C117" i="51"/>
  <c r="K184" i="21"/>
  <c r="L184" i="21"/>
  <c r="CO24" i="7"/>
  <c r="CM24" i="7"/>
  <c r="CN24" i="7"/>
  <c r="G24" i="7"/>
  <c r="EO24" i="7" s="1"/>
  <c r="Y167" i="21"/>
  <c r="O167" i="21"/>
  <c r="C26" i="7"/>
  <c r="EK26" i="7" s="1"/>
  <c r="C114" i="7"/>
  <c r="EK114" i="7" s="1"/>
  <c r="C41" i="7"/>
  <c r="EK41" i="7" s="1"/>
  <c r="C26" i="45"/>
  <c r="A53" i="40"/>
  <c r="C99" i="45"/>
  <c r="C114" i="45"/>
  <c r="C99" i="7"/>
  <c r="EK99" i="7" s="1"/>
  <c r="C41" i="45"/>
  <c r="CP23" i="7"/>
  <c r="CC276" i="7"/>
  <c r="G143" i="25"/>
  <c r="J142" i="25" s="1"/>
  <c r="L142" i="25"/>
  <c r="Z128" i="21"/>
  <c r="AA128" i="21" s="1"/>
  <c r="S128" i="21"/>
  <c r="I95" i="7" s="1"/>
  <c r="U128" i="21"/>
  <c r="ER22" i="7"/>
  <c r="HG22" i="7" s="1"/>
  <c r="AL166" i="26"/>
  <c r="H432" i="25"/>
  <c r="L431" i="25"/>
  <c r="M430" i="25" s="1"/>
  <c r="F261" i="25"/>
  <c r="I110" i="45"/>
  <c r="J110" i="45" s="1"/>
  <c r="D110" i="7"/>
  <c r="D110" i="45"/>
  <c r="E110" i="45" s="1"/>
  <c r="E117" i="25"/>
  <c r="E93" i="45"/>
  <c r="M165" i="21"/>
  <c r="K107" i="26"/>
  <c r="AG107" i="26" s="1"/>
  <c r="H150" i="26"/>
  <c r="K149" i="26"/>
  <c r="V149" i="26" s="1"/>
  <c r="EP254" i="7"/>
  <c r="EO242" i="7"/>
  <c r="AF177" i="26"/>
  <c r="AL177" i="26" s="1"/>
  <c r="AA177" i="26"/>
  <c r="N177" i="26"/>
  <c r="BO9" i="26" s="1"/>
  <c r="P177" i="26"/>
  <c r="D212" i="26"/>
  <c r="E210" i="26"/>
  <c r="D209" i="26"/>
  <c r="E209" i="26"/>
  <c r="D211" i="26"/>
  <c r="F202" i="26"/>
  <c r="I207" i="26" s="1"/>
  <c r="D207" i="26"/>
  <c r="D210" i="26"/>
  <c r="E211" i="26"/>
  <c r="E212" i="26"/>
  <c r="B201" i="26"/>
  <c r="E207" i="26"/>
  <c r="E208" i="26"/>
  <c r="D208" i="26"/>
  <c r="W179" i="21"/>
  <c r="W184" i="21"/>
  <c r="X180" i="21"/>
  <c r="G180" i="21"/>
  <c r="W180" i="21"/>
  <c r="G184" i="21"/>
  <c r="G183" i="21"/>
  <c r="W182" i="21"/>
  <c r="X181" i="21"/>
  <c r="G179" i="21"/>
  <c r="X182" i="21"/>
  <c r="W181" i="21"/>
  <c r="X184" i="21"/>
  <c r="W183" i="21"/>
  <c r="G182" i="21"/>
  <c r="G181" i="21"/>
  <c r="X183" i="21"/>
  <c r="X179" i="21"/>
  <c r="X185" i="21"/>
  <c r="J186" i="21" s="1"/>
  <c r="E284" i="7"/>
  <c r="CC283" i="7"/>
  <c r="CD283" i="7"/>
  <c r="CD284" i="7" s="1"/>
  <c r="CD287" i="7" s="1"/>
  <c r="EM283" i="7"/>
  <c r="CE283" i="7"/>
  <c r="CE284" i="7" s="1"/>
  <c r="CE287" i="7" s="1"/>
  <c r="I94" i="45"/>
  <c r="J94" i="45" s="1"/>
  <c r="D94" i="7"/>
  <c r="D94" i="45"/>
  <c r="E94" i="45" s="1"/>
  <c r="S115" i="21"/>
  <c r="CF39" i="7"/>
  <c r="E39" i="7"/>
  <c r="EM39" i="7" s="1"/>
  <c r="H95" i="51"/>
  <c r="CG39" i="7"/>
  <c r="Z127" i="21"/>
  <c r="AA127" i="21" s="1"/>
  <c r="AB127" i="21" s="1"/>
  <c r="S127" i="21"/>
  <c r="H95" i="7" s="1"/>
  <c r="U127" i="21"/>
  <c r="AJ121" i="26"/>
  <c r="U121" i="26"/>
  <c r="G122" i="26"/>
  <c r="BM13" i="26"/>
  <c r="G104" i="51"/>
  <c r="E25" i="39"/>
  <c r="Z123" i="21"/>
  <c r="AA123" i="21" s="1"/>
  <c r="AB123" i="21" s="1"/>
  <c r="S123" i="21"/>
  <c r="U123" i="21"/>
  <c r="BY37" i="7"/>
  <c r="K37" i="7"/>
  <c r="BM9" i="26"/>
  <c r="F289" i="25"/>
  <c r="L288" i="25"/>
  <c r="U135" i="26"/>
  <c r="G136" i="26"/>
  <c r="AJ135" i="26"/>
  <c r="CJ94" i="7"/>
  <c r="CK94" i="7"/>
  <c r="CH94" i="7"/>
  <c r="CI94" i="7"/>
  <c r="CL94" i="7"/>
  <c r="F94" i="7"/>
  <c r="EN94" i="7" s="1"/>
  <c r="AL162" i="26"/>
  <c r="AK162" i="26"/>
  <c r="O157" i="21"/>
  <c r="I24" i="7"/>
  <c r="F229" i="7"/>
  <c r="H164" i="26"/>
  <c r="K163" i="26"/>
  <c r="AG163" i="26" s="1"/>
  <c r="F205" i="25"/>
  <c r="H226" i="7"/>
  <c r="T139" i="21"/>
  <c r="F110" i="7"/>
  <c r="EN110" i="7" s="1"/>
  <c r="CK110" i="7"/>
  <c r="CL110" i="7"/>
  <c r="AA115" i="21"/>
  <c r="AB114" i="21"/>
  <c r="AB115" i="21" s="1"/>
  <c r="EM276" i="7"/>
  <c r="EL93" i="7"/>
  <c r="J93" i="7"/>
  <c r="G27" i="25"/>
  <c r="Z124" i="21"/>
  <c r="AA124" i="21" s="1"/>
  <c r="AB124" i="21" s="1"/>
  <c r="S124" i="21"/>
  <c r="I77" i="51" s="1"/>
  <c r="J77" i="51" s="1"/>
  <c r="U124" i="21"/>
  <c r="I67" i="51"/>
  <c r="J67" i="51" s="1"/>
  <c r="O390" i="25"/>
  <c r="I167" i="21"/>
  <c r="D105" i="51" s="1"/>
  <c r="C171" i="21"/>
  <c r="F165" i="21"/>
  <c r="E165" i="21"/>
  <c r="I151" i="26"/>
  <c r="W150" i="26"/>
  <c r="AH150" i="26"/>
  <c r="EL23" i="7"/>
  <c r="J23" i="7"/>
  <c r="H375" i="25"/>
  <c r="J374" i="25" s="1"/>
  <c r="L374" i="25"/>
  <c r="Z25" i="36"/>
  <c r="U107" i="26"/>
  <c r="AJ107" i="26"/>
  <c r="CD279" i="7"/>
  <c r="CC279" i="7"/>
  <c r="CE279" i="7"/>
  <c r="CE280" i="7" s="1"/>
  <c r="EM279" i="7"/>
  <c r="E280" i="7"/>
  <c r="S126" i="21"/>
  <c r="Z126" i="21"/>
  <c r="AA126" i="21" s="1"/>
  <c r="AB126" i="21" s="1"/>
  <c r="U126" i="21"/>
  <c r="I137" i="26"/>
  <c r="W136" i="26"/>
  <c r="AH136" i="26"/>
  <c r="S19" i="33"/>
  <c r="G164" i="26"/>
  <c r="AJ163" i="26"/>
  <c r="U163" i="26"/>
  <c r="D35" i="33"/>
  <c r="CE24" i="7"/>
  <c r="CG24" i="7"/>
  <c r="CD24" i="7"/>
  <c r="CF24" i="7"/>
  <c r="E24" i="7"/>
  <c r="EM24" i="7" s="1"/>
  <c r="CC24" i="7"/>
  <c r="CF110" i="7"/>
  <c r="E110" i="7"/>
  <c r="EM110" i="7" s="1"/>
  <c r="CG110" i="7"/>
  <c r="AG134" i="26"/>
  <c r="AK134" i="26" s="1"/>
  <c r="AM134" i="26" s="1"/>
  <c r="F194" i="26"/>
  <c r="CB109" i="7"/>
  <c r="CP109" i="7" s="1"/>
  <c r="EL109" i="7"/>
  <c r="G201" i="25"/>
  <c r="O188" i="25" s="1"/>
  <c r="L200" i="25"/>
  <c r="AA178" i="26"/>
  <c r="AF178" i="26"/>
  <c r="AL178" i="26" s="1"/>
  <c r="N178" i="26"/>
  <c r="AB178" i="26" s="1"/>
  <c r="P178" i="26"/>
  <c r="BO21" i="26" s="1"/>
  <c r="EO93" i="7"/>
  <c r="F157" i="21"/>
  <c r="N167" i="21"/>
  <c r="EM231" i="7"/>
  <c r="EM232" i="7" s="1"/>
  <c r="CC231" i="7"/>
  <c r="CD231" i="7"/>
  <c r="CD232" i="7" s="1"/>
  <c r="CE231" i="7"/>
  <c r="CE232" i="7" s="1"/>
  <c r="E232" i="7"/>
  <c r="D24" i="7"/>
  <c r="D24" i="45"/>
  <c r="E24" i="45" s="1"/>
  <c r="I24" i="45"/>
  <c r="J24" i="45" s="1"/>
  <c r="F168" i="21"/>
  <c r="E168" i="21"/>
  <c r="CP93" i="7"/>
  <c r="C158" i="21"/>
  <c r="Q21" i="35" s="1"/>
  <c r="E157" i="21"/>
  <c r="F158" i="21" s="1"/>
  <c r="R21" i="35" s="1"/>
  <c r="H122" i="26"/>
  <c r="K121" i="26"/>
  <c r="AG121" i="26" s="1"/>
  <c r="CH24" i="7"/>
  <c r="CL24" i="7"/>
  <c r="CK24" i="7"/>
  <c r="F24" i="7"/>
  <c r="EN24" i="7" s="1"/>
  <c r="CI24" i="7"/>
  <c r="CJ24" i="7"/>
  <c r="G230" i="25"/>
  <c r="O217" i="25" s="1"/>
  <c r="L229" i="25"/>
  <c r="F269" i="7"/>
  <c r="O170" i="21"/>
  <c r="I25" i="7" s="1"/>
  <c r="EQ25" i="7" s="1"/>
  <c r="Y170" i="21"/>
  <c r="G171" i="21"/>
  <c r="CH265" i="7"/>
  <c r="CJ265" i="7"/>
  <c r="CI265" i="7"/>
  <c r="EN265" i="7"/>
  <c r="HG90" i="7"/>
  <c r="H282" i="7"/>
  <c r="M168" i="21"/>
  <c r="O165" i="21"/>
  <c r="Y165" i="21"/>
  <c r="EO270" i="7"/>
  <c r="CM94" i="7"/>
  <c r="G94" i="7"/>
  <c r="EO94" i="7" s="1"/>
  <c r="CN94" i="7"/>
  <c r="CO94" i="7"/>
  <c r="F167" i="21"/>
  <c r="E167" i="21"/>
  <c r="K436" i="25"/>
  <c r="C437" i="25"/>
  <c r="K437" i="25" s="1"/>
  <c r="AH122" i="26"/>
  <c r="W122" i="26"/>
  <c r="B188" i="21"/>
  <c r="B189" i="21"/>
  <c r="B54" i="40" s="1"/>
  <c r="F188" i="21"/>
  <c r="J191" i="21" s="1"/>
  <c r="F189" i="21"/>
  <c r="EM93" i="7"/>
  <c r="G150" i="26"/>
  <c r="U149" i="26"/>
  <c r="AJ149" i="26"/>
  <c r="K30" i="25"/>
  <c r="C31" i="25"/>
  <c r="K31" i="25" s="1"/>
  <c r="M169" i="21"/>
  <c r="E23" i="45"/>
  <c r="F23" i="45" s="1"/>
  <c r="K135" i="26"/>
  <c r="V135" i="26" s="1"/>
  <c r="H136" i="26"/>
  <c r="AG92" i="26"/>
  <c r="AK92" i="26" s="1"/>
  <c r="AM92" i="26" s="1"/>
  <c r="AH192" i="26"/>
  <c r="W192" i="26"/>
  <c r="I193" i="26"/>
  <c r="BN15" i="26"/>
  <c r="EQ278" i="7"/>
  <c r="ER278" i="7" s="1"/>
  <c r="HG278" i="7" s="1"/>
  <c r="J278" i="7"/>
  <c r="BY278" i="7" s="1"/>
  <c r="V148" i="26"/>
  <c r="P168" i="26"/>
  <c r="BM20" i="26"/>
  <c r="H403" i="25"/>
  <c r="L402" i="25"/>
  <c r="O168" i="21"/>
  <c r="Y168" i="21"/>
  <c r="G107" i="51"/>
  <c r="M166" i="21"/>
  <c r="AJ295" i="7"/>
  <c r="K306" i="7" s="1"/>
  <c r="AE18" i="33"/>
  <c r="E36" i="33"/>
  <c r="E37" i="33" s="1"/>
  <c r="E69" i="33" s="1"/>
  <c r="V20" i="33"/>
  <c r="V20" i="44"/>
  <c r="BU295" i="7"/>
  <c r="GS292" i="7"/>
  <c r="GS297" i="7"/>
  <c r="FJ298" i="7"/>
  <c r="FJ299" i="7" s="1"/>
  <c r="FD299" i="7"/>
  <c r="HF84" i="7"/>
  <c r="FT299" i="7"/>
  <c r="AY298" i="7"/>
  <c r="AY295" i="7"/>
  <c r="BW293" i="7"/>
  <c r="GH298" i="7"/>
  <c r="GH299" i="7" s="1"/>
  <c r="GB299" i="7"/>
  <c r="FQ298" i="7"/>
  <c r="FQ295" i="7"/>
  <c r="I20" i="39"/>
  <c r="AG299" i="7"/>
  <c r="BM298" i="7"/>
  <c r="G35" i="33"/>
  <c r="AB19" i="33"/>
  <c r="AB19" i="44"/>
  <c r="GU292" i="7"/>
  <c r="GU297" i="7"/>
  <c r="C23" i="39"/>
  <c r="BB299" i="7"/>
  <c r="M19" i="33"/>
  <c r="BX292" i="7"/>
  <c r="M19" i="44"/>
  <c r="B35" i="33"/>
  <c r="V19" i="33"/>
  <c r="E35" i="33"/>
  <c r="V19" i="44"/>
  <c r="W4" i="36"/>
  <c r="L27" i="33"/>
  <c r="BC298" i="7"/>
  <c r="BC295" i="7"/>
  <c r="D23" i="39" s="1"/>
  <c r="D25" i="39" s="1"/>
  <c r="BS293" i="7"/>
  <c r="FN298" i="7"/>
  <c r="FR293" i="7"/>
  <c r="FN295" i="7"/>
  <c r="ES305" i="7"/>
  <c r="K305" i="7"/>
  <c r="FX298" i="7"/>
  <c r="FX295" i="7"/>
  <c r="FZ297" i="7"/>
  <c r="FW293" i="7"/>
  <c r="HC292" i="7"/>
  <c r="FZ292" i="7"/>
  <c r="FU299" i="7"/>
  <c r="BP292" i="7"/>
  <c r="I19" i="39"/>
  <c r="GK293" i="7"/>
  <c r="HA292" i="7"/>
  <c r="S20" i="44"/>
  <c r="D36" i="33"/>
  <c r="D37" i="33" s="1"/>
  <c r="D69" i="33" s="1"/>
  <c r="S20" i="33"/>
  <c r="BT295" i="7"/>
  <c r="HF290" i="7"/>
  <c r="AL298" i="7"/>
  <c r="BR293" i="7"/>
  <c r="AL295" i="7"/>
  <c r="AE18" i="44"/>
  <c r="BP297" i="7"/>
  <c r="W48" i="36"/>
  <c r="Y48" i="36" s="1"/>
  <c r="L7" i="7"/>
  <c r="P19" i="33"/>
  <c r="C35" i="33"/>
  <c r="P19" i="44"/>
  <c r="AF299" i="7"/>
  <c r="BL298" i="7"/>
  <c r="H34" i="33"/>
  <c r="GR292" i="7"/>
  <c r="GR297" i="7"/>
  <c r="GJ293" i="7"/>
  <c r="GZ292" i="7"/>
  <c r="D177" i="21"/>
  <c r="G177" i="21"/>
  <c r="A201" i="21"/>
  <c r="O202" i="21" s="1"/>
  <c r="Q205" i="21" s="1"/>
  <c r="A214" i="26"/>
  <c r="K261" i="25" l="1"/>
  <c r="C262" i="25"/>
  <c r="I274" i="7"/>
  <c r="EQ274" i="7" s="1"/>
  <c r="ER274" i="7" s="1"/>
  <c r="HG274" i="7" s="1"/>
  <c r="C205" i="25"/>
  <c r="K205" i="25" s="1"/>
  <c r="CE240" i="7"/>
  <c r="J246" i="7"/>
  <c r="BY246" i="7" s="1"/>
  <c r="E177" i="25"/>
  <c r="CC240" i="7"/>
  <c r="CD240" i="7"/>
  <c r="CD244" i="7"/>
  <c r="CH249" i="7"/>
  <c r="CJ249" i="7"/>
  <c r="CI249" i="7"/>
  <c r="J230" i="7"/>
  <c r="BY230" i="7" s="1"/>
  <c r="E61" i="25"/>
  <c r="I234" i="7"/>
  <c r="EQ234" i="7" s="1"/>
  <c r="ER234" i="7" s="1"/>
  <c r="HG234" i="7" s="1"/>
  <c r="CE259" i="7"/>
  <c r="CE260" i="7" s="1"/>
  <c r="M169" i="25"/>
  <c r="F247" i="7" s="1"/>
  <c r="EN247" i="7" s="1"/>
  <c r="CC259" i="7"/>
  <c r="CC260" i="7" s="1"/>
  <c r="E260" i="7"/>
  <c r="E244" i="7"/>
  <c r="EM243" i="7"/>
  <c r="EM244" i="7" s="1"/>
  <c r="CC243" i="7"/>
  <c r="CC244" i="7" s="1"/>
  <c r="CE243" i="7"/>
  <c r="CE244" i="7" s="1"/>
  <c r="CD259" i="7"/>
  <c r="CD260" i="7" s="1"/>
  <c r="CD271" i="7"/>
  <c r="CD272" i="7" s="1"/>
  <c r="CE271" i="7"/>
  <c r="CE272" i="7" s="1"/>
  <c r="EM271" i="7"/>
  <c r="EM272" i="7" s="1"/>
  <c r="EM251" i="7"/>
  <c r="EM252" i="7" s="1"/>
  <c r="CC271" i="7"/>
  <c r="CC272" i="7" s="1"/>
  <c r="E248" i="7"/>
  <c r="CD251" i="7"/>
  <c r="CD252" i="7" s="1"/>
  <c r="CE251" i="7"/>
  <c r="CE252" i="7" s="1"/>
  <c r="J82" i="25"/>
  <c r="F233" i="7" s="1"/>
  <c r="M256" i="25"/>
  <c r="F259" i="7" s="1"/>
  <c r="F260" i="7" s="1"/>
  <c r="CC251" i="7"/>
  <c r="CC252" i="7" s="1"/>
  <c r="EM260" i="7"/>
  <c r="CD247" i="7"/>
  <c r="CD248" i="7" s="1"/>
  <c r="CC247" i="7"/>
  <c r="M343" i="25"/>
  <c r="F271" i="7" s="1"/>
  <c r="EM247" i="7"/>
  <c r="CJ263" i="7"/>
  <c r="CI263" i="7"/>
  <c r="CI264" i="7" s="1"/>
  <c r="EN263" i="7"/>
  <c r="CJ261" i="7"/>
  <c r="F264" i="7"/>
  <c r="CH261" i="7"/>
  <c r="CH264" i="7" s="1"/>
  <c r="EN261" i="7"/>
  <c r="D285" i="7"/>
  <c r="C34" i="56" s="1"/>
  <c r="CC245" i="7"/>
  <c r="EM245" i="7"/>
  <c r="L82" i="25"/>
  <c r="CE245" i="7"/>
  <c r="CE248" i="7" s="1"/>
  <c r="CD235" i="7"/>
  <c r="CH245" i="7"/>
  <c r="CD264" i="7"/>
  <c r="CJ245" i="7"/>
  <c r="M287" i="25"/>
  <c r="G263" i="7" s="1"/>
  <c r="EL285" i="7"/>
  <c r="B16" i="33" s="1"/>
  <c r="CE235" i="7"/>
  <c r="M401" i="25"/>
  <c r="F279" i="7" s="1"/>
  <c r="F280" i="7" s="1"/>
  <c r="CC235" i="7"/>
  <c r="E285" i="45"/>
  <c r="F3" i="45" s="1"/>
  <c r="E264" i="7"/>
  <c r="CC280" i="7"/>
  <c r="L83" i="25"/>
  <c r="I285" i="45"/>
  <c r="I286" i="45" s="1"/>
  <c r="I288" i="45" s="1"/>
  <c r="CC263" i="7"/>
  <c r="CC264" i="7" s="1"/>
  <c r="H84" i="25"/>
  <c r="L84" i="25" s="1"/>
  <c r="CI245" i="7"/>
  <c r="EM280" i="7"/>
  <c r="EM263" i="7"/>
  <c r="EM264" i="7" s="1"/>
  <c r="CE263" i="7"/>
  <c r="CE264" i="7" s="1"/>
  <c r="CD280" i="7"/>
  <c r="CD233" i="7"/>
  <c r="EM267" i="7"/>
  <c r="EM268" i="7" s="1"/>
  <c r="CC233" i="7"/>
  <c r="E236" i="7"/>
  <c r="CE233" i="7"/>
  <c r="C349" i="25"/>
  <c r="K349" i="25" s="1"/>
  <c r="K348" i="25"/>
  <c r="EM236" i="7"/>
  <c r="CD267" i="7"/>
  <c r="CD268" i="7" s="1"/>
  <c r="C292" i="25"/>
  <c r="K292" i="25" s="1"/>
  <c r="CE267" i="7"/>
  <c r="CE268" i="7" s="1"/>
  <c r="K290" i="25"/>
  <c r="E289" i="25"/>
  <c r="H262" i="7" s="1"/>
  <c r="EP262" i="7" s="1"/>
  <c r="CC267" i="7"/>
  <c r="CC268" i="7" s="1"/>
  <c r="EM225" i="7"/>
  <c r="EM228" i="7" s="1"/>
  <c r="CB285" i="7"/>
  <c r="CB291" i="7" s="1"/>
  <c r="J285" i="45"/>
  <c r="J286" i="45" s="1"/>
  <c r="J288" i="45" s="1"/>
  <c r="C319" i="25"/>
  <c r="E318" i="25" s="1"/>
  <c r="H266" i="7" s="1"/>
  <c r="EP266" i="7" s="1"/>
  <c r="CE225" i="7"/>
  <c r="CE228" i="7" s="1"/>
  <c r="CD225" i="7"/>
  <c r="CD228" i="7" s="1"/>
  <c r="CC225" i="7"/>
  <c r="CC228" i="7" s="1"/>
  <c r="O14" i="25"/>
  <c r="D40" i="52"/>
  <c r="L24" i="25"/>
  <c r="J24" i="25"/>
  <c r="F225" i="7" s="1"/>
  <c r="CH225" i="7" s="1"/>
  <c r="L26" i="25"/>
  <c r="L25" i="25"/>
  <c r="D285" i="45"/>
  <c r="D291" i="45" s="1"/>
  <c r="E291" i="45" s="1"/>
  <c r="O13" i="25"/>
  <c r="H31" i="25"/>
  <c r="H321" i="25"/>
  <c r="H292" i="25"/>
  <c r="BY106" i="7"/>
  <c r="O16" i="35"/>
  <c r="I72" i="51"/>
  <c r="J72" i="51" s="1"/>
  <c r="ER109" i="7"/>
  <c r="HG109" i="7" s="1"/>
  <c r="P194" i="21"/>
  <c r="C158" i="56" a="1"/>
  <c r="C158" i="56" s="1"/>
  <c r="S205" i="21"/>
  <c r="R207" i="21"/>
  <c r="R208" i="21" s="1"/>
  <c r="R209" i="21" s="1"/>
  <c r="R210" i="21" s="1"/>
  <c r="R211" i="21" s="1"/>
  <c r="R212" i="21" s="1"/>
  <c r="P207" i="21"/>
  <c r="P155" i="21"/>
  <c r="T155" i="21" s="1"/>
  <c r="F131" i="56" a="1"/>
  <c r="F131" i="56" s="1"/>
  <c r="J109" i="7"/>
  <c r="BY109" i="7" s="1"/>
  <c r="Q154" i="21"/>
  <c r="H113" i="56" a="1"/>
  <c r="H113" i="56" s="1"/>
  <c r="Q128" i="21"/>
  <c r="I110" i="7" s="1"/>
  <c r="EQ110" i="7" s="1"/>
  <c r="T128" i="21"/>
  <c r="D149" i="56" a="1"/>
  <c r="D149" i="56" s="1"/>
  <c r="P181" i="21"/>
  <c r="P168" i="21"/>
  <c r="E140" i="56" a="1"/>
  <c r="E140" i="56" s="1"/>
  <c r="Q167" i="21"/>
  <c r="P142" i="21"/>
  <c r="G122" i="56" a="1"/>
  <c r="G122" i="56" s="1"/>
  <c r="Q141" i="21"/>
  <c r="H111" i="7" s="1"/>
  <c r="EP111" i="7" s="1"/>
  <c r="BY105" i="7"/>
  <c r="O14" i="35"/>
  <c r="Q115" i="21"/>
  <c r="CM261" i="7"/>
  <c r="CN261" i="7"/>
  <c r="CO261" i="7"/>
  <c r="H118" i="25"/>
  <c r="H234" i="25"/>
  <c r="H176" i="25"/>
  <c r="H205" i="25"/>
  <c r="W37" i="22"/>
  <c r="AG21" i="25" s="1"/>
  <c r="H147" i="25"/>
  <c r="HG149" i="7"/>
  <c r="J4" i="55"/>
  <c r="K4" i="55" s="1"/>
  <c r="G116" i="51"/>
  <c r="G152" i="56" a="1"/>
  <c r="G152" i="56" s="1"/>
  <c r="G150" i="56" a="1"/>
  <c r="G150" i="56" s="1"/>
  <c r="G151" i="56" a="1"/>
  <c r="G151" i="56" s="1"/>
  <c r="I181" i="21"/>
  <c r="D114" i="51" s="1"/>
  <c r="E148" i="56" a="1"/>
  <c r="E148" i="56" s="1"/>
  <c r="D151" i="56" a="1"/>
  <c r="D151" i="56" s="1"/>
  <c r="D152" i="56" a="1"/>
  <c r="D152" i="56" s="1"/>
  <c r="D150" i="56" a="1"/>
  <c r="D150" i="56" s="1"/>
  <c r="G114" i="51"/>
  <c r="E151" i="56" a="1"/>
  <c r="E151" i="56" s="1"/>
  <c r="E152" i="56" a="1"/>
  <c r="E152" i="56" s="1"/>
  <c r="E150" i="56" a="1"/>
  <c r="E150" i="56" s="1"/>
  <c r="I182" i="21"/>
  <c r="D115" i="51" s="1"/>
  <c r="F148" i="56" a="1"/>
  <c r="F148" i="56" s="1"/>
  <c r="F150" i="56" a="1"/>
  <c r="F150" i="56" s="1"/>
  <c r="F152" i="56" a="1"/>
  <c r="F152" i="56" s="1"/>
  <c r="F151" i="56" a="1"/>
  <c r="F151" i="56" s="1"/>
  <c r="I179" i="21"/>
  <c r="D112" i="51" s="1"/>
  <c r="C148" i="56" a="1"/>
  <c r="C148" i="56" s="1"/>
  <c r="I184" i="21"/>
  <c r="D117" i="51" s="1"/>
  <c r="H148" i="56" a="1"/>
  <c r="H148" i="56" s="1"/>
  <c r="H150" i="56" a="1"/>
  <c r="H150" i="56" s="1"/>
  <c r="H152" i="56" a="1"/>
  <c r="H152" i="56" s="1"/>
  <c r="H151" i="56" a="1"/>
  <c r="H151" i="56" s="1"/>
  <c r="I183" i="21"/>
  <c r="D116" i="51" s="1"/>
  <c r="G148" i="56" a="1"/>
  <c r="G148" i="56" s="1"/>
  <c r="G112" i="51"/>
  <c r="C151" i="56" a="1"/>
  <c r="C151" i="56" s="1"/>
  <c r="C152" i="56" a="1"/>
  <c r="C152" i="56" s="1"/>
  <c r="C150" i="56" a="1"/>
  <c r="C150" i="56" s="1"/>
  <c r="O78" i="35"/>
  <c r="EL39" i="7"/>
  <c r="ER39" i="7" s="1"/>
  <c r="HG39" i="7" s="1"/>
  <c r="H40" i="7"/>
  <c r="EP40" i="7" s="1"/>
  <c r="G40" i="7"/>
  <c r="EO40" i="7" s="1"/>
  <c r="CG40" i="7"/>
  <c r="Q166" i="21"/>
  <c r="D40" i="45"/>
  <c r="E40" i="45" s="1"/>
  <c r="Q165" i="21"/>
  <c r="BO11" i="26"/>
  <c r="BO14" i="26"/>
  <c r="BO12" i="26"/>
  <c r="GP292" i="7"/>
  <c r="GN295" i="7"/>
  <c r="HD292" i="7"/>
  <c r="HF292" i="7" s="1"/>
  <c r="I40" i="45"/>
  <c r="J40" i="45" s="1"/>
  <c r="D40" i="7"/>
  <c r="CB40" i="7" s="1"/>
  <c r="GV292" i="7"/>
  <c r="GX292" i="7" s="1"/>
  <c r="GN299" i="7"/>
  <c r="GP297" i="7"/>
  <c r="O101" i="25"/>
  <c r="AF193" i="26"/>
  <c r="AL193" i="26" s="1"/>
  <c r="S152" i="21"/>
  <c r="N193" i="26"/>
  <c r="AB193" i="26" s="1"/>
  <c r="GX290" i="7"/>
  <c r="F209" i="26"/>
  <c r="AA209" i="26" s="1"/>
  <c r="J26" i="25"/>
  <c r="G225" i="7" s="1"/>
  <c r="CL291" i="7"/>
  <c r="P193" i="26"/>
  <c r="BQ21" i="26" s="1"/>
  <c r="Z155" i="21"/>
  <c r="AA155" i="21" s="1"/>
  <c r="AB155" i="21" s="1"/>
  <c r="Z156" i="21"/>
  <c r="AA156" i="21" s="1"/>
  <c r="Z154" i="21"/>
  <c r="AA154" i="21" s="1"/>
  <c r="AB154" i="21" s="1"/>
  <c r="U151" i="21"/>
  <c r="O159" i="25"/>
  <c r="Y21" i="33"/>
  <c r="Y21" i="44"/>
  <c r="M129" i="35"/>
  <c r="AF196" i="26"/>
  <c r="AL196" i="26" s="1"/>
  <c r="J229" i="25"/>
  <c r="G253" i="7" s="1"/>
  <c r="AM162" i="26"/>
  <c r="AG149" i="26"/>
  <c r="AK149" i="26" s="1"/>
  <c r="AM149" i="26" s="1"/>
  <c r="N196" i="26"/>
  <c r="AB196" i="26" s="1"/>
  <c r="J316" i="25"/>
  <c r="G265" i="7" s="1"/>
  <c r="F39" i="45"/>
  <c r="P196" i="26"/>
  <c r="BQ24" i="26" s="1"/>
  <c r="V121" i="26"/>
  <c r="AF197" i="26"/>
  <c r="AL197" i="26" s="1"/>
  <c r="AA197" i="26"/>
  <c r="V177" i="26"/>
  <c r="AK121" i="26"/>
  <c r="AM121" i="26" s="1"/>
  <c r="BY38" i="7"/>
  <c r="P197" i="26"/>
  <c r="BQ25" i="26" s="1"/>
  <c r="AF192" i="26"/>
  <c r="AL192" i="26" s="1"/>
  <c r="AA192" i="26"/>
  <c r="E40" i="7"/>
  <c r="EM40" i="7" s="1"/>
  <c r="ES306" i="7"/>
  <c r="P192" i="26"/>
  <c r="BQ20" i="26" s="1"/>
  <c r="CF40" i="7"/>
  <c r="AG135" i="26"/>
  <c r="AK135" i="26" s="1"/>
  <c r="AM135" i="26" s="1"/>
  <c r="E30" i="25"/>
  <c r="N183" i="21"/>
  <c r="H104" i="51"/>
  <c r="AF195" i="26"/>
  <c r="AL195" i="26" s="1"/>
  <c r="N184" i="21"/>
  <c r="F208" i="26"/>
  <c r="N208" i="26" s="1"/>
  <c r="AB208" i="26" s="1"/>
  <c r="I80" i="51"/>
  <c r="J80" i="51" s="1"/>
  <c r="AA195" i="26"/>
  <c r="F24" i="45"/>
  <c r="ER23" i="7"/>
  <c r="HG23" i="7" s="1"/>
  <c r="P195" i="26"/>
  <c r="BQ23" i="26" s="1"/>
  <c r="O130" i="25"/>
  <c r="J200" i="25"/>
  <c r="G249" i="7" s="1"/>
  <c r="AK163" i="26"/>
  <c r="AM163" i="26" s="1"/>
  <c r="F210" i="26"/>
  <c r="AF210" i="26" s="1"/>
  <c r="AL210" i="26" s="1"/>
  <c r="G273" i="7"/>
  <c r="K164" i="26"/>
  <c r="V164" i="26" s="1"/>
  <c r="H165" i="26"/>
  <c r="Z153" i="21"/>
  <c r="AA153" i="21" s="1"/>
  <c r="AB153" i="21" s="1"/>
  <c r="S153" i="21"/>
  <c r="U153" i="21"/>
  <c r="EN275" i="7"/>
  <c r="EN276" i="7" s="1"/>
  <c r="CH275" i="7"/>
  <c r="CI275" i="7"/>
  <c r="CI276" i="7" s="1"/>
  <c r="CJ275" i="7"/>
  <c r="CJ276" i="7" s="1"/>
  <c r="F276" i="7"/>
  <c r="F252" i="7"/>
  <c r="CI251" i="7"/>
  <c r="CJ251" i="7"/>
  <c r="CH251" i="7"/>
  <c r="EN251" i="7"/>
  <c r="EN252" i="7" s="1"/>
  <c r="I95" i="45"/>
  <c r="J95" i="45" s="1"/>
  <c r="D95" i="7"/>
  <c r="D95" i="45"/>
  <c r="E95" i="45" s="1"/>
  <c r="S129" i="21"/>
  <c r="T154" i="21"/>
  <c r="F262" i="25"/>
  <c r="I180" i="26"/>
  <c r="AH179" i="26"/>
  <c r="W179" i="26"/>
  <c r="F283" i="7"/>
  <c r="AB192" i="26"/>
  <c r="Q80" i="35"/>
  <c r="F231" i="7"/>
  <c r="E182" i="21"/>
  <c r="F182" i="21"/>
  <c r="H259" i="25"/>
  <c r="J258" i="25" s="1"/>
  <c r="L258" i="25"/>
  <c r="K122" i="26"/>
  <c r="V122" i="26" s="1"/>
  <c r="ER93" i="7"/>
  <c r="HG93" i="7" s="1"/>
  <c r="EN277" i="7"/>
  <c r="CI277" i="7"/>
  <c r="CJ277" i="7"/>
  <c r="CH277" i="7"/>
  <c r="C115" i="7"/>
  <c r="EK115" i="7" s="1"/>
  <c r="C42" i="45"/>
  <c r="C100" i="45"/>
  <c r="C27" i="45"/>
  <c r="C115" i="45"/>
  <c r="C27" i="7"/>
  <c r="EK27" i="7" s="1"/>
  <c r="C100" i="7"/>
  <c r="EK100" i="7" s="1"/>
  <c r="A54" i="40"/>
  <c r="C42" i="7"/>
  <c r="EK42" i="7" s="1"/>
  <c r="CL111" i="7"/>
  <c r="F111" i="7"/>
  <c r="EN111" i="7" s="1"/>
  <c r="CK111" i="7"/>
  <c r="EL94" i="7"/>
  <c r="ER94" i="7" s="1"/>
  <c r="HG94" i="7" s="1"/>
  <c r="J94" i="7"/>
  <c r="N171" i="21"/>
  <c r="I40" i="7"/>
  <c r="EQ40" i="7" s="1"/>
  <c r="H108" i="51"/>
  <c r="I111" i="45"/>
  <c r="J111" i="45" s="1"/>
  <c r="D111" i="45"/>
  <c r="E111" i="45" s="1"/>
  <c r="D111" i="7"/>
  <c r="CP39" i="7"/>
  <c r="K146" i="25"/>
  <c r="C147" i="25"/>
  <c r="K147" i="25" s="1"/>
  <c r="Y180" i="21"/>
  <c r="O180" i="21"/>
  <c r="G28" i="25"/>
  <c r="L27" i="25"/>
  <c r="F58" i="25"/>
  <c r="Y171" i="21"/>
  <c r="G197" i="21"/>
  <c r="G198" i="21"/>
  <c r="X194" i="21"/>
  <c r="G195" i="21"/>
  <c r="G193" i="21"/>
  <c r="G196" i="21"/>
  <c r="W193" i="21"/>
  <c r="X195" i="21"/>
  <c r="W194" i="21"/>
  <c r="G194" i="21"/>
  <c r="W195" i="21"/>
  <c r="X193" i="21"/>
  <c r="W198" i="21"/>
  <c r="W196" i="21"/>
  <c r="X196" i="21"/>
  <c r="W197" i="21"/>
  <c r="X197" i="21"/>
  <c r="X198" i="21"/>
  <c r="X199" i="21"/>
  <c r="J200" i="21" s="1"/>
  <c r="E171" i="21"/>
  <c r="F172" i="21" s="1"/>
  <c r="R22" i="35" s="1"/>
  <c r="C172" i="21"/>
  <c r="Q22" i="35" s="1"/>
  <c r="H433" i="25"/>
  <c r="O420" i="25" s="1"/>
  <c r="L432" i="25"/>
  <c r="M184" i="21"/>
  <c r="S141" i="21"/>
  <c r="H96" i="7" s="1"/>
  <c r="EP96" i="7" s="1"/>
  <c r="Z141" i="21"/>
  <c r="AA141" i="21" s="1"/>
  <c r="AB141" i="21" s="1"/>
  <c r="U141" i="21"/>
  <c r="J39" i="7"/>
  <c r="H56" i="25"/>
  <c r="J55" i="25" s="1"/>
  <c r="L55" i="25"/>
  <c r="AA129" i="21"/>
  <c r="AB128" i="21"/>
  <c r="AB129" i="21" s="1"/>
  <c r="B216" i="26"/>
  <c r="D222" i="26"/>
  <c r="E226" i="26"/>
  <c r="E222" i="26"/>
  <c r="D224" i="26"/>
  <c r="E225" i="26"/>
  <c r="E224" i="26"/>
  <c r="D225" i="26"/>
  <c r="D226" i="26"/>
  <c r="E227" i="26"/>
  <c r="D227" i="26"/>
  <c r="D223" i="26"/>
  <c r="E223" i="26"/>
  <c r="F217" i="26"/>
  <c r="I222" i="26" s="1"/>
  <c r="T167" i="21"/>
  <c r="U122" i="26"/>
  <c r="AJ122" i="26"/>
  <c r="EM284" i="7"/>
  <c r="G115" i="51"/>
  <c r="I166" i="26"/>
  <c r="AH165" i="26"/>
  <c r="W165" i="26"/>
  <c r="H193" i="26"/>
  <c r="K192" i="26"/>
  <c r="V192" i="26" s="1"/>
  <c r="H404" i="25"/>
  <c r="J403" i="25" s="1"/>
  <c r="L403" i="25"/>
  <c r="Z138" i="21"/>
  <c r="AA138" i="21" s="1"/>
  <c r="AB138" i="21" s="1"/>
  <c r="S138" i="21"/>
  <c r="U138" i="21"/>
  <c r="O184" i="21"/>
  <c r="I26" i="7" s="1"/>
  <c r="EQ26" i="7" s="1"/>
  <c r="Y184" i="21"/>
  <c r="S139" i="21"/>
  <c r="Z139" i="21"/>
  <c r="AA139" i="21" s="1"/>
  <c r="AB139" i="21" s="1"/>
  <c r="U139" i="21"/>
  <c r="E181" i="21"/>
  <c r="F181" i="21"/>
  <c r="H107" i="51"/>
  <c r="S142" i="21"/>
  <c r="I96" i="7" s="1"/>
  <c r="EQ96" i="7" s="1"/>
  <c r="Z142" i="21"/>
  <c r="AA142" i="21" s="1"/>
  <c r="AB142" i="21" s="1"/>
  <c r="U142" i="21"/>
  <c r="V107" i="26"/>
  <c r="N179" i="21"/>
  <c r="Q179" i="21" s="1"/>
  <c r="Y179" i="21"/>
  <c r="O179" i="21"/>
  <c r="E436" i="25"/>
  <c r="CH269" i="7"/>
  <c r="CJ269" i="7"/>
  <c r="CI269" i="7"/>
  <c r="EN269" i="7"/>
  <c r="EP258" i="7"/>
  <c r="F290" i="25"/>
  <c r="J289" i="25" s="1"/>
  <c r="L289" i="25"/>
  <c r="P183" i="26"/>
  <c r="BO20" i="26"/>
  <c r="BO26" i="26" s="1"/>
  <c r="M182" i="21"/>
  <c r="EQ24" i="7"/>
  <c r="AH137" i="26"/>
  <c r="W137" i="26"/>
  <c r="CN95" i="7"/>
  <c r="CM95" i="7"/>
  <c r="G95" i="7"/>
  <c r="EO95" i="7" s="1"/>
  <c r="CO95" i="7"/>
  <c r="O183" i="21"/>
  <c r="H26" i="7" s="1"/>
  <c r="EP26" i="7" s="1"/>
  <c r="Y183" i="21"/>
  <c r="AK107" i="26"/>
  <c r="AM107" i="26" s="1"/>
  <c r="W193" i="26"/>
  <c r="AH193" i="26"/>
  <c r="I194" i="26"/>
  <c r="CK40" i="7"/>
  <c r="H105" i="51"/>
  <c r="CL40" i="7"/>
  <c r="F40" i="7"/>
  <c r="EN40" i="7" s="1"/>
  <c r="B203" i="21"/>
  <c r="B55" i="40" s="1"/>
  <c r="B202" i="21"/>
  <c r="F202" i="21"/>
  <c r="F203" i="21"/>
  <c r="CP24" i="7"/>
  <c r="CC284" i="7"/>
  <c r="Q79" i="35"/>
  <c r="AB177" i="26"/>
  <c r="N183" i="26"/>
  <c r="P79" i="35" s="1"/>
  <c r="G241" i="7"/>
  <c r="N181" i="21"/>
  <c r="G237" i="7"/>
  <c r="CI257" i="7"/>
  <c r="CH257" i="7"/>
  <c r="EN257" i="7"/>
  <c r="CJ257" i="7"/>
  <c r="F320" i="25"/>
  <c r="BO10" i="26"/>
  <c r="CI229" i="7"/>
  <c r="EN229" i="7"/>
  <c r="CH229" i="7"/>
  <c r="CJ229" i="7"/>
  <c r="O181" i="21"/>
  <c r="Y181" i="21"/>
  <c r="BR12" i="26"/>
  <c r="BR13" i="26"/>
  <c r="BR9" i="26"/>
  <c r="BR14" i="26"/>
  <c r="BR11" i="26"/>
  <c r="BQ14" i="26"/>
  <c r="BQ9" i="26"/>
  <c r="BR10" i="26"/>
  <c r="BQ12" i="26"/>
  <c r="CO25" i="7"/>
  <c r="CN25" i="7"/>
  <c r="CM25" i="7"/>
  <c r="G25" i="7"/>
  <c r="EO25" i="7" s="1"/>
  <c r="M180" i="21"/>
  <c r="BP15" i="26"/>
  <c r="E25" i="7"/>
  <c r="EM25" i="7" s="1"/>
  <c r="CD25" i="7"/>
  <c r="CE25" i="7"/>
  <c r="CF25" i="7"/>
  <c r="CG25" i="7"/>
  <c r="CC25" i="7"/>
  <c r="U164" i="26"/>
  <c r="G165" i="26"/>
  <c r="AJ164" i="26"/>
  <c r="Z137" i="21"/>
  <c r="AA137" i="21" s="1"/>
  <c r="S137" i="21"/>
  <c r="U137" i="21"/>
  <c r="F88" i="25"/>
  <c r="H346" i="25"/>
  <c r="O333" i="25" s="1"/>
  <c r="L345" i="25"/>
  <c r="W185" i="21"/>
  <c r="M179" i="21"/>
  <c r="M183" i="21"/>
  <c r="G173" i="25"/>
  <c r="L172" i="25"/>
  <c r="M171" i="25" s="1"/>
  <c r="EN239" i="7"/>
  <c r="CH239" i="7"/>
  <c r="CJ239" i="7"/>
  <c r="CJ240" i="7" s="1"/>
  <c r="CI239" i="7"/>
  <c r="CI240" i="7" s="1"/>
  <c r="F207" i="26"/>
  <c r="G144" i="25"/>
  <c r="L143" i="25"/>
  <c r="M142" i="25" s="1"/>
  <c r="E183" i="21"/>
  <c r="F183" i="21"/>
  <c r="I254" i="7"/>
  <c r="E235" i="25"/>
  <c r="CF111" i="7"/>
  <c r="E111" i="7"/>
  <c r="EM111" i="7" s="1"/>
  <c r="CG111" i="7"/>
  <c r="CC95" i="7"/>
  <c r="CD95" i="7"/>
  <c r="E95" i="7"/>
  <c r="CE95" i="7"/>
  <c r="CF95" i="7"/>
  <c r="CG95" i="7"/>
  <c r="AJ192" i="26"/>
  <c r="U192" i="26"/>
  <c r="G193" i="26"/>
  <c r="M181" i="21"/>
  <c r="T152" i="21"/>
  <c r="G113" i="51"/>
  <c r="E180" i="21"/>
  <c r="F180" i="21"/>
  <c r="EL24" i="7"/>
  <c r="J24" i="7"/>
  <c r="S140" i="21"/>
  <c r="Z140" i="21"/>
  <c r="AA140" i="21" s="1"/>
  <c r="AB140" i="21" s="1"/>
  <c r="U140" i="21"/>
  <c r="F171" i="21"/>
  <c r="G185" i="21"/>
  <c r="CK95" i="7"/>
  <c r="CI95" i="7"/>
  <c r="F95" i="7"/>
  <c r="EN95" i="7" s="1"/>
  <c r="CL95" i="7"/>
  <c r="CJ95" i="7"/>
  <c r="CH95" i="7"/>
  <c r="H137" i="26"/>
  <c r="K136" i="26"/>
  <c r="V136" i="26" s="1"/>
  <c r="BM15" i="26"/>
  <c r="CI281" i="7"/>
  <c r="EN281" i="7"/>
  <c r="CH281" i="7"/>
  <c r="CJ281" i="7"/>
  <c r="D202" i="26"/>
  <c r="H207" i="26" s="1"/>
  <c r="B202" i="26"/>
  <c r="G207" i="26" s="1"/>
  <c r="I200" i="26"/>
  <c r="I238" i="7"/>
  <c r="E119" i="25"/>
  <c r="CK25" i="7"/>
  <c r="CL25" i="7"/>
  <c r="CH25" i="7"/>
  <c r="CI25" i="7"/>
  <c r="CJ25" i="7"/>
  <c r="F25" i="7"/>
  <c r="EN25" i="7" s="1"/>
  <c r="O182" i="21"/>
  <c r="Y182" i="21"/>
  <c r="G115" i="25"/>
  <c r="L114" i="25"/>
  <c r="M113" i="25" s="1"/>
  <c r="H376" i="25"/>
  <c r="L375" i="25"/>
  <c r="M374" i="25" s="1"/>
  <c r="AJ150" i="26"/>
  <c r="U150" i="26"/>
  <c r="G151" i="26"/>
  <c r="AH207" i="26"/>
  <c r="W207" i="26"/>
  <c r="I208" i="26"/>
  <c r="AH151" i="26"/>
  <c r="W151" i="26"/>
  <c r="I152" i="26"/>
  <c r="G318" i="25"/>
  <c r="L317" i="25"/>
  <c r="M316" i="25" s="1"/>
  <c r="F268" i="7"/>
  <c r="EN267" i="7"/>
  <c r="CH267" i="7"/>
  <c r="CI267" i="7"/>
  <c r="CI268" i="7" s="1"/>
  <c r="CJ267" i="7"/>
  <c r="CJ268" i="7" s="1"/>
  <c r="T151" i="21"/>
  <c r="F179" i="21"/>
  <c r="C185" i="21"/>
  <c r="E179" i="21"/>
  <c r="CP94" i="7"/>
  <c r="K193" i="21"/>
  <c r="C157" i="56" s="1" a="1"/>
  <c r="C157" i="56" s="1"/>
  <c r="L194" i="21"/>
  <c r="L195" i="21"/>
  <c r="C124" i="51"/>
  <c r="E124" i="51"/>
  <c r="C121" i="51"/>
  <c r="O191" i="21"/>
  <c r="K195" i="21"/>
  <c r="E157" i="56" s="1" a="1"/>
  <c r="E157" i="56" s="1"/>
  <c r="E123" i="51"/>
  <c r="F124" i="51"/>
  <c r="F122" i="51"/>
  <c r="C122" i="51"/>
  <c r="C198" i="21"/>
  <c r="E126" i="51"/>
  <c r="K194" i="21"/>
  <c r="E125" i="51"/>
  <c r="C194" i="21"/>
  <c r="E121" i="51"/>
  <c r="C197" i="21"/>
  <c r="C193" i="21"/>
  <c r="E122" i="51"/>
  <c r="F126" i="51"/>
  <c r="C195" i="21"/>
  <c r="U191" i="21"/>
  <c r="L189" i="21"/>
  <c r="L193" i="21"/>
  <c r="F125" i="51"/>
  <c r="C123" i="51"/>
  <c r="F123" i="51"/>
  <c r="C196" i="21"/>
  <c r="F121" i="51"/>
  <c r="K196" i="21"/>
  <c r="L196" i="21"/>
  <c r="K197" i="21"/>
  <c r="G157" i="56" s="1" a="1"/>
  <c r="G157" i="56" s="1"/>
  <c r="L197" i="21"/>
  <c r="C125" i="51"/>
  <c r="L198" i="21"/>
  <c r="C126" i="51"/>
  <c r="K198" i="21"/>
  <c r="H151" i="26"/>
  <c r="K150" i="26"/>
  <c r="V150" i="26" s="1"/>
  <c r="I79" i="51"/>
  <c r="J79" i="51" s="1"/>
  <c r="U136" i="26"/>
  <c r="G137" i="26"/>
  <c r="AJ136" i="26"/>
  <c r="N182" i="21"/>
  <c r="EP282" i="7"/>
  <c r="G231" i="25"/>
  <c r="L230" i="25"/>
  <c r="M229" i="25" s="1"/>
  <c r="V163" i="26"/>
  <c r="F212" i="26"/>
  <c r="I180" i="21"/>
  <c r="D113" i="51" s="1"/>
  <c r="H179" i="26"/>
  <c r="K178" i="26"/>
  <c r="V178" i="26" s="1"/>
  <c r="AK177" i="26"/>
  <c r="AM177" i="26" s="1"/>
  <c r="K23" i="7"/>
  <c r="BY23" i="7"/>
  <c r="CB110" i="7"/>
  <c r="CP110" i="7" s="1"/>
  <c r="EL110" i="7"/>
  <c r="G202" i="25"/>
  <c r="L201" i="25"/>
  <c r="M200" i="25" s="1"/>
  <c r="E184" i="21"/>
  <c r="F184" i="21"/>
  <c r="BM26" i="26"/>
  <c r="BY93" i="7"/>
  <c r="O17" i="35"/>
  <c r="D25" i="45"/>
  <c r="E25" i="45" s="1"/>
  <c r="I25" i="45"/>
  <c r="J25" i="45" s="1"/>
  <c r="D25" i="7"/>
  <c r="O171" i="21"/>
  <c r="T153" i="21"/>
  <c r="AF194" i="26"/>
  <c r="AL194" i="26" s="1"/>
  <c r="AA194" i="26"/>
  <c r="N194" i="26"/>
  <c r="AB194" i="26" s="1"/>
  <c r="P194" i="26"/>
  <c r="BQ22" i="26" s="1"/>
  <c r="CC232" i="7"/>
  <c r="EP226" i="7"/>
  <c r="CI243" i="7"/>
  <c r="CI244" i="7" s="1"/>
  <c r="EN243" i="7"/>
  <c r="CJ243" i="7"/>
  <c r="CJ244" i="7" s="1"/>
  <c r="CH243" i="7"/>
  <c r="CH244" i="7" s="1"/>
  <c r="G245" i="7"/>
  <c r="EQ95" i="7"/>
  <c r="O362" i="25"/>
  <c r="EP95" i="7"/>
  <c r="F211" i="26"/>
  <c r="I76" i="51"/>
  <c r="J76" i="51" s="1"/>
  <c r="N180" i="21"/>
  <c r="Q180" i="21" s="1"/>
  <c r="G117" i="51"/>
  <c r="H103" i="51"/>
  <c r="K262" i="25"/>
  <c r="C263" i="25"/>
  <c r="K263" i="25" s="1"/>
  <c r="AJ178" i="26"/>
  <c r="G179" i="26"/>
  <c r="U178" i="26"/>
  <c r="H106" i="51"/>
  <c r="EN255" i="7"/>
  <c r="EN256" i="7" s="1"/>
  <c r="CI255" i="7"/>
  <c r="CI256" i="7" s="1"/>
  <c r="CJ255" i="7"/>
  <c r="CJ256" i="7" s="1"/>
  <c r="CH255" i="7"/>
  <c r="F256" i="7"/>
  <c r="FR295" i="7"/>
  <c r="GK298" i="7"/>
  <c r="GK295" i="7"/>
  <c r="W49" i="36"/>
  <c r="Y49" i="36" s="1"/>
  <c r="AE19" i="33"/>
  <c r="BC299" i="7"/>
  <c r="BK298" i="7"/>
  <c r="BH298" i="7"/>
  <c r="BH299" i="7" s="1"/>
  <c r="GP293" i="7"/>
  <c r="GJ298" i="7"/>
  <c r="GJ295" i="7"/>
  <c r="FW298" i="7"/>
  <c r="FW295" i="7"/>
  <c r="FZ295" i="7" s="1"/>
  <c r="FZ293" i="7"/>
  <c r="GW298" i="7"/>
  <c r="FQ299" i="7"/>
  <c r="AY299" i="7"/>
  <c r="AZ298" i="7"/>
  <c r="AZ299" i="7" s="1"/>
  <c r="BO298" i="7"/>
  <c r="FX299" i="7"/>
  <c r="GV298" i="7"/>
  <c r="ET7" i="7"/>
  <c r="H35" i="33"/>
  <c r="AE19" i="44"/>
  <c r="H22" i="39"/>
  <c r="AZ295" i="7"/>
  <c r="BH295" i="7"/>
  <c r="I23" i="39"/>
  <c r="L28" i="33"/>
  <c r="W5" i="36"/>
  <c r="GT298" i="7"/>
  <c r="FN299" i="7"/>
  <c r="FR298" i="7"/>
  <c r="FR299" i="7" s="1"/>
  <c r="AB20" i="44"/>
  <c r="AB20" i="33"/>
  <c r="G36" i="33"/>
  <c r="G37" i="33" s="1"/>
  <c r="G69" i="33" s="1"/>
  <c r="BW295" i="7"/>
  <c r="W6" i="36"/>
  <c r="L29" i="33"/>
  <c r="L129" i="35"/>
  <c r="V21" i="44"/>
  <c r="V21" i="33"/>
  <c r="O3" i="21"/>
  <c r="S21" i="33"/>
  <c r="K129" i="35"/>
  <c r="S21" i="44"/>
  <c r="N3" i="21"/>
  <c r="M20" i="33"/>
  <c r="M20" i="44"/>
  <c r="BX293" i="7"/>
  <c r="B36" i="33"/>
  <c r="BR295" i="7"/>
  <c r="GX297" i="7"/>
  <c r="C36" i="33"/>
  <c r="C37" i="33" s="1"/>
  <c r="C69" i="33" s="1"/>
  <c r="P20" i="44"/>
  <c r="P20" i="33"/>
  <c r="BS295" i="7"/>
  <c r="C21" i="39"/>
  <c r="AR295" i="7"/>
  <c r="AR298" i="7"/>
  <c r="AR299" i="7" s="1"/>
  <c r="BJ298" i="7"/>
  <c r="AL299" i="7"/>
  <c r="D191" i="21"/>
  <c r="G191" i="21"/>
  <c r="B16" i="44" l="1"/>
  <c r="L16" i="33"/>
  <c r="N16" i="33" s="1"/>
  <c r="J274" i="7"/>
  <c r="BY274" i="7" s="1"/>
  <c r="E204" i="25"/>
  <c r="I250" i="7" s="1"/>
  <c r="J250" i="7" s="1"/>
  <c r="BY250" i="7" s="1"/>
  <c r="J234" i="7"/>
  <c r="BY234" i="7" s="1"/>
  <c r="CJ252" i="7"/>
  <c r="CI252" i="7"/>
  <c r="CI247" i="7"/>
  <c r="CI248" i="7" s="1"/>
  <c r="F248" i="7"/>
  <c r="CH247" i="7"/>
  <c r="CH248" i="7" s="1"/>
  <c r="CJ247" i="7"/>
  <c r="CJ248" i="7" s="1"/>
  <c r="B32" i="44"/>
  <c r="CC248" i="7"/>
  <c r="CJ264" i="7"/>
  <c r="M82" i="25"/>
  <c r="F235" i="7" s="1"/>
  <c r="EN235" i="7" s="1"/>
  <c r="EM248" i="7"/>
  <c r="EM285" i="7" s="1"/>
  <c r="EN264" i="7"/>
  <c r="I11" i="54"/>
  <c r="D291" i="7"/>
  <c r="CD236" i="7"/>
  <c r="CD285" i="7" s="1"/>
  <c r="CD291" i="7" s="1"/>
  <c r="L16" i="44"/>
  <c r="N16" i="44" s="1"/>
  <c r="EL291" i="7"/>
  <c r="H85" i="25"/>
  <c r="J84" i="25" s="1"/>
  <c r="G233" i="7" s="1"/>
  <c r="CO233" i="7" s="1"/>
  <c r="CE236" i="7"/>
  <c r="CE285" i="7" s="1"/>
  <c r="CE286" i="7" s="1"/>
  <c r="CE288" i="7" s="1"/>
  <c r="E285" i="7"/>
  <c r="D34" i="56" s="1"/>
  <c r="CC236" i="7"/>
  <c r="E291" i="25"/>
  <c r="I262" i="7" s="1"/>
  <c r="EQ262" i="7" s="1"/>
  <c r="ER262" i="7" s="1"/>
  <c r="HG262" i="7" s="1"/>
  <c r="G3" i="45"/>
  <c r="H3" i="45" s="1"/>
  <c r="C320" i="25"/>
  <c r="C321" i="25" s="1"/>
  <c r="K321" i="25" s="1"/>
  <c r="K319" i="25"/>
  <c r="C350" i="25"/>
  <c r="K350" i="25" s="1"/>
  <c r="M24" i="25"/>
  <c r="F227" i="7" s="1"/>
  <c r="F228" i="7" s="1"/>
  <c r="M26" i="25"/>
  <c r="G227" i="7" s="1"/>
  <c r="CI225" i="7"/>
  <c r="EN225" i="7"/>
  <c r="E74" i="52"/>
  <c r="CJ225" i="7"/>
  <c r="F285" i="45"/>
  <c r="J205" i="21"/>
  <c r="Q181" i="21"/>
  <c r="I81" i="51"/>
  <c r="J81" i="51" s="1"/>
  <c r="D158" i="56" a="1"/>
  <c r="D158" i="56" s="1"/>
  <c r="P195" i="21"/>
  <c r="H122" i="56" a="1"/>
  <c r="H122" i="56" s="1"/>
  <c r="Q142" i="21"/>
  <c r="I111" i="7" s="1"/>
  <c r="EQ111" i="7" s="1"/>
  <c r="T142" i="21"/>
  <c r="F140" i="56" a="1"/>
  <c r="F140" i="56" s="1"/>
  <c r="P169" i="21"/>
  <c r="T169" i="21" s="1"/>
  <c r="Q168" i="21"/>
  <c r="J110" i="7"/>
  <c r="BY110" i="7" s="1"/>
  <c r="C167" i="56" a="1"/>
  <c r="C167" i="56" s="1"/>
  <c r="P208" i="21"/>
  <c r="ER110" i="7"/>
  <c r="HG110" i="7" s="1"/>
  <c r="E149" i="56" a="1"/>
  <c r="E149" i="56" s="1"/>
  <c r="P182" i="21"/>
  <c r="P156" i="21"/>
  <c r="G131" i="56" a="1"/>
  <c r="G131" i="56" s="1"/>
  <c r="Q155" i="21"/>
  <c r="Q129" i="21"/>
  <c r="CP261" i="7"/>
  <c r="G121" i="51"/>
  <c r="C160" i="56" a="1"/>
  <c r="C160" i="56" s="1"/>
  <c r="C159" i="56" a="1"/>
  <c r="C159" i="56" s="1"/>
  <c r="C161" i="56" a="1"/>
  <c r="C161" i="56" s="1"/>
  <c r="I194" i="21"/>
  <c r="D122" i="51" s="1"/>
  <c r="D157" i="56" a="1"/>
  <c r="D157" i="56" s="1"/>
  <c r="E161" i="56" a="1"/>
  <c r="E161" i="56" s="1"/>
  <c r="E160" i="56" a="1"/>
  <c r="E160" i="56" s="1"/>
  <c r="E159" i="56" a="1"/>
  <c r="E159" i="56" s="1"/>
  <c r="G125" i="51"/>
  <c r="G160" i="56" a="1"/>
  <c r="G160" i="56" s="1"/>
  <c r="G159" i="56" a="1"/>
  <c r="G159" i="56" s="1"/>
  <c r="G161" i="56" a="1"/>
  <c r="G161" i="56" s="1"/>
  <c r="D159" i="56" a="1"/>
  <c r="D159" i="56" s="1"/>
  <c r="D160" i="56" a="1"/>
  <c r="D160" i="56" s="1"/>
  <c r="D161" i="56" a="1"/>
  <c r="D161" i="56" s="1"/>
  <c r="I198" i="21"/>
  <c r="D126" i="51" s="1"/>
  <c r="H157" i="56" a="1"/>
  <c r="H157" i="56" s="1"/>
  <c r="G124" i="51"/>
  <c r="F159" i="56" a="1"/>
  <c r="F159" i="56" s="1"/>
  <c r="F160" i="56" a="1"/>
  <c r="F160" i="56" s="1"/>
  <c r="F161" i="56" a="1"/>
  <c r="F161" i="56" s="1"/>
  <c r="H159" i="56" a="1"/>
  <c r="H159" i="56" s="1"/>
  <c r="H160" i="56" a="1"/>
  <c r="H160" i="56" s="1"/>
  <c r="H161" i="56" a="1"/>
  <c r="H161" i="56" s="1"/>
  <c r="I196" i="21"/>
  <c r="D124" i="51" s="1"/>
  <c r="F157" i="56" a="1"/>
  <c r="F157" i="56" s="1"/>
  <c r="F40" i="45"/>
  <c r="H41" i="7"/>
  <c r="EP41" i="7" s="1"/>
  <c r="I41" i="7"/>
  <c r="EQ41" i="7" s="1"/>
  <c r="Z152" i="21"/>
  <c r="AA152" i="21" s="1"/>
  <c r="AB152" i="21" s="1"/>
  <c r="U155" i="21"/>
  <c r="U152" i="21"/>
  <c r="S155" i="21"/>
  <c r="H97" i="7" s="1"/>
  <c r="EP97" i="7" s="1"/>
  <c r="EL40" i="7"/>
  <c r="ER40" i="7" s="1"/>
  <c r="HG40" i="7" s="1"/>
  <c r="S154" i="21"/>
  <c r="G97" i="7" s="1"/>
  <c r="EO97" i="7" s="1"/>
  <c r="U154" i="21"/>
  <c r="BQ10" i="26"/>
  <c r="U156" i="21"/>
  <c r="AF209" i="26"/>
  <c r="AL209" i="26" s="1"/>
  <c r="AG164" i="26"/>
  <c r="AK164" i="26" s="1"/>
  <c r="AM164" i="26" s="1"/>
  <c r="AG150" i="26"/>
  <c r="AK150" i="26" s="1"/>
  <c r="AM150" i="26" s="1"/>
  <c r="Z151" i="21"/>
  <c r="AA151" i="21" s="1"/>
  <c r="AB151" i="21" s="1"/>
  <c r="O391" i="25"/>
  <c r="S151" i="21"/>
  <c r="I94" i="51" s="1"/>
  <c r="J94" i="51" s="1"/>
  <c r="S156" i="21"/>
  <c r="I97" i="7" s="1"/>
  <c r="EQ97" i="7" s="1"/>
  <c r="P209" i="26"/>
  <c r="BS22" i="26" s="1"/>
  <c r="N209" i="26"/>
  <c r="AB209" i="26" s="1"/>
  <c r="BQ13" i="26"/>
  <c r="AG178" i="26"/>
  <c r="AK178" i="26" s="1"/>
  <c r="AM178" i="26" s="1"/>
  <c r="J345" i="25"/>
  <c r="G269" i="7" s="1"/>
  <c r="P210" i="26"/>
  <c r="BS23" i="26" s="1"/>
  <c r="AG192" i="26"/>
  <c r="AK192" i="26" s="1"/>
  <c r="AM192" i="26" s="1"/>
  <c r="F224" i="26"/>
  <c r="AF224" i="26" s="1"/>
  <c r="AL224" i="26" s="1"/>
  <c r="O43" i="25"/>
  <c r="F222" i="26"/>
  <c r="P222" i="26" s="1"/>
  <c r="AG136" i="26"/>
  <c r="AK136" i="26" s="1"/>
  <c r="AM136" i="26" s="1"/>
  <c r="Z166" i="21"/>
  <c r="AA166" i="21" s="1"/>
  <c r="AB166" i="21" s="1"/>
  <c r="Z165" i="21"/>
  <c r="AA165" i="21" s="1"/>
  <c r="AB165" i="21" s="1"/>
  <c r="S170" i="21"/>
  <c r="I98" i="7" s="1"/>
  <c r="EQ98" i="7" s="1"/>
  <c r="U169" i="21"/>
  <c r="AG122" i="26"/>
  <c r="AK122" i="26" s="1"/>
  <c r="AM122" i="26" s="1"/>
  <c r="J432" i="25"/>
  <c r="G281" i="7" s="1"/>
  <c r="O276" i="25"/>
  <c r="GP295" i="7"/>
  <c r="F25" i="45"/>
  <c r="P208" i="26"/>
  <c r="BS21" i="26" s="1"/>
  <c r="AF208" i="26"/>
  <c r="AL208" i="26" s="1"/>
  <c r="AA208" i="26"/>
  <c r="H116" i="51"/>
  <c r="I89" i="51"/>
  <c r="J89" i="51" s="1"/>
  <c r="I226" i="7"/>
  <c r="E32" i="25"/>
  <c r="Z168" i="21"/>
  <c r="AA168" i="21" s="1"/>
  <c r="AB168" i="21" s="1"/>
  <c r="AA210" i="26"/>
  <c r="N210" i="26"/>
  <c r="AB210" i="26" s="1"/>
  <c r="BQ26" i="26"/>
  <c r="F227" i="26"/>
  <c r="N227" i="26" s="1"/>
  <c r="AB227" i="26" s="1"/>
  <c r="N195" i="21"/>
  <c r="P198" i="26"/>
  <c r="ER24" i="7"/>
  <c r="HG24" i="7" s="1"/>
  <c r="E146" i="25"/>
  <c r="I242" i="7" s="1"/>
  <c r="N194" i="21"/>
  <c r="N198" i="26"/>
  <c r="P80" i="35" s="1"/>
  <c r="CL113" i="7"/>
  <c r="G123" i="51"/>
  <c r="O79" i="35"/>
  <c r="G239" i="7"/>
  <c r="G240" i="7" s="1"/>
  <c r="G257" i="7"/>
  <c r="G251" i="7"/>
  <c r="G252" i="7" s="1"/>
  <c r="G229" i="7"/>
  <c r="G267" i="7"/>
  <c r="G268" i="7" s="1"/>
  <c r="G255" i="7"/>
  <c r="G256" i="7" s="1"/>
  <c r="M195" i="21"/>
  <c r="I282" i="7"/>
  <c r="E438" i="25"/>
  <c r="H117" i="51"/>
  <c r="H113" i="51"/>
  <c r="CF41" i="7"/>
  <c r="E41" i="7"/>
  <c r="EM41" i="7" s="1"/>
  <c r="CG41" i="7"/>
  <c r="EN248" i="7"/>
  <c r="H115" i="51"/>
  <c r="G41" i="7"/>
  <c r="EO41" i="7" s="1"/>
  <c r="F197" i="21"/>
  <c r="E197" i="21"/>
  <c r="W208" i="26"/>
  <c r="AH208" i="26"/>
  <c r="I209" i="26"/>
  <c r="B124" i="51"/>
  <c r="B121" i="51"/>
  <c r="B123" i="51"/>
  <c r="B122" i="51"/>
  <c r="B126" i="51"/>
  <c r="B125" i="51"/>
  <c r="CH279" i="7"/>
  <c r="CH280" i="7" s="1"/>
  <c r="CI279" i="7"/>
  <c r="CI280" i="7" s="1"/>
  <c r="EN279" i="7"/>
  <c r="EN280" i="7" s="1"/>
  <c r="CJ279" i="7"/>
  <c r="CJ280" i="7" s="1"/>
  <c r="F291" i="25"/>
  <c r="L290" i="25"/>
  <c r="M289" i="25" s="1"/>
  <c r="CH283" i="7"/>
  <c r="CH284" i="7" s="1"/>
  <c r="CI283" i="7"/>
  <c r="CI284" i="7" s="1"/>
  <c r="CI287" i="7" s="1"/>
  <c r="CJ283" i="7"/>
  <c r="CJ284" i="7" s="1"/>
  <c r="CJ287" i="7" s="1"/>
  <c r="EN283" i="7"/>
  <c r="U137" i="26"/>
  <c r="AJ137" i="26"/>
  <c r="D26" i="45"/>
  <c r="E26" i="45" s="1"/>
  <c r="D26" i="7"/>
  <c r="I26" i="45"/>
  <c r="J26" i="45" s="1"/>
  <c r="O185" i="21"/>
  <c r="H405" i="25"/>
  <c r="L404" i="25"/>
  <c r="M403" i="25" s="1"/>
  <c r="BY94" i="7"/>
  <c r="O18" i="35"/>
  <c r="CI259" i="7"/>
  <c r="CI260" i="7" s="1"/>
  <c r="CJ259" i="7"/>
  <c r="CJ260" i="7" s="1"/>
  <c r="CH259" i="7"/>
  <c r="CH260" i="7" s="1"/>
  <c r="EN259" i="7"/>
  <c r="EN260" i="7" s="1"/>
  <c r="T165" i="21"/>
  <c r="EL111" i="7"/>
  <c r="CB111" i="7"/>
  <c r="CP111" i="7" s="1"/>
  <c r="T166" i="21"/>
  <c r="I88" i="51"/>
  <c r="J88" i="51" s="1"/>
  <c r="G96" i="7"/>
  <c r="EO96" i="7" s="1"/>
  <c r="CM96" i="7"/>
  <c r="CO96" i="7"/>
  <c r="CN96" i="7"/>
  <c r="K137" i="26"/>
  <c r="V137" i="26" s="1"/>
  <c r="M193" i="21"/>
  <c r="O197" i="21"/>
  <c r="H27" i="7" s="1"/>
  <c r="EP27" i="7" s="1"/>
  <c r="Y197" i="21"/>
  <c r="M197" i="21"/>
  <c r="I96" i="51"/>
  <c r="J96" i="51" s="1"/>
  <c r="CL112" i="7"/>
  <c r="CK112" i="7"/>
  <c r="F112" i="7"/>
  <c r="EN112" i="7" s="1"/>
  <c r="F194" i="21"/>
  <c r="E194" i="21"/>
  <c r="BT14" i="26"/>
  <c r="BT9" i="26"/>
  <c r="BS10" i="26"/>
  <c r="BT12" i="26"/>
  <c r="BT13" i="26"/>
  <c r="BT10" i="26"/>
  <c r="BT11" i="26"/>
  <c r="CG112" i="7"/>
  <c r="E112" i="7"/>
  <c r="EM112" i="7" s="1"/>
  <c r="CF112" i="7"/>
  <c r="F263" i="25"/>
  <c r="CH276" i="7"/>
  <c r="K179" i="26"/>
  <c r="V179" i="26" s="1"/>
  <c r="H180" i="26"/>
  <c r="K207" i="26"/>
  <c r="AG207" i="26" s="1"/>
  <c r="H208" i="26"/>
  <c r="G208" i="21"/>
  <c r="G210" i="21"/>
  <c r="W211" i="21"/>
  <c r="W212" i="21"/>
  <c r="W209" i="21"/>
  <c r="W208" i="21"/>
  <c r="G212" i="21"/>
  <c r="W207" i="21"/>
  <c r="W210" i="21"/>
  <c r="G207" i="21"/>
  <c r="X210" i="21"/>
  <c r="G209" i="21"/>
  <c r="X209" i="21"/>
  <c r="G211" i="21"/>
  <c r="X208" i="21"/>
  <c r="X212" i="21"/>
  <c r="X207" i="21"/>
  <c r="X211" i="21"/>
  <c r="X213" i="21"/>
  <c r="J214" i="21" s="1"/>
  <c r="J40" i="7"/>
  <c r="BY39" i="7"/>
  <c r="K39" i="7"/>
  <c r="Y198" i="21"/>
  <c r="O198" i="21"/>
  <c r="EN271" i="7"/>
  <c r="EN272" i="7" s="1"/>
  <c r="CJ271" i="7"/>
  <c r="CJ272" i="7" s="1"/>
  <c r="CH271" i="7"/>
  <c r="CI271" i="7"/>
  <c r="CI272" i="7" s="1"/>
  <c r="Y185" i="21"/>
  <c r="K165" i="26"/>
  <c r="AG165" i="26" s="1"/>
  <c r="H166" i="26"/>
  <c r="Y193" i="21"/>
  <c r="O193" i="21"/>
  <c r="CP95" i="7"/>
  <c r="AB156" i="21"/>
  <c r="G26" i="7"/>
  <c r="EO26" i="7" s="1"/>
  <c r="CM26" i="7"/>
  <c r="CN26" i="7"/>
  <c r="CO26" i="7"/>
  <c r="F226" i="26"/>
  <c r="F185" i="21"/>
  <c r="EQ238" i="7"/>
  <c r="ER238" i="7" s="1"/>
  <c r="HG238" i="7" s="1"/>
  <c r="J238" i="7"/>
  <c r="BY238" i="7" s="1"/>
  <c r="G145" i="25"/>
  <c r="L144" i="25"/>
  <c r="H152" i="26"/>
  <c r="K151" i="26"/>
  <c r="V151" i="26" s="1"/>
  <c r="I195" i="21"/>
  <c r="D123" i="51" s="1"/>
  <c r="D112" i="7"/>
  <c r="I112" i="45"/>
  <c r="J112" i="45" s="1"/>
  <c r="D112" i="45"/>
  <c r="E112" i="45" s="1"/>
  <c r="EO237" i="7"/>
  <c r="CO237" i="7"/>
  <c r="CM237" i="7"/>
  <c r="CN237" i="7"/>
  <c r="O205" i="21"/>
  <c r="C130" i="51"/>
  <c r="C207" i="21"/>
  <c r="E132" i="51"/>
  <c r="L203" i="21"/>
  <c r="K207" i="21"/>
  <c r="C166" i="56" s="1" a="1"/>
  <c r="C166" i="56" s="1"/>
  <c r="E135" i="51"/>
  <c r="L207" i="21"/>
  <c r="E131" i="51"/>
  <c r="E134" i="51"/>
  <c r="B134" i="51"/>
  <c r="B131" i="51"/>
  <c r="C208" i="21"/>
  <c r="C210" i="21"/>
  <c r="C209" i="21"/>
  <c r="E133" i="51"/>
  <c r="B132" i="51"/>
  <c r="B133" i="51"/>
  <c r="F131" i="51"/>
  <c r="F133" i="51"/>
  <c r="E130" i="51"/>
  <c r="B135" i="51"/>
  <c r="U205" i="21"/>
  <c r="C212" i="21"/>
  <c r="F130" i="51"/>
  <c r="F135" i="51"/>
  <c r="C211" i="21"/>
  <c r="F134" i="51"/>
  <c r="B130" i="51"/>
  <c r="F132" i="51"/>
  <c r="L208" i="21"/>
  <c r="C131" i="51"/>
  <c r="K208" i="21"/>
  <c r="D166" i="56" s="1" a="1"/>
  <c r="D166" i="56" s="1"/>
  <c r="C132" i="51"/>
  <c r="K209" i="21"/>
  <c r="L209" i="21"/>
  <c r="L210" i="21"/>
  <c r="C133" i="51"/>
  <c r="K210" i="21"/>
  <c r="L211" i="21"/>
  <c r="K211" i="21"/>
  <c r="C134" i="51"/>
  <c r="K212" i="21"/>
  <c r="L212" i="21"/>
  <c r="C135" i="51"/>
  <c r="CP40" i="7"/>
  <c r="G232" i="25"/>
  <c r="J231" i="25" s="1"/>
  <c r="L231" i="25"/>
  <c r="I215" i="26"/>
  <c r="B217" i="26"/>
  <c r="G222" i="26" s="1"/>
  <c r="D217" i="26"/>
  <c r="H222" i="26" s="1"/>
  <c r="EQ254" i="7"/>
  <c r="ER254" i="7" s="1"/>
  <c r="HG254" i="7" s="1"/>
  <c r="J254" i="7"/>
  <c r="BY254" i="7" s="1"/>
  <c r="I95" i="51"/>
  <c r="J95" i="51" s="1"/>
  <c r="CD97" i="7"/>
  <c r="CG97" i="7"/>
  <c r="CC97" i="7"/>
  <c r="E97" i="7"/>
  <c r="EM97" i="7" s="1"/>
  <c r="CE97" i="7"/>
  <c r="CF97" i="7"/>
  <c r="EO253" i="7"/>
  <c r="CN253" i="7"/>
  <c r="CO253" i="7"/>
  <c r="CM253" i="7"/>
  <c r="AH166" i="26"/>
  <c r="W166" i="26"/>
  <c r="I167" i="26"/>
  <c r="CF26" i="7"/>
  <c r="CD26" i="7"/>
  <c r="CG26" i="7"/>
  <c r="E26" i="7"/>
  <c r="EM26" i="7" s="1"/>
  <c r="CC26" i="7"/>
  <c r="CE26" i="7"/>
  <c r="CJ97" i="7"/>
  <c r="CI97" i="7"/>
  <c r="CH97" i="7"/>
  <c r="CK97" i="7"/>
  <c r="CL97" i="7"/>
  <c r="F97" i="7"/>
  <c r="EN97" i="7" s="1"/>
  <c r="G319" i="25"/>
  <c r="J318" i="25" s="1"/>
  <c r="L318" i="25"/>
  <c r="F225" i="26"/>
  <c r="CN265" i="7"/>
  <c r="EO265" i="7"/>
  <c r="CM265" i="7"/>
  <c r="CO265" i="7"/>
  <c r="G277" i="7"/>
  <c r="CP25" i="7"/>
  <c r="E185" i="21"/>
  <c r="F186" i="21" s="1"/>
  <c r="R23" i="35" s="1"/>
  <c r="C186" i="21"/>
  <c r="Q23" i="35" s="1"/>
  <c r="I181" i="26"/>
  <c r="W180" i="26"/>
  <c r="AH180" i="26"/>
  <c r="EL25" i="7"/>
  <c r="ER25" i="7" s="1"/>
  <c r="HG25" i="7" s="1"/>
  <c r="J25" i="7"/>
  <c r="BR15" i="26"/>
  <c r="K193" i="26"/>
  <c r="V193" i="26" s="1"/>
  <c r="H194" i="26"/>
  <c r="G126" i="51"/>
  <c r="E198" i="21"/>
  <c r="F198" i="21"/>
  <c r="F284" i="7"/>
  <c r="H114" i="51"/>
  <c r="F41" i="7"/>
  <c r="EN41" i="7" s="1"/>
  <c r="CK41" i="7"/>
  <c r="CL41" i="7"/>
  <c r="C101" i="7"/>
  <c r="EK101" i="7" s="1"/>
  <c r="C28" i="7"/>
  <c r="EK28" i="7" s="1"/>
  <c r="A55" i="40"/>
  <c r="C116" i="45"/>
  <c r="C116" i="7"/>
  <c r="EK116" i="7" s="1"/>
  <c r="C28" i="45"/>
  <c r="C43" i="45"/>
  <c r="C43" i="7"/>
  <c r="EK43" i="7" s="1"/>
  <c r="C101" i="45"/>
  <c r="N198" i="21"/>
  <c r="I193" i="21"/>
  <c r="D121" i="51" s="1"/>
  <c r="Z167" i="21"/>
  <c r="AA167" i="21" s="1"/>
  <c r="AB167" i="21" s="1"/>
  <c r="S167" i="21"/>
  <c r="U167" i="21"/>
  <c r="U193" i="26"/>
  <c r="G194" i="26"/>
  <c r="AJ193" i="26"/>
  <c r="F26" i="7"/>
  <c r="EN26" i="7" s="1"/>
  <c r="CH26" i="7"/>
  <c r="CK26" i="7"/>
  <c r="CI26" i="7"/>
  <c r="CL26" i="7"/>
  <c r="CJ26" i="7"/>
  <c r="F272" i="7"/>
  <c r="I223" i="26"/>
  <c r="AH222" i="26"/>
  <c r="W222" i="26"/>
  <c r="W199" i="21"/>
  <c r="G112" i="7"/>
  <c r="EO112" i="7" s="1"/>
  <c r="I87" i="51"/>
  <c r="J87" i="51" s="1"/>
  <c r="F96" i="7"/>
  <c r="EN96" i="7" s="1"/>
  <c r="CI96" i="7"/>
  <c r="CK96" i="7"/>
  <c r="CH96" i="7"/>
  <c r="CL96" i="7"/>
  <c r="CJ96" i="7"/>
  <c r="EL95" i="7"/>
  <c r="J95" i="7"/>
  <c r="G247" i="7"/>
  <c r="I195" i="26"/>
  <c r="W194" i="26"/>
  <c r="AH194" i="26"/>
  <c r="G174" i="25"/>
  <c r="O160" i="25" s="1"/>
  <c r="L173" i="25"/>
  <c r="CJ231" i="7"/>
  <c r="CJ232" i="7" s="1"/>
  <c r="EN231" i="7"/>
  <c r="EN232" i="7" s="1"/>
  <c r="CH231" i="7"/>
  <c r="CH232" i="7" s="1"/>
  <c r="CI231" i="7"/>
  <c r="CI232" i="7" s="1"/>
  <c r="G243" i="7"/>
  <c r="G244" i="7" s="1"/>
  <c r="H434" i="25"/>
  <c r="L433" i="25"/>
  <c r="M432" i="25" s="1"/>
  <c r="CC287" i="7"/>
  <c r="I86" i="51"/>
  <c r="J86" i="51" s="1"/>
  <c r="CD96" i="7"/>
  <c r="E96" i="7"/>
  <c r="EM96" i="7" s="1"/>
  <c r="CE96" i="7"/>
  <c r="CC96" i="7"/>
  <c r="CF96" i="7"/>
  <c r="CG96" i="7"/>
  <c r="F59" i="25"/>
  <c r="F193" i="21"/>
  <c r="C199" i="21"/>
  <c r="E193" i="21"/>
  <c r="F321" i="25"/>
  <c r="CH256" i="7"/>
  <c r="AJ151" i="26"/>
  <c r="G152" i="26"/>
  <c r="U151" i="26"/>
  <c r="H57" i="25"/>
  <c r="L56" i="25"/>
  <c r="M55" i="25" s="1"/>
  <c r="M194" i="21"/>
  <c r="AJ207" i="26"/>
  <c r="G208" i="26"/>
  <c r="U207" i="26"/>
  <c r="N193" i="21"/>
  <c r="Q193" i="21" s="1"/>
  <c r="G275" i="7"/>
  <c r="G276" i="7" s="1"/>
  <c r="I197" i="21"/>
  <c r="D125" i="51" s="1"/>
  <c r="G122" i="51"/>
  <c r="CM225" i="7"/>
  <c r="CO225" i="7"/>
  <c r="EO225" i="7"/>
  <c r="CN225" i="7"/>
  <c r="EO241" i="7"/>
  <c r="CM241" i="7"/>
  <c r="CN241" i="7"/>
  <c r="CO241" i="7"/>
  <c r="EN244" i="7"/>
  <c r="F223" i="26"/>
  <c r="F89" i="25"/>
  <c r="EO263" i="7"/>
  <c r="EO264" i="7" s="1"/>
  <c r="CM263" i="7"/>
  <c r="CN263" i="7"/>
  <c r="CN264" i="7" s="1"/>
  <c r="CO263" i="7"/>
  <c r="CO264" i="7" s="1"/>
  <c r="G264" i="7"/>
  <c r="I85" i="51"/>
  <c r="J85" i="51" s="1"/>
  <c r="I96" i="45"/>
  <c r="J96" i="45" s="1"/>
  <c r="D96" i="45"/>
  <c r="E96" i="45" s="1"/>
  <c r="S143" i="21"/>
  <c r="D96" i="7"/>
  <c r="Y195" i="21"/>
  <c r="O195" i="21"/>
  <c r="AA143" i="21"/>
  <c r="AB137" i="21"/>
  <c r="AB143" i="21" s="1"/>
  <c r="Y194" i="21"/>
  <c r="O194" i="21"/>
  <c r="EO249" i="7"/>
  <c r="CM249" i="7"/>
  <c r="CO249" i="7"/>
  <c r="CN249" i="7"/>
  <c r="K24" i="7"/>
  <c r="BY24" i="7"/>
  <c r="H261" i="7"/>
  <c r="G29" i="25"/>
  <c r="L28" i="25"/>
  <c r="BP298" i="7"/>
  <c r="M196" i="21"/>
  <c r="CH240" i="7"/>
  <c r="H347" i="25"/>
  <c r="L346" i="25"/>
  <c r="M345" i="25" s="1"/>
  <c r="F232" i="7"/>
  <c r="G199" i="21"/>
  <c r="H260" i="25"/>
  <c r="L259" i="25"/>
  <c r="M258" i="25" s="1"/>
  <c r="EM95" i="7"/>
  <c r="G203" i="25"/>
  <c r="O189" i="25" s="1"/>
  <c r="L202" i="25"/>
  <c r="G116" i="25"/>
  <c r="O102" i="25" s="1"/>
  <c r="L115" i="25"/>
  <c r="AH152" i="26"/>
  <c r="W152" i="26"/>
  <c r="T168" i="21"/>
  <c r="E195" i="21"/>
  <c r="F195" i="21"/>
  <c r="CM273" i="7"/>
  <c r="CO273" i="7"/>
  <c r="CN273" i="7"/>
  <c r="EO273" i="7"/>
  <c r="AF211" i="26"/>
  <c r="N211" i="26"/>
  <c r="AB211" i="26" s="1"/>
  <c r="AA211" i="26"/>
  <c r="P211" i="26"/>
  <c r="BS24" i="26" s="1"/>
  <c r="U165" i="26"/>
  <c r="G166" i="26"/>
  <c r="AJ165" i="26"/>
  <c r="BO15" i="26"/>
  <c r="BQ11" i="26"/>
  <c r="CH252" i="7"/>
  <c r="N196" i="21"/>
  <c r="O196" i="21"/>
  <c r="Y196" i="21"/>
  <c r="D41" i="45"/>
  <c r="E41" i="45" s="1"/>
  <c r="I41" i="45"/>
  <c r="J41" i="45" s="1"/>
  <c r="D41" i="7"/>
  <c r="H112" i="51"/>
  <c r="N185" i="21"/>
  <c r="CJ233" i="7"/>
  <c r="EN233" i="7"/>
  <c r="CI233" i="7"/>
  <c r="CH233" i="7"/>
  <c r="AA207" i="26"/>
  <c r="AF207" i="26"/>
  <c r="N207" i="26"/>
  <c r="P207" i="26"/>
  <c r="U179" i="26"/>
  <c r="G180" i="26"/>
  <c r="AJ179" i="26"/>
  <c r="AA212" i="26"/>
  <c r="N212" i="26"/>
  <c r="AB212" i="26" s="1"/>
  <c r="AF212" i="26"/>
  <c r="P212" i="26"/>
  <c r="BS25" i="26" s="1"/>
  <c r="CN245" i="7"/>
  <c r="EO245" i="7"/>
  <c r="CO245" i="7"/>
  <c r="CM245" i="7"/>
  <c r="M198" i="21"/>
  <c r="CH268" i="7"/>
  <c r="H377" i="25"/>
  <c r="O363" i="25" s="1"/>
  <c r="L376" i="25"/>
  <c r="E262" i="25"/>
  <c r="N197" i="21"/>
  <c r="F196" i="21"/>
  <c r="E196" i="21"/>
  <c r="EN268" i="7"/>
  <c r="EN240" i="7"/>
  <c r="O246" i="25"/>
  <c r="I21" i="39"/>
  <c r="C25" i="39"/>
  <c r="ES307" i="7"/>
  <c r="K307" i="7"/>
  <c r="P21" i="44"/>
  <c r="P21" i="33"/>
  <c r="J129" i="35"/>
  <c r="M3" i="21"/>
  <c r="AB21" i="33"/>
  <c r="Q3" i="21"/>
  <c r="N129" i="35"/>
  <c r="AB21" i="44"/>
  <c r="K308" i="7"/>
  <c r="ES308" i="7"/>
  <c r="GP298" i="7"/>
  <c r="GP299" i="7" s="1"/>
  <c r="GR298" i="7"/>
  <c r="GJ299" i="7"/>
  <c r="GU298" i="7"/>
  <c r="FW299" i="7"/>
  <c r="FZ298" i="7"/>
  <c r="FZ299" i="7" s="1"/>
  <c r="GS298" i="7"/>
  <c r="GK299" i="7"/>
  <c r="H36" i="33"/>
  <c r="B37" i="33"/>
  <c r="B69" i="33" s="1"/>
  <c r="H69" i="33" s="1"/>
  <c r="K309" i="7"/>
  <c r="ES309" i="7"/>
  <c r="M21" i="44"/>
  <c r="M21" i="33"/>
  <c r="L3" i="21"/>
  <c r="I129" i="35"/>
  <c r="H25" i="39"/>
  <c r="I22" i="39"/>
  <c r="W50" i="36"/>
  <c r="Y50" i="36" s="1"/>
  <c r="L8" i="7"/>
  <c r="BX295" i="7"/>
  <c r="AE20" i="44"/>
  <c r="AE20" i="33"/>
  <c r="G205" i="21"/>
  <c r="D205" i="21"/>
  <c r="O16" i="33" l="1"/>
  <c r="Q16" i="33" s="1"/>
  <c r="C16" i="33"/>
  <c r="EQ250" i="7"/>
  <c r="ER250" i="7" s="1"/>
  <c r="HG250" i="7" s="1"/>
  <c r="E206" i="25"/>
  <c r="CC285" i="7"/>
  <c r="CC291" i="7" s="1"/>
  <c r="L85" i="25"/>
  <c r="M84" i="25" s="1"/>
  <c r="G235" i="7" s="1"/>
  <c r="F236" i="7"/>
  <c r="F285" i="7" s="1"/>
  <c r="E34" i="56" s="1"/>
  <c r="CI235" i="7"/>
  <c r="CI236" i="7" s="1"/>
  <c r="CJ235" i="7"/>
  <c r="CJ236" i="7" s="1"/>
  <c r="CH235" i="7"/>
  <c r="CH236" i="7" s="1"/>
  <c r="EO233" i="7"/>
  <c r="CM233" i="7"/>
  <c r="D57" i="52"/>
  <c r="E293" i="25"/>
  <c r="EN227" i="7"/>
  <c r="EN228" i="7" s="1"/>
  <c r="O72" i="25"/>
  <c r="C32" i="44"/>
  <c r="I46" i="54"/>
  <c r="O16" i="44"/>
  <c r="Q16" i="44" s="1"/>
  <c r="E291" i="7"/>
  <c r="CN233" i="7"/>
  <c r="CI227" i="7"/>
  <c r="CI228" i="7" s="1"/>
  <c r="CH227" i="7"/>
  <c r="CH228" i="7" s="1"/>
  <c r="K320" i="25"/>
  <c r="E320" i="25"/>
  <c r="I266" i="7" s="1"/>
  <c r="EQ266" i="7" s="1"/>
  <c r="ER266" i="7" s="1"/>
  <c r="HG266" i="7" s="1"/>
  <c r="J262" i="7"/>
  <c r="BY262" i="7" s="1"/>
  <c r="H86" i="25"/>
  <c r="L86" i="25" s="1"/>
  <c r="E349" i="25"/>
  <c r="E351" i="25" s="1"/>
  <c r="CJ227" i="7"/>
  <c r="CJ228" i="7" s="1"/>
  <c r="E91" i="52"/>
  <c r="I90" i="51"/>
  <c r="J90" i="51" s="1"/>
  <c r="P183" i="21"/>
  <c r="T183" i="21" s="1"/>
  <c r="F149" i="56" a="1"/>
  <c r="F149" i="56" s="1"/>
  <c r="J111" i="7"/>
  <c r="BY111" i="7" s="1"/>
  <c r="D167" i="56" a="1"/>
  <c r="D167" i="56" s="1"/>
  <c r="P209" i="21"/>
  <c r="P196" i="21"/>
  <c r="E158" i="56" a="1"/>
  <c r="E158" i="56" s="1"/>
  <c r="H131" i="56" a="1"/>
  <c r="H131" i="56" s="1"/>
  <c r="Q156" i="21"/>
  <c r="I112" i="7" s="1"/>
  <c r="EQ112" i="7" s="1"/>
  <c r="T156" i="21"/>
  <c r="H112" i="7"/>
  <c r="EP112" i="7" s="1"/>
  <c r="Q143" i="21"/>
  <c r="P170" i="21"/>
  <c r="G140" i="56" a="1"/>
  <c r="G140" i="56" s="1"/>
  <c r="Q169" i="21"/>
  <c r="Q182" i="21"/>
  <c r="CD286" i="7"/>
  <c r="CD288" i="7" s="1"/>
  <c r="CE291" i="7"/>
  <c r="G168" i="56" a="1"/>
  <c r="G168" i="56" s="1"/>
  <c r="G170" i="56" a="1"/>
  <c r="G170" i="56" s="1"/>
  <c r="G169" i="56" a="1"/>
  <c r="G169" i="56" s="1"/>
  <c r="G130" i="51"/>
  <c r="C170" i="56" a="1"/>
  <c r="C170" i="56" s="1"/>
  <c r="C169" i="56" a="1"/>
  <c r="C169" i="56" s="1"/>
  <c r="C168" i="56" a="1"/>
  <c r="C168" i="56" s="1"/>
  <c r="I211" i="21"/>
  <c r="D134" i="51" s="1"/>
  <c r="G166" i="56" a="1"/>
  <c r="G166" i="56" s="1"/>
  <c r="I212" i="21"/>
  <c r="D135" i="51" s="1"/>
  <c r="H166" i="56" a="1"/>
  <c r="H166" i="56" s="1"/>
  <c r="G135" i="51"/>
  <c r="H169" i="56" a="1"/>
  <c r="H169" i="56" s="1"/>
  <c r="H168" i="56" a="1"/>
  <c r="H168" i="56" s="1"/>
  <c r="H170" i="56" a="1"/>
  <c r="H170" i="56" s="1"/>
  <c r="I210" i="21"/>
  <c r="D133" i="51" s="1"/>
  <c r="F166" i="56" a="1"/>
  <c r="F166" i="56" s="1"/>
  <c r="G132" i="51"/>
  <c r="E168" i="56" a="1"/>
  <c r="E168" i="56" s="1"/>
  <c r="E170" i="56" a="1"/>
  <c r="E170" i="56" s="1"/>
  <c r="E169" i="56" a="1"/>
  <c r="E169" i="56" s="1"/>
  <c r="I209" i="21"/>
  <c r="D132" i="51" s="1"/>
  <c r="E166" i="56" a="1"/>
  <c r="E166" i="56" s="1"/>
  <c r="F170" i="56" a="1"/>
  <c r="F170" i="56" s="1"/>
  <c r="F168" i="56" a="1"/>
  <c r="F168" i="56" s="1"/>
  <c r="F169" i="56" a="1"/>
  <c r="F169" i="56" s="1"/>
  <c r="D168" i="56" a="1"/>
  <c r="D168" i="56" s="1"/>
  <c r="D170" i="56" a="1"/>
  <c r="D170" i="56" s="1"/>
  <c r="D169" i="56" a="1"/>
  <c r="D169" i="56" s="1"/>
  <c r="CK42" i="7"/>
  <c r="Q195" i="21"/>
  <c r="G42" i="7"/>
  <c r="EO42" i="7" s="1"/>
  <c r="E42" i="7"/>
  <c r="EM42" i="7" s="1"/>
  <c r="Q194" i="21"/>
  <c r="I97" i="51"/>
  <c r="J97" i="51" s="1"/>
  <c r="CO97" i="7"/>
  <c r="CN97" i="7"/>
  <c r="CM97" i="7"/>
  <c r="I98" i="51"/>
  <c r="J98" i="51" s="1"/>
  <c r="AB157" i="21"/>
  <c r="AA157" i="21"/>
  <c r="S165" i="21"/>
  <c r="I103" i="51" s="1"/>
  <c r="J103" i="51" s="1"/>
  <c r="Z170" i="21"/>
  <c r="AA170" i="21" s="1"/>
  <c r="AB170" i="21" s="1"/>
  <c r="N207" i="21"/>
  <c r="D97" i="7"/>
  <c r="EL97" i="7" s="1"/>
  <c r="ER97" i="7" s="1"/>
  <c r="HG97" i="7" s="1"/>
  <c r="P224" i="26"/>
  <c r="BU22" i="26" s="1"/>
  <c r="AP22" i="26" s="1"/>
  <c r="AR22" i="26" s="1"/>
  <c r="F224" i="7" s="1"/>
  <c r="CH224" i="7" s="1"/>
  <c r="AA224" i="26"/>
  <c r="N224" i="26"/>
  <c r="AB224" i="26" s="1"/>
  <c r="U170" i="21"/>
  <c r="N222" i="26"/>
  <c r="BU9" i="26" s="1"/>
  <c r="Z169" i="21"/>
  <c r="AA169" i="21" s="1"/>
  <c r="AB169" i="21" s="1"/>
  <c r="V165" i="26"/>
  <c r="S169" i="21"/>
  <c r="H98" i="7" s="1"/>
  <c r="EP98" i="7" s="1"/>
  <c r="S157" i="21"/>
  <c r="I97" i="45"/>
  <c r="J97" i="45" s="1"/>
  <c r="D97" i="45"/>
  <c r="E97" i="45" s="1"/>
  <c r="AA222" i="26"/>
  <c r="AF222" i="26"/>
  <c r="AL222" i="26" s="1"/>
  <c r="BS11" i="26"/>
  <c r="AG179" i="26"/>
  <c r="AK179" i="26" s="1"/>
  <c r="AM179" i="26" s="1"/>
  <c r="U165" i="21"/>
  <c r="U166" i="21"/>
  <c r="J376" i="25"/>
  <c r="H273" i="7" s="1"/>
  <c r="S166" i="21"/>
  <c r="CC98" i="7" s="1"/>
  <c r="N212" i="21"/>
  <c r="U168" i="21"/>
  <c r="S168" i="21"/>
  <c r="I106" i="51" s="1"/>
  <c r="J106" i="51" s="1"/>
  <c r="V207" i="26"/>
  <c r="J115" i="25"/>
  <c r="H237" i="7" s="1"/>
  <c r="H123" i="51"/>
  <c r="F26" i="45"/>
  <c r="O218" i="25"/>
  <c r="E148" i="25"/>
  <c r="AK165" i="26"/>
  <c r="AM165" i="26" s="1"/>
  <c r="BS12" i="26"/>
  <c r="P227" i="26"/>
  <c r="BU25" i="26" s="1"/>
  <c r="AP25" i="26" s="1"/>
  <c r="AR25" i="26" s="1"/>
  <c r="I224" i="7" s="1"/>
  <c r="J202" i="25"/>
  <c r="H249" i="7" s="1"/>
  <c r="AA227" i="26"/>
  <c r="AF227" i="26"/>
  <c r="AL227" i="26" s="1"/>
  <c r="O305" i="25"/>
  <c r="CF42" i="7"/>
  <c r="CG42" i="7"/>
  <c r="I105" i="51"/>
  <c r="J105" i="51" s="1"/>
  <c r="CL42" i="7"/>
  <c r="F42" i="7"/>
  <c r="EN42" i="7" s="1"/>
  <c r="N211" i="21"/>
  <c r="EQ226" i="7"/>
  <c r="ER226" i="7" s="1"/>
  <c r="HG226" i="7" s="1"/>
  <c r="J226" i="7"/>
  <c r="BY226" i="7" s="1"/>
  <c r="F41" i="45"/>
  <c r="ER95" i="7"/>
  <c r="HG95" i="7" s="1"/>
  <c r="AG193" i="26"/>
  <c r="AK193" i="26" s="1"/>
  <c r="AM193" i="26" s="1"/>
  <c r="CP245" i="7"/>
  <c r="F113" i="7"/>
  <c r="EN113" i="7" s="1"/>
  <c r="O80" i="35"/>
  <c r="CK113" i="7"/>
  <c r="AG137" i="26"/>
  <c r="AK137" i="26" s="1"/>
  <c r="AM137" i="26" s="1"/>
  <c r="W213" i="21"/>
  <c r="J173" i="25"/>
  <c r="H245" i="7" s="1"/>
  <c r="BS13" i="26"/>
  <c r="G279" i="7"/>
  <c r="G280" i="7" s="1"/>
  <c r="CH287" i="7"/>
  <c r="H263" i="7"/>
  <c r="H264" i="7" s="1"/>
  <c r="G231" i="7"/>
  <c r="G232" i="7" s="1"/>
  <c r="C200" i="21"/>
  <c r="Q24" i="35" s="1"/>
  <c r="E199" i="21"/>
  <c r="F200" i="21" s="1"/>
  <c r="R24" i="35" s="1"/>
  <c r="CM227" i="7"/>
  <c r="EO227" i="7"/>
  <c r="EO228" i="7" s="1"/>
  <c r="CO227" i="7"/>
  <c r="CO228" i="7" s="1"/>
  <c r="CN227" i="7"/>
  <c r="CN228" i="7" s="1"/>
  <c r="EL96" i="7"/>
  <c r="ER96" i="7" s="1"/>
  <c r="HG96" i="7" s="1"/>
  <c r="J96" i="7"/>
  <c r="F199" i="21"/>
  <c r="H378" i="25"/>
  <c r="L377" i="25"/>
  <c r="M376" i="25" s="1"/>
  <c r="Q81" i="35"/>
  <c r="N213" i="26"/>
  <c r="P81" i="35" s="1"/>
  <c r="AB207" i="26"/>
  <c r="I42" i="7"/>
  <c r="EQ42" i="7" s="1"/>
  <c r="H126" i="51"/>
  <c r="G271" i="7"/>
  <c r="CP263" i="7"/>
  <c r="CM264" i="7"/>
  <c r="CP264" i="7" s="1"/>
  <c r="O211" i="21"/>
  <c r="H28" i="7" s="1"/>
  <c r="EP28" i="7" s="1"/>
  <c r="Y211" i="21"/>
  <c r="O207" i="21"/>
  <c r="Y207" i="21"/>
  <c r="ER111" i="7"/>
  <c r="AL212" i="26"/>
  <c r="H223" i="26"/>
  <c r="K222" i="26"/>
  <c r="AG222" i="26" s="1"/>
  <c r="BU14" i="26"/>
  <c r="BV14" i="26"/>
  <c r="AQ14" i="26" s="1"/>
  <c r="I169" i="7" s="1"/>
  <c r="H23" i="56" s="1"/>
  <c r="BV13" i="26"/>
  <c r="AQ13" i="26" s="1"/>
  <c r="H169" i="7" s="1"/>
  <c r="G23" i="56" s="1"/>
  <c r="BV9" i="26"/>
  <c r="BV11" i="26"/>
  <c r="AQ11" i="26" s="1"/>
  <c r="F169" i="7" s="1"/>
  <c r="E23" i="56" s="1"/>
  <c r="BV10" i="26"/>
  <c r="AQ10" i="26" s="1"/>
  <c r="E169" i="7" s="1"/>
  <c r="D23" i="56" s="1"/>
  <c r="BV12" i="26"/>
  <c r="AQ12" i="26" s="1"/>
  <c r="G169" i="7" s="1"/>
  <c r="F23" i="56" s="1"/>
  <c r="AJ208" i="26"/>
  <c r="U208" i="26"/>
  <c r="G209" i="26"/>
  <c r="W167" i="26"/>
  <c r="AH167" i="26"/>
  <c r="T181" i="21"/>
  <c r="I113" i="45"/>
  <c r="J113" i="45" s="1"/>
  <c r="D113" i="45"/>
  <c r="E113" i="45" s="1"/>
  <c r="D113" i="7"/>
  <c r="U152" i="26"/>
  <c r="AJ152" i="26"/>
  <c r="G117" i="25"/>
  <c r="L116" i="25"/>
  <c r="M115" i="25" s="1"/>
  <c r="G248" i="7"/>
  <c r="CO247" i="7"/>
  <c r="EO247" i="7"/>
  <c r="EO248" i="7" s="1"/>
  <c r="CM247" i="7"/>
  <c r="CM248" i="7" s="1"/>
  <c r="CN247" i="7"/>
  <c r="CN248" i="7" s="1"/>
  <c r="G233" i="25"/>
  <c r="L232" i="25"/>
  <c r="M231" i="25" s="1"/>
  <c r="Y210" i="21"/>
  <c r="O210" i="21"/>
  <c r="E207" i="21"/>
  <c r="C213" i="21"/>
  <c r="F207" i="21"/>
  <c r="AG151" i="26"/>
  <c r="AK151" i="26" s="1"/>
  <c r="AM151" i="26" s="1"/>
  <c r="AF226" i="26"/>
  <c r="AL226" i="26" s="1"/>
  <c r="AA226" i="26"/>
  <c r="N226" i="26"/>
  <c r="AB226" i="26" s="1"/>
  <c r="P226" i="26"/>
  <c r="BU24" i="26" s="1"/>
  <c r="AP24" i="26" s="1"/>
  <c r="AR24" i="26" s="1"/>
  <c r="H224" i="7" s="1"/>
  <c r="EQ242" i="7"/>
  <c r="ER242" i="7" s="1"/>
  <c r="HG242" i="7" s="1"/>
  <c r="J242" i="7"/>
  <c r="BY242" i="7" s="1"/>
  <c r="CM269" i="7"/>
  <c r="EO269" i="7"/>
  <c r="CN269" i="7"/>
  <c r="CO269" i="7"/>
  <c r="G30" i="25"/>
  <c r="L29" i="25"/>
  <c r="M28" i="25" s="1"/>
  <c r="M208" i="21"/>
  <c r="H406" i="25"/>
  <c r="O392" i="25" s="1"/>
  <c r="L405" i="25"/>
  <c r="BY40" i="7"/>
  <c r="K40" i="7"/>
  <c r="P213" i="26"/>
  <c r="BS20" i="26"/>
  <c r="CP241" i="7"/>
  <c r="CP265" i="7"/>
  <c r="M212" i="21"/>
  <c r="G131" i="51"/>
  <c r="F208" i="21"/>
  <c r="E208" i="21"/>
  <c r="T179" i="21"/>
  <c r="N208" i="21"/>
  <c r="Q208" i="21" s="1"/>
  <c r="O208" i="21"/>
  <c r="Y208" i="21"/>
  <c r="T182" i="21"/>
  <c r="CB112" i="7"/>
  <c r="CP112" i="7" s="1"/>
  <c r="EL112" i="7"/>
  <c r="CP96" i="7"/>
  <c r="G213" i="21"/>
  <c r="AH195" i="26"/>
  <c r="I196" i="26"/>
  <c r="W195" i="26"/>
  <c r="BU20" i="26"/>
  <c r="O209" i="21"/>
  <c r="Y209" i="21"/>
  <c r="E212" i="21"/>
  <c r="F212" i="21"/>
  <c r="CH272" i="7"/>
  <c r="I258" i="7"/>
  <c r="E264" i="25"/>
  <c r="H261" i="25"/>
  <c r="L260" i="25"/>
  <c r="EO277" i="7"/>
  <c r="CM277" i="7"/>
  <c r="CO277" i="7"/>
  <c r="CN277" i="7"/>
  <c r="Y212" i="21"/>
  <c r="O212" i="21"/>
  <c r="I28" i="7" s="1"/>
  <c r="EQ28" i="7" s="1"/>
  <c r="EO257" i="7"/>
  <c r="CN257" i="7"/>
  <c r="CO257" i="7"/>
  <c r="CM257" i="7"/>
  <c r="N223" i="26"/>
  <c r="AB223" i="26" s="1"/>
  <c r="AA223" i="26"/>
  <c r="AF223" i="26"/>
  <c r="AL223" i="26" s="1"/>
  <c r="P223" i="26"/>
  <c r="BU21" i="26" s="1"/>
  <c r="AP21" i="26" s="1"/>
  <c r="AR21" i="26" s="1"/>
  <c r="E224" i="7" s="1"/>
  <c r="M209" i="21"/>
  <c r="K152" i="26"/>
  <c r="AG152" i="26" s="1"/>
  <c r="BS9" i="26"/>
  <c r="CN267" i="7"/>
  <c r="CN268" i="7" s="1"/>
  <c r="CO267" i="7"/>
  <c r="CO268" i="7" s="1"/>
  <c r="CM267" i="7"/>
  <c r="CM268" i="7" s="1"/>
  <c r="EO267" i="7"/>
  <c r="EO268" i="7" s="1"/>
  <c r="G113" i="7"/>
  <c r="EO113" i="7" s="1"/>
  <c r="G195" i="26"/>
  <c r="U194" i="26"/>
  <c r="AJ194" i="26"/>
  <c r="I27" i="45"/>
  <c r="J27" i="45" s="1"/>
  <c r="D27" i="45"/>
  <c r="E27" i="45" s="1"/>
  <c r="D27" i="7"/>
  <c r="K208" i="26"/>
  <c r="V208" i="26" s="1"/>
  <c r="H209" i="26"/>
  <c r="G181" i="26"/>
  <c r="AJ180" i="26"/>
  <c r="U180" i="26"/>
  <c r="G223" i="26"/>
  <c r="U222" i="26"/>
  <c r="AJ222" i="26"/>
  <c r="AL207" i="26"/>
  <c r="AK207" i="26"/>
  <c r="C16" i="44"/>
  <c r="EM291" i="7"/>
  <c r="K25" i="7"/>
  <c r="BY25" i="7"/>
  <c r="EN284" i="7"/>
  <c r="EO281" i="7"/>
  <c r="CM281" i="7"/>
  <c r="CO281" i="7"/>
  <c r="CN281" i="7"/>
  <c r="H58" i="25"/>
  <c r="O44" i="25" s="1"/>
  <c r="L57" i="25"/>
  <c r="M207" i="21"/>
  <c r="AL211" i="26"/>
  <c r="AH181" i="26"/>
  <c r="W181" i="26"/>
  <c r="I182" i="26"/>
  <c r="CO255" i="7"/>
  <c r="CO256" i="7" s="1"/>
  <c r="CM255" i="7"/>
  <c r="CM256" i="7" s="1"/>
  <c r="EO255" i="7"/>
  <c r="EO256" i="7" s="1"/>
  <c r="CN255" i="7"/>
  <c r="CN256" i="7" s="1"/>
  <c r="G320" i="25"/>
  <c r="L319" i="25"/>
  <c r="M318" i="25" s="1"/>
  <c r="EL41" i="7"/>
  <c r="ER41" i="7" s="1"/>
  <c r="HG41" i="7" s="1"/>
  <c r="CB41" i="7"/>
  <c r="CP41" i="7" s="1"/>
  <c r="J41" i="7"/>
  <c r="I208" i="21"/>
  <c r="D131" i="51" s="1"/>
  <c r="H125" i="51"/>
  <c r="H42" i="7"/>
  <c r="EP42" i="7" s="1"/>
  <c r="G259" i="7"/>
  <c r="CN243" i="7"/>
  <c r="CN244" i="7" s="1"/>
  <c r="CO243" i="7"/>
  <c r="CO244" i="7" s="1"/>
  <c r="EO243" i="7"/>
  <c r="EO244" i="7" s="1"/>
  <c r="CM243" i="7"/>
  <c r="CM244" i="7" s="1"/>
  <c r="G146" i="25"/>
  <c r="L145" i="25"/>
  <c r="M144" i="25" s="1"/>
  <c r="CP26" i="7"/>
  <c r="EP261" i="7"/>
  <c r="BT15" i="26"/>
  <c r="CJ98" i="7"/>
  <c r="CK98" i="7"/>
  <c r="F98" i="7"/>
  <c r="EN98" i="7" s="1"/>
  <c r="CH98" i="7"/>
  <c r="CI98" i="7"/>
  <c r="CL98" i="7"/>
  <c r="G133" i="51"/>
  <c r="F210" i="21"/>
  <c r="E210" i="21"/>
  <c r="N210" i="21"/>
  <c r="H167" i="26"/>
  <c r="K166" i="26"/>
  <c r="V166" i="26" s="1"/>
  <c r="CP253" i="7"/>
  <c r="M210" i="21"/>
  <c r="I224" i="26"/>
  <c r="AH223" i="26"/>
  <c r="W223" i="26"/>
  <c r="G134" i="51"/>
  <c r="F211" i="21"/>
  <c r="E211" i="21"/>
  <c r="H253" i="7"/>
  <c r="G204" i="25"/>
  <c r="L203" i="25"/>
  <c r="M202" i="25" s="1"/>
  <c r="G283" i="7"/>
  <c r="BY95" i="7"/>
  <c r="O19" i="35"/>
  <c r="O131" i="25"/>
  <c r="O199" i="21"/>
  <c r="I27" i="7"/>
  <c r="EQ27" i="7" s="1"/>
  <c r="BQ15" i="26"/>
  <c r="H124" i="51"/>
  <c r="G27" i="7"/>
  <c r="EO27" i="7" s="1"/>
  <c r="CM27" i="7"/>
  <c r="CN27" i="7"/>
  <c r="CO27" i="7"/>
  <c r="H121" i="51"/>
  <c r="I42" i="45"/>
  <c r="J42" i="45" s="1"/>
  <c r="D42" i="45"/>
  <c r="E42" i="45" s="1"/>
  <c r="D42" i="7"/>
  <c r="N199" i="21"/>
  <c r="I210" i="26"/>
  <c r="AH209" i="26"/>
  <c r="W209" i="26"/>
  <c r="K194" i="26"/>
  <c r="V194" i="26" s="1"/>
  <c r="H195" i="26"/>
  <c r="H181" i="26"/>
  <c r="K180" i="26"/>
  <c r="V180" i="26" s="1"/>
  <c r="F60" i="25"/>
  <c r="G228" i="7"/>
  <c r="EQ282" i="7"/>
  <c r="ER282" i="7" s="1"/>
  <c r="HG282" i="7" s="1"/>
  <c r="J282" i="7"/>
  <c r="BY282" i="7" s="1"/>
  <c r="CP249" i="7"/>
  <c r="H265" i="7"/>
  <c r="CP225" i="7"/>
  <c r="T180" i="21"/>
  <c r="CF27" i="7"/>
  <c r="CG27" i="7"/>
  <c r="CC27" i="7"/>
  <c r="E27" i="7"/>
  <c r="EM27" i="7" s="1"/>
  <c r="CD27" i="7"/>
  <c r="CE27" i="7"/>
  <c r="EN236" i="7"/>
  <c r="F292" i="25"/>
  <c r="L292" i="25" s="1"/>
  <c r="L291" i="25"/>
  <c r="CP273" i="7"/>
  <c r="O15" i="25"/>
  <c r="H435" i="25"/>
  <c r="O421" i="25" s="1"/>
  <c r="L434" i="25"/>
  <c r="I207" i="21"/>
  <c r="D130" i="51" s="1"/>
  <c r="Y199" i="21"/>
  <c r="CO229" i="7"/>
  <c r="CN229" i="7"/>
  <c r="CM229" i="7"/>
  <c r="EO229" i="7"/>
  <c r="F27" i="7"/>
  <c r="EN27" i="7" s="1"/>
  <c r="CH27" i="7"/>
  <c r="CI27" i="7"/>
  <c r="CL27" i="7"/>
  <c r="CJ27" i="7"/>
  <c r="CK27" i="7"/>
  <c r="F209" i="21"/>
  <c r="E209" i="21"/>
  <c r="EL26" i="7"/>
  <c r="ER26" i="7" s="1"/>
  <c r="HG26" i="7" s="1"/>
  <c r="J26" i="7"/>
  <c r="G175" i="25"/>
  <c r="L174" i="25"/>
  <c r="M173" i="25" s="1"/>
  <c r="E113" i="7"/>
  <c r="EM113" i="7" s="1"/>
  <c r="CF113" i="7"/>
  <c r="CG113" i="7"/>
  <c r="G167" i="26"/>
  <c r="U166" i="26"/>
  <c r="AJ166" i="26"/>
  <c r="M211" i="21"/>
  <c r="H348" i="25"/>
  <c r="O334" i="25" s="1"/>
  <c r="L347" i="25"/>
  <c r="AA225" i="26"/>
  <c r="AF225" i="26"/>
  <c r="AL225" i="26" s="1"/>
  <c r="N225" i="26"/>
  <c r="BU12" i="26" s="1"/>
  <c r="P225" i="26"/>
  <c r="BU23" i="26" s="1"/>
  <c r="AP23" i="26" s="1"/>
  <c r="AR23" i="26" s="1"/>
  <c r="G224" i="7" s="1"/>
  <c r="CM251" i="7"/>
  <c r="CM252" i="7" s="1"/>
  <c r="CN251" i="7"/>
  <c r="CN252" i="7" s="1"/>
  <c r="CO251" i="7"/>
  <c r="CO252" i="7" s="1"/>
  <c r="EO251" i="7"/>
  <c r="EO252" i="7" s="1"/>
  <c r="N209" i="21"/>
  <c r="CO239" i="7"/>
  <c r="CO240" i="7" s="1"/>
  <c r="CN239" i="7"/>
  <c r="CN240" i="7" s="1"/>
  <c r="EO239" i="7"/>
  <c r="CM239" i="7"/>
  <c r="J28" i="25"/>
  <c r="CO275" i="7"/>
  <c r="CO276" i="7" s="1"/>
  <c r="EO275" i="7"/>
  <c r="EO276" i="7" s="1"/>
  <c r="CM275" i="7"/>
  <c r="CM276" i="7" s="1"/>
  <c r="CN275" i="7"/>
  <c r="CN276" i="7" s="1"/>
  <c r="CP237" i="7"/>
  <c r="J144" i="25"/>
  <c r="BS14" i="26"/>
  <c r="H122" i="51"/>
  <c r="ES311" i="7"/>
  <c r="W8" i="36"/>
  <c r="L31" i="33"/>
  <c r="L30" i="33"/>
  <c r="W7" i="36"/>
  <c r="K311" i="7"/>
  <c r="W51" i="36"/>
  <c r="Y51" i="36" s="1"/>
  <c r="I9" i="39"/>
  <c r="L9" i="7"/>
  <c r="R6" i="35" s="1"/>
  <c r="R3" i="21"/>
  <c r="L32" i="33"/>
  <c r="W9" i="36"/>
  <c r="O129" i="35"/>
  <c r="AE21" i="33"/>
  <c r="I25" i="39"/>
  <c r="H37" i="33"/>
  <c r="I69" i="33" s="1"/>
  <c r="AE21" i="44"/>
  <c r="GX298" i="7"/>
  <c r="CP233" i="7" l="1"/>
  <c r="J266" i="7"/>
  <c r="BY266" i="7" s="1"/>
  <c r="I270" i="7"/>
  <c r="EQ270" i="7" s="1"/>
  <c r="ER270" i="7" s="1"/>
  <c r="HG270" i="7" s="1"/>
  <c r="CI285" i="7"/>
  <c r="CI286" i="7" s="1"/>
  <c r="CI288" i="7" s="1"/>
  <c r="E322" i="25"/>
  <c r="H87" i="25"/>
  <c r="O73" i="25" s="1"/>
  <c r="CJ285" i="7"/>
  <c r="CJ291" i="7" s="1"/>
  <c r="I99" i="51"/>
  <c r="J99" i="51" s="1"/>
  <c r="ER112" i="7"/>
  <c r="HG112" i="7" s="1"/>
  <c r="H140" i="56" a="1"/>
  <c r="H140" i="56" s="1"/>
  <c r="Q170" i="21"/>
  <c r="T170" i="21"/>
  <c r="H113" i="7"/>
  <c r="EP113" i="7" s="1"/>
  <c r="J112" i="7"/>
  <c r="BY112" i="7" s="1"/>
  <c r="Q209" i="21"/>
  <c r="P184" i="21"/>
  <c r="G149" i="56" a="1"/>
  <c r="G149" i="56" s="1"/>
  <c r="Q183" i="21"/>
  <c r="P197" i="21"/>
  <c r="T197" i="21" s="1"/>
  <c r="F158" i="56" a="1"/>
  <c r="F158" i="56" s="1"/>
  <c r="Q196" i="21"/>
  <c r="G115" i="7" s="1"/>
  <c r="EO115" i="7" s="1"/>
  <c r="E167" i="56" a="1"/>
  <c r="E167" i="56" s="1"/>
  <c r="P210" i="21"/>
  <c r="Q157" i="21"/>
  <c r="I43" i="45"/>
  <c r="J43" i="45" s="1"/>
  <c r="Q207" i="21"/>
  <c r="I43" i="7"/>
  <c r="I44" i="7" s="1"/>
  <c r="I84" i="7" s="1"/>
  <c r="H43" i="7"/>
  <c r="EP43" i="7" s="1"/>
  <c r="EP44" i="7" s="1"/>
  <c r="EP84" i="7" s="1"/>
  <c r="CP97" i="7"/>
  <c r="I98" i="45"/>
  <c r="J98" i="45" s="1"/>
  <c r="D98" i="7"/>
  <c r="EL98" i="7" s="1"/>
  <c r="D98" i="45"/>
  <c r="E98" i="45" s="1"/>
  <c r="J97" i="7"/>
  <c r="EN224" i="7"/>
  <c r="D17" i="44" s="1"/>
  <c r="CM98" i="7"/>
  <c r="D43" i="7"/>
  <c r="CB43" i="7" s="1"/>
  <c r="AA171" i="21"/>
  <c r="D43" i="45"/>
  <c r="E43" i="45" s="1"/>
  <c r="AB222" i="26"/>
  <c r="Q82" i="35"/>
  <c r="I88" i="54"/>
  <c r="I107" i="51"/>
  <c r="J107" i="51" s="1"/>
  <c r="D33" i="44"/>
  <c r="D40" i="44" s="1"/>
  <c r="F287" i="7"/>
  <c r="BU11" i="26"/>
  <c r="AP11" i="26" s="1"/>
  <c r="AR11" i="26" s="1"/>
  <c r="AP12" i="26"/>
  <c r="AR12" i="26" s="1"/>
  <c r="CO98" i="7"/>
  <c r="AB171" i="21"/>
  <c r="G98" i="7"/>
  <c r="EO98" i="7" s="1"/>
  <c r="CN98" i="7"/>
  <c r="CF98" i="7"/>
  <c r="CG98" i="7"/>
  <c r="CE98" i="7"/>
  <c r="F42" i="45"/>
  <c r="AM207" i="26"/>
  <c r="S171" i="21"/>
  <c r="CD98" i="7"/>
  <c r="E98" i="7"/>
  <c r="EM98" i="7" s="1"/>
  <c r="I104" i="51"/>
  <c r="J104" i="51" s="1"/>
  <c r="AG194" i="26"/>
  <c r="AK194" i="26" s="1"/>
  <c r="AM194" i="26" s="1"/>
  <c r="J57" i="25"/>
  <c r="H229" i="7" s="1"/>
  <c r="I193" i="54"/>
  <c r="G33" i="44"/>
  <c r="G40" i="44" s="1"/>
  <c r="I287" i="7"/>
  <c r="EQ224" i="7"/>
  <c r="G17" i="44" s="1"/>
  <c r="CP239" i="7"/>
  <c r="J434" i="25"/>
  <c r="H281" i="7" s="1"/>
  <c r="AG180" i="26"/>
  <c r="AK180" i="26" s="1"/>
  <c r="AM180" i="26" s="1"/>
  <c r="BU26" i="26"/>
  <c r="CP256" i="7"/>
  <c r="W11" i="36"/>
  <c r="O81" i="35"/>
  <c r="CP244" i="7"/>
  <c r="EN285" i="7"/>
  <c r="CP247" i="7"/>
  <c r="CP268" i="7"/>
  <c r="CH285" i="7"/>
  <c r="CH291" i="7" s="1"/>
  <c r="AP14" i="26"/>
  <c r="I168" i="7" s="1"/>
  <c r="H22" i="56" s="1"/>
  <c r="H18" i="56" s="1"/>
  <c r="AP20" i="26"/>
  <c r="AR20" i="26" s="1"/>
  <c r="H135" i="51"/>
  <c r="J291" i="25"/>
  <c r="I261" i="7" s="1"/>
  <c r="AG166" i="26"/>
  <c r="AK166" i="26" s="1"/>
  <c r="AM166" i="26" s="1"/>
  <c r="J405" i="25"/>
  <c r="H277" i="7" s="1"/>
  <c r="CP255" i="7"/>
  <c r="O277" i="25"/>
  <c r="Q38" i="35" s="1"/>
  <c r="M291" i="25"/>
  <c r="I263" i="7" s="1"/>
  <c r="EQ263" i="7" s="1"/>
  <c r="BU13" i="26"/>
  <c r="AP13" i="26" s="1"/>
  <c r="AR13" i="26" s="1"/>
  <c r="EP224" i="7"/>
  <c r="H287" i="7"/>
  <c r="I158" i="54"/>
  <c r="F33" i="44"/>
  <c r="F40" i="44" s="1"/>
  <c r="H239" i="7"/>
  <c r="H240" i="7" s="1"/>
  <c r="CH169" i="7"/>
  <c r="I73" i="53"/>
  <c r="EN169" i="7"/>
  <c r="H251" i="7"/>
  <c r="H252" i="7" s="1"/>
  <c r="I129" i="53"/>
  <c r="EP169" i="7"/>
  <c r="I101" i="53"/>
  <c r="EO169" i="7"/>
  <c r="CM169" i="7"/>
  <c r="Z183" i="21"/>
  <c r="AA183" i="21" s="1"/>
  <c r="AB183" i="21" s="1"/>
  <c r="S183" i="21"/>
  <c r="H99" i="7" s="1"/>
  <c r="U183" i="21"/>
  <c r="CO283" i="7"/>
  <c r="CO284" i="7" s="1"/>
  <c r="CO287" i="7" s="1"/>
  <c r="CM283" i="7"/>
  <c r="EO283" i="7"/>
  <c r="CN283" i="7"/>
  <c r="CN284" i="7" s="1"/>
  <c r="CN287" i="7" s="1"/>
  <c r="W182" i="26"/>
  <c r="AH182" i="26"/>
  <c r="EO240" i="7"/>
  <c r="EP265" i="7"/>
  <c r="AJ167" i="26"/>
  <c r="U167" i="26"/>
  <c r="H131" i="51"/>
  <c r="CF28" i="7"/>
  <c r="CC28" i="7"/>
  <c r="CC44" i="7" s="1"/>
  <c r="CC84" i="7" s="1"/>
  <c r="CD28" i="7"/>
  <c r="CD44" i="7" s="1"/>
  <c r="CD84" i="7" s="1"/>
  <c r="CG28" i="7"/>
  <c r="CE28" i="7"/>
  <c r="CE44" i="7" s="1"/>
  <c r="CE84" i="7" s="1"/>
  <c r="E28" i="7"/>
  <c r="EM28" i="7" s="1"/>
  <c r="E43" i="7"/>
  <c r="CF43" i="7"/>
  <c r="CG43" i="7"/>
  <c r="BY96" i="7"/>
  <c r="O20" i="35"/>
  <c r="I114" i="45"/>
  <c r="J114" i="45" s="1"/>
  <c r="D114" i="7"/>
  <c r="D114" i="45"/>
  <c r="E114" i="45" s="1"/>
  <c r="BV15" i="26"/>
  <c r="CP252" i="7"/>
  <c r="CM240" i="7"/>
  <c r="CP240" i="7" s="1"/>
  <c r="T193" i="21"/>
  <c r="H247" i="7"/>
  <c r="EP249" i="7"/>
  <c r="F213" i="21"/>
  <c r="EL113" i="7"/>
  <c r="CB113" i="7"/>
  <c r="CP113" i="7" s="1"/>
  <c r="BS26" i="26"/>
  <c r="L34" i="33"/>
  <c r="CP251" i="7"/>
  <c r="G176" i="25"/>
  <c r="L176" i="25" s="1"/>
  <c r="L175" i="25"/>
  <c r="F28" i="7"/>
  <c r="EN28" i="7" s="1"/>
  <c r="CJ28" i="7"/>
  <c r="CJ44" i="7" s="1"/>
  <c r="CJ84" i="7" s="1"/>
  <c r="CL28" i="7"/>
  <c r="CI28" i="7"/>
  <c r="CI44" i="7" s="1"/>
  <c r="CI84" i="7" s="1"/>
  <c r="CK28" i="7"/>
  <c r="CH28" i="7"/>
  <c r="CH44" i="7" s="1"/>
  <c r="CH84" i="7" s="1"/>
  <c r="T196" i="21"/>
  <c r="C214" i="21"/>
  <c r="Q25" i="35" s="1"/>
  <c r="Q26" i="35" s="1"/>
  <c r="E213" i="21"/>
  <c r="F214" i="21" s="1"/>
  <c r="R25" i="35" s="1"/>
  <c r="R26" i="35" s="1"/>
  <c r="S181" i="21"/>
  <c r="I114" i="51" s="1"/>
  <c r="J114" i="51" s="1"/>
  <c r="Z181" i="21"/>
  <c r="AA181" i="21" s="1"/>
  <c r="AB181" i="21" s="1"/>
  <c r="U181" i="21"/>
  <c r="H275" i="7"/>
  <c r="CC224" i="7"/>
  <c r="CC286" i="7" s="1"/>
  <c r="CC288" i="7" s="1"/>
  <c r="EM224" i="7"/>
  <c r="I53" i="54"/>
  <c r="I56" i="54" s="1"/>
  <c r="E287" i="7"/>
  <c r="C33" i="44"/>
  <c r="C40" i="44" s="1"/>
  <c r="E286" i="7"/>
  <c r="E288" i="7" s="1"/>
  <c r="D28" i="7"/>
  <c r="D28" i="45"/>
  <c r="E28" i="45" s="1"/>
  <c r="I28" i="45"/>
  <c r="J28" i="45" s="1"/>
  <c r="O213" i="21"/>
  <c r="CP269" i="7"/>
  <c r="CP243" i="7"/>
  <c r="EL27" i="7"/>
  <c r="ER27" i="7" s="1"/>
  <c r="HG27" i="7" s="1"/>
  <c r="J27" i="7"/>
  <c r="CO248" i="7"/>
  <c r="CP248" i="7" s="1"/>
  <c r="H130" i="51"/>
  <c r="G272" i="7"/>
  <c r="EO271" i="7"/>
  <c r="EO272" i="7" s="1"/>
  <c r="CO271" i="7"/>
  <c r="CO272" i="7" s="1"/>
  <c r="CM271" i="7"/>
  <c r="CN271" i="7"/>
  <c r="CN272" i="7" s="1"/>
  <c r="EP237" i="7"/>
  <c r="G234" i="25"/>
  <c r="L234" i="25" s="1"/>
  <c r="L233" i="25"/>
  <c r="EP245" i="7"/>
  <c r="K26" i="7"/>
  <c r="BY26" i="7"/>
  <c r="K195" i="26"/>
  <c r="V195" i="26" s="1"/>
  <c r="H196" i="26"/>
  <c r="W224" i="26"/>
  <c r="AH224" i="26"/>
  <c r="I225" i="26"/>
  <c r="CP281" i="7"/>
  <c r="AJ223" i="26"/>
  <c r="U223" i="26"/>
  <c r="G224" i="26"/>
  <c r="BS15" i="26"/>
  <c r="AP9" i="26"/>
  <c r="CP277" i="7"/>
  <c r="F114" i="7"/>
  <c r="EN114" i="7" s="1"/>
  <c r="CK114" i="7"/>
  <c r="CL114" i="7"/>
  <c r="H255" i="7"/>
  <c r="H256" i="7" s="1"/>
  <c r="EP263" i="7"/>
  <c r="EP264" i="7" s="1"/>
  <c r="AH210" i="26"/>
  <c r="I211" i="26"/>
  <c r="W210" i="26"/>
  <c r="Z184" i="21"/>
  <c r="AA184" i="21" s="1"/>
  <c r="S184" i="21"/>
  <c r="I99" i="7" s="1"/>
  <c r="EQ99" i="7" s="1"/>
  <c r="U184" i="21"/>
  <c r="H436" i="25"/>
  <c r="L435" i="25"/>
  <c r="M434" i="25" s="1"/>
  <c r="EP253" i="7"/>
  <c r="CM228" i="7"/>
  <c r="CP227" i="7"/>
  <c r="I123" i="54"/>
  <c r="EO224" i="7"/>
  <c r="G287" i="7"/>
  <c r="CM224" i="7"/>
  <c r="E33" i="44"/>
  <c r="E40" i="44" s="1"/>
  <c r="AQ9" i="26"/>
  <c r="V222" i="26"/>
  <c r="CP276" i="7"/>
  <c r="D32" i="44"/>
  <c r="R16" i="44"/>
  <c r="I81" i="54"/>
  <c r="F286" i="7"/>
  <c r="F288" i="7" s="1"/>
  <c r="F291" i="7"/>
  <c r="H225" i="7"/>
  <c r="CP229" i="7"/>
  <c r="CP27" i="7"/>
  <c r="V152" i="26"/>
  <c r="H227" i="7"/>
  <c r="H210" i="26"/>
  <c r="K209" i="26"/>
  <c r="V209" i="26" s="1"/>
  <c r="CP257" i="7"/>
  <c r="H262" i="25"/>
  <c r="L261" i="25"/>
  <c r="M260" i="25" s="1"/>
  <c r="Z180" i="21"/>
  <c r="AA180" i="21" s="1"/>
  <c r="AB180" i="21" s="1"/>
  <c r="S180" i="21"/>
  <c r="I113" i="51" s="1"/>
  <c r="J113" i="51" s="1"/>
  <c r="U180" i="21"/>
  <c r="EQ258" i="7"/>
  <c r="ER258" i="7" s="1"/>
  <c r="HG258" i="7" s="1"/>
  <c r="J258" i="7"/>
  <c r="BY258" i="7" s="1"/>
  <c r="G114" i="7"/>
  <c r="EO114" i="7" s="1"/>
  <c r="H133" i="51"/>
  <c r="G43" i="7"/>
  <c r="I45" i="53"/>
  <c r="CC169" i="7"/>
  <c r="EM169" i="7"/>
  <c r="EO235" i="7"/>
  <c r="EO236" i="7" s="1"/>
  <c r="CN235" i="7"/>
  <c r="CN236" i="7" s="1"/>
  <c r="CO235" i="7"/>
  <c r="CM235" i="7"/>
  <c r="CM236" i="7" s="1"/>
  <c r="G236" i="7"/>
  <c r="AJ195" i="26"/>
  <c r="G196" i="26"/>
  <c r="U195" i="26"/>
  <c r="P228" i="26"/>
  <c r="T195" i="21"/>
  <c r="H182" i="26"/>
  <c r="K181" i="26"/>
  <c r="V181" i="26" s="1"/>
  <c r="H407" i="25"/>
  <c r="L406" i="25"/>
  <c r="M405" i="25" s="1"/>
  <c r="AK222" i="26"/>
  <c r="AM222" i="26" s="1"/>
  <c r="G321" i="25"/>
  <c r="L321" i="25" s="1"/>
  <c r="L320" i="25"/>
  <c r="H134" i="51"/>
  <c r="G284" i="7"/>
  <c r="AK152" i="26"/>
  <c r="AM152" i="26" s="1"/>
  <c r="G31" i="25"/>
  <c r="L31" i="25" s="1"/>
  <c r="L30" i="25"/>
  <c r="H379" i="25"/>
  <c r="L379" i="25" s="1"/>
  <c r="L378" i="25"/>
  <c r="CG114" i="7"/>
  <c r="E114" i="7"/>
  <c r="EM114" i="7" s="1"/>
  <c r="CF114" i="7"/>
  <c r="Y213" i="21"/>
  <c r="EP273" i="7"/>
  <c r="G205" i="25"/>
  <c r="L205" i="25" s="1"/>
  <c r="L204" i="25"/>
  <c r="G118" i="25"/>
  <c r="L118" i="25" s="1"/>
  <c r="L117" i="25"/>
  <c r="H241" i="7"/>
  <c r="K41" i="7"/>
  <c r="BY41" i="7"/>
  <c r="T194" i="21"/>
  <c r="CN28" i="7"/>
  <c r="CN44" i="7" s="1"/>
  <c r="CN84" i="7" s="1"/>
  <c r="G28" i="7"/>
  <c r="EO28" i="7" s="1"/>
  <c r="CO28" i="7"/>
  <c r="CO44" i="7" s="1"/>
  <c r="CO84" i="7" s="1"/>
  <c r="CM28" i="7"/>
  <c r="CP275" i="7"/>
  <c r="N228" i="26"/>
  <c r="P82" i="35" s="1"/>
  <c r="AB225" i="26"/>
  <c r="F27" i="45"/>
  <c r="AH196" i="26"/>
  <c r="I197" i="26"/>
  <c r="W196" i="26"/>
  <c r="AJ181" i="26"/>
  <c r="G182" i="26"/>
  <c r="U181" i="26"/>
  <c r="O247" i="25"/>
  <c r="Z182" i="21"/>
  <c r="AA182" i="21" s="1"/>
  <c r="AB182" i="21" s="1"/>
  <c r="U182" i="21"/>
  <c r="S182" i="21"/>
  <c r="I115" i="51" s="1"/>
  <c r="J115" i="51" s="1"/>
  <c r="EO231" i="7"/>
  <c r="EO232" i="7" s="1"/>
  <c r="CM231" i="7"/>
  <c r="CM232" i="7" s="1"/>
  <c r="CN231" i="7"/>
  <c r="CN232" i="7" s="1"/>
  <c r="CO231" i="7"/>
  <c r="H349" i="25"/>
  <c r="L348" i="25"/>
  <c r="M347" i="25" s="1"/>
  <c r="G147" i="25"/>
  <c r="L147" i="25" s="1"/>
  <c r="L146" i="25"/>
  <c r="H267" i="7"/>
  <c r="H268" i="7" s="1"/>
  <c r="CB42" i="7"/>
  <c r="CP42" i="7" s="1"/>
  <c r="EL42" i="7"/>
  <c r="ER42" i="7" s="1"/>
  <c r="HG42" i="7" s="1"/>
  <c r="J42" i="7"/>
  <c r="K167" i="26"/>
  <c r="V167" i="26" s="1"/>
  <c r="F43" i="7"/>
  <c r="CL43" i="7"/>
  <c r="H132" i="51"/>
  <c r="CK43" i="7"/>
  <c r="I157" i="53"/>
  <c r="EQ169" i="7"/>
  <c r="N213" i="21"/>
  <c r="CO259" i="7"/>
  <c r="EO259" i="7"/>
  <c r="EO260" i="7" s="1"/>
  <c r="CN259" i="7"/>
  <c r="CN260" i="7" s="1"/>
  <c r="CM259" i="7"/>
  <c r="CM260" i="7" s="1"/>
  <c r="BU10" i="26"/>
  <c r="AP10" i="26" s="1"/>
  <c r="H59" i="25"/>
  <c r="L58" i="25"/>
  <c r="M57" i="25" s="1"/>
  <c r="CP267" i="7"/>
  <c r="H224" i="26"/>
  <c r="K223" i="26"/>
  <c r="V223" i="26" s="1"/>
  <c r="J347" i="25"/>
  <c r="H243" i="7"/>
  <c r="AG208" i="26"/>
  <c r="AK208" i="26" s="1"/>
  <c r="AM208" i="26" s="1"/>
  <c r="G260" i="7"/>
  <c r="J260" i="25"/>
  <c r="G210" i="26"/>
  <c r="AJ209" i="26"/>
  <c r="U209" i="26"/>
  <c r="HG111" i="7"/>
  <c r="Z179" i="21"/>
  <c r="AA179" i="21" s="1"/>
  <c r="AB179" i="21" s="1"/>
  <c r="S179" i="21"/>
  <c r="I112" i="51" s="1"/>
  <c r="J112" i="51" s="1"/>
  <c r="U179" i="21"/>
  <c r="CN279" i="7"/>
  <c r="CN280" i="7" s="1"/>
  <c r="CO279" i="7"/>
  <c r="CO280" i="7" s="1"/>
  <c r="EO279" i="7"/>
  <c r="EO280" i="7" s="1"/>
  <c r="CM279" i="7"/>
  <c r="CM280" i="7" s="1"/>
  <c r="I66" i="33"/>
  <c r="I65" i="33"/>
  <c r="I60" i="33"/>
  <c r="I63" i="33"/>
  <c r="I61" i="33"/>
  <c r="I59" i="33"/>
  <c r="I64" i="33"/>
  <c r="I62" i="33"/>
  <c r="I67" i="33"/>
  <c r="I58" i="33"/>
  <c r="I68" i="33"/>
  <c r="F10" i="44" l="1"/>
  <c r="F10" i="33"/>
  <c r="X10" i="33"/>
  <c r="D16" i="33"/>
  <c r="R16" i="33"/>
  <c r="T16" i="33" s="1"/>
  <c r="CI291" i="7"/>
  <c r="D74" i="52"/>
  <c r="J270" i="7"/>
  <c r="BY270" i="7" s="1"/>
  <c r="L87" i="25"/>
  <c r="M86" i="25" s="1"/>
  <c r="H235" i="7" s="1"/>
  <c r="H88" i="25"/>
  <c r="L88" i="25" s="1"/>
  <c r="J86" i="25"/>
  <c r="H233" i="7" s="1"/>
  <c r="EP233" i="7" s="1"/>
  <c r="CJ286" i="7"/>
  <c r="CJ288" i="7" s="1"/>
  <c r="H114" i="7"/>
  <c r="EP114" i="7" s="1"/>
  <c r="F167" i="56" a="1"/>
  <c r="F167" i="56" s="1"/>
  <c r="P211" i="21"/>
  <c r="T211" i="21" s="1"/>
  <c r="P198" i="21"/>
  <c r="G158" i="56" a="1"/>
  <c r="G158" i="56" s="1"/>
  <c r="Q197" i="21"/>
  <c r="H115" i="7" s="1"/>
  <c r="EP115" i="7" s="1"/>
  <c r="H149" i="56" a="1"/>
  <c r="H149" i="56" s="1"/>
  <c r="Q184" i="21"/>
  <c r="I114" i="7" s="1"/>
  <c r="EQ114" i="7" s="1"/>
  <c r="T184" i="21"/>
  <c r="I108" i="51"/>
  <c r="J108" i="51" s="1"/>
  <c r="I113" i="7"/>
  <c r="O21" i="35"/>
  <c r="Q210" i="21"/>
  <c r="Q171" i="21"/>
  <c r="H44" i="7"/>
  <c r="H84" i="7" s="1"/>
  <c r="X11" i="44" s="1"/>
  <c r="Z11" i="44" s="1"/>
  <c r="EQ43" i="7"/>
  <c r="EQ44" i="7" s="1"/>
  <c r="EQ84" i="7" s="1"/>
  <c r="EN287" i="7"/>
  <c r="BY97" i="7"/>
  <c r="EL43" i="7"/>
  <c r="D44" i="7"/>
  <c r="D84" i="7" s="1"/>
  <c r="EN286" i="7"/>
  <c r="EN288" i="7" s="1"/>
  <c r="G168" i="7"/>
  <c r="F168" i="7"/>
  <c r="S210" i="21"/>
  <c r="CM101" i="7" s="1"/>
  <c r="Z209" i="21"/>
  <c r="AA209" i="21" s="1"/>
  <c r="AB209" i="21" s="1"/>
  <c r="CP98" i="7"/>
  <c r="J98" i="7"/>
  <c r="ER98" i="7"/>
  <c r="HG98" i="7" s="1"/>
  <c r="S208" i="21"/>
  <c r="CG44" i="7"/>
  <c r="CG84" i="7" s="1"/>
  <c r="EQ287" i="7"/>
  <c r="CL44" i="7"/>
  <c r="CL84" i="7" s="1"/>
  <c r="S207" i="21"/>
  <c r="CF44" i="7"/>
  <c r="CF84" i="7" s="1"/>
  <c r="J378" i="25"/>
  <c r="I273" i="7" s="1"/>
  <c r="M378" i="25"/>
  <c r="I275" i="7" s="1"/>
  <c r="EQ275" i="7" s="1"/>
  <c r="J43" i="7"/>
  <c r="BY43" i="7" s="1"/>
  <c r="M117" i="25"/>
  <c r="I239" i="7" s="1"/>
  <c r="EQ239" i="7" s="1"/>
  <c r="O16" i="25"/>
  <c r="Q29" i="35" s="1"/>
  <c r="CH286" i="7"/>
  <c r="CH288" i="7" s="1"/>
  <c r="J30" i="25"/>
  <c r="I225" i="7" s="1"/>
  <c r="EQ225" i="7" s="1"/>
  <c r="CB44" i="7"/>
  <c r="CB84" i="7" s="1"/>
  <c r="AG167" i="26"/>
  <c r="AK167" i="26" s="1"/>
  <c r="AM167" i="26" s="1"/>
  <c r="AG223" i="26"/>
  <c r="AK223" i="26" s="1"/>
  <c r="AM223" i="26" s="1"/>
  <c r="O103" i="25"/>
  <c r="Q32" i="35" s="1"/>
  <c r="Z211" i="21"/>
  <c r="AA211" i="21" s="1"/>
  <c r="AB211" i="21" s="1"/>
  <c r="F28" i="45"/>
  <c r="M175" i="25"/>
  <c r="I247" i="7" s="1"/>
  <c r="EQ247" i="7" s="1"/>
  <c r="EN291" i="7"/>
  <c r="D16" i="44"/>
  <c r="AR14" i="26"/>
  <c r="D44" i="45"/>
  <c r="F44" i="45" s="1"/>
  <c r="J146" i="25"/>
  <c r="I241" i="7" s="1"/>
  <c r="EQ241" i="7" s="1"/>
  <c r="E44" i="45"/>
  <c r="E84" i="45" s="1"/>
  <c r="M146" i="25"/>
  <c r="I243" i="7" s="1"/>
  <c r="EQ243" i="7" s="1"/>
  <c r="O82" i="35"/>
  <c r="H168" i="7"/>
  <c r="BU15" i="26"/>
  <c r="J293" i="25"/>
  <c r="AP26" i="26"/>
  <c r="AR26" i="26" s="1"/>
  <c r="J117" i="25"/>
  <c r="J119" i="25" s="1"/>
  <c r="J233" i="25"/>
  <c r="J235" i="25" s="1"/>
  <c r="J263" i="7"/>
  <c r="BY263" i="7" s="1"/>
  <c r="M233" i="25"/>
  <c r="CN285" i="7"/>
  <c r="CN286" i="7" s="1"/>
  <c r="CN288" i="7" s="1"/>
  <c r="M293" i="25"/>
  <c r="O132" i="25"/>
  <c r="Q33" i="35" s="1"/>
  <c r="O219" i="25"/>
  <c r="Q36" i="35" s="1"/>
  <c r="H231" i="7"/>
  <c r="H232" i="7" s="1"/>
  <c r="H259" i="7"/>
  <c r="CL115" i="7"/>
  <c r="CK115" i="7"/>
  <c r="F115" i="7"/>
  <c r="EN115" i="7" s="1"/>
  <c r="Z193" i="21"/>
  <c r="AA193" i="21" s="1"/>
  <c r="AB193" i="21" s="1"/>
  <c r="S193" i="21"/>
  <c r="U193" i="21"/>
  <c r="EP275" i="7"/>
  <c r="CM99" i="7"/>
  <c r="CN99" i="7"/>
  <c r="G99" i="7"/>
  <c r="EO99" i="7" s="1"/>
  <c r="CO99" i="7"/>
  <c r="H60" i="25"/>
  <c r="J59" i="25" s="1"/>
  <c r="L59" i="25"/>
  <c r="H263" i="25"/>
  <c r="L263" i="25" s="1"/>
  <c r="L262" i="25"/>
  <c r="CP280" i="7"/>
  <c r="U182" i="26"/>
  <c r="AJ182" i="26"/>
  <c r="E115" i="7"/>
  <c r="EM115" i="7" s="1"/>
  <c r="CG115" i="7"/>
  <c r="CF115" i="7"/>
  <c r="O306" i="25"/>
  <c r="Q39" i="35" s="1"/>
  <c r="EO284" i="7"/>
  <c r="EO285" i="7" s="1"/>
  <c r="EP229" i="7"/>
  <c r="J320" i="25"/>
  <c r="G285" i="7"/>
  <c r="F34" i="56" s="1"/>
  <c r="EP225" i="7"/>
  <c r="H228" i="7"/>
  <c r="I156" i="53"/>
  <c r="I158" i="53" s="1"/>
  <c r="I170" i="7"/>
  <c r="EQ168" i="7"/>
  <c r="EQ170" i="7" s="1"/>
  <c r="CM284" i="7"/>
  <c r="CP283" i="7"/>
  <c r="M320" i="25"/>
  <c r="AG209" i="26"/>
  <c r="AK209" i="26" s="1"/>
  <c r="AM209" i="26" s="1"/>
  <c r="D99" i="45"/>
  <c r="E99" i="45" s="1"/>
  <c r="I99" i="45"/>
  <c r="J99" i="45" s="1"/>
  <c r="D99" i="7"/>
  <c r="S185" i="21"/>
  <c r="CP28" i="7"/>
  <c r="CM44" i="7"/>
  <c r="CM84" i="7" s="1"/>
  <c r="T210" i="21"/>
  <c r="T207" i="21"/>
  <c r="AA11" i="44"/>
  <c r="AC11" i="44" s="1"/>
  <c r="G26" i="44"/>
  <c r="ER263" i="7"/>
  <c r="HG263" i="7" s="1"/>
  <c r="CO236" i="7"/>
  <c r="CP236" i="7" s="1"/>
  <c r="CP235" i="7"/>
  <c r="EP227" i="7"/>
  <c r="I91" i="54"/>
  <c r="G225" i="26"/>
  <c r="U224" i="26"/>
  <c r="AJ224" i="26"/>
  <c r="H408" i="25"/>
  <c r="L408" i="25" s="1"/>
  <c r="L407" i="25"/>
  <c r="T16" i="44"/>
  <c r="O17" i="44"/>
  <c r="Q17" i="44" s="1"/>
  <c r="O161" i="25"/>
  <c r="Q34" i="35" s="1"/>
  <c r="M30" i="25"/>
  <c r="T208" i="21"/>
  <c r="T209" i="21"/>
  <c r="U196" i="26"/>
  <c r="G197" i="26"/>
  <c r="AJ196" i="26"/>
  <c r="EP255" i="7"/>
  <c r="EP256" i="7" s="1"/>
  <c r="EP99" i="7"/>
  <c r="I168" i="45"/>
  <c r="D168" i="45"/>
  <c r="AR9" i="26"/>
  <c r="D168" i="7"/>
  <c r="C22" i="56" s="1"/>
  <c r="AP15" i="26"/>
  <c r="H269" i="7"/>
  <c r="J44" i="45"/>
  <c r="J84" i="45" s="1"/>
  <c r="EL28" i="7"/>
  <c r="ER28" i="7" s="1"/>
  <c r="HG28" i="7" s="1"/>
  <c r="J28" i="7"/>
  <c r="AA185" i="21"/>
  <c r="AB184" i="21"/>
  <c r="AB185" i="21" s="1"/>
  <c r="J175" i="25"/>
  <c r="EQ261" i="7"/>
  <c r="I264" i="7"/>
  <c r="K264" i="7" s="1"/>
  <c r="J261" i="7"/>
  <c r="EP239" i="7"/>
  <c r="CP43" i="7"/>
  <c r="CK44" i="7"/>
  <c r="CK84" i="7" s="1"/>
  <c r="AG195" i="26"/>
  <c r="AK195" i="26" s="1"/>
  <c r="AM195" i="26" s="1"/>
  <c r="U210" i="26"/>
  <c r="G211" i="26"/>
  <c r="AJ210" i="26"/>
  <c r="EP281" i="7"/>
  <c r="H283" i="7"/>
  <c r="AH197" i="26"/>
  <c r="W197" i="26"/>
  <c r="H437" i="25"/>
  <c r="L437" i="25" s="1"/>
  <c r="L436" i="25"/>
  <c r="I44" i="45"/>
  <c r="I84" i="45" s="1"/>
  <c r="O364" i="25"/>
  <c r="Q41" i="35" s="1"/>
  <c r="AG181" i="26"/>
  <c r="AK181" i="26" s="1"/>
  <c r="AM181" i="26" s="1"/>
  <c r="CM272" i="7"/>
  <c r="CP271" i="7"/>
  <c r="S194" i="21"/>
  <c r="I122" i="51" s="1"/>
  <c r="J122" i="51" s="1"/>
  <c r="M4" i="51" s="1"/>
  <c r="H34" i="52" s="1"/>
  <c r="Z194" i="21"/>
  <c r="AA194" i="21" s="1"/>
  <c r="AB194" i="21" s="1"/>
  <c r="U194" i="21"/>
  <c r="S195" i="21"/>
  <c r="I123" i="51" s="1"/>
  <c r="J123" i="51" s="1"/>
  <c r="N4" i="51" s="1"/>
  <c r="H51" i="52" s="1"/>
  <c r="Z195" i="21"/>
  <c r="AA195" i="21" s="1"/>
  <c r="AB195" i="21" s="1"/>
  <c r="U195" i="21"/>
  <c r="H279" i="7"/>
  <c r="H280" i="7" s="1"/>
  <c r="H276" i="7"/>
  <c r="EN43" i="7"/>
  <c r="EN44" i="7" s="1"/>
  <c r="EN84" i="7" s="1"/>
  <c r="F44" i="7"/>
  <c r="F84" i="7" s="1"/>
  <c r="K27" i="7"/>
  <c r="BY27" i="7"/>
  <c r="EP251" i="7"/>
  <c r="EP252" i="7" s="1"/>
  <c r="BY42" i="7"/>
  <c r="K42" i="7"/>
  <c r="EP243" i="7"/>
  <c r="EP241" i="7"/>
  <c r="H244" i="7"/>
  <c r="D224" i="45"/>
  <c r="D224" i="7"/>
  <c r="R17" i="44"/>
  <c r="T17" i="44" s="1"/>
  <c r="D115" i="45"/>
  <c r="E115" i="45" s="1"/>
  <c r="I115" i="45"/>
  <c r="J115" i="45" s="1"/>
  <c r="D115" i="7"/>
  <c r="H271" i="7"/>
  <c r="Z212" i="21"/>
  <c r="AA212" i="21" s="1"/>
  <c r="S212" i="21"/>
  <c r="I101" i="7" s="1"/>
  <c r="EQ101" i="7" s="1"/>
  <c r="U212" i="21"/>
  <c r="I226" i="26"/>
  <c r="W225" i="26"/>
  <c r="AH225" i="26"/>
  <c r="E17" i="44"/>
  <c r="EO287" i="7"/>
  <c r="EP277" i="7"/>
  <c r="EL114" i="7"/>
  <c r="CB114" i="7"/>
  <c r="CP114" i="7" s="1"/>
  <c r="CP228" i="7"/>
  <c r="EM43" i="7"/>
  <c r="E44" i="7"/>
  <c r="E84" i="7" s="1"/>
  <c r="EP267" i="7"/>
  <c r="EP268" i="7" s="1"/>
  <c r="H225" i="26"/>
  <c r="K224" i="26"/>
  <c r="AG224" i="26" s="1"/>
  <c r="CO260" i="7"/>
  <c r="CP260" i="7" s="1"/>
  <c r="CP259" i="7"/>
  <c r="Z198" i="21"/>
  <c r="AA198" i="21" s="1"/>
  <c r="S198" i="21"/>
  <c r="I100" i="7" s="1"/>
  <c r="U198" i="21"/>
  <c r="O190" i="25"/>
  <c r="Q35" i="35" s="1"/>
  <c r="K182" i="26"/>
  <c r="V182" i="26" s="1"/>
  <c r="CP279" i="7"/>
  <c r="H350" i="25"/>
  <c r="L350" i="25" s="1"/>
  <c r="L349" i="25"/>
  <c r="Z196" i="21"/>
  <c r="AA196" i="21" s="1"/>
  <c r="AB196" i="21" s="1"/>
  <c r="S196" i="21"/>
  <c r="U196" i="21"/>
  <c r="J204" i="25"/>
  <c r="EO43" i="7"/>
  <c r="EO44" i="7" s="1"/>
  <c r="EO84" i="7" s="1"/>
  <c r="G44" i="7"/>
  <c r="G84" i="7" s="1"/>
  <c r="C17" i="44"/>
  <c r="EM287" i="7"/>
  <c r="EM286" i="7"/>
  <c r="EM288" i="7" s="1"/>
  <c r="CO232" i="7"/>
  <c r="CP231" i="7"/>
  <c r="H197" i="26"/>
  <c r="K196" i="26"/>
  <c r="AG196" i="26" s="1"/>
  <c r="I212" i="26"/>
  <c r="W211" i="26"/>
  <c r="AH211" i="26"/>
  <c r="CG99" i="7"/>
  <c r="CE99" i="7"/>
  <c r="E99" i="7"/>
  <c r="EM99" i="7" s="1"/>
  <c r="CC99" i="7"/>
  <c r="CF99" i="7"/>
  <c r="CD99" i="7"/>
  <c r="CH99" i="7"/>
  <c r="F99" i="7"/>
  <c r="EN99" i="7" s="1"/>
  <c r="CK99" i="7"/>
  <c r="CL99" i="7"/>
  <c r="CJ99" i="7"/>
  <c r="CI99" i="7"/>
  <c r="H257" i="7"/>
  <c r="E168" i="7"/>
  <c r="D22" i="56" s="1"/>
  <c r="D18" i="56" s="1"/>
  <c r="AR10" i="26"/>
  <c r="K210" i="26"/>
  <c r="AG210" i="26" s="1"/>
  <c r="H211" i="26"/>
  <c r="H248" i="7"/>
  <c r="EP247" i="7"/>
  <c r="EP248" i="7" s="1"/>
  <c r="F43" i="45"/>
  <c r="Z197" i="21"/>
  <c r="AA197" i="21" s="1"/>
  <c r="AB197" i="21" s="1"/>
  <c r="S197" i="21"/>
  <c r="H100" i="7" s="1"/>
  <c r="U197" i="21"/>
  <c r="M204" i="25"/>
  <c r="I116" i="51"/>
  <c r="J116" i="51" s="1"/>
  <c r="D169" i="7"/>
  <c r="C23" i="56" s="1"/>
  <c r="AQ15" i="26"/>
  <c r="D169" i="45"/>
  <c r="E169" i="45" s="1"/>
  <c r="I169" i="45"/>
  <c r="J169" i="45" s="1"/>
  <c r="F17" i="44"/>
  <c r="EP287" i="7"/>
  <c r="G13" i="44" l="1"/>
  <c r="AA13" i="33"/>
  <c r="AC13" i="33" s="1"/>
  <c r="G13" i="33"/>
  <c r="G10" i="44"/>
  <c r="G10" i="33"/>
  <c r="AA10" i="33"/>
  <c r="AC10" i="33" s="1"/>
  <c r="E10" i="44"/>
  <c r="E10" i="33"/>
  <c r="U10" i="33"/>
  <c r="W10" i="33" s="1"/>
  <c r="U16" i="33"/>
  <c r="E16" i="33"/>
  <c r="D10" i="44"/>
  <c r="D10" i="33"/>
  <c r="R10" i="33"/>
  <c r="T10" i="33" s="1"/>
  <c r="D17" i="33"/>
  <c r="R17" i="33"/>
  <c r="T17" i="33" s="1"/>
  <c r="C17" i="33"/>
  <c r="O17" i="33"/>
  <c r="Q17" i="33" s="1"/>
  <c r="H89" i="25"/>
  <c r="L89" i="25" s="1"/>
  <c r="M88" i="25" s="1"/>
  <c r="H236" i="7"/>
  <c r="EQ113" i="7"/>
  <c r="ER113" i="7" s="1"/>
  <c r="HG113" i="7" s="1"/>
  <c r="J113" i="7"/>
  <c r="BY113" i="7" s="1"/>
  <c r="H158" i="56" a="1"/>
  <c r="H158" i="56" s="1"/>
  <c r="Q198" i="21"/>
  <c r="I126" i="51" s="1"/>
  <c r="J126" i="51" s="1"/>
  <c r="T198" i="21"/>
  <c r="P212" i="21"/>
  <c r="G167" i="56" a="1"/>
  <c r="G167" i="56" s="1"/>
  <c r="Q211" i="21"/>
  <c r="I117" i="51"/>
  <c r="J117" i="51" s="1"/>
  <c r="J114" i="7"/>
  <c r="BY114" i="7" s="1"/>
  <c r="ER114" i="7"/>
  <c r="HG114" i="7" s="1"/>
  <c r="Q185" i="21"/>
  <c r="C18" i="56"/>
  <c r="G170" i="7"/>
  <c r="U14" i="44" s="1"/>
  <c r="W14" i="44" s="1"/>
  <c r="F22" i="56"/>
  <c r="F18" i="56" s="1"/>
  <c r="EP168" i="7"/>
  <c r="EP170" i="7" s="1"/>
  <c r="G22" i="56"/>
  <c r="G18" i="56" s="1"/>
  <c r="I72" i="53"/>
  <c r="I74" i="53" s="1"/>
  <c r="I94" i="54" s="1"/>
  <c r="E22" i="56"/>
  <c r="E18" i="56" s="1"/>
  <c r="F26" i="44"/>
  <c r="Z10" i="33"/>
  <c r="U211" i="21"/>
  <c r="F170" i="7"/>
  <c r="R14" i="44" s="1"/>
  <c r="T14" i="44" s="1"/>
  <c r="S211" i="21"/>
  <c r="H101" i="7" s="1"/>
  <c r="EP101" i="7" s="1"/>
  <c r="M119" i="25"/>
  <c r="CH168" i="7"/>
  <c r="CH170" i="7" s="1"/>
  <c r="D84" i="45"/>
  <c r="F84" i="45" s="1"/>
  <c r="U210" i="21"/>
  <c r="Z210" i="21"/>
  <c r="AA210" i="21" s="1"/>
  <c r="AB210" i="21" s="1"/>
  <c r="G101" i="7"/>
  <c r="EO101" i="7" s="1"/>
  <c r="I100" i="53"/>
  <c r="I102" i="53" s="1"/>
  <c r="EN168" i="7"/>
  <c r="EN170" i="7" s="1"/>
  <c r="EO168" i="7"/>
  <c r="EO170" i="7" s="1"/>
  <c r="CM168" i="7"/>
  <c r="CM170" i="7" s="1"/>
  <c r="BY98" i="7"/>
  <c r="M380" i="25"/>
  <c r="U208" i="21"/>
  <c r="K43" i="7"/>
  <c r="Z208" i="21"/>
  <c r="AA208" i="21" s="1"/>
  <c r="AB208" i="21" s="1"/>
  <c r="CN101" i="7"/>
  <c r="CO101" i="7"/>
  <c r="J262" i="25"/>
  <c r="I257" i="7" s="1"/>
  <c r="EQ257" i="7" s="1"/>
  <c r="ER275" i="7"/>
  <c r="HG275" i="7" s="1"/>
  <c r="S209" i="21"/>
  <c r="F101" i="7" s="1"/>
  <c r="EN101" i="7" s="1"/>
  <c r="U209" i="21"/>
  <c r="M436" i="25"/>
  <c r="I283" i="7" s="1"/>
  <c r="EQ283" i="7" s="1"/>
  <c r="J380" i="25"/>
  <c r="EP276" i="7"/>
  <c r="U207" i="21"/>
  <c r="Z207" i="21"/>
  <c r="AA207" i="21" s="1"/>
  <c r="AB207" i="21" s="1"/>
  <c r="O335" i="25"/>
  <c r="Q40" i="35" s="1"/>
  <c r="O422" i="25"/>
  <c r="Q43" i="35" s="1"/>
  <c r="M349" i="25"/>
  <c r="I271" i="7" s="1"/>
  <c r="EQ271" i="7" s="1"/>
  <c r="J349" i="25"/>
  <c r="I269" i="7" s="1"/>
  <c r="EQ269" i="7" s="1"/>
  <c r="J44" i="7"/>
  <c r="J84" i="7" s="1"/>
  <c r="M177" i="25"/>
  <c r="J239" i="7"/>
  <c r="BY239" i="7" s="1"/>
  <c r="J32" i="25"/>
  <c r="CM285" i="7"/>
  <c r="CM286" i="7" s="1"/>
  <c r="CM288" i="7" s="1"/>
  <c r="ER239" i="7"/>
  <c r="HG239" i="7" s="1"/>
  <c r="J436" i="25"/>
  <c r="I281" i="7" s="1"/>
  <c r="J275" i="7"/>
  <c r="BY275" i="7" s="1"/>
  <c r="AK210" i="26"/>
  <c r="AM210" i="26" s="1"/>
  <c r="J225" i="7"/>
  <c r="BY225" i="7" s="1"/>
  <c r="ER225" i="7"/>
  <c r="HG225" i="7" s="1"/>
  <c r="V210" i="26"/>
  <c r="J241" i="7"/>
  <c r="BY241" i="7" s="1"/>
  <c r="J247" i="7"/>
  <c r="BY247" i="7" s="1"/>
  <c r="M262" i="25"/>
  <c r="I259" i="7" s="1"/>
  <c r="EQ259" i="7" s="1"/>
  <c r="ER241" i="7"/>
  <c r="HG241" i="7" s="1"/>
  <c r="H170" i="7"/>
  <c r="V196" i="26"/>
  <c r="J243" i="7"/>
  <c r="BY243" i="7" s="1"/>
  <c r="I128" i="53"/>
  <c r="I130" i="53" s="1"/>
  <c r="ER243" i="7"/>
  <c r="HG243" i="7" s="1"/>
  <c r="J148" i="25"/>
  <c r="M148" i="25"/>
  <c r="EQ244" i="7"/>
  <c r="O248" i="25"/>
  <c r="Q37" i="35" s="1"/>
  <c r="I237" i="7"/>
  <c r="J237" i="7" s="1"/>
  <c r="I244" i="7"/>
  <c r="K244" i="7" s="1"/>
  <c r="O45" i="25"/>
  <c r="Q30" i="35" s="1"/>
  <c r="CN291" i="7"/>
  <c r="G44" i="45"/>
  <c r="ER43" i="7"/>
  <c r="ER44" i="7" s="1"/>
  <c r="CP84" i="7"/>
  <c r="AK224" i="26"/>
  <c r="AM224" i="26" s="1"/>
  <c r="I255" i="7"/>
  <c r="M235" i="25"/>
  <c r="I253" i="7"/>
  <c r="J253" i="7" s="1"/>
  <c r="EO291" i="7"/>
  <c r="EO286" i="7"/>
  <c r="EO288" i="7" s="1"/>
  <c r="E16" i="44"/>
  <c r="CD101" i="7"/>
  <c r="CE101" i="7"/>
  <c r="E101" i="7"/>
  <c r="EM101" i="7" s="1"/>
  <c r="CF101" i="7"/>
  <c r="CC101" i="7"/>
  <c r="CG101" i="7"/>
  <c r="AB212" i="21"/>
  <c r="J168" i="45"/>
  <c r="J170" i="45" s="1"/>
  <c r="I170" i="45"/>
  <c r="G5" i="45" s="1"/>
  <c r="EP228" i="7"/>
  <c r="EL44" i="7"/>
  <c r="I265" i="7"/>
  <c r="J322" i="25"/>
  <c r="K211" i="26"/>
  <c r="V211" i="26" s="1"/>
  <c r="H212" i="26"/>
  <c r="AG182" i="26"/>
  <c r="AK182" i="26" s="1"/>
  <c r="AM182" i="26" s="1"/>
  <c r="EQ264" i="7"/>
  <c r="ER264" i="7" s="1"/>
  <c r="HG264" i="7" s="1"/>
  <c r="ER261" i="7"/>
  <c r="EM44" i="7"/>
  <c r="EM84" i="7" s="1"/>
  <c r="X27" i="44"/>
  <c r="Z27" i="44" s="1"/>
  <c r="EP100" i="7"/>
  <c r="I229" i="7"/>
  <c r="J61" i="25"/>
  <c r="K44" i="7"/>
  <c r="CP44" i="7"/>
  <c r="AA27" i="44"/>
  <c r="AC27" i="44" s="1"/>
  <c r="EQ100" i="7"/>
  <c r="I267" i="7"/>
  <c r="M322" i="25"/>
  <c r="CP232" i="7"/>
  <c r="CO285" i="7"/>
  <c r="CB169" i="7"/>
  <c r="CP169" i="7" s="1"/>
  <c r="EL169" i="7"/>
  <c r="ER169" i="7" s="1"/>
  <c r="HG169" i="7" s="1"/>
  <c r="J169" i="7"/>
  <c r="BY169" i="7" s="1"/>
  <c r="I17" i="53"/>
  <c r="G10" i="55" s="1"/>
  <c r="CP99" i="7"/>
  <c r="CP272" i="7"/>
  <c r="EP269" i="7"/>
  <c r="H272" i="7"/>
  <c r="AR15" i="26"/>
  <c r="EP235" i="7"/>
  <c r="EP236" i="7" s="1"/>
  <c r="BY261" i="7"/>
  <c r="J264" i="7"/>
  <c r="E170" i="7"/>
  <c r="EM168" i="7"/>
  <c r="EM170" i="7" s="1"/>
  <c r="I44" i="53"/>
  <c r="I46" i="53" s="1"/>
  <c r="I59" i="54" s="1"/>
  <c r="CC168" i="7"/>
  <c r="CC170" i="7" s="1"/>
  <c r="K197" i="26"/>
  <c r="V197" i="26" s="1"/>
  <c r="H284" i="7"/>
  <c r="EP283" i="7"/>
  <c r="CK100" i="7"/>
  <c r="F100" i="7"/>
  <c r="CL100" i="7"/>
  <c r="CH100" i="7"/>
  <c r="CI100" i="7"/>
  <c r="CJ100" i="7"/>
  <c r="CM287" i="7"/>
  <c r="CP287" i="7" s="1"/>
  <c r="CP284" i="7"/>
  <c r="CG116" i="7"/>
  <c r="E116" i="7"/>
  <c r="CF116" i="7"/>
  <c r="I131" i="51"/>
  <c r="J131" i="51" s="1"/>
  <c r="I227" i="7"/>
  <c r="M32" i="25"/>
  <c r="L60" i="25"/>
  <c r="M59" i="25" s="1"/>
  <c r="CB115" i="7"/>
  <c r="CP115" i="7" s="1"/>
  <c r="EL115" i="7"/>
  <c r="AK196" i="26"/>
  <c r="AM196" i="26" s="1"/>
  <c r="CB224" i="7"/>
  <c r="EL224" i="7"/>
  <c r="I18" i="54"/>
  <c r="D287" i="7"/>
  <c r="K287" i="7" s="1"/>
  <c r="J224" i="7"/>
  <c r="B33" i="44"/>
  <c r="D286" i="7"/>
  <c r="EP244" i="7"/>
  <c r="I251" i="7"/>
  <c r="M206" i="25"/>
  <c r="AH212" i="26"/>
  <c r="W212" i="26"/>
  <c r="I125" i="51"/>
  <c r="J125" i="51" s="1"/>
  <c r="P4" i="51" s="1"/>
  <c r="H85" i="52" s="1"/>
  <c r="G212" i="26"/>
  <c r="AJ211" i="26"/>
  <c r="U211" i="26"/>
  <c r="J407" i="25"/>
  <c r="E26" i="44"/>
  <c r="U11" i="44"/>
  <c r="W11" i="44" s="1"/>
  <c r="AH226" i="26"/>
  <c r="W226" i="26"/>
  <c r="I227" i="26"/>
  <c r="I249" i="7"/>
  <c r="J206" i="25"/>
  <c r="U197" i="26"/>
  <c r="AJ197" i="26"/>
  <c r="AA14" i="44"/>
  <c r="AC14" i="44" s="1"/>
  <c r="G29" i="44"/>
  <c r="G41" i="44" s="1"/>
  <c r="G226" i="26"/>
  <c r="U225" i="26"/>
  <c r="AJ225" i="26"/>
  <c r="CB168" i="7"/>
  <c r="J168" i="7"/>
  <c r="EL168" i="7"/>
  <c r="D170" i="7"/>
  <c r="I16" i="53"/>
  <c r="L11" i="44"/>
  <c r="B26" i="44"/>
  <c r="K84" i="7"/>
  <c r="EL99" i="7"/>
  <c r="ER99" i="7" s="1"/>
  <c r="J99" i="7"/>
  <c r="R11" i="44"/>
  <c r="T11" i="44" s="1"/>
  <c r="D26" i="44"/>
  <c r="EP259" i="7"/>
  <c r="EP279" i="7"/>
  <c r="EP280" i="7" s="1"/>
  <c r="AA199" i="21"/>
  <c r="AB198" i="21"/>
  <c r="AB199" i="21" s="1"/>
  <c r="I101" i="45"/>
  <c r="J101" i="45" s="1"/>
  <c r="D101" i="45"/>
  <c r="E101" i="45" s="1"/>
  <c r="D101" i="7"/>
  <c r="V224" i="26"/>
  <c r="D287" i="45"/>
  <c r="F287" i="45" s="1"/>
  <c r="E224" i="45"/>
  <c r="D286" i="45"/>
  <c r="K225" i="26"/>
  <c r="V225" i="26" s="1"/>
  <c r="H226" i="26"/>
  <c r="CG100" i="7"/>
  <c r="E100" i="7"/>
  <c r="CD100" i="7"/>
  <c r="CE100" i="7"/>
  <c r="CC100" i="7"/>
  <c r="CF100" i="7"/>
  <c r="M407" i="25"/>
  <c r="EP231" i="7"/>
  <c r="EP232" i="7" s="1"/>
  <c r="I100" i="45"/>
  <c r="J100" i="45" s="1"/>
  <c r="D100" i="45"/>
  <c r="E100" i="45" s="1"/>
  <c r="D100" i="7"/>
  <c r="S199" i="21"/>
  <c r="O11" i="44"/>
  <c r="Q11" i="44" s="1"/>
  <c r="C26" i="44"/>
  <c r="EQ273" i="7"/>
  <c r="I276" i="7"/>
  <c r="K276" i="7" s="1"/>
  <c r="J273" i="7"/>
  <c r="I133" i="51"/>
  <c r="J133" i="51" s="1"/>
  <c r="G116" i="7"/>
  <c r="I124" i="51"/>
  <c r="J124" i="51" s="1"/>
  <c r="O4" i="51" s="1"/>
  <c r="H68" i="52" s="1"/>
  <c r="CM100" i="7"/>
  <c r="CM117" i="7" s="1"/>
  <c r="CM155" i="7" s="1"/>
  <c r="CM156" i="7" s="1"/>
  <c r="G100" i="7"/>
  <c r="CN100" i="7"/>
  <c r="CO100" i="7"/>
  <c r="EP271" i="7"/>
  <c r="CK116" i="7"/>
  <c r="CL116" i="7"/>
  <c r="F116" i="7"/>
  <c r="E168" i="45"/>
  <c r="E170" i="45" s="1"/>
  <c r="F5" i="45" s="1"/>
  <c r="D170" i="45"/>
  <c r="F170" i="45" s="1"/>
  <c r="U16" i="44"/>
  <c r="I116" i="54"/>
  <c r="E32" i="44"/>
  <c r="G291" i="7"/>
  <c r="G286" i="7"/>
  <c r="G288" i="7" s="1"/>
  <c r="I245" i="7"/>
  <c r="J177" i="25"/>
  <c r="I121" i="51"/>
  <c r="J121" i="51" s="1"/>
  <c r="L4" i="51" s="1"/>
  <c r="H17" i="52" s="1"/>
  <c r="EP240" i="7"/>
  <c r="EP257" i="7"/>
  <c r="H260" i="7"/>
  <c r="ER247" i="7"/>
  <c r="HG247" i="7" s="1"/>
  <c r="K28" i="7"/>
  <c r="BY28" i="7"/>
  <c r="BY44" i="7" s="1"/>
  <c r="O393" i="25"/>
  <c r="Q42" i="35" s="1"/>
  <c r="I116" i="45"/>
  <c r="D116" i="45"/>
  <c r="D116" i="7"/>
  <c r="I130" i="51"/>
  <c r="J130" i="51" s="1"/>
  <c r="F13" i="44" l="1"/>
  <c r="F13" i="33"/>
  <c r="X13" i="33"/>
  <c r="Z13" i="33" s="1"/>
  <c r="E13" i="44"/>
  <c r="E13" i="33"/>
  <c r="U13" i="33"/>
  <c r="W13" i="33" s="1"/>
  <c r="E17" i="33"/>
  <c r="U17" i="33"/>
  <c r="W17" i="33" s="1"/>
  <c r="D13" i="44"/>
  <c r="D13" i="33"/>
  <c r="R13" i="33"/>
  <c r="T13" i="33" s="1"/>
  <c r="C13" i="44"/>
  <c r="O13" i="33"/>
  <c r="Q13" i="33" s="1"/>
  <c r="C13" i="33"/>
  <c r="C10" i="44"/>
  <c r="C10" i="33"/>
  <c r="O10" i="33"/>
  <c r="Q10" i="33" s="1"/>
  <c r="D91" i="52"/>
  <c r="J88" i="25"/>
  <c r="I233" i="7" s="1"/>
  <c r="EQ233" i="7" s="1"/>
  <c r="O74" i="25"/>
  <c r="Q31" i="35" s="1"/>
  <c r="Q4" i="51"/>
  <c r="Q5" i="51" s="1"/>
  <c r="O22" i="35"/>
  <c r="H116" i="7"/>
  <c r="EP116" i="7" s="1"/>
  <c r="I115" i="7"/>
  <c r="Q199" i="21"/>
  <c r="H167" i="56" a="1"/>
  <c r="H167" i="56" s="1"/>
  <c r="Q212" i="21"/>
  <c r="T212" i="21"/>
  <c r="E29" i="44"/>
  <c r="E41" i="44" s="1"/>
  <c r="D29" i="44"/>
  <c r="D41" i="44" s="1"/>
  <c r="M351" i="25"/>
  <c r="EP117" i="7"/>
  <c r="EP155" i="7" s="1"/>
  <c r="I134" i="51"/>
  <c r="J134" i="51" s="1"/>
  <c r="CL101" i="7"/>
  <c r="CL117" i="7" s="1"/>
  <c r="CL155" i="7" s="1"/>
  <c r="CL156" i="7" s="1"/>
  <c r="CL290" i="7" s="1"/>
  <c r="CL292" i="7" s="1"/>
  <c r="CL293" i="7" s="1"/>
  <c r="CL295" i="7" s="1"/>
  <c r="CL304" i="7" s="1"/>
  <c r="CN117" i="7"/>
  <c r="CN155" i="7" s="1"/>
  <c r="CN156" i="7" s="1"/>
  <c r="CN290" i="7" s="1"/>
  <c r="CN292" i="7" s="1"/>
  <c r="CN293" i="7" s="1"/>
  <c r="CN295" i="7" s="1"/>
  <c r="CN304" i="7" s="1"/>
  <c r="CO117" i="7"/>
  <c r="CO155" i="7" s="1"/>
  <c r="CO156" i="7" s="1"/>
  <c r="J264" i="25"/>
  <c r="J257" i="7"/>
  <c r="BY257" i="7" s="1"/>
  <c r="CJ101" i="7"/>
  <c r="CJ117" i="7" s="1"/>
  <c r="CJ155" i="7" s="1"/>
  <c r="CJ156" i="7" s="1"/>
  <c r="CJ290" i="7" s="1"/>
  <c r="CJ292" i="7" s="1"/>
  <c r="CJ293" i="7" s="1"/>
  <c r="CJ295" i="7" s="1"/>
  <c r="I132" i="51"/>
  <c r="J132" i="51" s="1"/>
  <c r="S213" i="21"/>
  <c r="CH101" i="7"/>
  <c r="CH117" i="7" s="1"/>
  <c r="CH155" i="7" s="1"/>
  <c r="CH156" i="7" s="1"/>
  <c r="CH290" i="7" s="1"/>
  <c r="M438" i="25"/>
  <c r="CK101" i="7"/>
  <c r="CK117" i="7" s="1"/>
  <c r="CK155" i="7" s="1"/>
  <c r="CK156" i="7" s="1"/>
  <c r="CK290" i="7" s="1"/>
  <c r="CK292" i="7" s="1"/>
  <c r="CK293" i="7" s="1"/>
  <c r="CK295" i="7" s="1"/>
  <c r="J283" i="7"/>
  <c r="BY283" i="7" s="1"/>
  <c r="CI101" i="7"/>
  <c r="CI117" i="7" s="1"/>
  <c r="CI155" i="7" s="1"/>
  <c r="CI156" i="7" s="1"/>
  <c r="CI290" i="7" s="1"/>
  <c r="L44" i="7"/>
  <c r="AB213" i="21"/>
  <c r="AA213" i="21"/>
  <c r="ER271" i="7"/>
  <c r="HG271" i="7" s="1"/>
  <c r="J438" i="25"/>
  <c r="CM291" i="7"/>
  <c r="EQ260" i="7"/>
  <c r="M264" i="25"/>
  <c r="J271" i="7"/>
  <c r="BY271" i="7" s="1"/>
  <c r="EQ272" i="7"/>
  <c r="I272" i="7"/>
  <c r="K272" i="7" s="1"/>
  <c r="I260" i="7"/>
  <c r="K260" i="7" s="1"/>
  <c r="J244" i="7"/>
  <c r="BY244" i="7" s="1"/>
  <c r="J269" i="7"/>
  <c r="BY269" i="7" s="1"/>
  <c r="ES244" i="7"/>
  <c r="J351" i="25"/>
  <c r="I240" i="7"/>
  <c r="K240" i="7" s="1"/>
  <c r="X14" i="44"/>
  <c r="Z14" i="44" s="1"/>
  <c r="EQ237" i="7"/>
  <c r="EQ240" i="7" s="1"/>
  <c r="ER240" i="7" s="1"/>
  <c r="HG240" i="7" s="1"/>
  <c r="EQ253" i="7"/>
  <c r="ER253" i="7" s="1"/>
  <c r="ER259" i="7"/>
  <c r="HG259" i="7" s="1"/>
  <c r="ER244" i="7"/>
  <c r="HG244" i="7" s="1"/>
  <c r="J259" i="7"/>
  <c r="BY259" i="7" s="1"/>
  <c r="H285" i="7"/>
  <c r="F29" i="44"/>
  <c r="F41" i="44" s="1"/>
  <c r="H26" i="44"/>
  <c r="HG43" i="7"/>
  <c r="HG44" i="7" s="1"/>
  <c r="I256" i="7"/>
  <c r="K256" i="7" s="1"/>
  <c r="CM290" i="7"/>
  <c r="H5" i="45"/>
  <c r="AG211" i="26"/>
  <c r="AK211" i="26" s="1"/>
  <c r="AM211" i="26" s="1"/>
  <c r="AG225" i="26"/>
  <c r="AK225" i="26" s="1"/>
  <c r="AM225" i="26" s="1"/>
  <c r="CG117" i="7"/>
  <c r="CG155" i="7" s="1"/>
  <c r="CG156" i="7" s="1"/>
  <c r="CG290" i="7" s="1"/>
  <c r="ER257" i="7"/>
  <c r="CF117" i="7"/>
  <c r="CF155" i="7" s="1"/>
  <c r="CF156" i="7" s="1"/>
  <c r="CF290" i="7" s="1"/>
  <c r="CF292" i="7" s="1"/>
  <c r="CF293" i="7" s="1"/>
  <c r="CF295" i="7" s="1"/>
  <c r="EQ255" i="7"/>
  <c r="ER255" i="7" s="1"/>
  <c r="HG255" i="7" s="1"/>
  <c r="J255" i="7"/>
  <c r="BY255" i="7" s="1"/>
  <c r="EQ251" i="7"/>
  <c r="ER251" i="7" s="1"/>
  <c r="HG251" i="7" s="1"/>
  <c r="J251" i="7"/>
  <c r="BY251" i="7" s="1"/>
  <c r="I18" i="53"/>
  <c r="I8" i="55" s="1"/>
  <c r="G9" i="55"/>
  <c r="C29" i="44"/>
  <c r="C41" i="44" s="1"/>
  <c r="O14" i="44"/>
  <c r="Q14" i="44" s="1"/>
  <c r="I277" i="7"/>
  <c r="J409" i="25"/>
  <c r="O27" i="44"/>
  <c r="Q27" i="44" s="1"/>
  <c r="EM100" i="7"/>
  <c r="EM117" i="7" s="1"/>
  <c r="EM155" i="7" s="1"/>
  <c r="U27" i="44"/>
  <c r="W27" i="44" s="1"/>
  <c r="EO100" i="7"/>
  <c r="EO117" i="7" s="1"/>
  <c r="EO155" i="7" s="1"/>
  <c r="G227" i="26"/>
  <c r="U226" i="26"/>
  <c r="AJ226" i="26"/>
  <c r="W29" i="36"/>
  <c r="Y29" i="36" s="1"/>
  <c r="BY84" i="7"/>
  <c r="EQ229" i="7"/>
  <c r="J229" i="7"/>
  <c r="D288" i="7"/>
  <c r="HG99" i="7"/>
  <c r="BY253" i="7"/>
  <c r="EO116" i="7"/>
  <c r="G117" i="7"/>
  <c r="G155" i="7" s="1"/>
  <c r="I21" i="54"/>
  <c r="G33" i="55"/>
  <c r="EP260" i="7"/>
  <c r="B17" i="44"/>
  <c r="H17" i="44" s="1"/>
  <c r="EL287" i="7"/>
  <c r="ER287" i="7" s="1"/>
  <c r="HG287" i="7" s="1"/>
  <c r="ER224" i="7"/>
  <c r="EL286" i="7"/>
  <c r="J240" i="7"/>
  <c r="BY237" i="7"/>
  <c r="CE117" i="7"/>
  <c r="CE155" i="7" s="1"/>
  <c r="CE156" i="7" s="1"/>
  <c r="CE290" i="7" s="1"/>
  <c r="EN116" i="7"/>
  <c r="F117" i="7"/>
  <c r="F155" i="7" s="1"/>
  <c r="B40" i="44"/>
  <c r="H40" i="44" s="1"/>
  <c r="H33" i="44"/>
  <c r="CP285" i="7"/>
  <c r="CO286" i="7"/>
  <c r="CO288" i="7" s="1"/>
  <c r="CO291" i="7"/>
  <c r="I248" i="7"/>
  <c r="K248" i="7" s="1"/>
  <c r="EQ245" i="7"/>
  <c r="J245" i="7"/>
  <c r="EL170" i="7"/>
  <c r="ER168" i="7"/>
  <c r="CP100" i="7"/>
  <c r="CB170" i="7"/>
  <c r="CP170" i="7" s="1"/>
  <c r="CP168" i="7"/>
  <c r="BY264" i="7"/>
  <c r="O38" i="35"/>
  <c r="I235" i="7"/>
  <c r="M90" i="25"/>
  <c r="U212" i="26"/>
  <c r="AJ212" i="26"/>
  <c r="CP224" i="7"/>
  <c r="CB286" i="7"/>
  <c r="W16" i="33"/>
  <c r="F6" i="45"/>
  <c r="H6" i="45" s="1"/>
  <c r="E287" i="45"/>
  <c r="E286" i="45"/>
  <c r="E288" i="45" s="1"/>
  <c r="BY99" i="7"/>
  <c r="O23" i="35"/>
  <c r="EN100" i="7"/>
  <c r="EN117" i="7" s="1"/>
  <c r="EN155" i="7" s="1"/>
  <c r="R27" i="44"/>
  <c r="T27" i="44" s="1"/>
  <c r="EL84" i="7"/>
  <c r="ES44" i="7"/>
  <c r="ET44" i="7" s="1"/>
  <c r="I279" i="7"/>
  <c r="M409" i="25"/>
  <c r="K170" i="7"/>
  <c r="B29" i="44"/>
  <c r="L14" i="44"/>
  <c r="EM116" i="7"/>
  <c r="E117" i="7"/>
  <c r="E155" i="7" s="1"/>
  <c r="HG261" i="7"/>
  <c r="ES264" i="7"/>
  <c r="K226" i="26"/>
  <c r="V226" i="26" s="1"/>
  <c r="H227" i="26"/>
  <c r="ER84" i="7"/>
  <c r="HG84" i="7" s="1"/>
  <c r="I126" i="54"/>
  <c r="I129" i="54" s="1"/>
  <c r="I284" i="7"/>
  <c r="K284" i="7" s="1"/>
  <c r="EQ281" i="7"/>
  <c r="J281" i="7"/>
  <c r="D288" i="45"/>
  <c r="F288" i="45" s="1"/>
  <c r="F286" i="45"/>
  <c r="EQ249" i="7"/>
  <c r="I252" i="7"/>
  <c r="K252" i="7" s="1"/>
  <c r="J249" i="7"/>
  <c r="I231" i="7"/>
  <c r="I232" i="7" s="1"/>
  <c r="K232" i="7" s="1"/>
  <c r="M61" i="25"/>
  <c r="EP272" i="7"/>
  <c r="ER269" i="7"/>
  <c r="BY273" i="7"/>
  <c r="J276" i="7"/>
  <c r="CD117" i="7"/>
  <c r="CD155" i="7" s="1"/>
  <c r="CD156" i="7" s="1"/>
  <c r="CD290" i="7" s="1"/>
  <c r="CD292" i="7" s="1"/>
  <c r="CD293" i="7" s="1"/>
  <c r="CD295" i="7" s="1"/>
  <c r="CF304" i="7" s="1"/>
  <c r="CB116" i="7"/>
  <c r="EL116" i="7"/>
  <c r="D117" i="7"/>
  <c r="E116" i="45"/>
  <c r="E117" i="45" s="1"/>
  <c r="E155" i="45" s="1"/>
  <c r="E156" i="45" s="1"/>
  <c r="D117" i="45"/>
  <c r="J116" i="45"/>
  <c r="J117" i="45" s="1"/>
  <c r="J155" i="45" s="1"/>
  <c r="J156" i="45" s="1"/>
  <c r="J290" i="45" s="1"/>
  <c r="I117" i="45"/>
  <c r="I155" i="45" s="1"/>
  <c r="I156" i="45" s="1"/>
  <c r="W227" i="26"/>
  <c r="AH227" i="26"/>
  <c r="EP284" i="7"/>
  <c r="ER283" i="7"/>
  <c r="HG283" i="7" s="1"/>
  <c r="U17" i="44"/>
  <c r="W17" i="44" s="1"/>
  <c r="EQ276" i="7"/>
  <c r="ER276" i="7" s="1"/>
  <c r="HG276" i="7" s="1"/>
  <c r="ER273" i="7"/>
  <c r="W16" i="44"/>
  <c r="L27" i="44"/>
  <c r="EL100" i="7"/>
  <c r="J100" i="7"/>
  <c r="AD11" i="44"/>
  <c r="AF11" i="44" s="1"/>
  <c r="N11" i="44"/>
  <c r="J170" i="7"/>
  <c r="BY168" i="7"/>
  <c r="BY170" i="7" s="1"/>
  <c r="BY224" i="7"/>
  <c r="J287" i="7"/>
  <c r="BY287" i="7" s="1"/>
  <c r="CC117" i="7"/>
  <c r="CC155" i="7" s="1"/>
  <c r="CC156" i="7" s="1"/>
  <c r="CC290" i="7" s="1"/>
  <c r="EQ267" i="7"/>
  <c r="ER267" i="7" s="1"/>
  <c r="HG267" i="7" s="1"/>
  <c r="J267" i="7"/>
  <c r="BY267" i="7" s="1"/>
  <c r="K212" i="26"/>
  <c r="V212" i="26" s="1"/>
  <c r="EQ265" i="7"/>
  <c r="I268" i="7"/>
  <c r="K268" i="7" s="1"/>
  <c r="J265" i="7"/>
  <c r="EL101" i="7"/>
  <c r="ER101" i="7" s="1"/>
  <c r="HG101" i="7" s="1"/>
  <c r="J101" i="7"/>
  <c r="I228" i="7"/>
  <c r="EQ227" i="7"/>
  <c r="J227" i="7"/>
  <c r="AG197" i="26"/>
  <c r="AK197" i="26" s="1"/>
  <c r="AM197" i="26" s="1"/>
  <c r="EQ117" i="7"/>
  <c r="EP156" i="7" l="1"/>
  <c r="F11" i="33"/>
  <c r="X11" i="33"/>
  <c r="U11" i="33"/>
  <c r="W11" i="33" s="1"/>
  <c r="E11" i="33"/>
  <c r="D11" i="33"/>
  <c r="R11" i="33"/>
  <c r="T11" i="33" s="1"/>
  <c r="C11" i="33"/>
  <c r="O11" i="33"/>
  <c r="Q11" i="33" s="1"/>
  <c r="L13" i="33"/>
  <c r="N13" i="33" s="1"/>
  <c r="B13" i="33"/>
  <c r="H13" i="33" s="1"/>
  <c r="I29" i="33" s="1"/>
  <c r="B10" i="33"/>
  <c r="L10" i="33"/>
  <c r="J233" i="7"/>
  <c r="BY233" i="7" s="1"/>
  <c r="J90" i="25"/>
  <c r="H102" i="52"/>
  <c r="H117" i="7"/>
  <c r="H155" i="7" s="1"/>
  <c r="H156" i="7" s="1"/>
  <c r="EQ115" i="7"/>
  <c r="ER115" i="7" s="1"/>
  <c r="HG115" i="7" s="1"/>
  <c r="J115" i="7"/>
  <c r="BY115" i="7" s="1"/>
  <c r="I135" i="51"/>
  <c r="J135" i="51" s="1"/>
  <c r="I3" i="55" s="1"/>
  <c r="I6" i="55" s="1"/>
  <c r="I116" i="7"/>
  <c r="Q213" i="21"/>
  <c r="G34" i="56"/>
  <c r="F11" i="44"/>
  <c r="CO290" i="7"/>
  <c r="CO292" i="7" s="1"/>
  <c r="CO293" i="7" s="1"/>
  <c r="CO295" i="7" s="1"/>
  <c r="CO304" i="7" s="1"/>
  <c r="CP101" i="7"/>
  <c r="ER260" i="7"/>
  <c r="HG260" i="7" s="1"/>
  <c r="ER272" i="7"/>
  <c r="HG272" i="7" s="1"/>
  <c r="CP291" i="7"/>
  <c r="X16" i="44"/>
  <c r="Z16" i="44" s="1"/>
  <c r="H291" i="7"/>
  <c r="J272" i="7"/>
  <c r="O40" i="35" s="1"/>
  <c r="O33" i="35"/>
  <c r="CM292" i="7"/>
  <c r="CM293" i="7" s="1"/>
  <c r="CM295" i="7" s="1"/>
  <c r="CM304" i="7" s="1"/>
  <c r="ES260" i="7"/>
  <c r="ER237" i="7"/>
  <c r="ES240" i="7" s="1"/>
  <c r="EL117" i="7"/>
  <c r="EL155" i="7" s="1"/>
  <c r="F32" i="44"/>
  <c r="H286" i="7"/>
  <c r="H288" i="7" s="1"/>
  <c r="I151" i="54"/>
  <c r="I161" i="54" s="1"/>
  <c r="I164" i="54" s="1"/>
  <c r="CK304" i="7"/>
  <c r="HG257" i="7"/>
  <c r="CG292" i="7"/>
  <c r="CG293" i="7" s="1"/>
  <c r="CG295" i="7" s="1"/>
  <c r="CH304" i="7" s="1"/>
  <c r="EP285" i="7"/>
  <c r="J260" i="7"/>
  <c r="BY260" i="7" s="1"/>
  <c r="J256" i="7"/>
  <c r="BY256" i="7" s="1"/>
  <c r="AG226" i="26"/>
  <c r="AK226" i="26" s="1"/>
  <c r="AM226" i="26" s="1"/>
  <c r="ER100" i="7"/>
  <c r="HG100" i="7" s="1"/>
  <c r="AG212" i="26"/>
  <c r="AK212" i="26" s="1"/>
  <c r="AM212" i="26" s="1"/>
  <c r="EQ256" i="7"/>
  <c r="ER256" i="7" s="1"/>
  <c r="HG256" i="7" s="1"/>
  <c r="EN156" i="7"/>
  <c r="EN290" i="7" s="1"/>
  <c r="D11" i="44"/>
  <c r="CH292" i="7"/>
  <c r="CH293" i="7" s="1"/>
  <c r="CH295" i="7" s="1"/>
  <c r="R12" i="44"/>
  <c r="T12" i="44" s="1"/>
  <c r="D27" i="44"/>
  <c r="F156" i="7"/>
  <c r="F290" i="7" s="1"/>
  <c r="BY227" i="7"/>
  <c r="J228" i="7"/>
  <c r="HG253" i="7"/>
  <c r="ES256" i="7"/>
  <c r="F2" i="45"/>
  <c r="E290" i="45"/>
  <c r="D155" i="7"/>
  <c r="E27" i="44"/>
  <c r="U12" i="44"/>
  <c r="W12" i="44" s="1"/>
  <c r="G156" i="7"/>
  <c r="G290" i="7" s="1"/>
  <c r="EQ268" i="7"/>
  <c r="ER268" i="7" s="1"/>
  <c r="HG268" i="7" s="1"/>
  <c r="ER265" i="7"/>
  <c r="K227" i="26"/>
  <c r="V227" i="26" s="1"/>
  <c r="CE292" i="7"/>
  <c r="CE293" i="7" s="1"/>
  <c r="CE295" i="7" s="1"/>
  <c r="CG304" i="7" s="1"/>
  <c r="I24" i="54"/>
  <c r="BY240" i="7"/>
  <c r="O32" i="35"/>
  <c r="EL288" i="7"/>
  <c r="B17" i="33" s="1"/>
  <c r="ER229" i="7"/>
  <c r="EQ252" i="7"/>
  <c r="ER252" i="7" s="1"/>
  <c r="HG252" i="7" s="1"/>
  <c r="ER249" i="7"/>
  <c r="ES287" i="7"/>
  <c r="HG224" i="7"/>
  <c r="F117" i="45"/>
  <c r="D155" i="45"/>
  <c r="I280" i="7"/>
  <c r="K280" i="7" s="1"/>
  <c r="EQ277" i="7"/>
  <c r="J277" i="7"/>
  <c r="CP116" i="7"/>
  <c r="CB117" i="7"/>
  <c r="BY276" i="7"/>
  <c r="O41" i="35"/>
  <c r="E156" i="7"/>
  <c r="E290" i="7" s="1"/>
  <c r="O12" i="44"/>
  <c r="Q12" i="44" s="1"/>
  <c r="C27" i="44"/>
  <c r="N14" i="44"/>
  <c r="AD14" i="44"/>
  <c r="AF14" i="44" s="1"/>
  <c r="ER170" i="7"/>
  <c r="HG168" i="7"/>
  <c r="HG170" i="7" s="1"/>
  <c r="ER233" i="7"/>
  <c r="K228" i="7"/>
  <c r="BY101" i="7"/>
  <c r="B10" i="44"/>
  <c r="H10" i="44" s="1"/>
  <c r="ES84" i="7"/>
  <c r="ES276" i="7"/>
  <c r="HG273" i="7"/>
  <c r="L17" i="44"/>
  <c r="BY249" i="7"/>
  <c r="J252" i="7"/>
  <c r="EQ155" i="7"/>
  <c r="BY281" i="7"/>
  <c r="J284" i="7"/>
  <c r="H29" i="44"/>
  <c r="B41" i="44"/>
  <c r="H41" i="44" s="1"/>
  <c r="B13" i="44"/>
  <c r="H13" i="44" s="1"/>
  <c r="ES170" i="7"/>
  <c r="EQ235" i="7"/>
  <c r="ER235" i="7" s="1"/>
  <c r="HG235" i="7" s="1"/>
  <c r="J235" i="7"/>
  <c r="BY235" i="7" s="1"/>
  <c r="CI292" i="7"/>
  <c r="CI293" i="7" s="1"/>
  <c r="CI295" i="7" s="1"/>
  <c r="CJ304" i="7" s="1"/>
  <c r="EQ231" i="7"/>
  <c r="ER231" i="7" s="1"/>
  <c r="HG231" i="7" s="1"/>
  <c r="J231" i="7"/>
  <c r="BY231" i="7" s="1"/>
  <c r="BY229" i="7"/>
  <c r="W32" i="36"/>
  <c r="Y32" i="36" s="1"/>
  <c r="K4" i="7"/>
  <c r="EQ284" i="7"/>
  <c r="ER284" i="7" s="1"/>
  <c r="HG284" i="7" s="1"/>
  <c r="ER281" i="7"/>
  <c r="J248" i="7"/>
  <c r="BY245" i="7"/>
  <c r="U227" i="26"/>
  <c r="AJ227" i="26"/>
  <c r="ER227" i="7"/>
  <c r="EQ228" i="7"/>
  <c r="EQ279" i="7"/>
  <c r="ER279" i="7" s="1"/>
  <c r="HG279" i="7" s="1"/>
  <c r="J279" i="7"/>
  <c r="BY279" i="7" s="1"/>
  <c r="EM156" i="7"/>
  <c r="EM290" i="7" s="1"/>
  <c r="C11" i="44"/>
  <c r="BY265" i="7"/>
  <c r="J268" i="7"/>
  <c r="BY100" i="7"/>
  <c r="AD27" i="44"/>
  <c r="AF27" i="44" s="1"/>
  <c r="N27" i="44"/>
  <c r="ES272" i="7"/>
  <c r="HG269" i="7"/>
  <c r="CC292" i="7"/>
  <c r="CC293" i="7" s="1"/>
  <c r="CC295" i="7" s="1"/>
  <c r="CB288" i="7"/>
  <c r="CP288" i="7" s="1"/>
  <c r="CP286" i="7"/>
  <c r="I236" i="7"/>
  <c r="K236" i="7" s="1"/>
  <c r="G2" i="45"/>
  <c r="I290" i="45"/>
  <c r="I296" i="45" s="1"/>
  <c r="EQ248" i="7"/>
  <c r="ER248" i="7" s="1"/>
  <c r="HG248" i="7" s="1"/>
  <c r="ER245" i="7"/>
  <c r="E11" i="44"/>
  <c r="EO156" i="7"/>
  <c r="EO290" i="7" s="1"/>
  <c r="H10" i="33" l="1"/>
  <c r="I26" i="33" s="1"/>
  <c r="AD13" i="33"/>
  <c r="AF13" i="33" s="1"/>
  <c r="G11" i="33"/>
  <c r="AA11" i="33"/>
  <c r="EP286" i="7"/>
  <c r="EP288" i="7" s="1"/>
  <c r="F16" i="33"/>
  <c r="X16" i="33"/>
  <c r="Z16" i="33" s="1"/>
  <c r="L125" i="35"/>
  <c r="E18" i="33"/>
  <c r="U18" i="33"/>
  <c r="W18" i="33" s="1"/>
  <c r="K125" i="35"/>
  <c r="D18" i="33"/>
  <c r="R18" i="33"/>
  <c r="T18" i="33" s="1"/>
  <c r="J125" i="35"/>
  <c r="C18" i="33"/>
  <c r="O18" i="33"/>
  <c r="Q18" i="33" s="1"/>
  <c r="L17" i="33"/>
  <c r="N17" i="33" s="1"/>
  <c r="B11" i="44"/>
  <c r="B11" i="33"/>
  <c r="B19" i="33" s="1"/>
  <c r="L11" i="33"/>
  <c r="N10" i="33"/>
  <c r="AD10" i="33"/>
  <c r="AF10" i="33" s="1"/>
  <c r="X12" i="44"/>
  <c r="Z12" i="44" s="1"/>
  <c r="O24" i="35"/>
  <c r="F27" i="44"/>
  <c r="F39" i="44" s="1"/>
  <c r="F43" i="44" s="1"/>
  <c r="Z11" i="33"/>
  <c r="I117" i="7"/>
  <c r="EQ116" i="7"/>
  <c r="ER116" i="7" s="1"/>
  <c r="HG116" i="7" s="1"/>
  <c r="HG117" i="7" s="1"/>
  <c r="J116" i="7"/>
  <c r="ES155" i="7"/>
  <c r="HG237" i="7"/>
  <c r="O37" i="35"/>
  <c r="BY272" i="7"/>
  <c r="EL156" i="7"/>
  <c r="EL290" i="7" s="1"/>
  <c r="B18" i="33" s="1"/>
  <c r="O36" i="35"/>
  <c r="H2" i="45"/>
  <c r="ES117" i="7"/>
  <c r="EQ232" i="7"/>
  <c r="ER232" i="7" s="1"/>
  <c r="HG232" i="7" s="1"/>
  <c r="EP291" i="7"/>
  <c r="J232" i="7"/>
  <c r="BY232" i="7" s="1"/>
  <c r="H290" i="7"/>
  <c r="X17" i="44"/>
  <c r="Z17" i="44" s="1"/>
  <c r="ER117" i="7"/>
  <c r="ER155" i="7" s="1"/>
  <c r="F16" i="44"/>
  <c r="CF300" i="7"/>
  <c r="AG227" i="26"/>
  <c r="AK227" i="26" s="1"/>
  <c r="AM227" i="26" s="1"/>
  <c r="CK300" i="7"/>
  <c r="J236" i="7"/>
  <c r="BY236" i="7" s="1"/>
  <c r="EQ236" i="7"/>
  <c r="ER236" i="7" s="1"/>
  <c r="HG236" i="7" s="1"/>
  <c r="CN305" i="7"/>
  <c r="CI304" i="7"/>
  <c r="CJ305" i="7" s="1"/>
  <c r="CE300" i="7"/>
  <c r="CJ300" i="7"/>
  <c r="HG245" i="7"/>
  <c r="ES248" i="7"/>
  <c r="D156" i="45"/>
  <c r="F155" i="45"/>
  <c r="C39" i="44"/>
  <c r="C43" i="44" s="1"/>
  <c r="C34" i="44"/>
  <c r="G8" i="45"/>
  <c r="J296" i="45"/>
  <c r="BY248" i="7"/>
  <c r="O34" i="35"/>
  <c r="HG281" i="7"/>
  <c r="ES284" i="7"/>
  <c r="BY228" i="7"/>
  <c r="O29" i="35"/>
  <c r="HG233" i="7"/>
  <c r="ES236" i="7"/>
  <c r="CE304" i="7"/>
  <c r="CF305" i="7" s="1"/>
  <c r="CD300" i="7"/>
  <c r="U18" i="44"/>
  <c r="W18" i="44" s="1"/>
  <c r="G292" i="7"/>
  <c r="G297" i="7"/>
  <c r="BM301" i="7" s="1"/>
  <c r="E39" i="44"/>
  <c r="E43" i="44" s="1"/>
  <c r="E34" i="44"/>
  <c r="EN297" i="7"/>
  <c r="EN292" i="7"/>
  <c r="D18" i="44"/>
  <c r="ES4" i="7"/>
  <c r="J8" i="55"/>
  <c r="K8" i="55" s="1"/>
  <c r="N17" i="44"/>
  <c r="BY277" i="7"/>
  <c r="J280" i="7"/>
  <c r="D156" i="7"/>
  <c r="L12" i="44"/>
  <c r="B27" i="44"/>
  <c r="EQ156" i="7"/>
  <c r="G11" i="44"/>
  <c r="D34" i="44"/>
  <c r="D39" i="44"/>
  <c r="D43" i="44" s="1"/>
  <c r="HG229" i="7"/>
  <c r="ES232" i="7"/>
  <c r="C18" i="44"/>
  <c r="EM297" i="7"/>
  <c r="EM292" i="7"/>
  <c r="EQ280" i="7"/>
  <c r="ER280" i="7" s="1"/>
  <c r="HG280" i="7" s="1"/>
  <c r="ER277" i="7"/>
  <c r="HG227" i="7"/>
  <c r="ES228" i="7"/>
  <c r="BY284" i="7"/>
  <c r="O43" i="35"/>
  <c r="E292" i="7"/>
  <c r="E297" i="7"/>
  <c r="BK301" i="7" s="1"/>
  <c r="O18" i="44"/>
  <c r="Q18" i="44" s="1"/>
  <c r="BY268" i="7"/>
  <c r="O39" i="35"/>
  <c r="I285" i="7"/>
  <c r="H34" i="56" s="1"/>
  <c r="HG265" i="7"/>
  <c r="ES268" i="7"/>
  <c r="F292" i="7"/>
  <c r="F297" i="7"/>
  <c r="BL301" i="7" s="1"/>
  <c r="R18" i="44"/>
  <c r="T18" i="44" s="1"/>
  <c r="HG249" i="7"/>
  <c r="ES252" i="7"/>
  <c r="CP117" i="7"/>
  <c r="CB155" i="7"/>
  <c r="EO297" i="7"/>
  <c r="E18" i="44"/>
  <c r="EO292" i="7"/>
  <c r="BY252" i="7"/>
  <c r="O35" i="35"/>
  <c r="ER228" i="7"/>
  <c r="H11" i="44" l="1"/>
  <c r="EP290" i="7"/>
  <c r="EP292" i="7" s="1"/>
  <c r="F17" i="33"/>
  <c r="X17" i="33"/>
  <c r="Z17" i="33" s="1"/>
  <c r="L126" i="35"/>
  <c r="U19" i="33"/>
  <c r="W19" i="33" s="1"/>
  <c r="E19" i="33"/>
  <c r="K126" i="35"/>
  <c r="R19" i="33"/>
  <c r="T19" i="33" s="1"/>
  <c r="D19" i="33"/>
  <c r="J126" i="35"/>
  <c r="C19" i="33"/>
  <c r="O19" i="33"/>
  <c r="Q19" i="33" s="1"/>
  <c r="L18" i="33"/>
  <c r="F34" i="44"/>
  <c r="O25" i="35"/>
  <c r="J117" i="7"/>
  <c r="J155" i="7" s="1"/>
  <c r="BY116" i="7"/>
  <c r="BY117" i="7" s="1"/>
  <c r="I155" i="7"/>
  <c r="K117" i="7"/>
  <c r="H297" i="7"/>
  <c r="BN301" i="7" s="1"/>
  <c r="X18" i="44"/>
  <c r="Z18" i="44" s="1"/>
  <c r="J3" i="55"/>
  <c r="K3" i="55" s="1"/>
  <c r="H292" i="7"/>
  <c r="H293" i="7" s="1"/>
  <c r="O31" i="35"/>
  <c r="O30" i="35"/>
  <c r="J285" i="7"/>
  <c r="J286" i="7" s="1"/>
  <c r="EQ285" i="7"/>
  <c r="EM293" i="7"/>
  <c r="C19" i="44"/>
  <c r="G293" i="7"/>
  <c r="U19" i="44"/>
  <c r="W19" i="44" s="1"/>
  <c r="H133" i="54"/>
  <c r="D290" i="45"/>
  <c r="F156" i="45"/>
  <c r="CP155" i="7"/>
  <c r="CB156" i="7"/>
  <c r="N12" i="44"/>
  <c r="H63" i="54"/>
  <c r="E293" i="7"/>
  <c r="O19" i="44"/>
  <c r="Q19" i="44" s="1"/>
  <c r="D290" i="7"/>
  <c r="G32" i="44"/>
  <c r="I286" i="7"/>
  <c r="I186" i="54"/>
  <c r="I291" i="7"/>
  <c r="J291" i="7" s="1"/>
  <c r="BY291" i="7" s="1"/>
  <c r="AA16" i="44"/>
  <c r="K285" i="7"/>
  <c r="EL297" i="7"/>
  <c r="B18" i="44"/>
  <c r="EL292" i="7"/>
  <c r="GS301" i="7"/>
  <c r="GT301" i="7"/>
  <c r="E9" i="45"/>
  <c r="E19" i="44"/>
  <c r="EO293" i="7"/>
  <c r="GU301" i="7"/>
  <c r="HG155" i="7"/>
  <c r="ER156" i="7"/>
  <c r="ES156" i="7"/>
  <c r="R19" i="44"/>
  <c r="T19" i="44" s="1"/>
  <c r="F293" i="7"/>
  <c r="H98" i="54"/>
  <c r="HG277" i="7"/>
  <c r="ES280" i="7"/>
  <c r="EN293" i="7"/>
  <c r="D19" i="44"/>
  <c r="B34" i="44"/>
  <c r="B39" i="44"/>
  <c r="N11" i="33"/>
  <c r="ES285" i="7"/>
  <c r="HG228" i="7"/>
  <c r="BY280" i="7"/>
  <c r="O42" i="35"/>
  <c r="G16" i="44" l="1"/>
  <c r="H16" i="44" s="1"/>
  <c r="G16" i="33"/>
  <c r="H16" i="33" s="1"/>
  <c r="I32" i="33" s="1"/>
  <c r="AA16" i="33"/>
  <c r="AC16" i="33" s="1"/>
  <c r="X19" i="33"/>
  <c r="Z19" i="33" s="1"/>
  <c r="F19" i="33"/>
  <c r="M125" i="35"/>
  <c r="F18" i="33"/>
  <c r="X18" i="33"/>
  <c r="Z18" i="33" s="1"/>
  <c r="F18" i="44"/>
  <c r="EP297" i="7"/>
  <c r="GV301" i="7" s="1"/>
  <c r="L127" i="35"/>
  <c r="E20" i="33"/>
  <c r="E21" i="33" s="1"/>
  <c r="E53" i="33" s="1"/>
  <c r="U20" i="33"/>
  <c r="W20" i="33" s="1"/>
  <c r="K127" i="35"/>
  <c r="R20" i="33"/>
  <c r="T20" i="33" s="1"/>
  <c r="D20" i="33"/>
  <c r="D21" i="33" s="1"/>
  <c r="D53" i="33" s="1"/>
  <c r="J127" i="35"/>
  <c r="C20" i="33"/>
  <c r="C21" i="33" s="1"/>
  <c r="C53" i="33" s="1"/>
  <c r="O20" i="33"/>
  <c r="Q20" i="33" s="1"/>
  <c r="I126" i="35"/>
  <c r="L19" i="33"/>
  <c r="EP293" i="7"/>
  <c r="M126" i="35"/>
  <c r="H11" i="33"/>
  <c r="I27" i="33" s="1"/>
  <c r="G27" i="44"/>
  <c r="H27" i="44" s="1"/>
  <c r="I156" i="7"/>
  <c r="K156" i="7" s="1"/>
  <c r="AA12" i="44"/>
  <c r="K155" i="7"/>
  <c r="W30" i="36"/>
  <c r="Y30" i="36" s="1"/>
  <c r="BY155" i="7"/>
  <c r="J156" i="7"/>
  <c r="BY285" i="7"/>
  <c r="H168" i="54"/>
  <c r="ER285" i="7"/>
  <c r="HG285" i="7" s="1"/>
  <c r="EQ291" i="7"/>
  <c r="ER291" i="7" s="1"/>
  <c r="HG291" i="7" s="1"/>
  <c r="X19" i="44"/>
  <c r="Z19" i="44" s="1"/>
  <c r="F19" i="44"/>
  <c r="O132" i="35"/>
  <c r="EQ286" i="7"/>
  <c r="ER286" i="7" s="1"/>
  <c r="EO298" i="7"/>
  <c r="E20" i="44"/>
  <c r="E21" i="44" s="1"/>
  <c r="EO295" i="7"/>
  <c r="M2" i="26" s="1"/>
  <c r="CP156" i="7"/>
  <c r="CB290" i="7"/>
  <c r="H298" i="7"/>
  <c r="BN302" i="7" s="1"/>
  <c r="I168" i="54"/>
  <c r="X20" i="44"/>
  <c r="Z20" i="44" s="1"/>
  <c r="H295" i="7"/>
  <c r="BV302" i="7" s="1"/>
  <c r="EL293" i="7"/>
  <c r="B19" i="44"/>
  <c r="EL304" i="7"/>
  <c r="AC16" i="44"/>
  <c r="AD16" i="44"/>
  <c r="AF16" i="44" s="1"/>
  <c r="GR301" i="7"/>
  <c r="F290" i="45"/>
  <c r="D292" i="45"/>
  <c r="G298" i="7"/>
  <c r="BM302" i="7" s="1"/>
  <c r="I133" i="54"/>
  <c r="U20" i="44"/>
  <c r="W20" i="44" s="1"/>
  <c r="G295" i="7"/>
  <c r="BU302" i="7" s="1"/>
  <c r="I63" i="54"/>
  <c r="E298" i="7"/>
  <c r="BK302" i="7" s="1"/>
  <c r="O20" i="44"/>
  <c r="Q20" i="44" s="1"/>
  <c r="E295" i="7"/>
  <c r="BS302" i="7" s="1"/>
  <c r="I98" i="54"/>
  <c r="R20" i="44"/>
  <c r="T20" i="44" s="1"/>
  <c r="F298" i="7"/>
  <c r="BL302" i="7" s="1"/>
  <c r="F295" i="7"/>
  <c r="BT302" i="7" s="1"/>
  <c r="B43" i="44"/>
  <c r="I288" i="7"/>
  <c r="K286" i="7"/>
  <c r="BY286" i="7"/>
  <c r="J288" i="7"/>
  <c r="H32" i="44"/>
  <c r="D292" i="7"/>
  <c r="D297" i="7"/>
  <c r="L18" i="44"/>
  <c r="J6" i="55"/>
  <c r="HG156" i="7"/>
  <c r="ES2" i="7"/>
  <c r="I196" i="54"/>
  <c r="G26" i="55"/>
  <c r="D20" i="44"/>
  <c r="D21" i="44" s="1"/>
  <c r="EN298" i="7"/>
  <c r="EN295" i="7"/>
  <c r="L2" i="26" s="1"/>
  <c r="C20" i="44"/>
  <c r="C21" i="44" s="1"/>
  <c r="EM298" i="7"/>
  <c r="EM295" i="7"/>
  <c r="K2" i="26" s="1"/>
  <c r="AD16" i="33" l="1"/>
  <c r="AF16" i="33" s="1"/>
  <c r="O2" i="23"/>
  <c r="N2" i="25"/>
  <c r="N2" i="23"/>
  <c r="M2" i="25"/>
  <c r="M2" i="23"/>
  <c r="L2" i="25"/>
  <c r="U21" i="33"/>
  <c r="W21" i="33" s="1"/>
  <c r="W23" i="33" s="1"/>
  <c r="O2" i="21"/>
  <c r="R21" i="33"/>
  <c r="T21" i="33" s="1"/>
  <c r="T23" i="33" s="1"/>
  <c r="N2" i="21"/>
  <c r="O21" i="33"/>
  <c r="Q21" i="33" s="1"/>
  <c r="Q23" i="33" s="1"/>
  <c r="M2" i="21"/>
  <c r="M127" i="35"/>
  <c r="X20" i="33"/>
  <c r="Z20" i="33" s="1"/>
  <c r="F20" i="33"/>
  <c r="F21" i="33" s="1"/>
  <c r="F53" i="33" s="1"/>
  <c r="EP295" i="7"/>
  <c r="N2" i="26" s="1"/>
  <c r="F20" i="44"/>
  <c r="F21" i="44" s="1"/>
  <c r="EP298" i="7"/>
  <c r="GV302" i="7" s="1"/>
  <c r="I127" i="35"/>
  <c r="L20" i="33"/>
  <c r="B20" i="33"/>
  <c r="HD302" i="7"/>
  <c r="HD296" i="7" s="1"/>
  <c r="HC302" i="7"/>
  <c r="HC296" i="7" s="1"/>
  <c r="L128" i="35"/>
  <c r="L130" i="35" s="1"/>
  <c r="L6" i="35"/>
  <c r="HB302" i="7"/>
  <c r="HB296" i="7" s="1"/>
  <c r="K128" i="35"/>
  <c r="K130" i="35" s="1"/>
  <c r="K6" i="35"/>
  <c r="HA302" i="7"/>
  <c r="HA296" i="7" s="1"/>
  <c r="J128" i="35"/>
  <c r="J130" i="35" s="1"/>
  <c r="J6" i="35"/>
  <c r="S32" i="44"/>
  <c r="BT296" i="7"/>
  <c r="N5" i="21" s="1"/>
  <c r="P32" i="44"/>
  <c r="BS296" i="7"/>
  <c r="M5" i="21" s="1"/>
  <c r="Y32" i="44"/>
  <c r="BV296" i="7"/>
  <c r="P5" i="21" s="1"/>
  <c r="V32" i="44"/>
  <c r="BU296" i="7"/>
  <c r="O5" i="21" s="1"/>
  <c r="G39" i="44"/>
  <c r="G43" i="44" s="1"/>
  <c r="G34" i="44"/>
  <c r="H34" i="44"/>
  <c r="AC12" i="44"/>
  <c r="AD12" i="44"/>
  <c r="AF12" i="44" s="1"/>
  <c r="AC11" i="33"/>
  <c r="AD11" i="33"/>
  <c r="AF11" i="33" s="1"/>
  <c r="K2" i="7"/>
  <c r="BY156" i="7"/>
  <c r="EQ288" i="7"/>
  <c r="ES286" i="7"/>
  <c r="B20" i="44"/>
  <c r="EL298" i="7"/>
  <c r="EL305" i="7"/>
  <c r="EL295" i="7"/>
  <c r="J2" i="26" s="1"/>
  <c r="X21" i="44"/>
  <c r="Z21" i="44" s="1"/>
  <c r="I174" i="54"/>
  <c r="BV297" i="7"/>
  <c r="BV301" i="7"/>
  <c r="BV298" i="7"/>
  <c r="I139" i="54"/>
  <c r="BU301" i="7"/>
  <c r="U21" i="44"/>
  <c r="W21" i="44" s="1"/>
  <c r="BU298" i="7"/>
  <c r="BU297" i="7"/>
  <c r="GS302" i="7"/>
  <c r="EM299" i="7"/>
  <c r="GS303" i="7" s="1"/>
  <c r="GS305" i="7" s="1"/>
  <c r="GS293" i="7" s="1"/>
  <c r="HA293" i="7" s="1"/>
  <c r="HA295" i="7" s="1"/>
  <c r="HA301" i="7" s="1"/>
  <c r="I69" i="54"/>
  <c r="O21" i="44"/>
  <c r="Q21" i="44" s="1"/>
  <c r="BS297" i="7"/>
  <c r="BS298" i="7"/>
  <c r="BS301" i="7"/>
  <c r="CB292" i="7"/>
  <c r="CP290" i="7"/>
  <c r="I18" i="55"/>
  <c r="I34" i="55" s="1"/>
  <c r="I199" i="54"/>
  <c r="AA17" i="44"/>
  <c r="K288" i="7"/>
  <c r="I290" i="7"/>
  <c r="BY288" i="7"/>
  <c r="K6" i="7"/>
  <c r="W34" i="36"/>
  <c r="Y34" i="36" s="1"/>
  <c r="J290" i="7"/>
  <c r="I125" i="35" s="1"/>
  <c r="GT302" i="7"/>
  <c r="EN299" i="7"/>
  <c r="GT303" i="7" s="1"/>
  <c r="GT305" i="7" s="1"/>
  <c r="GT293" i="7" s="1"/>
  <c r="HB293" i="7" s="1"/>
  <c r="HB295" i="7" s="1"/>
  <c r="I104" i="54"/>
  <c r="R21" i="44"/>
  <c r="T21" i="44" s="1"/>
  <c r="BT297" i="7"/>
  <c r="BT298" i="7"/>
  <c r="BT301" i="7"/>
  <c r="E292" i="45"/>
  <c r="D293" i="45"/>
  <c r="BJ301" i="7"/>
  <c r="H28" i="54"/>
  <c r="L19" i="44"/>
  <c r="D293" i="7"/>
  <c r="D304" i="7"/>
  <c r="L33" i="44" s="1"/>
  <c r="N18" i="33"/>
  <c r="K6" i="55"/>
  <c r="N18" i="44"/>
  <c r="HG286" i="7"/>
  <c r="ES288" i="7"/>
  <c r="GU302" i="7"/>
  <c r="EO299" i="7"/>
  <c r="GU303" i="7" s="1"/>
  <c r="GU305" i="7" s="1"/>
  <c r="GU293" i="7" s="1"/>
  <c r="HC293" i="7" s="1"/>
  <c r="HC295" i="7" s="1"/>
  <c r="P2" i="23" l="1"/>
  <c r="O2" i="25"/>
  <c r="L2" i="23"/>
  <c r="K2" i="25"/>
  <c r="X21" i="33"/>
  <c r="Z21" i="33" s="1"/>
  <c r="Z23" i="33" s="1"/>
  <c r="P2" i="21"/>
  <c r="M128" i="35"/>
  <c r="M130" i="35" s="1"/>
  <c r="EP299" i="7"/>
  <c r="GV303" i="7" s="1"/>
  <c r="GV305" i="7" s="1"/>
  <c r="GV293" i="7" s="1"/>
  <c r="HD293" i="7" s="1"/>
  <c r="HD295" i="7" s="1"/>
  <c r="HD301" i="7" s="1"/>
  <c r="L21" i="33"/>
  <c r="L2" i="21"/>
  <c r="ER288" i="7"/>
  <c r="ES290" i="7" s="1"/>
  <c r="G17" i="33"/>
  <c r="H17" i="33" s="1"/>
  <c r="I33" i="33" s="1"/>
  <c r="AA17" i="33"/>
  <c r="AD17" i="33" s="1"/>
  <c r="AF17" i="33" s="1"/>
  <c r="M6" i="35"/>
  <c r="GZ302" i="7"/>
  <c r="GZ296" i="7" s="1"/>
  <c r="V33" i="44"/>
  <c r="W33" i="44" s="1"/>
  <c r="W32" i="44"/>
  <c r="Y33" i="44"/>
  <c r="Z33" i="44" s="1"/>
  <c r="Z32" i="44"/>
  <c r="Q32" i="44"/>
  <c r="P33" i="44"/>
  <c r="S33" i="44"/>
  <c r="T33" i="44" s="1"/>
  <c r="T32" i="44"/>
  <c r="H39" i="44"/>
  <c r="H43" i="44" s="1"/>
  <c r="EQ290" i="7"/>
  <c r="HB297" i="7"/>
  <c r="HB298" i="7"/>
  <c r="N19" i="44"/>
  <c r="AD33" i="44"/>
  <c r="AF33" i="44" s="1"/>
  <c r="N33" i="44"/>
  <c r="K7" i="7"/>
  <c r="W35" i="36"/>
  <c r="Y35" i="36" s="1"/>
  <c r="BY290" i="7"/>
  <c r="E293" i="45"/>
  <c r="E296" i="45" s="1"/>
  <c r="F8" i="45" s="1"/>
  <c r="D296" i="45"/>
  <c r="AC17" i="44"/>
  <c r="AD17" i="44"/>
  <c r="AF17" i="44" s="1"/>
  <c r="CB293" i="7"/>
  <c r="CP292" i="7"/>
  <c r="GR302" i="7"/>
  <c r="EL299" i="7"/>
  <c r="GR303" i="7" s="1"/>
  <c r="HC297" i="7"/>
  <c r="HC298" i="7"/>
  <c r="B21" i="44"/>
  <c r="N19" i="33"/>
  <c r="I28" i="54"/>
  <c r="L20" i="44"/>
  <c r="D305" i="7"/>
  <c r="D298" i="7"/>
  <c r="D295" i="7"/>
  <c r="BR302" i="7" s="1"/>
  <c r="BR296" i="7" s="1"/>
  <c r="HB301" i="7"/>
  <c r="HA298" i="7"/>
  <c r="HA297" i="7"/>
  <c r="AA18" i="44"/>
  <c r="I297" i="7"/>
  <c r="I292" i="7"/>
  <c r="K290" i="7"/>
  <c r="HC301" i="7"/>
  <c r="HG288" i="7" l="1"/>
  <c r="ES6" i="7"/>
  <c r="J18" i="55"/>
  <c r="K18" i="55" s="1"/>
  <c r="AC17" i="33"/>
  <c r="HD298" i="7"/>
  <c r="HD297" i="7"/>
  <c r="G18" i="33"/>
  <c r="H18" i="33" s="1"/>
  <c r="I34" i="33" s="1"/>
  <c r="AA18" i="33"/>
  <c r="AC18" i="33" s="1"/>
  <c r="ER290" i="7"/>
  <c r="HG290" i="7" s="1"/>
  <c r="N125" i="35"/>
  <c r="O125" i="35" s="1"/>
  <c r="M32" i="44"/>
  <c r="M33" i="44" s="1"/>
  <c r="AE33" i="44" s="1"/>
  <c r="EQ297" i="7"/>
  <c r="ER297" i="7" s="1"/>
  <c r="EQ292" i="7"/>
  <c r="G18" i="44"/>
  <c r="H18" i="44" s="1"/>
  <c r="N20" i="44"/>
  <c r="I293" i="7"/>
  <c r="H203" i="54"/>
  <c r="AA19" i="44"/>
  <c r="J292" i="7"/>
  <c r="N20" i="33"/>
  <c r="BO301" i="7"/>
  <c r="BP301" i="7" s="1"/>
  <c r="J297" i="7"/>
  <c r="CP293" i="7"/>
  <c r="CB295" i="7"/>
  <c r="AC18" i="44"/>
  <c r="AD18" i="44"/>
  <c r="AF18" i="44" s="1"/>
  <c r="BJ302" i="7"/>
  <c r="GR305" i="7"/>
  <c r="I34" i="54"/>
  <c r="L21" i="44"/>
  <c r="BR298" i="7"/>
  <c r="BR297" i="7"/>
  <c r="BR301" i="7"/>
  <c r="B21" i="33"/>
  <c r="B53" i="33" s="1"/>
  <c r="H8" i="45"/>
  <c r="G10" i="45"/>
  <c r="O23" i="55" l="1"/>
  <c r="J34" i="55"/>
  <c r="K34" i="55" s="1"/>
  <c r="ES7" i="7"/>
  <c r="AD18" i="33"/>
  <c r="AF18" i="33" s="1"/>
  <c r="AA19" i="33"/>
  <c r="AD19" i="33" s="1"/>
  <c r="AF19" i="33" s="1"/>
  <c r="G19" i="33"/>
  <c r="H19" i="33" s="1"/>
  <c r="I35" i="33" s="1"/>
  <c r="EQ293" i="7"/>
  <c r="G20" i="44" s="1"/>
  <c r="N126" i="35"/>
  <c r="O126" i="35" s="1"/>
  <c r="N32" i="44"/>
  <c r="L5" i="21"/>
  <c r="GW301" i="7"/>
  <c r="GX301" i="7" s="1"/>
  <c r="ER292" i="7"/>
  <c r="HG292" i="7" s="1"/>
  <c r="G19" i="44"/>
  <c r="H19" i="44" s="1"/>
  <c r="N21" i="33"/>
  <c r="N23" i="33" s="1"/>
  <c r="CD304" i="7"/>
  <c r="CP295" i="7"/>
  <c r="CI300" i="7"/>
  <c r="CL300" i="7" s="1"/>
  <c r="CC300" i="7"/>
  <c r="CG300" i="7" s="1"/>
  <c r="N21" i="44"/>
  <c r="W36" i="36"/>
  <c r="Y36" i="36" s="1"/>
  <c r="E304" i="7"/>
  <c r="O33" i="44" s="1"/>
  <c r="Q33" i="44" s="1"/>
  <c r="BY292" i="7"/>
  <c r="AC19" i="44"/>
  <c r="AD19" i="44"/>
  <c r="AF19" i="44" s="1"/>
  <c r="I203" i="54"/>
  <c r="I35" i="55" s="1"/>
  <c r="I36" i="55" s="1"/>
  <c r="I38" i="55" s="1"/>
  <c r="AA20" i="44"/>
  <c r="I298" i="7"/>
  <c r="I295" i="7"/>
  <c r="J293" i="7"/>
  <c r="GR293" i="7"/>
  <c r="EQ295" i="7" l="1"/>
  <c r="O2" i="26" s="1"/>
  <c r="P2" i="26" s="1"/>
  <c r="ER293" i="7"/>
  <c r="J35" i="55" s="1"/>
  <c r="K35" i="55" s="1"/>
  <c r="EQ298" i="7"/>
  <c r="EQ299" i="7" s="1"/>
  <c r="GW303" i="7" s="1"/>
  <c r="AC19" i="33"/>
  <c r="N127" i="35"/>
  <c r="O127" i="35" s="1"/>
  <c r="AA20" i="33"/>
  <c r="AC20" i="33" s="1"/>
  <c r="G20" i="33"/>
  <c r="G21" i="33" s="1"/>
  <c r="G53" i="33" s="1"/>
  <c r="H53" i="33" s="1"/>
  <c r="HE302" i="7"/>
  <c r="HE296" i="7" s="1"/>
  <c r="HF296" i="7" s="1"/>
  <c r="BW302" i="7"/>
  <c r="AB32" i="44" s="1"/>
  <c r="BW296" i="7"/>
  <c r="BX296" i="7" s="1"/>
  <c r="EM304" i="7"/>
  <c r="G21" i="44"/>
  <c r="H20" i="44"/>
  <c r="H21" i="44" s="1"/>
  <c r="BO302" i="7"/>
  <c r="BP302" i="7" s="1"/>
  <c r="J298" i="7"/>
  <c r="J299" i="7" s="1"/>
  <c r="AC20" i="44"/>
  <c r="AD20" i="44"/>
  <c r="AF20" i="44" s="1"/>
  <c r="CD305" i="7"/>
  <c r="CP305" i="7" s="1"/>
  <c r="GZ293" i="7"/>
  <c r="E305" i="7"/>
  <c r="W37" i="36"/>
  <c r="Y37" i="36" s="1"/>
  <c r="K8" i="7"/>
  <c r="BY293" i="7"/>
  <c r="AA21" i="44"/>
  <c r="I209" i="54"/>
  <c r="BW298" i="7"/>
  <c r="BW301" i="7"/>
  <c r="BY301" i="7" s="1"/>
  <c r="BW297" i="7"/>
  <c r="J295" i="7"/>
  <c r="I128" i="35" s="1"/>
  <c r="I130" i="35" s="1"/>
  <c r="BY302" i="7" l="1"/>
  <c r="I6" i="35"/>
  <c r="ER298" i="7"/>
  <c r="ER299" i="7" s="1"/>
  <c r="GW302" i="7"/>
  <c r="GX302" i="7" s="1"/>
  <c r="N128" i="35"/>
  <c r="N130" i="35" s="1"/>
  <c r="ER295" i="7"/>
  <c r="HG302" i="7" s="1"/>
  <c r="Q2" i="21"/>
  <c r="R2" i="21" s="1"/>
  <c r="AA21" i="33"/>
  <c r="AC21" i="33" s="1"/>
  <c r="AC23" i="33" s="1"/>
  <c r="P2" i="25"/>
  <c r="Q2" i="25" s="1"/>
  <c r="Q2" i="23"/>
  <c r="R2" i="23" s="1"/>
  <c r="N6" i="35"/>
  <c r="ES8" i="7"/>
  <c r="EM305" i="7"/>
  <c r="AD20" i="33"/>
  <c r="AF20" i="33" s="1"/>
  <c r="H20" i="33"/>
  <c r="I36" i="33" s="1"/>
  <c r="I37" i="33" s="1"/>
  <c r="Q5" i="21"/>
  <c r="R5" i="21"/>
  <c r="AC32" i="44"/>
  <c r="AB33" i="44"/>
  <c r="AC33" i="44" s="1"/>
  <c r="AE32" i="44"/>
  <c r="AF32" i="44" s="1"/>
  <c r="GW305" i="7"/>
  <c r="GX303" i="7"/>
  <c r="M305" i="7"/>
  <c r="K9" i="7"/>
  <c r="J9" i="7" s="1"/>
  <c r="M310" i="7"/>
  <c r="W38" i="36"/>
  <c r="Y38" i="36" s="1"/>
  <c r="EU304" i="7"/>
  <c r="M304" i="7"/>
  <c r="EU308" i="7"/>
  <c r="EU305" i="7"/>
  <c r="M306" i="7"/>
  <c r="M308" i="7"/>
  <c r="M309" i="7"/>
  <c r="M307" i="7"/>
  <c r="EU307" i="7"/>
  <c r="EU306" i="7"/>
  <c r="EU309" i="7"/>
  <c r="BX297" i="7"/>
  <c r="HF297" i="7"/>
  <c r="BY295" i="7"/>
  <c r="EU8" i="7"/>
  <c r="M8" i="7"/>
  <c r="AC21" i="44"/>
  <c r="AD21" i="44"/>
  <c r="AF21" i="44" s="1"/>
  <c r="GZ295" i="7"/>
  <c r="O6" i="35" l="1"/>
  <c r="P6" i="35" s="1"/>
  <c r="ES9" i="7"/>
  <c r="J36" i="55"/>
  <c r="K36" i="55" s="1"/>
  <c r="C12" i="39"/>
  <c r="C13" i="39" s="1"/>
  <c r="C11" i="39" s="1"/>
  <c r="I10" i="39" s="1"/>
  <c r="I12" i="39" s="1"/>
  <c r="J38" i="55"/>
  <c r="K38" i="55" s="1"/>
  <c r="AD21" i="33"/>
  <c r="AF21" i="33" s="1"/>
  <c r="AF23" i="33" s="1"/>
  <c r="O128" i="35"/>
  <c r="O130" i="35" s="1"/>
  <c r="H21" i="33"/>
  <c r="I53" i="33" s="1"/>
  <c r="Y8" i="36"/>
  <c r="N31" i="33"/>
  <c r="GZ297" i="7"/>
  <c r="GZ298" i="7"/>
  <c r="GZ301" i="7"/>
  <c r="HF298" i="7"/>
  <c r="ET308" i="7"/>
  <c r="L308" i="7"/>
  <c r="L309" i="7"/>
  <c r="L310" i="7"/>
  <c r="BX298" i="7"/>
  <c r="ET307" i="7"/>
  <c r="ET304" i="7"/>
  <c r="L304" i="7"/>
  <c r="ET305" i="7"/>
  <c r="ET310" i="7"/>
  <c r="ET306" i="7"/>
  <c r="L307" i="7"/>
  <c r="ET309" i="7"/>
  <c r="L306" i="7"/>
  <c r="L305" i="7"/>
  <c r="N29" i="33"/>
  <c r="Y6" i="36"/>
  <c r="Y10" i="36"/>
  <c r="N33" i="33"/>
  <c r="GW293" i="7"/>
  <c r="GX305" i="7"/>
  <c r="EU310" i="7" s="1"/>
  <c r="EU311" i="7" s="1"/>
  <c r="Y7" i="36"/>
  <c r="N30" i="33"/>
  <c r="Y4" i="36"/>
  <c r="N27" i="33"/>
  <c r="M311" i="7"/>
  <c r="R5" i="35" s="1"/>
  <c r="Y5" i="36"/>
  <c r="N28" i="33"/>
  <c r="Y9" i="36"/>
  <c r="N32" i="33"/>
  <c r="I43" i="33" l="1"/>
  <c r="I46" i="33"/>
  <c r="I51" i="33"/>
  <c r="I52" i="33"/>
  <c r="I47" i="33"/>
  <c r="I45" i="33"/>
  <c r="I44" i="33"/>
  <c r="I48" i="33"/>
  <c r="I49" i="33"/>
  <c r="I50" i="33"/>
  <c r="I42" i="33"/>
  <c r="B21" i="39"/>
  <c r="B22" i="39"/>
  <c r="B18" i="39"/>
  <c r="B19" i="39"/>
  <c r="B20" i="39"/>
  <c r="B24" i="39"/>
  <c r="B23" i="39"/>
  <c r="EV305" i="7" a="1"/>
  <c r="EV305" i="7" s="1"/>
  <c r="Y11" i="36"/>
  <c r="I13" i="39"/>
  <c r="X9" i="36"/>
  <c r="M32" i="33"/>
  <c r="I11" i="39"/>
  <c r="M28" i="33"/>
  <c r="X5" i="36"/>
  <c r="M29" i="33"/>
  <c r="X6" i="36"/>
  <c r="ET311" i="7"/>
  <c r="M30" i="33"/>
  <c r="X7" i="36"/>
  <c r="X8" i="36"/>
  <c r="M31" i="33"/>
  <c r="M33" i="33"/>
  <c r="X10" i="36"/>
  <c r="HE293" i="7"/>
  <c r="GX293" i="7"/>
  <c r="N34" i="33"/>
  <c r="M27" i="33"/>
  <c r="X4" i="36"/>
  <c r="L311" i="7"/>
  <c r="R4" i="35" s="1"/>
  <c r="EV306" i="7" l="1" a="1"/>
  <c r="EV306" i="7" s="1"/>
  <c r="B25" i="39"/>
  <c r="X11" i="36"/>
  <c r="M34" i="33"/>
  <c r="HE295" i="7"/>
  <c r="HF293" i="7"/>
  <c r="EV307" i="7" l="1" a="1"/>
  <c r="EV307" i="7" s="1"/>
  <c r="EV308" i="7" s="1" a="1"/>
  <c r="EV308" i="7" s="1"/>
  <c r="EV309" i="7" s="1" a="1"/>
  <c r="EV309" i="7" s="1"/>
  <c r="HF295" i="7"/>
  <c r="ET8" i="7"/>
  <c r="HG293" i="7"/>
  <c r="HE297" i="7"/>
  <c r="HE298" i="7"/>
  <c r="HE301" i="7"/>
  <c r="HG301" i="7" s="1"/>
  <c r="ET9" i="7" l="1"/>
  <c r="ER9" i="7" s="1"/>
  <c r="HG295" i="7"/>
  <c r="C39" i="56" l="1"/>
  <c r="D39" i="56" l="1"/>
  <c r="A43" i="56"/>
  <c r="A42" i="56"/>
  <c r="A44" i="56"/>
  <c r="E39" i="56" l="1"/>
  <c r="F39" i="56" l="1"/>
  <c r="G39" i="56" l="1"/>
  <c r="H39" i="56" l="1"/>
  <c r="A39" i="56" l="1"/>
  <c r="C270" i="56" l="1"/>
  <c r="C342" i="56"/>
  <c r="C214" i="56"/>
  <c r="C206" i="56"/>
  <c r="C382" i="56"/>
  <c r="A51" i="56"/>
  <c r="A52" i="56"/>
  <c r="C190" i="56"/>
  <c r="C238" i="56"/>
  <c r="C254" i="56"/>
  <c r="C174" i="56"/>
  <c r="C230" i="56"/>
  <c r="C246" i="56"/>
  <c r="C198" i="56"/>
  <c r="C406" i="56"/>
  <c r="C182" i="56"/>
  <c r="C350" i="56"/>
  <c r="G48" i="56"/>
  <c r="C278" i="56"/>
  <c r="C374" i="56"/>
  <c r="C222" i="56"/>
  <c r="C286" i="56"/>
  <c r="C262" i="56"/>
  <c r="F48" i="56"/>
  <c r="C294" i="56"/>
  <c r="D294" i="56"/>
  <c r="D350" i="56" l="1"/>
  <c r="C334" i="56"/>
  <c r="H48" i="56"/>
  <c r="A53" i="56"/>
  <c r="D182" i="56"/>
  <c r="D262" i="56"/>
  <c r="D310" i="56"/>
  <c r="D334" i="56"/>
  <c r="D366" i="56"/>
  <c r="D190" i="56"/>
  <c r="C390" i="56"/>
  <c r="C326" i="56"/>
  <c r="C398" i="56"/>
  <c r="D358" i="56"/>
  <c r="D270" i="56"/>
  <c r="D48" i="56"/>
  <c r="E48" i="56"/>
  <c r="D278" i="56"/>
  <c r="C310" i="56"/>
  <c r="C318" i="56"/>
  <c r="C48" i="56"/>
  <c r="H57" i="56"/>
  <c r="D222" i="56"/>
  <c r="D174" i="56"/>
  <c r="D198" i="56"/>
  <c r="D230" i="56"/>
  <c r="C358" i="56"/>
  <c r="C57" i="56"/>
  <c r="D214" i="56"/>
  <c r="D238" i="56"/>
  <c r="D318" i="56"/>
  <c r="D246" i="56"/>
  <c r="D206" i="56"/>
  <c r="D254" i="56"/>
  <c r="G57" i="56"/>
  <c r="D286" i="56"/>
  <c r="C366" i="56"/>
  <c r="D382" i="56"/>
  <c r="F57" i="56"/>
  <c r="C302" i="56"/>
  <c r="E334" i="56" l="1"/>
  <c r="E270" i="56"/>
  <c r="E294" i="56"/>
  <c r="E262" i="56"/>
  <c r="D398" i="56"/>
  <c r="E318" i="56"/>
  <c r="D342" i="56"/>
  <c r="E286" i="56"/>
  <c r="E57" i="56"/>
  <c r="E350" i="56"/>
  <c r="E326" i="56"/>
  <c r="E382" i="56"/>
  <c r="D374" i="56"/>
  <c r="D326" i="56"/>
  <c r="D57" i="56"/>
  <c r="E398" i="56"/>
  <c r="D390" i="56"/>
  <c r="E310" i="56"/>
  <c r="E366" i="56"/>
  <c r="E390" i="56"/>
  <c r="A60" i="56"/>
  <c r="E222" i="56"/>
  <c r="E342" i="56"/>
  <c r="D302" i="56"/>
  <c r="A61" i="56"/>
  <c r="E358" i="56"/>
  <c r="E66" i="56"/>
  <c r="D406" i="56"/>
  <c r="A62" i="56"/>
  <c r="A71" i="56"/>
  <c r="E278" i="56"/>
  <c r="E406" i="56"/>
  <c r="E198" i="56"/>
  <c r="E214" i="56"/>
  <c r="E230" i="56"/>
  <c r="E254" i="56"/>
  <c r="E190" i="56"/>
  <c r="E206" i="56"/>
  <c r="E246" i="56"/>
  <c r="E374" i="56"/>
  <c r="E182" i="56"/>
  <c r="A48" i="56"/>
  <c r="E238" i="56"/>
  <c r="E174" i="56"/>
  <c r="A57" i="56" l="1"/>
  <c r="F190" i="56"/>
  <c r="C66" i="56"/>
  <c r="F198" i="56"/>
  <c r="F382" i="56"/>
  <c r="G84" i="56"/>
  <c r="F342" i="56"/>
  <c r="F206" i="56"/>
  <c r="G75" i="56"/>
  <c r="F294" i="56"/>
  <c r="F214" i="56"/>
  <c r="F310" i="56"/>
  <c r="F374" i="56"/>
  <c r="F326" i="56"/>
  <c r="F398" i="56"/>
  <c r="H66" i="56"/>
  <c r="F278" i="56"/>
  <c r="E84" i="56"/>
  <c r="F350" i="56"/>
  <c r="H75" i="56"/>
  <c r="F318" i="56"/>
  <c r="F238" i="56"/>
  <c r="F262" i="56"/>
  <c r="F270" i="56"/>
  <c r="E302" i="56"/>
  <c r="F286" i="56"/>
  <c r="G66" i="56"/>
  <c r="F174" i="56"/>
  <c r="F334" i="56"/>
  <c r="A78" i="56"/>
  <c r="F66" i="56"/>
  <c r="F358" i="56"/>
  <c r="D84" i="56"/>
  <c r="F302" i="56"/>
  <c r="F230" i="56"/>
  <c r="F254" i="56"/>
  <c r="F222" i="56"/>
  <c r="F182" i="56"/>
  <c r="C75" i="56"/>
  <c r="A70" i="56"/>
  <c r="F246" i="56"/>
  <c r="D66" i="56"/>
  <c r="F366" i="56"/>
  <c r="A69" i="56"/>
  <c r="A89" i="56" l="1"/>
  <c r="A80" i="56"/>
  <c r="G342" i="56"/>
  <c r="G350" i="56"/>
  <c r="E75" i="56"/>
  <c r="G262" i="56"/>
  <c r="D93" i="56"/>
  <c r="G182" i="56"/>
  <c r="C84" i="56"/>
  <c r="A87" i="56"/>
  <c r="G294" i="56"/>
  <c r="G310" i="56"/>
  <c r="A66" i="56"/>
  <c r="G326" i="56"/>
  <c r="G318" i="56"/>
  <c r="G334" i="56"/>
  <c r="F75" i="56"/>
  <c r="F390" i="56"/>
  <c r="G190" i="56"/>
  <c r="G198" i="56"/>
  <c r="G254" i="56"/>
  <c r="G270" i="56"/>
  <c r="G398" i="56"/>
  <c r="G206" i="56"/>
  <c r="G406" i="56"/>
  <c r="F93" i="56"/>
  <c r="G222" i="56"/>
  <c r="G278" i="56"/>
  <c r="H84" i="56"/>
  <c r="D75" i="56"/>
  <c r="G374" i="56"/>
  <c r="G382" i="56"/>
  <c r="G238" i="56"/>
  <c r="G246" i="56"/>
  <c r="A88" i="56"/>
  <c r="E93" i="56"/>
  <c r="C93" i="56"/>
  <c r="G174" i="56"/>
  <c r="G390" i="56"/>
  <c r="A79" i="56"/>
  <c r="G214" i="56"/>
  <c r="G230" i="56"/>
  <c r="G286" i="56"/>
  <c r="F84" i="56"/>
  <c r="F406" i="56"/>
  <c r="G366" i="56"/>
  <c r="G358" i="56"/>
  <c r="A75" i="56" l="1"/>
  <c r="H310" i="56"/>
  <c r="A310" i="56" s="1"/>
  <c r="H294" i="56"/>
  <c r="A294" i="56" s="1"/>
  <c r="E102" i="56"/>
  <c r="A84" i="56"/>
  <c r="H302" i="56"/>
  <c r="D102" i="56"/>
  <c r="H334" i="56"/>
  <c r="A334" i="56" s="1"/>
  <c r="H254" i="56"/>
  <c r="A254" i="56" s="1"/>
  <c r="F102" i="56"/>
  <c r="H366" i="56"/>
  <c r="A366" i="56" s="1"/>
  <c r="H278" i="56"/>
  <c r="A278" i="56" s="1"/>
  <c r="H382" i="56"/>
  <c r="A382" i="56" s="1"/>
  <c r="H374" i="56"/>
  <c r="A374" i="56" s="1"/>
  <c r="H174" i="56"/>
  <c r="A174" i="56" s="1"/>
  <c r="H214" i="56"/>
  <c r="A214" i="56" s="1"/>
  <c r="H262" i="56"/>
  <c r="A262" i="56" s="1"/>
  <c r="H342" i="56"/>
  <c r="A342" i="56" s="1"/>
  <c r="H93" i="56"/>
  <c r="H182" i="56"/>
  <c r="A182" i="56" s="1"/>
  <c r="H246" i="56"/>
  <c r="A246" i="56" s="1"/>
  <c r="H190" i="56"/>
  <c r="A190" i="56" s="1"/>
  <c r="H270" i="56"/>
  <c r="A270" i="56" s="1"/>
  <c r="G302" i="56"/>
  <c r="A97" i="56"/>
  <c r="H390" i="56"/>
  <c r="A390" i="56" s="1"/>
  <c r="A98" i="56"/>
  <c r="H222" i="56"/>
  <c r="A222" i="56" s="1"/>
  <c r="A96" i="56"/>
  <c r="H230" i="56"/>
  <c r="A230" i="56" s="1"/>
  <c r="H286" i="56"/>
  <c r="A286" i="56" s="1"/>
  <c r="H198" i="56"/>
  <c r="A198" i="56" s="1"/>
  <c r="H206" i="56"/>
  <c r="A206" i="56" s="1"/>
  <c r="H102" i="56"/>
  <c r="G102" i="56"/>
  <c r="H358" i="56"/>
  <c r="A358" i="56" s="1"/>
  <c r="H318" i="56"/>
  <c r="A318" i="56" s="1"/>
  <c r="H326" i="56"/>
  <c r="A326" i="56" s="1"/>
  <c r="H238" i="56"/>
  <c r="A238" i="56" s="1"/>
  <c r="H350" i="56"/>
  <c r="A350" i="56" s="1"/>
  <c r="H398" i="56"/>
  <c r="A398" i="56" s="1"/>
  <c r="G93" i="56"/>
  <c r="A302" i="56" l="1"/>
  <c r="A105" i="56"/>
  <c r="A93" i="56"/>
  <c r="H406" i="56"/>
  <c r="A406" i="56" s="1"/>
  <c r="A116" i="56"/>
  <c r="A115" i="56"/>
  <c r="F111" i="56"/>
  <c r="D111" i="56"/>
  <c r="C102" i="56"/>
  <c r="A107" i="56"/>
  <c r="A106" i="56"/>
  <c r="G111" i="56" l="1"/>
  <c r="E111" i="56"/>
  <c r="C111" i="56"/>
  <c r="F120" i="56"/>
  <c r="H111" i="56"/>
  <c r="A114" i="56"/>
  <c r="A102" i="56"/>
  <c r="H120" i="56"/>
  <c r="A111" i="56" l="1"/>
  <c r="D120" i="56"/>
  <c r="A125" i="56"/>
  <c r="A123" i="56"/>
  <c r="G120" i="56"/>
  <c r="C120" i="56"/>
  <c r="G129" i="56"/>
  <c r="C129" i="56"/>
  <c r="A124" i="56"/>
  <c r="E120" i="56"/>
  <c r="F129" i="56"/>
  <c r="E129" i="56"/>
  <c r="A120" i="56" l="1"/>
  <c r="E138" i="56"/>
  <c r="H129" i="56"/>
  <c r="D129" i="56"/>
  <c r="F138" i="56"/>
  <c r="A142" i="56"/>
  <c r="A141" i="56"/>
  <c r="A143" i="56"/>
  <c r="A134" i="56"/>
  <c r="A133" i="56"/>
  <c r="A132" i="56"/>
  <c r="A129" i="56" l="1"/>
  <c r="C138" i="56"/>
  <c r="E147" i="56"/>
  <c r="G138" i="56"/>
  <c r="G147" i="56"/>
  <c r="A151" i="56"/>
  <c r="A152" i="56"/>
  <c r="D138" i="56"/>
  <c r="H138" i="56"/>
  <c r="A150" i="56" l="1"/>
  <c r="D147" i="56"/>
  <c r="F147" i="56"/>
  <c r="H147" i="56"/>
  <c r="G156" i="56"/>
  <c r="A138" i="56"/>
  <c r="C147" i="56"/>
  <c r="A147" i="56" l="1"/>
  <c r="A159" i="56"/>
  <c r="A160" i="56"/>
  <c r="A161" i="56"/>
  <c r="D156" i="56"/>
  <c r="F165" i="56"/>
  <c r="E156" i="56"/>
  <c r="F156" i="56"/>
  <c r="D165" i="56"/>
  <c r="H156" i="56"/>
  <c r="C156" i="56"/>
  <c r="A168" i="56" l="1"/>
  <c r="A169" i="56"/>
  <c r="D11" i="56"/>
  <c r="D12" i="56" s="1"/>
  <c r="A170" i="56"/>
  <c r="H165" i="56"/>
  <c r="H11" i="56" s="1"/>
  <c r="H12" i="56" s="1"/>
  <c r="A156" i="56"/>
  <c r="G165" i="56"/>
  <c r="G11" i="56" s="1"/>
  <c r="G12" i="56" s="1"/>
  <c r="F11" i="56"/>
  <c r="F12" i="56" s="1"/>
  <c r="C165" i="56"/>
  <c r="E165" i="56"/>
  <c r="E11" i="56" s="1"/>
  <c r="E12" i="56" s="1"/>
  <c r="G10" i="56" l="1"/>
  <c r="E10" i="56"/>
  <c r="H10" i="56"/>
  <c r="A165" i="56"/>
  <c r="H17" i="56"/>
  <c r="F10" i="56"/>
  <c r="C11" i="56"/>
  <c r="C12" i="56" s="1"/>
  <c r="D10" i="56"/>
  <c r="B23" i="56"/>
  <c r="H16" i="56" l="1"/>
  <c r="H4" i="56" s="1"/>
  <c r="C10" i="56"/>
  <c r="B11" i="56"/>
  <c r="H5" i="56"/>
  <c r="E17" i="56"/>
  <c r="H6" i="56"/>
  <c r="G6" i="56"/>
  <c r="F6" i="56"/>
  <c r="F17" i="56"/>
  <c r="B22" i="56"/>
  <c r="C17" i="56"/>
  <c r="C5" i="56" s="1"/>
  <c r="E6" i="56"/>
  <c r="D6" i="56"/>
  <c r="D17" i="56"/>
  <c r="E16" i="56" l="1"/>
  <c r="E4" i="56" s="1"/>
  <c r="E5" i="56"/>
  <c r="C16" i="56"/>
  <c r="B12" i="56"/>
  <c r="C6" i="56"/>
  <c r="B18" i="56"/>
  <c r="F16" i="56"/>
  <c r="F4" i="56" s="1"/>
  <c r="F5" i="56"/>
  <c r="D16" i="56"/>
  <c r="D4" i="56" s="1"/>
  <c r="D5" i="56"/>
  <c r="G17" i="56"/>
  <c r="B17" i="56" s="1"/>
  <c r="B5" i="56" s="1"/>
  <c r="B6" i="56" l="1"/>
  <c r="G16" i="56"/>
  <c r="G4" i="56" s="1"/>
  <c r="G5" i="56"/>
  <c r="B10" i="56"/>
  <c r="C4" i="56"/>
  <c r="B16" i="56" l="1"/>
  <c r="B4" i="56" s="1"/>
  <c r="B34" i="5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Cyndy Kelchner</author>
    <author>gormanl</author>
    <author>Culver, Teresa</author>
    <author>Tyrer, Stephanie</author>
    <author>tc={3CA2418F-576F-41CE-9786-DB87FAA1AEF7}</author>
  </authors>
  <commentList>
    <comment ref="C10" authorId="0" shapeId="0" xr:uid="{00000000-0006-0000-0000-000001000000}">
      <text>
        <r>
          <rPr>
            <b/>
            <sz val="9"/>
            <color indexed="81"/>
            <rFont val="Tahoma"/>
            <family val="2"/>
          </rPr>
          <t>Cyndy Kelchner:</t>
        </r>
        <r>
          <rPr>
            <sz val="9"/>
            <color indexed="81"/>
            <rFont val="Tahoma"/>
            <family val="2"/>
          </rPr>
          <t xml:space="preserve">
If non-COE units are providing cost share, best practice is to copy Unit name and org code from Cayuse Investigator tab, instead of listing by College. </t>
        </r>
      </text>
    </comment>
    <comment ref="D10" authorId="1" shapeId="0" xr:uid="{806FB133-D45A-4FEC-A53E-4AA681299D89}">
      <text>
        <r>
          <rPr>
            <sz val="9"/>
            <color indexed="81"/>
            <rFont val="Tahoma"/>
            <family val="2"/>
          </rPr>
          <t>Use these choices to select pooled fringe rate as of FY27.</t>
        </r>
      </text>
    </comment>
    <comment ref="H10" authorId="0" shapeId="0" xr:uid="{00000000-0006-0000-0000-000003000000}">
      <text>
        <r>
          <rPr>
            <b/>
            <sz val="9"/>
            <color indexed="81"/>
            <rFont val="Tahoma"/>
            <family val="2"/>
          </rPr>
          <t>Cyndy Kelchner:</t>
        </r>
        <r>
          <rPr>
            <sz val="9"/>
            <color indexed="81"/>
            <rFont val="Tahoma"/>
            <family val="2"/>
          </rPr>
          <t xml:space="preserve">
</t>
        </r>
        <r>
          <rPr>
            <b/>
            <sz val="9"/>
            <color indexed="81"/>
            <rFont val="Tahoma"/>
            <family val="2"/>
          </rPr>
          <t>GREEN</t>
        </r>
        <r>
          <rPr>
            <sz val="9"/>
            <color indexed="81"/>
            <rFont val="Tahoma"/>
            <family val="2"/>
          </rPr>
          <t xml:space="preserve"> error: 12-month appointment cannot have summer months
</t>
        </r>
        <r>
          <rPr>
            <b/>
            <sz val="9"/>
            <color indexed="81"/>
            <rFont val="Tahoma"/>
            <family val="2"/>
          </rPr>
          <t>BLUE</t>
        </r>
        <r>
          <rPr>
            <sz val="9"/>
            <color indexed="81"/>
            <rFont val="Tahoma"/>
            <family val="2"/>
          </rPr>
          <t xml:space="preserve"> error: Duplicate effort type
Effort Type:  1=Summer; 2=Academic; 3=AY CS</t>
        </r>
      </text>
    </comment>
    <comment ref="T10" authorId="0" shapeId="0" xr:uid="{00000000-0006-0000-0000-000004000000}">
      <text>
        <r>
          <rPr>
            <b/>
            <sz val="9"/>
            <color indexed="81"/>
            <rFont val="Tahoma"/>
            <family val="2"/>
          </rPr>
          <t>Cyndy Kelchner:</t>
        </r>
        <r>
          <rPr>
            <sz val="9"/>
            <color indexed="81"/>
            <rFont val="Tahoma"/>
            <family val="2"/>
          </rPr>
          <t xml:space="preserve">
Only needed if not yet tenured, from CORE HRS0001</t>
        </r>
      </text>
    </comment>
    <comment ref="V10" authorId="0" shapeId="0" xr:uid="{00000000-0006-0000-0000-000005000000}">
      <text>
        <r>
          <rPr>
            <b/>
            <sz val="9"/>
            <color indexed="81"/>
            <rFont val="Tahoma"/>
            <family val="2"/>
          </rPr>
          <t>Cyndy Kelchner:</t>
        </r>
        <r>
          <rPr>
            <sz val="9"/>
            <color indexed="81"/>
            <rFont val="Tahoma"/>
            <family val="2"/>
          </rPr>
          <t xml:space="preserve">
Effort Type 1=Summer;
2=Academic; 
3=AY CS</t>
        </r>
      </text>
    </comment>
    <comment ref="AD10" authorId="0" shapeId="0" xr:uid="{00000000-0006-0000-0000-000006000000}">
      <text>
        <r>
          <rPr>
            <b/>
            <sz val="9"/>
            <color indexed="81"/>
            <rFont val="Tahoma"/>
            <family val="2"/>
          </rPr>
          <t>Cyndy Kelchner:</t>
        </r>
        <r>
          <rPr>
            <sz val="9"/>
            <color indexed="81"/>
            <rFont val="Tahoma"/>
            <family val="2"/>
          </rPr>
          <t xml:space="preserve">
Effort Type 1=Summer;
2=Academic; 
3=AY CS</t>
        </r>
      </text>
    </comment>
    <comment ref="C28" authorId="2" shapeId="0" xr:uid="{217BB697-1C4E-4EE2-B9E7-5F0C087E3C9B}">
      <text>
        <r>
          <rPr>
            <sz val="9"/>
            <color indexed="81"/>
            <rFont val="Tahoma"/>
            <family val="2"/>
          </rPr>
          <t>If not a PhD student in COE, enter salary rate on GA tab. Defaults to COE rate for most.</t>
        </r>
      </text>
    </comment>
    <comment ref="G28" authorId="0" shapeId="0" xr:uid="{20E0114C-3546-4764-9A6B-C5FA0C990459}">
      <text>
        <r>
          <rPr>
            <b/>
            <sz val="9"/>
            <color indexed="81"/>
            <rFont val="Tahoma"/>
            <family val="2"/>
          </rPr>
          <t>Cyndy Kelchner:</t>
        </r>
        <r>
          <rPr>
            <sz val="9"/>
            <color indexed="81"/>
            <rFont val="Tahoma"/>
            <family val="2"/>
          </rPr>
          <t xml:space="preserve">
If &lt; 9 months, need to manually adjust tuition terms on Calc - GRAD ASST tab.</t>
        </r>
      </text>
    </comment>
    <comment ref="D45" authorId="0" shapeId="0" xr:uid="{58247BDF-00A1-493E-918F-7CC97FDB0A6D}">
      <text>
        <r>
          <rPr>
            <b/>
            <sz val="9"/>
            <color indexed="81"/>
            <rFont val="Tahoma"/>
            <family val="2"/>
          </rPr>
          <t>Cyndy Kelchner:</t>
        </r>
        <r>
          <rPr>
            <sz val="9"/>
            <color indexed="81"/>
            <rFont val="Tahoma"/>
            <family val="2"/>
          </rPr>
          <t xml:space="preserve">
Default (minimum) updated as of July 2026. 
</t>
        </r>
        <r>
          <rPr>
            <b/>
            <sz val="9"/>
            <color indexed="81"/>
            <rFont val="Tahoma"/>
            <family val="2"/>
          </rPr>
          <t xml:space="preserve">Student Pay Rate Guidelines: </t>
        </r>
        <r>
          <rPr>
            <sz val="9"/>
            <color indexed="81"/>
            <rFont val="Tahoma"/>
            <family val="2"/>
          </rPr>
          <t xml:space="preserve">https://hr.oregonstate.edu/main/documents/student-pay-rate-guidelines
</t>
        </r>
        <r>
          <rPr>
            <b/>
            <sz val="9"/>
            <color indexed="81"/>
            <rFont val="Tahoma"/>
            <family val="2"/>
          </rPr>
          <t xml:space="preserve">Minimum Rate: </t>
        </r>
        <r>
          <rPr>
            <sz val="9"/>
            <color indexed="81"/>
            <rFont val="Tahoma"/>
            <family val="2"/>
          </rPr>
          <t>https://hr.oregonstate.edu/employees/administrators-supervisors/classification-compensation/new-oregon-minimum-wage-rate</t>
        </r>
      </text>
    </comment>
    <comment ref="C50" authorId="0" shapeId="0" xr:uid="{00000000-0006-0000-0000-000008000000}">
      <text>
        <r>
          <rPr>
            <b/>
            <sz val="9"/>
            <color indexed="81"/>
            <rFont val="Tahoma"/>
            <family val="2"/>
          </rPr>
          <t>Cyndy Kelchner:</t>
        </r>
        <r>
          <rPr>
            <sz val="9"/>
            <color indexed="81"/>
            <rFont val="Tahoma"/>
            <family val="2"/>
          </rPr>
          <t xml:space="preserve">
If non-COE units are providing cost share, best practice is to copy Unit name and org code from Cayuse Investigator tab, instead of listing by College. </t>
        </r>
      </text>
    </comment>
    <comment ref="E50" authorId="1" shapeId="0" xr:uid="{00000000-0006-0000-0000-000009000000}">
      <text>
        <r>
          <rPr>
            <b/>
            <sz val="9"/>
            <color indexed="81"/>
            <rFont val="Tahoma"/>
            <family val="2"/>
          </rPr>
          <t>gormanl:</t>
        </r>
        <r>
          <rPr>
            <sz val="9"/>
            <color indexed="81"/>
            <rFont val="Tahoma"/>
            <family val="2"/>
          </rPr>
          <t xml:space="preserve">
Enter annual salary at 1.0 FTE</t>
        </r>
      </text>
    </comment>
    <comment ref="F50" authorId="1" shapeId="0" xr:uid="{00000000-0006-0000-0000-00000A000000}">
      <text>
        <r>
          <rPr>
            <b/>
            <sz val="9"/>
            <color indexed="81"/>
            <rFont val="Tahoma"/>
            <family val="2"/>
          </rPr>
          <t>gormanl:</t>
        </r>
        <r>
          <rPr>
            <sz val="9"/>
            <color indexed="81"/>
            <rFont val="Tahoma"/>
            <family val="2"/>
          </rPr>
          <t xml:space="preserve">
Total appointment FTE, not just on this project</t>
        </r>
      </text>
    </comment>
    <comment ref="H50" authorId="1" shapeId="0" xr:uid="{93CC0777-6FED-479E-AC1A-A5085B2DB6C9}">
      <text>
        <r>
          <rPr>
            <sz val="9"/>
            <color indexed="81"/>
            <rFont val="Tahoma"/>
            <family val="2"/>
          </rPr>
          <t>Use these choices to select pooled fringe rate as of FY27.</t>
        </r>
      </text>
    </comment>
    <comment ref="V50" authorId="0" shapeId="0" xr:uid="{00000000-0006-0000-0000-00000C000000}">
      <text>
        <r>
          <rPr>
            <b/>
            <sz val="9"/>
            <color indexed="81"/>
            <rFont val="Tahoma"/>
            <family val="2"/>
          </rPr>
          <t>Cyndy Kelchner:</t>
        </r>
        <r>
          <rPr>
            <sz val="9"/>
            <color indexed="81"/>
            <rFont val="Tahoma"/>
            <family val="2"/>
          </rPr>
          <t xml:space="preserve">
for Cost Share only (effort type 3)</t>
        </r>
      </text>
    </comment>
    <comment ref="E51" authorId="0" shapeId="0" xr:uid="{241CD5F0-91DB-407A-B6CB-B38E993075B6}">
      <text>
        <r>
          <rPr>
            <b/>
            <sz val="9"/>
            <color indexed="81"/>
            <rFont val="Tahoma"/>
            <family val="2"/>
          </rPr>
          <t>Cyndy Kelchner:</t>
        </r>
        <r>
          <rPr>
            <sz val="9"/>
            <color indexed="81"/>
            <rFont val="Tahoma"/>
            <family val="2"/>
          </rPr>
          <t xml:space="preserve">
For Postdoctoral Scholar, check minimum salary rate at https://hr.oregonstate.edu/employees/stipends-postdoc-scholars
or search for "NIH NRSA stipend" to confirm current rate.
</t>
        </r>
        <r>
          <rPr>
            <b/>
            <sz val="9"/>
            <color indexed="81"/>
            <rFont val="Tahoma"/>
            <family val="2"/>
          </rPr>
          <t>Formula to select minimum postdoc salary here:</t>
        </r>
        <r>
          <rPr>
            <sz val="9"/>
            <color indexed="81"/>
            <rFont val="Tahoma"/>
            <family val="2"/>
          </rPr>
          <t xml:space="preserve">
=IFERROR(VLOOKUP('DATA INPUT'!H51,Table_OtherTitles, 2,FALSE),"")</t>
        </r>
      </text>
    </comment>
    <comment ref="C67" authorId="0" shapeId="0" xr:uid="{BD48C06F-D236-4724-BBFB-7C32F4EEF280}">
      <text>
        <r>
          <rPr>
            <b/>
            <sz val="9"/>
            <color indexed="81"/>
            <rFont val="Tahoma"/>
            <family val="2"/>
          </rPr>
          <t>Cyndy Kelchner:</t>
        </r>
        <r>
          <rPr>
            <sz val="9"/>
            <color indexed="81"/>
            <rFont val="Tahoma"/>
            <family val="2"/>
          </rPr>
          <t xml:space="preserve">
Outside Continental US (OCONUS) and CONUS rates:
https://www.travel.dod.mil/Travel-Transportation-Rates/Per-Diem/Per-Diem-Rate-Lookup/</t>
        </r>
      </text>
    </comment>
    <comment ref="H67" authorId="0" shapeId="0" xr:uid="{00000000-0006-0000-0000-00000D000000}">
      <text>
        <r>
          <rPr>
            <b/>
            <sz val="9"/>
            <color indexed="81"/>
            <rFont val="Tahoma"/>
            <family val="2"/>
          </rPr>
          <t>Cyndy Kelchner:</t>
        </r>
        <r>
          <rPr>
            <sz val="9"/>
            <color indexed="81"/>
            <rFont val="Tahoma"/>
            <family val="2"/>
          </rPr>
          <t xml:space="preserve">
YES, pull Conference Fees out of Travel Costs and list separately (required for some sponsors)</t>
        </r>
      </text>
    </comment>
    <comment ref="B96" authorId="2" shapeId="0" xr:uid="{36258BC6-D249-427A-9DC1-39DBFC2163B7}">
      <text>
        <r>
          <rPr>
            <b/>
            <sz val="9"/>
            <color indexed="81"/>
            <rFont val="Tahoma"/>
            <family val="2"/>
          </rPr>
          <t>COE PREAWARDS:</t>
        </r>
        <r>
          <rPr>
            <sz val="9"/>
            <color indexed="81"/>
            <rFont val="Tahoma"/>
            <family val="2"/>
          </rPr>
          <t xml:space="preserve"> Do not use this cost category unless these costs are represented in the OSU Fee Book.</t>
        </r>
      </text>
    </comment>
    <comment ref="B98" authorId="3" shapeId="0" xr:uid="{8B61DB86-460A-42F1-BB6C-E200DF4731DE}">
      <text>
        <r>
          <rPr>
            <b/>
            <sz val="9"/>
            <color indexed="81"/>
            <rFont val="Tahoma"/>
            <family val="2"/>
          </rPr>
          <t>COE Pre-awards 3/10/16:</t>
        </r>
        <r>
          <rPr>
            <sz val="9"/>
            <color indexed="81"/>
            <rFont val="Tahoma"/>
            <family val="2"/>
          </rPr>
          <t xml:space="preserve">
If you are using incentives for participation in a study on an NSF project, use this language: "Payment to Human Subjects". NSF does not want to see "Incentives" or "Participants" outside of Participant Support Costs.</t>
        </r>
      </text>
    </comment>
    <comment ref="B99" authorId="0" shapeId="0" xr:uid="{A7103E56-36AD-4DF1-BC05-96E9E7943FCE}">
      <text>
        <r>
          <rPr>
            <b/>
            <sz val="9"/>
            <color indexed="81"/>
            <rFont val="Tahoma"/>
            <family val="2"/>
          </rPr>
          <t>Cyndy Kelchner:</t>
        </r>
        <r>
          <rPr>
            <sz val="9"/>
            <color indexed="81"/>
            <rFont val="Tahoma"/>
            <family val="2"/>
          </rPr>
          <t xml:space="preserve">
Rental costs (i.e., long-term leases) are excluded from Modified Total Direct Costs. This category does NOT include venue rental costs for events.</t>
        </r>
      </text>
    </comment>
    <comment ref="E125" authorId="0" shapeId="0" xr:uid="{6C499538-59F8-45A9-90CE-1AF045F2538D}">
      <text>
        <r>
          <rPr>
            <b/>
            <sz val="9"/>
            <color indexed="81"/>
            <rFont val="Tahoma"/>
            <family val="2"/>
          </rPr>
          <t>Cyndy Kelchner:</t>
        </r>
        <r>
          <rPr>
            <sz val="9"/>
            <color indexed="81"/>
            <rFont val="Tahoma"/>
            <family val="2"/>
          </rPr>
          <t xml:space="preserve">
See list of choices on Reference Sheet, starting cell A41</t>
        </r>
      </text>
    </comment>
    <comment ref="I135" authorId="4" shapeId="0" xr:uid="{3CA2418F-576F-41CE-9786-DB87FAA1AEF7}">
      <text>
        <t>[Threaded comment]
Your version of Excel allows you to read this threaded comment; however, any edits to it will get removed if the file is opened in a newer version of Excel. Learn more: https://go.microsoft.com/fwlink/?linkid=870924
Comment:
    Formula to copy Total from correct row above, in case it gets deleted:
=INDEX(I$108:I$117,INT((ROW()-135)/3)+1)</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Cyndy Kelchner</author>
    <author>Culver, Teresa</author>
    <author>Tyrer, Stephanie</author>
    <author>tc={38B50A9B-17CB-4C8B-827E-3AD3CAB95614}</author>
  </authors>
  <commentList>
    <comment ref="J9" authorId="0" shapeId="0" xr:uid="{00000000-0006-0000-0100-000001000000}">
      <text>
        <r>
          <rPr>
            <b/>
            <sz val="9"/>
            <color indexed="81"/>
            <rFont val="Tahoma"/>
            <family val="2"/>
          </rPr>
          <t>Cyndy Kelchner:</t>
        </r>
        <r>
          <rPr>
            <sz val="9"/>
            <color indexed="81"/>
            <rFont val="Tahoma"/>
            <family val="2"/>
          </rPr>
          <t xml:space="preserve">
Do not include unrecovered F&amp;A if no cost share required.</t>
        </r>
      </text>
    </comment>
    <comment ref="ER9" authorId="0" shapeId="0" xr:uid="{0D724511-0D6F-4232-ABFE-020DA1AE8A67}">
      <text>
        <r>
          <rPr>
            <b/>
            <sz val="9"/>
            <color indexed="81"/>
            <rFont val="Tahoma"/>
            <family val="2"/>
          </rPr>
          <t>Cyndy Kelchner:</t>
        </r>
        <r>
          <rPr>
            <sz val="9"/>
            <color indexed="81"/>
            <rFont val="Tahoma"/>
            <family val="2"/>
          </rPr>
          <t xml:space="preserve">
Do not include unrecovered F&amp;A if no cost share required.</t>
        </r>
      </text>
    </comment>
    <comment ref="N10" authorId="0" shapeId="0" xr:uid="{00000000-0006-0000-0100-000002000000}">
      <text>
        <r>
          <rPr>
            <b/>
            <sz val="9"/>
            <color indexed="81"/>
            <rFont val="Tahoma"/>
            <family val="2"/>
          </rPr>
          <t xml:space="preserve">Cyndy Kelchner 12/3/19:
</t>
        </r>
        <r>
          <rPr>
            <sz val="9"/>
            <color indexed="81"/>
            <rFont val="Tahoma"/>
            <family val="2"/>
          </rPr>
          <t>Cost Share Orgs autofill from Data Input tab for PIs, using an array formula.</t>
        </r>
      </text>
    </comment>
    <comment ref="V10" authorId="0" shapeId="0" xr:uid="{00000000-0006-0000-0100-000003000000}">
      <text>
        <r>
          <rPr>
            <b/>
            <sz val="9"/>
            <color indexed="81"/>
            <rFont val="Tahoma"/>
            <family val="2"/>
          </rPr>
          <t xml:space="preserve">Cyndy Kelchner 12/3/19:
</t>
        </r>
        <r>
          <rPr>
            <sz val="9"/>
            <color indexed="81"/>
            <rFont val="Tahoma"/>
            <family val="2"/>
          </rPr>
          <t>Cost Share Orgs autofill from Data Input tab for PIs, using an array formula.</t>
        </r>
      </text>
    </comment>
    <comment ref="AD10" authorId="0" shapeId="0" xr:uid="{00000000-0006-0000-0100-000004000000}">
      <text>
        <r>
          <rPr>
            <b/>
            <sz val="9"/>
            <color indexed="81"/>
            <rFont val="Tahoma"/>
            <family val="2"/>
          </rPr>
          <t xml:space="preserve">Cyndy Kelchner 12/3/19:
</t>
        </r>
        <r>
          <rPr>
            <sz val="9"/>
            <color indexed="81"/>
            <rFont val="Tahoma"/>
            <family val="2"/>
          </rPr>
          <t>Cost Share Orgs autofill from Data Input tab for PIs, using an array formula.</t>
        </r>
      </text>
    </comment>
    <comment ref="AL10" authorId="0" shapeId="0" xr:uid="{00000000-0006-0000-0100-000005000000}">
      <text>
        <r>
          <rPr>
            <b/>
            <sz val="9"/>
            <color indexed="81"/>
            <rFont val="Tahoma"/>
            <family val="2"/>
          </rPr>
          <t xml:space="preserve">Cyndy Kelchner 12/3/19:
</t>
        </r>
        <r>
          <rPr>
            <sz val="9"/>
            <color indexed="81"/>
            <rFont val="Tahoma"/>
            <family val="2"/>
          </rPr>
          <t>Cost Share Orgs autofill from Data Input tab for PIs, using an array formula.</t>
        </r>
      </text>
    </comment>
    <comment ref="AT10" authorId="0" shapeId="0" xr:uid="{00000000-0006-0000-0100-000006000000}">
      <text>
        <r>
          <rPr>
            <b/>
            <sz val="9"/>
            <color indexed="81"/>
            <rFont val="Tahoma"/>
            <family val="2"/>
          </rPr>
          <t xml:space="preserve">Cyndy Kelchner 12/3/19:
</t>
        </r>
        <r>
          <rPr>
            <sz val="9"/>
            <color indexed="81"/>
            <rFont val="Tahoma"/>
            <family val="2"/>
          </rPr>
          <t>Cost Share Orgs autofill from Data Input tab for PIs, using an array formula.</t>
        </r>
      </text>
    </comment>
    <comment ref="BB10" authorId="0" shapeId="0" xr:uid="{00000000-0006-0000-0100-000007000000}">
      <text>
        <r>
          <rPr>
            <b/>
            <sz val="9"/>
            <color indexed="81"/>
            <rFont val="Tahoma"/>
            <family val="2"/>
          </rPr>
          <t xml:space="preserve">Cyndy Kelchner 12/3/19:
</t>
        </r>
        <r>
          <rPr>
            <sz val="9"/>
            <color indexed="81"/>
            <rFont val="Tahoma"/>
            <family val="2"/>
          </rPr>
          <t>Cost Share Orgs autofill from Data Input tab for PIs, using an array formula.</t>
        </r>
      </text>
    </comment>
    <comment ref="BJ10" authorId="0" shapeId="0" xr:uid="{00000000-0006-0000-0100-000008000000}">
      <text>
        <r>
          <rPr>
            <b/>
            <sz val="9"/>
            <color indexed="81"/>
            <rFont val="Tahoma"/>
            <family val="2"/>
          </rPr>
          <t>Cyndy Kelchner:</t>
        </r>
        <r>
          <rPr>
            <sz val="9"/>
            <color indexed="81"/>
            <rFont val="Tahoma"/>
            <family val="2"/>
          </rPr>
          <t xml:space="preserve">
Unrecovered F&amp;A = difference between IDCs allowed and the IDCs calculated using OSU's full F&amp;A rate, for both sponsor and cost share funds.</t>
        </r>
      </text>
    </comment>
    <comment ref="EV10" authorId="0" shapeId="0" xr:uid="{CD5F20FF-323A-4FF2-8780-2D40204F1604}">
      <text>
        <r>
          <rPr>
            <b/>
            <sz val="9"/>
            <color indexed="81"/>
            <rFont val="Tahoma"/>
            <family val="2"/>
          </rPr>
          <t xml:space="preserve">Cyndy Kelchner 12/3/19:
</t>
        </r>
        <r>
          <rPr>
            <sz val="9"/>
            <color indexed="81"/>
            <rFont val="Tahoma"/>
            <family val="2"/>
          </rPr>
          <t>Cost Share Orgs autofill from Data Input tab for PIs, using an array formula.</t>
        </r>
      </text>
    </comment>
    <comment ref="FD10" authorId="0" shapeId="0" xr:uid="{A79C5A8E-673C-4D39-99FD-2B65F230A217}">
      <text>
        <r>
          <rPr>
            <b/>
            <sz val="9"/>
            <color indexed="81"/>
            <rFont val="Tahoma"/>
            <family val="2"/>
          </rPr>
          <t xml:space="preserve">Cyndy Kelchner 12/3/19:
</t>
        </r>
        <r>
          <rPr>
            <sz val="9"/>
            <color indexed="81"/>
            <rFont val="Tahoma"/>
            <family val="2"/>
          </rPr>
          <t>Cost Share Orgs autofill from Data Input tab for PIs, using an array formula.</t>
        </r>
      </text>
    </comment>
    <comment ref="FL10" authorId="0" shapeId="0" xr:uid="{59F61228-BB95-4218-9BC8-C905728E5353}">
      <text>
        <r>
          <rPr>
            <b/>
            <sz val="9"/>
            <color indexed="81"/>
            <rFont val="Tahoma"/>
            <family val="2"/>
          </rPr>
          <t xml:space="preserve">Cyndy Kelchner 12/3/19:
</t>
        </r>
        <r>
          <rPr>
            <sz val="9"/>
            <color indexed="81"/>
            <rFont val="Tahoma"/>
            <family val="2"/>
          </rPr>
          <t>Cost Share Orgs autofill from Data Input tab for PIs, using an array formula.</t>
        </r>
      </text>
    </comment>
    <comment ref="FT10" authorId="0" shapeId="0" xr:uid="{2037F31E-AAB8-4BC6-92C9-BDF88C8B729F}">
      <text>
        <r>
          <rPr>
            <b/>
            <sz val="9"/>
            <color indexed="81"/>
            <rFont val="Tahoma"/>
            <family val="2"/>
          </rPr>
          <t xml:space="preserve">Cyndy Kelchner 12/3/19:
</t>
        </r>
        <r>
          <rPr>
            <sz val="9"/>
            <color indexed="81"/>
            <rFont val="Tahoma"/>
            <family val="2"/>
          </rPr>
          <t>Cost Share Orgs autofill from Data Input tab for PIs, using an array formula.</t>
        </r>
      </text>
    </comment>
    <comment ref="GB10" authorId="0" shapeId="0" xr:uid="{08452FA6-D2A1-4B8F-AD9E-902354FC3DF6}">
      <text>
        <r>
          <rPr>
            <b/>
            <sz val="9"/>
            <color indexed="81"/>
            <rFont val="Tahoma"/>
            <family val="2"/>
          </rPr>
          <t xml:space="preserve">Cyndy Kelchner 12/3/19:
</t>
        </r>
        <r>
          <rPr>
            <sz val="9"/>
            <color indexed="81"/>
            <rFont val="Tahoma"/>
            <family val="2"/>
          </rPr>
          <t>Cost Share Orgs autofill from Data Input tab for PIs, using an array formula.</t>
        </r>
      </text>
    </comment>
    <comment ref="GJ10" authorId="0" shapeId="0" xr:uid="{E85F6F10-CF8F-4AA3-88A3-48CF160C3F4A}">
      <text>
        <r>
          <rPr>
            <b/>
            <sz val="9"/>
            <color indexed="81"/>
            <rFont val="Tahoma"/>
            <family val="2"/>
          </rPr>
          <t xml:space="preserve">Cyndy Kelchner 12/3/19:
</t>
        </r>
        <r>
          <rPr>
            <sz val="9"/>
            <color indexed="81"/>
            <rFont val="Tahoma"/>
            <family val="2"/>
          </rPr>
          <t>Cost Share Orgs autofill from Data Input tab for PIs, using an array formula.</t>
        </r>
      </text>
    </comment>
    <comment ref="GR10" authorId="0" shapeId="0" xr:uid="{D0FD45FD-C893-446B-9145-789655486FD1}">
      <text>
        <r>
          <rPr>
            <b/>
            <sz val="9"/>
            <color indexed="81"/>
            <rFont val="Tahoma"/>
            <family val="2"/>
          </rPr>
          <t>Cyndy Kelchner:</t>
        </r>
        <r>
          <rPr>
            <sz val="9"/>
            <color indexed="81"/>
            <rFont val="Tahoma"/>
            <family val="2"/>
          </rPr>
          <t xml:space="preserve">
Unrecovered F&amp;A = difference between IDCs allowed and the IDCs calculated using OSU's full F&amp;A rate, for both sponsor and cost share funds.</t>
        </r>
      </text>
    </comment>
    <comment ref="C183" authorId="1" shapeId="0" xr:uid="{00000000-0006-0000-0100-000009000000}">
      <text>
        <r>
          <rPr>
            <b/>
            <sz val="9"/>
            <color indexed="81"/>
            <rFont val="Tahoma"/>
            <family val="2"/>
          </rPr>
          <t>COE PREAWARDS:</t>
        </r>
        <r>
          <rPr>
            <sz val="9"/>
            <color indexed="81"/>
            <rFont val="Tahoma"/>
            <family val="2"/>
          </rPr>
          <t xml:space="preserve"> Do not use this cost category unless these costs are represented in the OSU Fee Book.</t>
        </r>
      </text>
    </comment>
    <comment ref="EK183" authorId="1" shapeId="0" xr:uid="{2496F547-FA63-4C96-AE1D-BF8206D1DF8A}">
      <text>
        <r>
          <rPr>
            <b/>
            <sz val="9"/>
            <color indexed="81"/>
            <rFont val="Tahoma"/>
            <family val="2"/>
          </rPr>
          <t>COE PREAWARDS:</t>
        </r>
        <r>
          <rPr>
            <sz val="9"/>
            <color indexed="81"/>
            <rFont val="Tahoma"/>
            <family val="2"/>
          </rPr>
          <t xml:space="preserve"> Do not use this cost category unless these costs are represented in the OSU Fee Book.</t>
        </r>
      </text>
    </comment>
    <comment ref="B184" authorId="0" shapeId="0" xr:uid="{E0BEA044-96E4-48DD-A7CA-1F99C94BB9EB}">
      <text>
        <r>
          <rPr>
            <b/>
            <sz val="9"/>
            <color indexed="81"/>
            <rFont val="Tahoma"/>
            <family val="2"/>
          </rPr>
          <t>Cyndy Kelchner:</t>
        </r>
        <r>
          <rPr>
            <sz val="9"/>
            <color indexed="81"/>
            <rFont val="Tahoma"/>
            <family val="2"/>
          </rPr>
          <t xml:space="preserve">
All formulas updated 2/9/22 to allow adding more subawards as needed. Best practice is to copy and insert new rows in the </t>
        </r>
        <r>
          <rPr>
            <b/>
            <sz val="9"/>
            <color indexed="81"/>
            <rFont val="Tahoma"/>
            <family val="2"/>
          </rPr>
          <t>middle</t>
        </r>
        <r>
          <rPr>
            <sz val="9"/>
            <color indexed="81"/>
            <rFont val="Tahoma"/>
            <family val="2"/>
          </rPr>
          <t xml:space="preserve"> of this section, not before/after existing subaward rows. </t>
        </r>
      </text>
    </comment>
    <comment ref="C216" authorId="2" shapeId="0" xr:uid="{85680D9E-98BA-4E2D-ABC0-758CB10414F1}">
      <text>
        <r>
          <rPr>
            <b/>
            <sz val="9"/>
            <color indexed="81"/>
            <rFont val="Tahoma"/>
            <family val="2"/>
          </rPr>
          <t>COE Pre-awards 3/10/16:</t>
        </r>
        <r>
          <rPr>
            <sz val="9"/>
            <color indexed="81"/>
            <rFont val="Tahoma"/>
            <family val="2"/>
          </rPr>
          <t xml:space="preserve">
If you are using incentives for participation in a study on an NSF project, use this language: "Payment to Human Subjects". NSF does not want to see "Incentives" or "Participants" outside of Participant Support Costs.</t>
        </r>
      </text>
    </comment>
    <comment ref="EK216" authorId="2" shapeId="0" xr:uid="{29D2C7B7-E419-4E1E-A849-2E8CEA453749}">
      <text>
        <r>
          <rPr>
            <b/>
            <sz val="9"/>
            <color indexed="81"/>
            <rFont val="Tahoma"/>
            <family val="2"/>
          </rPr>
          <t>COE Pre-awards 3/10/16:</t>
        </r>
        <r>
          <rPr>
            <sz val="9"/>
            <color indexed="81"/>
            <rFont val="Tahoma"/>
            <family val="2"/>
          </rPr>
          <t xml:space="preserve">
If you are using incentives for participation in a study on an NSF project, use this language: "Payment to Human Subjects". NSF does not want to see "Incentives" or "Participants" outside of Participant Support Costs.</t>
        </r>
      </text>
    </comment>
    <comment ref="C286" authorId="0" shapeId="0" xr:uid="{A24F470E-FE83-4D7D-87EB-8A1CDFCE1349}">
      <text>
        <r>
          <rPr>
            <b/>
            <sz val="9"/>
            <color indexed="81"/>
            <rFont val="Tahoma"/>
            <family val="2"/>
          </rPr>
          <t>Cyndy Kelchner:</t>
        </r>
        <r>
          <rPr>
            <sz val="9"/>
            <color indexed="81"/>
            <rFont val="Tahoma"/>
            <family val="2"/>
          </rPr>
          <t xml:space="preserve">
For NSF budget entry. Includes Tuition and Other costs, but does </t>
        </r>
        <r>
          <rPr>
            <b/>
            <sz val="9"/>
            <color indexed="81"/>
            <rFont val="Tahoma"/>
            <family val="2"/>
          </rPr>
          <t>NOT</t>
        </r>
        <r>
          <rPr>
            <sz val="9"/>
            <color indexed="81"/>
            <rFont val="Tahoma"/>
            <family val="2"/>
          </rPr>
          <t xml:space="preserve"> include Materials &amp; Supplies, Publication Costs, Consultants, Computer Services since those are entered separately. </t>
        </r>
      </text>
    </comment>
    <comment ref="EK286" authorId="0" shapeId="0" xr:uid="{F4335AB2-3EE8-4DE6-8707-12877BED6045}">
      <text>
        <r>
          <rPr>
            <b/>
            <sz val="9"/>
            <color indexed="81"/>
            <rFont val="Tahoma"/>
            <family val="2"/>
          </rPr>
          <t>Cyndy Kelchner:</t>
        </r>
        <r>
          <rPr>
            <sz val="9"/>
            <color indexed="81"/>
            <rFont val="Tahoma"/>
            <family val="2"/>
          </rPr>
          <t xml:space="preserve">
For NSF budget entry. Includes Tuition and Other costs, but does </t>
        </r>
        <r>
          <rPr>
            <b/>
            <sz val="9"/>
            <color indexed="81"/>
            <rFont val="Tahoma"/>
            <family val="2"/>
          </rPr>
          <t>NOT</t>
        </r>
        <r>
          <rPr>
            <sz val="9"/>
            <color indexed="81"/>
            <rFont val="Tahoma"/>
            <family val="2"/>
          </rPr>
          <t xml:space="preserve"> include Materials &amp; Supplies, Publication Costs, Consultants, Computer Services since those are entered separately. </t>
        </r>
      </text>
    </comment>
    <comment ref="C287" authorId="0" shapeId="0" xr:uid="{D8C192EC-60C6-4B9F-AFC4-989DE0F42E20}">
      <text>
        <r>
          <rPr>
            <b/>
            <sz val="9"/>
            <color indexed="81"/>
            <rFont val="Tahoma"/>
            <family val="2"/>
          </rPr>
          <t>Cyndy Kelchner:</t>
        </r>
        <r>
          <rPr>
            <sz val="9"/>
            <color indexed="81"/>
            <rFont val="Tahoma"/>
            <family val="2"/>
          </rPr>
          <t xml:space="preserve">
Sum of all Other Direct Costs except for Tuition and Subawards. Not needed for NSF budget entry.</t>
        </r>
      </text>
    </comment>
    <comment ref="EK287" authorId="0" shapeId="0" xr:uid="{C51ED698-2B6F-4098-AEBD-39976D475429}">
      <text>
        <r>
          <rPr>
            <b/>
            <sz val="9"/>
            <color indexed="81"/>
            <rFont val="Tahoma"/>
            <family val="2"/>
          </rPr>
          <t>Cyndy Kelchner:</t>
        </r>
        <r>
          <rPr>
            <sz val="9"/>
            <color indexed="81"/>
            <rFont val="Tahoma"/>
            <family val="2"/>
          </rPr>
          <t xml:space="preserve">
Sum of all Other Direct Costs except for Tuition and Subawards. Not needed for NSF budget entry.</t>
        </r>
      </text>
    </comment>
    <comment ref="BJ290" authorId="0" shapeId="0" xr:uid="{00000000-0006-0000-0100-00000B000000}">
      <text>
        <r>
          <rPr>
            <b/>
            <sz val="9"/>
            <color indexed="81"/>
            <rFont val="Tahoma"/>
            <family val="2"/>
          </rPr>
          <t>Cyndy Kelchner:</t>
        </r>
        <r>
          <rPr>
            <sz val="9"/>
            <color indexed="81"/>
            <rFont val="Tahoma"/>
            <family val="2"/>
          </rPr>
          <t xml:space="preserve">
Total cost share. Automatically excludes non-OSU sources from the unrecovered F&amp;A calculations, assuming that OSU sources are selected from dropdown list of Units. </t>
        </r>
      </text>
    </comment>
    <comment ref="GR290" authorId="0" shapeId="0" xr:uid="{4478A15E-1C36-44C7-BB1E-5BDF3C5ED6DA}">
      <text>
        <r>
          <rPr>
            <b/>
            <sz val="9"/>
            <color indexed="81"/>
            <rFont val="Tahoma"/>
            <family val="2"/>
          </rPr>
          <t>Cyndy Kelchner:</t>
        </r>
        <r>
          <rPr>
            <sz val="9"/>
            <color indexed="81"/>
            <rFont val="Tahoma"/>
            <family val="2"/>
          </rPr>
          <t xml:space="preserve">
Total cost share. Automatically excludes non-OSU sources from the unrecovered F&amp;A calculations, assuming that OSU sources are selected from dropdown list of Units. </t>
        </r>
      </text>
    </comment>
    <comment ref="D292" authorId="0" shapeId="0" xr:uid="{00000000-0006-0000-0100-00000C000000}">
      <text>
        <r>
          <rPr>
            <b/>
            <sz val="9"/>
            <color indexed="81"/>
            <rFont val="Tahoma"/>
            <family val="2"/>
          </rPr>
          <t>Cyndy Kelchner:</t>
        </r>
        <r>
          <rPr>
            <sz val="9"/>
            <color indexed="81"/>
            <rFont val="Tahoma"/>
            <family val="2"/>
          </rPr>
          <t xml:space="preserve">
Total Direct Costs only excludes subaward amounts &gt; $25k.</t>
        </r>
      </text>
    </comment>
    <comment ref="N292" authorId="0" shapeId="0" xr:uid="{00000000-0006-0000-0100-00000D000000}">
      <text>
        <r>
          <rPr>
            <b/>
            <sz val="9"/>
            <color indexed="81"/>
            <rFont val="Tahoma"/>
            <family val="2"/>
          </rPr>
          <t>Cyndy Kelchner:</t>
        </r>
        <r>
          <rPr>
            <sz val="9"/>
            <color indexed="81"/>
            <rFont val="Tahoma"/>
            <family val="2"/>
          </rPr>
          <t xml:space="preserve">
Total Direct Costs only excludes subaward amounts &gt; $25k.</t>
        </r>
      </text>
    </comment>
    <comment ref="BJ292" authorId="0" shapeId="0" xr:uid="{00000000-0006-0000-0100-00000E000000}">
      <text>
        <r>
          <rPr>
            <b/>
            <sz val="9"/>
            <color indexed="81"/>
            <rFont val="Tahoma"/>
            <family val="2"/>
          </rPr>
          <t>Cyndy Kelchner:</t>
        </r>
        <r>
          <rPr>
            <sz val="9"/>
            <color indexed="81"/>
            <rFont val="Tahoma"/>
            <family val="2"/>
          </rPr>
          <t xml:space="preserve">
Total Direct Costs only excludes subaward amounts &gt; $25k.</t>
        </r>
      </text>
    </comment>
    <comment ref="EL292" authorId="0" shapeId="0" xr:uid="{51BB5733-52B0-4BA8-BACC-64141ECAA675}">
      <text>
        <r>
          <rPr>
            <b/>
            <sz val="9"/>
            <color indexed="81"/>
            <rFont val="Tahoma"/>
            <family val="2"/>
          </rPr>
          <t>Cyndy Kelchner:</t>
        </r>
        <r>
          <rPr>
            <sz val="9"/>
            <color indexed="81"/>
            <rFont val="Tahoma"/>
            <family val="2"/>
          </rPr>
          <t xml:space="preserve">
Total Direct Costs only excludes subaward amounts &gt; $25k.</t>
        </r>
      </text>
    </comment>
    <comment ref="EV292" authorId="0" shapeId="0" xr:uid="{0C705F89-04C4-4700-BB8F-1FBFC6ED4574}">
      <text>
        <r>
          <rPr>
            <b/>
            <sz val="9"/>
            <color indexed="81"/>
            <rFont val="Tahoma"/>
            <family val="2"/>
          </rPr>
          <t>Cyndy Kelchner:</t>
        </r>
        <r>
          <rPr>
            <sz val="9"/>
            <color indexed="81"/>
            <rFont val="Tahoma"/>
            <family val="2"/>
          </rPr>
          <t xml:space="preserve">
Total Direct Costs only excludes subaward amounts &gt; $25k.</t>
        </r>
      </text>
    </comment>
    <comment ref="GR292" authorId="0" shapeId="0" xr:uid="{847623B8-B8BE-411B-B279-64B7C29A2755}">
      <text>
        <r>
          <rPr>
            <b/>
            <sz val="9"/>
            <color indexed="81"/>
            <rFont val="Tahoma"/>
            <family val="2"/>
          </rPr>
          <t>Cyndy Kelchner:</t>
        </r>
        <r>
          <rPr>
            <sz val="9"/>
            <color indexed="81"/>
            <rFont val="Tahoma"/>
            <family val="2"/>
          </rPr>
          <t xml:space="preserve">
Total Direct Costs only excludes subaward amounts &gt; $25k.</t>
        </r>
      </text>
    </comment>
    <comment ref="BJ293" authorId="0" shapeId="0" xr:uid="{00000000-0006-0000-0100-00000F000000}">
      <text>
        <r>
          <rPr>
            <b/>
            <sz val="9"/>
            <color indexed="81"/>
            <rFont val="Tahoma"/>
            <family val="2"/>
          </rPr>
          <t>Cyndy Kelchner:</t>
        </r>
        <r>
          <rPr>
            <sz val="9"/>
            <color indexed="81"/>
            <rFont val="Tahoma"/>
            <family val="2"/>
          </rPr>
          <t xml:space="preserve">
Unrecovered F&amp;A = difference between IDCs allowed and the IDCs calculated using OSU's full F&amp;A rate, for both sponsor funds and OSU cost share funds.</t>
        </r>
      </text>
    </comment>
    <comment ref="BR293" authorId="0" shapeId="0" xr:uid="{00000000-0006-0000-0100-000010000000}">
      <text>
        <r>
          <rPr>
            <b/>
            <sz val="9"/>
            <color indexed="81"/>
            <rFont val="Tahoma"/>
            <family val="2"/>
          </rPr>
          <t>Cyndy Kelchner:</t>
        </r>
        <r>
          <rPr>
            <sz val="9"/>
            <color indexed="81"/>
            <rFont val="Tahoma"/>
            <family val="2"/>
          </rPr>
          <t xml:space="preserve">
Includes cost share IDCs at sponsor-limited rate plus total unrecovered F&amp;A for both cost share and sponsor funds. </t>
        </r>
      </text>
    </comment>
    <comment ref="BX293" authorId="0" shapeId="0" xr:uid="{00000000-0006-0000-0100-000011000000}">
      <text>
        <r>
          <rPr>
            <b/>
            <sz val="9"/>
            <color indexed="81"/>
            <rFont val="Tahoma"/>
            <family val="2"/>
          </rPr>
          <t>Cyndy Kelchner:</t>
        </r>
        <r>
          <rPr>
            <sz val="9"/>
            <color indexed="81"/>
            <rFont val="Tahoma"/>
            <family val="2"/>
          </rPr>
          <t xml:space="preserve">
Includes cost share IDCs at sponsor-limited rate plus total unrecovered F&amp;A for both cost share and sponsor funds. </t>
        </r>
      </text>
    </comment>
    <comment ref="GR293" authorId="0" shapeId="0" xr:uid="{3537E73A-CDA0-4A4C-BC13-C9C02629B3F7}">
      <text>
        <r>
          <rPr>
            <b/>
            <sz val="9"/>
            <color indexed="81"/>
            <rFont val="Tahoma"/>
            <family val="2"/>
          </rPr>
          <t>Cyndy Kelchner:</t>
        </r>
        <r>
          <rPr>
            <sz val="9"/>
            <color indexed="81"/>
            <rFont val="Tahoma"/>
            <family val="2"/>
          </rPr>
          <t xml:space="preserve">
Unrecovered F&amp;A = difference between IDCs allowed and the IDCs calculated using OSU's full F&amp;A rate, for both sponsor funds and OSU cost share funds.</t>
        </r>
      </text>
    </comment>
    <comment ref="GZ293" authorId="0" shapeId="0" xr:uid="{434EBABE-14BF-4FAC-9E3B-5F4CDCC51FE1}">
      <text>
        <r>
          <rPr>
            <b/>
            <sz val="9"/>
            <color indexed="81"/>
            <rFont val="Tahoma"/>
            <family val="2"/>
          </rPr>
          <t>Cyndy Kelchner:</t>
        </r>
        <r>
          <rPr>
            <sz val="9"/>
            <color indexed="81"/>
            <rFont val="Tahoma"/>
            <family val="2"/>
          </rPr>
          <t xml:space="preserve">
Includes cost share IDCs at sponsor-limited rate plus total unrecovered F&amp;A for both cost share and sponsor funds. </t>
        </r>
      </text>
    </comment>
    <comment ref="HF293" authorId="0" shapeId="0" xr:uid="{17BC7DC2-F6F2-4525-8BEF-25C3E425BB95}">
      <text>
        <r>
          <rPr>
            <b/>
            <sz val="9"/>
            <color indexed="81"/>
            <rFont val="Tahoma"/>
            <family val="2"/>
          </rPr>
          <t>Cyndy Kelchner:</t>
        </r>
        <r>
          <rPr>
            <sz val="9"/>
            <color indexed="81"/>
            <rFont val="Tahoma"/>
            <family val="2"/>
          </rPr>
          <t xml:space="preserve">
Includes cost share IDCs at sponsor-limited rate plus total unrecovered F&amp;A for both cost share and sponsor funds. </t>
        </r>
      </text>
    </comment>
    <comment ref="BJ294" authorId="0" shapeId="0" xr:uid="{00000000-0006-0000-0100-000012000000}">
      <text>
        <r>
          <rPr>
            <b/>
            <sz val="9"/>
            <color indexed="81"/>
            <rFont val="Tahoma"/>
            <family val="2"/>
          </rPr>
          <t>Cyndy Kelchner:</t>
        </r>
        <r>
          <rPr>
            <sz val="9"/>
            <color indexed="81"/>
            <rFont val="Tahoma"/>
            <family val="2"/>
          </rPr>
          <t xml:space="preserve">
If you do NOT want to include unrecovered indirect costs, </t>
        </r>
        <r>
          <rPr>
            <b/>
            <sz val="9"/>
            <color indexed="81"/>
            <rFont val="Tahoma"/>
            <family val="2"/>
          </rPr>
          <t>enter NO on Data Input tab</t>
        </r>
        <r>
          <rPr>
            <sz val="9"/>
            <color indexed="81"/>
            <rFont val="Tahoma"/>
            <family val="2"/>
          </rPr>
          <t xml:space="preserve"> (right after F&amp;A rate entry).</t>
        </r>
      </text>
    </comment>
    <comment ref="GR294" authorId="0" shapeId="0" xr:uid="{B8D15B6B-9630-47E9-9452-27E29B264679}">
      <text>
        <r>
          <rPr>
            <b/>
            <sz val="9"/>
            <color indexed="81"/>
            <rFont val="Tahoma"/>
            <family val="2"/>
          </rPr>
          <t>Cyndy Kelchner:</t>
        </r>
        <r>
          <rPr>
            <sz val="9"/>
            <color indexed="81"/>
            <rFont val="Tahoma"/>
            <family val="2"/>
          </rPr>
          <t xml:space="preserve">
If you do NOT want to include unrecovered indirect costs, </t>
        </r>
        <r>
          <rPr>
            <b/>
            <sz val="9"/>
            <color indexed="81"/>
            <rFont val="Tahoma"/>
            <family val="2"/>
          </rPr>
          <t>enter NO on Data Input tab</t>
        </r>
        <r>
          <rPr>
            <sz val="9"/>
            <color indexed="81"/>
            <rFont val="Tahoma"/>
            <family val="2"/>
          </rPr>
          <t xml:space="preserve"> (right after F&amp;A rate entry).</t>
        </r>
      </text>
    </comment>
    <comment ref="BY295" authorId="0" shapeId="0" xr:uid="{00000000-0006-0000-0100-000013000000}">
      <text>
        <r>
          <rPr>
            <b/>
            <sz val="9"/>
            <color indexed="81"/>
            <rFont val="Tahoma"/>
            <family val="2"/>
          </rPr>
          <t>Cyndy Kelchner:</t>
        </r>
        <r>
          <rPr>
            <sz val="9"/>
            <color indexed="81"/>
            <rFont val="Tahoma"/>
            <family val="2"/>
          </rPr>
          <t xml:space="preserve">
Total Project Cost includes sponsor funds, all cost share funds, and any FFRDC funds to be awarded directly from sponsor.</t>
        </r>
      </text>
    </comment>
    <comment ref="HG295" authorId="0" shapeId="0" xr:uid="{DC0FB2C6-98CE-4DC9-BB28-08D6347AD8F5}">
      <text>
        <r>
          <rPr>
            <b/>
            <sz val="9"/>
            <color indexed="81"/>
            <rFont val="Tahoma"/>
            <family val="2"/>
          </rPr>
          <t>Cyndy Kelchner:</t>
        </r>
        <r>
          <rPr>
            <sz val="9"/>
            <color indexed="81"/>
            <rFont val="Tahoma"/>
            <family val="2"/>
          </rPr>
          <t xml:space="preserve">
Total Project Cost includes sponsor funds, all cost share funds, and any FFRDC funds to be awarded directly from sponsor </t>
        </r>
        <r>
          <rPr>
            <b/>
            <u/>
            <sz val="9"/>
            <color indexed="81"/>
            <rFont val="Tahoma"/>
            <family val="2"/>
          </rPr>
          <t>THIS CELL REQUIRES MANUAL FORMULA CHANGE TO POINT AT THE RIGHT CELLS</t>
        </r>
      </text>
    </comment>
    <comment ref="C296" authorId="3" shapeId="0" xr:uid="{38B50A9B-17CB-4C8B-827E-3AD3CAB95614}">
      <text>
        <t>[Threaded comment]
Your version of Excel allows you to read this threaded comment; however, any edits to it will get removed if the file is opened in a newer version of Excel. Learn more: https://go.microsoft.com/fwlink/?linkid=870924
Comment:
    This section is only filled out if you select YES use Unrecovered Indirect Costs, on the Data Input tab.</t>
      </text>
    </comment>
    <comment ref="BY296" authorId="0" shapeId="0" xr:uid="{00000000-0006-0000-0100-000014000000}">
      <text>
        <r>
          <rPr>
            <b/>
            <sz val="9"/>
            <color indexed="81"/>
            <rFont val="Tahoma"/>
            <family val="2"/>
          </rPr>
          <t>Cyndy Kelchner:</t>
        </r>
        <r>
          <rPr>
            <sz val="9"/>
            <color indexed="81"/>
            <rFont val="Tahoma"/>
            <family val="2"/>
          </rPr>
          <t xml:space="preserve">
Includes FFRDC per year if cost share based on Total Project Costs.</t>
        </r>
      </text>
    </comment>
    <comment ref="HG296" authorId="0" shapeId="0" xr:uid="{A553F084-5A31-438E-A0BC-7F7E1B8C00AA}">
      <text>
        <r>
          <rPr>
            <b/>
            <sz val="9"/>
            <color indexed="81"/>
            <rFont val="Tahoma"/>
            <family val="2"/>
          </rPr>
          <t>Cyndy Kelchner:</t>
        </r>
        <r>
          <rPr>
            <sz val="9"/>
            <color indexed="81"/>
            <rFont val="Tahoma"/>
            <family val="2"/>
          </rPr>
          <t xml:space="preserve">
Includes FFRDC per year if cost share based on Total Project Costs.</t>
        </r>
      </text>
    </comment>
    <comment ref="C297" authorId="0" shapeId="0" xr:uid="{00000000-0006-0000-0100-000015000000}">
      <text>
        <r>
          <rPr>
            <b/>
            <sz val="9"/>
            <color indexed="81"/>
            <rFont val="Tahoma"/>
            <family val="2"/>
          </rPr>
          <t>Cyndy Kelchner:</t>
        </r>
        <r>
          <rPr>
            <sz val="9"/>
            <color indexed="81"/>
            <rFont val="Tahoma"/>
            <family val="2"/>
          </rPr>
          <t xml:space="preserve">
Calculated on MTDC at current OSU federally negotiated F&amp;A rate</t>
        </r>
      </text>
    </comment>
    <comment ref="D297" authorId="0" shapeId="0" xr:uid="{9B3278C6-2670-4831-9596-C31A5637603D}">
      <text>
        <r>
          <rPr>
            <b/>
            <sz val="9"/>
            <color indexed="81"/>
            <rFont val="Tahoma"/>
            <family val="2"/>
          </rPr>
          <t>Cyndy Kelchner:</t>
        </r>
        <r>
          <rPr>
            <sz val="9"/>
            <color indexed="81"/>
            <rFont val="Tahoma"/>
            <family val="2"/>
          </rPr>
          <t xml:space="preserve">
If you do NOT want to include unrecovered indirect costs, </t>
        </r>
        <r>
          <rPr>
            <b/>
            <sz val="9"/>
            <color indexed="81"/>
            <rFont val="Tahoma"/>
            <family val="2"/>
          </rPr>
          <t>enter NO on Data Input tab</t>
        </r>
        <r>
          <rPr>
            <sz val="9"/>
            <color indexed="81"/>
            <rFont val="Tahoma"/>
            <family val="2"/>
          </rPr>
          <t xml:space="preserve"> (right after F&amp;A rate entry).</t>
        </r>
      </text>
    </comment>
    <comment ref="J297" authorId="0" shapeId="0" xr:uid="{00000000-0006-0000-0100-000017000000}">
      <text>
        <r>
          <rPr>
            <b/>
            <sz val="9"/>
            <color indexed="81"/>
            <rFont val="Tahoma"/>
            <family val="2"/>
          </rPr>
          <t>Cyndy Kelchner:</t>
        </r>
        <r>
          <rPr>
            <sz val="9"/>
            <color indexed="81"/>
            <rFont val="Tahoma"/>
            <family val="2"/>
          </rPr>
          <t xml:space="preserve">
If you do NOT want to include unrecovered indirects as cost share in the budget, zero out this line (columns D-J).</t>
        </r>
      </text>
    </comment>
    <comment ref="N297" authorId="0" shapeId="0" xr:uid="{00000000-0006-0000-0100-000018000000}">
      <text>
        <r>
          <rPr>
            <b/>
            <sz val="9"/>
            <color indexed="81"/>
            <rFont val="Tahoma"/>
            <family val="2"/>
          </rPr>
          <t>Cyndy Kelchner:</t>
        </r>
        <r>
          <rPr>
            <sz val="9"/>
            <color indexed="81"/>
            <rFont val="Tahoma"/>
            <family val="2"/>
          </rPr>
          <t xml:space="preserve">
Calculated using MTDC at current OSU federally negotiated F&amp;A rate</t>
        </r>
      </text>
    </comment>
    <comment ref="BJ297" authorId="0" shapeId="0" xr:uid="{00000000-0006-0000-0100-000019000000}">
      <text>
        <r>
          <rPr>
            <b/>
            <sz val="9"/>
            <color indexed="81"/>
            <rFont val="Tahoma"/>
            <family val="2"/>
          </rPr>
          <t>Cyndy Kelchner:</t>
        </r>
        <r>
          <rPr>
            <sz val="9"/>
            <color indexed="81"/>
            <rFont val="Tahoma"/>
            <family val="2"/>
          </rPr>
          <t xml:space="preserve">
Calculated using MTDC at current OSU federally negotiated F&amp;A rate</t>
        </r>
      </text>
    </comment>
    <comment ref="BY297" authorId="0" shapeId="0" xr:uid="{00000000-0006-0000-0100-00001A000000}">
      <text>
        <r>
          <rPr>
            <b/>
            <sz val="9"/>
            <color indexed="81"/>
            <rFont val="Tahoma"/>
            <family val="2"/>
          </rPr>
          <t>Cyndy Kelchner:</t>
        </r>
        <r>
          <rPr>
            <sz val="9"/>
            <color indexed="81"/>
            <rFont val="Tahoma"/>
            <family val="2"/>
          </rPr>
          <t xml:space="preserve">
Does not include FFRDC costs (not relevant if cost share is based on Sponsor Costs only). </t>
        </r>
      </text>
    </comment>
    <comment ref="EK297" authorId="0" shapeId="0" xr:uid="{FD64B11E-7BA9-4EBF-8B23-958320E2B454}">
      <text>
        <r>
          <rPr>
            <b/>
            <sz val="9"/>
            <color indexed="81"/>
            <rFont val="Tahoma"/>
            <family val="2"/>
          </rPr>
          <t>Cyndy Kelchner:</t>
        </r>
        <r>
          <rPr>
            <sz val="9"/>
            <color indexed="81"/>
            <rFont val="Tahoma"/>
            <family val="2"/>
          </rPr>
          <t xml:space="preserve">
Calculated on MTDC at current OSU federally negotiated F&amp;A rate</t>
        </r>
      </text>
    </comment>
    <comment ref="EL297" authorId="0" shapeId="0" xr:uid="{7D0A8BD3-8DF7-4704-82BB-99CBED0C9EBB}">
      <text>
        <r>
          <rPr>
            <b/>
            <sz val="9"/>
            <color indexed="81"/>
            <rFont val="Tahoma"/>
            <family val="2"/>
          </rPr>
          <t>Cyndy Kelchner:</t>
        </r>
        <r>
          <rPr>
            <sz val="9"/>
            <color indexed="81"/>
            <rFont val="Tahoma"/>
            <family val="2"/>
          </rPr>
          <t xml:space="preserve">
If you do NOT want to include unrecovered indirects as cost share in the budget, zero out this line (columns D-J).</t>
        </r>
      </text>
    </comment>
    <comment ref="ER297" authorId="0" shapeId="0" xr:uid="{C47994D9-B9C2-40B7-A49D-7FCA593C64E9}">
      <text>
        <r>
          <rPr>
            <b/>
            <sz val="9"/>
            <color indexed="81"/>
            <rFont val="Tahoma"/>
            <family val="2"/>
          </rPr>
          <t>Cyndy Kelchner:</t>
        </r>
        <r>
          <rPr>
            <sz val="9"/>
            <color indexed="81"/>
            <rFont val="Tahoma"/>
            <family val="2"/>
          </rPr>
          <t xml:space="preserve">
If you do NOT want to include unrecovered indirects as cost share in the budget, zero out this line (columns D-J).</t>
        </r>
      </text>
    </comment>
    <comment ref="EV297" authorId="0" shapeId="0" xr:uid="{6614E273-18DF-4A07-B2E4-8BBF60A31091}">
      <text>
        <r>
          <rPr>
            <b/>
            <sz val="9"/>
            <color indexed="81"/>
            <rFont val="Tahoma"/>
            <family val="2"/>
          </rPr>
          <t>Cyndy Kelchner:</t>
        </r>
        <r>
          <rPr>
            <sz val="9"/>
            <color indexed="81"/>
            <rFont val="Tahoma"/>
            <family val="2"/>
          </rPr>
          <t xml:space="preserve">
Calculated using MTDC at current OSU federally negotiated F&amp;A rate</t>
        </r>
      </text>
    </comment>
    <comment ref="GR297" authorId="0" shapeId="0" xr:uid="{60F47B64-946B-4F53-B5ED-35A46AE9A48F}">
      <text>
        <r>
          <rPr>
            <b/>
            <sz val="9"/>
            <color indexed="81"/>
            <rFont val="Tahoma"/>
            <family val="2"/>
          </rPr>
          <t>Cyndy Kelchner:</t>
        </r>
        <r>
          <rPr>
            <sz val="9"/>
            <color indexed="81"/>
            <rFont val="Tahoma"/>
            <family val="2"/>
          </rPr>
          <t xml:space="preserve">
Calculated using MTDC at current OSU federally negotiated F&amp;A rate</t>
        </r>
      </text>
    </comment>
    <comment ref="HG297" authorId="0" shapeId="0" xr:uid="{F2C0B992-7432-407F-9918-1A72D4597D96}">
      <text>
        <r>
          <rPr>
            <b/>
            <sz val="9"/>
            <color indexed="81"/>
            <rFont val="Tahoma"/>
            <family val="2"/>
          </rPr>
          <t>Cyndy Kelchner:</t>
        </r>
        <r>
          <rPr>
            <sz val="9"/>
            <color indexed="81"/>
            <rFont val="Tahoma"/>
            <family val="2"/>
          </rPr>
          <t xml:space="preserve">
Does not include FFRDC costs (not relevant if cost share is based on Sponsor Costs only). </t>
        </r>
      </text>
    </comment>
    <comment ref="C298" authorId="0" shapeId="0" xr:uid="{00000000-0006-0000-0100-00001B000000}">
      <text>
        <r>
          <rPr>
            <b/>
            <sz val="9"/>
            <color indexed="81"/>
            <rFont val="Tahoma"/>
            <family val="2"/>
          </rPr>
          <t>Cyndy Kelchner:</t>
        </r>
        <r>
          <rPr>
            <sz val="9"/>
            <color indexed="81"/>
            <rFont val="Tahoma"/>
            <family val="2"/>
          </rPr>
          <t xml:space="preserve">
Calculated using sponsor-limited F&amp;A rate and basis for this proposal, if applicable.</t>
        </r>
      </text>
    </comment>
    <comment ref="BJ298" authorId="0" shapeId="0" xr:uid="{00000000-0006-0000-0100-00001C000000}">
      <text>
        <r>
          <rPr>
            <b/>
            <sz val="9"/>
            <color indexed="81"/>
            <rFont val="Tahoma"/>
            <family val="2"/>
          </rPr>
          <t>Cyndy Kelchner:</t>
        </r>
        <r>
          <rPr>
            <sz val="9"/>
            <color indexed="81"/>
            <rFont val="Tahoma"/>
            <family val="2"/>
          </rPr>
          <t xml:space="preserve">
Automatically excludes non-OSU sources from the unrecovered F&amp;A calculations, assuming that OSU sources are selected from dropdown list of Units. </t>
        </r>
      </text>
    </comment>
    <comment ref="EK298" authorId="0" shapeId="0" xr:uid="{516404CA-606E-4154-971E-AEADA7133079}">
      <text>
        <r>
          <rPr>
            <b/>
            <sz val="9"/>
            <color indexed="81"/>
            <rFont val="Tahoma"/>
            <family val="2"/>
          </rPr>
          <t>Cyndy Kelchner:</t>
        </r>
        <r>
          <rPr>
            <sz val="9"/>
            <color indexed="81"/>
            <rFont val="Tahoma"/>
            <family val="2"/>
          </rPr>
          <t xml:space="preserve">
Calculated using sponsor-limited F&amp;A rate and basis for this proposal, if applicable.</t>
        </r>
      </text>
    </comment>
    <comment ref="GR298" authorId="0" shapeId="0" xr:uid="{98B93FD9-18AC-4912-A4AA-1C87E2F2BF96}">
      <text>
        <r>
          <rPr>
            <b/>
            <sz val="9"/>
            <color indexed="81"/>
            <rFont val="Tahoma"/>
            <family val="2"/>
          </rPr>
          <t>Cyndy Kelchner:</t>
        </r>
        <r>
          <rPr>
            <sz val="9"/>
            <color indexed="81"/>
            <rFont val="Tahoma"/>
            <family val="2"/>
          </rPr>
          <t xml:space="preserve">
Automatically excludes non-OSU sources from the unrecovered F&amp;A calculations, assuming that OSU sources are selected from dropdown list of Units. </t>
        </r>
      </text>
    </comment>
    <comment ref="D299" authorId="0" shapeId="0" xr:uid="{E9DC2282-C7C8-4615-B85D-E1E4886D7885}">
      <text>
        <r>
          <rPr>
            <b/>
            <sz val="9"/>
            <color indexed="81"/>
            <rFont val="Tahoma"/>
            <family val="2"/>
          </rPr>
          <t>Cyndy Kelchner:</t>
        </r>
        <r>
          <rPr>
            <sz val="9"/>
            <color indexed="81"/>
            <rFont val="Tahoma"/>
            <family val="2"/>
          </rPr>
          <t xml:space="preserve">
If you do NOT want to include unrecovered indirect costs, </t>
        </r>
        <r>
          <rPr>
            <b/>
            <sz val="9"/>
            <color indexed="81"/>
            <rFont val="Tahoma"/>
            <family val="2"/>
          </rPr>
          <t>enter NO on Data Input tab</t>
        </r>
        <r>
          <rPr>
            <sz val="9"/>
            <color indexed="81"/>
            <rFont val="Tahoma"/>
            <family val="2"/>
          </rPr>
          <t xml:space="preserve"> (right after F&amp;A rate entry).</t>
        </r>
      </text>
    </comment>
    <comment ref="BJ299" authorId="0" shapeId="0" xr:uid="{09DD9D77-6757-4DB0-93A7-6E3B0D83BBC9}">
      <text>
        <r>
          <rPr>
            <b/>
            <sz val="9"/>
            <color indexed="81"/>
            <rFont val="Tahoma"/>
            <family val="2"/>
          </rPr>
          <t>Cyndy Kelchner:</t>
        </r>
        <r>
          <rPr>
            <sz val="9"/>
            <color indexed="81"/>
            <rFont val="Tahoma"/>
            <family val="2"/>
          </rPr>
          <t xml:space="preserve">
If you do NOT want to include unrecovered indirect costs, </t>
        </r>
        <r>
          <rPr>
            <b/>
            <sz val="9"/>
            <color indexed="81"/>
            <rFont val="Tahoma"/>
            <family val="2"/>
          </rPr>
          <t>enter NO on Data Input tab</t>
        </r>
        <r>
          <rPr>
            <sz val="9"/>
            <color indexed="81"/>
            <rFont val="Tahoma"/>
            <family val="2"/>
          </rPr>
          <t xml:space="preserve"> (right after F&amp;A rate entry).</t>
        </r>
      </text>
    </comment>
    <comment ref="GR299" authorId="0" shapeId="0" xr:uid="{8FBE9861-52A1-4665-90AA-87B4C6605740}">
      <text>
        <r>
          <rPr>
            <b/>
            <sz val="9"/>
            <color indexed="81"/>
            <rFont val="Tahoma"/>
            <family val="2"/>
          </rPr>
          <t>Cyndy Kelchner:</t>
        </r>
        <r>
          <rPr>
            <sz val="9"/>
            <color indexed="81"/>
            <rFont val="Tahoma"/>
            <family val="2"/>
          </rPr>
          <t xml:space="preserve">
If you do NOT want to include unrecovered indirect costs, </t>
        </r>
        <r>
          <rPr>
            <b/>
            <sz val="9"/>
            <color indexed="81"/>
            <rFont val="Tahoma"/>
            <family val="2"/>
          </rPr>
          <t>enter NO on Data Input tab</t>
        </r>
        <r>
          <rPr>
            <sz val="9"/>
            <color indexed="81"/>
            <rFont val="Tahoma"/>
            <family val="2"/>
          </rPr>
          <t xml:space="preserve"> (right after F&amp;A rate entry).</t>
        </r>
      </text>
    </comment>
    <comment ref="BJ301" authorId="0" shapeId="0" xr:uid="{00000000-0006-0000-0100-00001D000000}">
      <text>
        <r>
          <rPr>
            <b/>
            <sz val="9"/>
            <color indexed="81"/>
            <rFont val="Tahoma"/>
            <family val="2"/>
          </rPr>
          <t>Cyndy Kelchner:</t>
        </r>
        <r>
          <rPr>
            <sz val="9"/>
            <color indexed="81"/>
            <rFont val="Tahoma"/>
            <family val="2"/>
          </rPr>
          <t xml:space="preserve">
Calculated using MTDC at current OSU federally negotiated F&amp;A rate</t>
        </r>
      </text>
    </comment>
    <comment ref="GR301" authorId="0" shapeId="0" xr:uid="{ECEB6FF4-F2E1-4901-9381-183624F9B3A1}">
      <text>
        <r>
          <rPr>
            <b/>
            <sz val="9"/>
            <color indexed="81"/>
            <rFont val="Tahoma"/>
            <family val="2"/>
          </rPr>
          <t>Cyndy Kelchner:</t>
        </r>
        <r>
          <rPr>
            <sz val="9"/>
            <color indexed="81"/>
            <rFont val="Tahoma"/>
            <family val="2"/>
          </rPr>
          <t xml:space="preserve">
Calculated using MTDC at current OSU federally negotiated F&amp;A rate</t>
        </r>
      </text>
    </comment>
    <comment ref="D302" authorId="0" shapeId="0" xr:uid="{00000000-0006-0000-0100-00001E000000}">
      <text>
        <r>
          <rPr>
            <b/>
            <sz val="9"/>
            <color indexed="81"/>
            <rFont val="Tahoma"/>
            <family val="2"/>
          </rPr>
          <t>Cyndy Kelchner:</t>
        </r>
        <r>
          <rPr>
            <sz val="9"/>
            <color indexed="81"/>
            <rFont val="Tahoma"/>
            <family val="2"/>
          </rPr>
          <t xml:space="preserve">
11/22/19: Check with Leah, is this summary table what she wanted?</t>
        </r>
      </text>
    </comment>
    <comment ref="BY302" authorId="0" shapeId="0" xr:uid="{00000000-0006-0000-0100-00001F000000}">
      <text>
        <r>
          <rPr>
            <b/>
            <sz val="9"/>
            <color indexed="81"/>
            <rFont val="Tahoma"/>
            <family val="2"/>
          </rPr>
          <t>Cyndy Kelchner:</t>
        </r>
        <r>
          <rPr>
            <sz val="9"/>
            <color indexed="81"/>
            <rFont val="Tahoma"/>
            <family val="2"/>
          </rPr>
          <t xml:space="preserve">
Includes FFRDC per year if cost share based on Total Project Costs.</t>
        </r>
      </text>
    </comment>
    <comment ref="EL302" authorId="0" shapeId="0" xr:uid="{8BFD8A12-5F85-4EEF-84EC-221AD1955E6A}">
      <text>
        <r>
          <rPr>
            <b/>
            <sz val="9"/>
            <color indexed="81"/>
            <rFont val="Tahoma"/>
            <family val="2"/>
          </rPr>
          <t>Cyndy Kelchner:</t>
        </r>
        <r>
          <rPr>
            <sz val="9"/>
            <color indexed="81"/>
            <rFont val="Tahoma"/>
            <family val="2"/>
          </rPr>
          <t xml:space="preserve">
11/22/19: Check with Leah, is this summary table what she wanted?</t>
        </r>
      </text>
    </comment>
    <comment ref="HG302" authorId="0" shapeId="0" xr:uid="{FA632C14-1B81-489D-BEB1-94328C2D9431}">
      <text>
        <r>
          <rPr>
            <b/>
            <sz val="9"/>
            <color indexed="81"/>
            <rFont val="Tahoma"/>
            <family val="2"/>
          </rPr>
          <t>Cyndy Kelchner:</t>
        </r>
        <r>
          <rPr>
            <sz val="9"/>
            <color indexed="81"/>
            <rFont val="Tahoma"/>
            <family val="2"/>
          </rPr>
          <t xml:space="preserve">
Includes FFRDC per year if cost share based on Total Project Costs.</t>
        </r>
      </text>
    </comment>
    <comment ref="N303" authorId="0" shapeId="0" xr:uid="{00000000-0006-0000-0100-000020000000}">
      <text>
        <r>
          <rPr>
            <b/>
            <sz val="9"/>
            <color indexed="81"/>
            <rFont val="Tahoma"/>
            <family val="2"/>
          </rPr>
          <t xml:space="preserve">Cyndy Kelchner 12/3/19:
</t>
        </r>
        <r>
          <rPr>
            <sz val="9"/>
            <color indexed="81"/>
            <rFont val="Tahoma"/>
            <family val="2"/>
          </rPr>
          <t xml:space="preserve">Cost Share Orgs autofill here from Data Input tab </t>
        </r>
        <r>
          <rPr>
            <u/>
            <sz val="9"/>
            <color indexed="81"/>
            <rFont val="Tahoma"/>
            <family val="2"/>
          </rPr>
          <t>for PI units only</t>
        </r>
        <r>
          <rPr>
            <sz val="9"/>
            <color indexed="81"/>
            <rFont val="Tahoma"/>
            <family val="2"/>
          </rPr>
          <t xml:space="preserve">, using an array formula. If additional units are listed for GAs or Other Personnel, need to add them manually in this column.
</t>
        </r>
        <r>
          <rPr>
            <b/>
            <sz val="9"/>
            <color indexed="81"/>
            <rFont val="Tahoma"/>
            <family val="2"/>
          </rPr>
          <t xml:space="preserve">Hit Ctrl-Shift-Enter if editing array formula </t>
        </r>
        <r>
          <rPr>
            <b/>
            <i/>
            <sz val="9"/>
            <color indexed="81"/>
            <rFont val="Tahoma"/>
            <family val="2"/>
          </rPr>
          <t>(not Enter).</t>
        </r>
        <r>
          <rPr>
            <sz val="9"/>
            <color indexed="81"/>
            <rFont val="Tahoma"/>
            <family val="2"/>
          </rPr>
          <t xml:space="preserve">
=IFERROR(INDEX('DATA INPUT'!$C$11:$C$25, MATCH(0,COUNTIF($N$249:N249,'DATA INPUT'!$C$11:$C$25)
+ IF('DATA INPUT'!$H$11:$H$25&lt;&gt;3,1,0)
* IF('DATA INPUT'!$V$11:$V$25&lt;&gt;3,1,0)
* IF('DATA INPUT'!$AD$11:$AD$25&lt;&gt;3,1,0),0)),"")
https://www.get-digital-help.com/how-to-create-a-unique-distinct-list-where-other-columns-meet-two-criteria/
https://www.ablebits.com/office-addins-blog/2016/04/21/get-list-unique-values-excel/#extract-distinct-ignore-blanks</t>
        </r>
      </text>
    </comment>
    <comment ref="EV303" authorId="0" shapeId="0" xr:uid="{CA6DF20F-D95D-41AC-AF99-1937FA65E1FB}">
      <text>
        <r>
          <rPr>
            <b/>
            <sz val="9"/>
            <color indexed="81"/>
            <rFont val="Tahoma"/>
            <family val="2"/>
          </rPr>
          <t xml:space="preserve">Cyndy Kelchner 12/3/19:
</t>
        </r>
        <r>
          <rPr>
            <sz val="9"/>
            <color indexed="81"/>
            <rFont val="Tahoma"/>
            <family val="2"/>
          </rPr>
          <t xml:space="preserve">Cost Share Orgs autofill here from Data Input tab </t>
        </r>
        <r>
          <rPr>
            <u/>
            <sz val="9"/>
            <color indexed="81"/>
            <rFont val="Tahoma"/>
            <family val="2"/>
          </rPr>
          <t>for PI units only</t>
        </r>
        <r>
          <rPr>
            <sz val="9"/>
            <color indexed="81"/>
            <rFont val="Tahoma"/>
            <family val="2"/>
          </rPr>
          <t xml:space="preserve">, using an array formula. If additional units are listed for GAs or Other Personnel, need to add them manually in this column.
</t>
        </r>
        <r>
          <rPr>
            <b/>
            <sz val="9"/>
            <color indexed="81"/>
            <rFont val="Tahoma"/>
            <family val="2"/>
          </rPr>
          <t xml:space="preserve">Hit Ctrl-Shift-Enter if editing array formula </t>
        </r>
        <r>
          <rPr>
            <b/>
            <i/>
            <sz val="9"/>
            <color indexed="81"/>
            <rFont val="Tahoma"/>
            <family val="2"/>
          </rPr>
          <t>(not Enter).</t>
        </r>
        <r>
          <rPr>
            <sz val="9"/>
            <color indexed="81"/>
            <rFont val="Tahoma"/>
            <family val="2"/>
          </rPr>
          <t xml:space="preserve">
=IFERROR(INDEX('DATA INPUT'!$C$11:$C$25, MATCH(0,COUNTIF($N$249:N249,'DATA INPUT'!$C$11:$C$25)
+ IF('DATA INPUT'!$H$11:$H$25&lt;&gt;3,1,0)
* IF('DATA INPUT'!$V$11:$V$25&lt;&gt;3,1,0)
* IF('DATA INPUT'!$AD$11:$AD$25&lt;&gt;3,1,0),0)),"")
https://www.get-digital-help.com/how-to-create-a-unique-distinct-list-where-other-columns-meet-two-criteria/
https://www.ablebits.com/office-addins-blog/2016/04/21/get-list-unique-values-excel/#extract-distinct-ignore-blanks</t>
        </r>
      </text>
    </comment>
    <comment ref="BR304" authorId="0" shapeId="0" xr:uid="{00000000-0006-0000-0100-000021000000}">
      <text>
        <r>
          <rPr>
            <b/>
            <sz val="9"/>
            <color indexed="81"/>
            <rFont val="Tahoma"/>
            <family val="2"/>
          </rPr>
          <t>Cyndy Kelchner:</t>
        </r>
        <r>
          <rPr>
            <sz val="9"/>
            <color indexed="81"/>
            <rFont val="Tahoma"/>
            <family val="2"/>
          </rPr>
          <t xml:space="preserve">
Complete this section for any FFRDC collaborator who will receive an award directly from the sponsor (not as a subaward from OSU) and is thus not listed elsewhere in OSU's budget.
FFRDCs (federally funded research and development centers) such as National Labs cannot provide cost share unless the contributions are paid directly from the contractor’s Management Fee or a non-Federal source. However, any</t>
        </r>
        <r>
          <rPr>
            <b/>
            <sz val="9"/>
            <color indexed="81"/>
            <rFont val="Tahoma"/>
            <family val="2"/>
          </rPr>
          <t xml:space="preserve"> FFRDC sponsor costs must be included in the Total Project Costs</t>
        </r>
        <r>
          <rPr>
            <sz val="9"/>
            <color indexed="81"/>
            <rFont val="Tahoma"/>
            <family val="2"/>
          </rPr>
          <t xml:space="preserve"> for purposes of calculating the required cost share percentage when based on Total Project Costs. </t>
        </r>
      </text>
    </comment>
    <comment ref="GZ304" authorId="0" shapeId="0" xr:uid="{2A923784-3AFC-44F8-AFAC-D9BF5E5BA42D}">
      <text>
        <r>
          <rPr>
            <b/>
            <sz val="9"/>
            <color indexed="81"/>
            <rFont val="Tahoma"/>
            <family val="2"/>
          </rPr>
          <t>Cyndy Kelchner:</t>
        </r>
        <r>
          <rPr>
            <sz val="9"/>
            <color indexed="81"/>
            <rFont val="Tahoma"/>
            <family val="2"/>
          </rPr>
          <t xml:space="preserve">
Complete this section for any FFRDC collaborator who will receive an award directly from the sponsor (not as a subaward from OSU) and is thus not listed elsewhere in OSU's budget.
FFRDCs (federally funded research and development centers) such as National Labs cannot provide cost share unless the contributions are paid directly from the contractor’s Management Fee or a non-Federal source. However, any</t>
        </r>
        <r>
          <rPr>
            <b/>
            <sz val="9"/>
            <color indexed="81"/>
            <rFont val="Tahoma"/>
            <family val="2"/>
          </rPr>
          <t xml:space="preserve"> FFRDC sponsor costs must be included in the Total Project Costs</t>
        </r>
        <r>
          <rPr>
            <sz val="9"/>
            <color indexed="81"/>
            <rFont val="Tahoma"/>
            <family val="2"/>
          </rPr>
          <t xml:space="preserve"> for purposes of calculating the required cost share percentage when based on Total Project Costs.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Cyndy Kelchner</author>
  </authors>
  <commentList>
    <comment ref="L37" authorId="0" shapeId="0" xr:uid="{00000000-0006-0000-0300-000001000000}">
      <text>
        <r>
          <rPr>
            <b/>
            <sz val="9"/>
            <color indexed="81"/>
            <rFont val="Tahoma"/>
            <family val="2"/>
          </rPr>
          <t>Cyndy Kelchner:</t>
        </r>
        <r>
          <rPr>
            <sz val="9"/>
            <color indexed="81"/>
            <rFont val="Tahoma"/>
            <family val="2"/>
          </rPr>
          <t xml:space="preserve">
Do NOT edit here. Linked to Budget tab.</t>
        </r>
      </text>
    </comment>
    <comment ref="B58" authorId="0" shapeId="0" xr:uid="{00000000-0006-0000-0300-000002000000}">
      <text>
        <r>
          <rPr>
            <b/>
            <sz val="9"/>
            <color indexed="81"/>
            <rFont val="Tahoma"/>
            <family val="2"/>
          </rPr>
          <t>Cyndy Kelchner:</t>
        </r>
        <r>
          <rPr>
            <sz val="9"/>
            <color indexed="81"/>
            <rFont val="Tahoma"/>
            <family val="2"/>
          </rPr>
          <t xml:space="preserve">
Link manually to the correct cost share org Period 1 column on Budget tab, then drag formula to fill rest of Periods. Repeat for other Subawards.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tc={E61F0940-531D-4215-BEAB-BCE348394D70}</author>
    <author>tc={2191D5F6-ED73-4E43-897C-4A01358BE21A}</author>
    <author>tc={7362D217-B3C8-4D15-BE74-688F13BE9E4E}</author>
    <author>tc={5068DE7E-17A1-45E1-BB27-8C362EF5C481}</author>
    <author>Culver, Teresa</author>
    <author>Cyndy Kelchner</author>
    <author>Tyrer, Stephanie</author>
  </authors>
  <commentList>
    <comment ref="E7" authorId="0" shapeId="0" xr:uid="{E61F0940-531D-4215-BEAB-BCE348394D70}">
      <text>
        <t>[Threaded comment]
Your version of Excel allows you to read this threaded comment; however, any edits to it will get removed if the file is opened in a newer version of Excel. Learn more: https://go.microsoft.com/fwlink/?linkid=870924
Comment:
    In-kind cannot be more than total cash contribution from sponsor.</t>
      </text>
    </comment>
    <comment ref="E8" authorId="1" shapeId="0" xr:uid="{2191D5F6-ED73-4E43-897C-4A01358BE21A}">
      <text>
        <t>[Threaded comment]
Your version of Excel allows you to read this threaded comment; however, any edits to it will get removed if the file is opened in a newer version of Excel. Learn more: https://go.microsoft.com/fwlink/?linkid=870924
Comment:
    The OMI fee is preferably paid by industry separately. The fee amount is only listed here for convenience since it is not part of OSU's budget.  
If necessary, the OMI fee (dues) can be paid from the industry budget by OSU, but that option requires indirects on the fee and thus costs more overall. 
** OMI never matches any OMI dues, regardless of payment method. **</t>
      </text>
    </comment>
    <comment ref="G10" authorId="2" shapeId="0" xr:uid="{7362D217-B3C8-4D15-BE74-688F13BE9E4E}">
      <text>
        <t>[Threaded comment]
Your version of Excel allows you to read this threaded comment; however, any edits to it will get removed if the file is opened in a newer version of Excel. Learn more: https://go.microsoft.com/fwlink/?linkid=870924
Comment:
    OMI Share should be 100% of Sponsor Funds (1:1 match)</t>
      </text>
    </comment>
    <comment ref="G15" authorId="3" shapeId="0" xr:uid="{5068DE7E-17A1-45E1-BB27-8C362EF5C481}">
      <text>
        <t>[Threaded comment]
Your version of Excel allows you to read this threaded comment; however, any edits to it will get removed if the file is opened in a newer version of Excel. Learn more: https://go.microsoft.com/fwlink/?linkid=870924
Comment:
    Range 0-1, with 0 - all on industry side; 1- all on OMI side</t>
      </text>
    </comment>
    <comment ref="C183" authorId="4" shapeId="0" xr:uid="{F7EA2E63-DAFB-4F4C-AEB9-DE754E8DB28A}">
      <text>
        <r>
          <rPr>
            <b/>
            <sz val="9"/>
            <color indexed="81"/>
            <rFont val="Tahoma"/>
            <family val="2"/>
          </rPr>
          <t>COE PREAWARDS:</t>
        </r>
        <r>
          <rPr>
            <sz val="9"/>
            <color indexed="81"/>
            <rFont val="Tahoma"/>
            <family val="2"/>
          </rPr>
          <t xml:space="preserve"> Do not use this cost category unless these costs are represented in the OSU Fee Book.</t>
        </r>
      </text>
    </comment>
    <comment ref="B184" authorId="5" shapeId="0" xr:uid="{71478348-F7F5-4495-8500-2AC6107C44A1}">
      <text>
        <r>
          <rPr>
            <b/>
            <sz val="9"/>
            <color indexed="81"/>
            <rFont val="Tahoma"/>
            <family val="2"/>
          </rPr>
          <t>Cyndy Kelchner:</t>
        </r>
        <r>
          <rPr>
            <sz val="9"/>
            <color indexed="81"/>
            <rFont val="Tahoma"/>
            <family val="2"/>
          </rPr>
          <t xml:space="preserve">
All formulas updated 2/9/22 to allow adding more subawards as needed. Best practice is to copy and insert new rows in the </t>
        </r>
        <r>
          <rPr>
            <b/>
            <sz val="9"/>
            <color indexed="81"/>
            <rFont val="Tahoma"/>
            <family val="2"/>
          </rPr>
          <t>middle</t>
        </r>
        <r>
          <rPr>
            <sz val="9"/>
            <color indexed="81"/>
            <rFont val="Tahoma"/>
            <family val="2"/>
          </rPr>
          <t xml:space="preserve"> of this section, not before/after existing subaward rows. </t>
        </r>
      </text>
    </comment>
    <comment ref="C216" authorId="6" shapeId="0" xr:uid="{33CAA0DF-07D8-4DA5-8BD4-7F6B55C8E5C2}">
      <text>
        <r>
          <rPr>
            <b/>
            <sz val="9"/>
            <color indexed="81"/>
            <rFont val="Tahoma"/>
            <family val="2"/>
          </rPr>
          <t>COE Pre-awards 3/10/16:</t>
        </r>
        <r>
          <rPr>
            <sz val="9"/>
            <color indexed="81"/>
            <rFont val="Tahoma"/>
            <family val="2"/>
          </rPr>
          <t xml:space="preserve">
If you are using incentives for participation in a study on an NSF project, use this language: "Payment to Human Subjects". NSF does not want to see "Incentives" or "Participants" outside of Participant Support Costs.</t>
        </r>
      </text>
    </comment>
    <comment ref="C286" authorId="5" shapeId="0" xr:uid="{08DC5FC6-63BD-4DA9-A022-EE85B3A7FBF7}">
      <text>
        <r>
          <rPr>
            <b/>
            <sz val="9"/>
            <color indexed="81"/>
            <rFont val="Tahoma"/>
            <family val="2"/>
          </rPr>
          <t>Cyndy Kelchner:</t>
        </r>
        <r>
          <rPr>
            <sz val="9"/>
            <color indexed="81"/>
            <rFont val="Tahoma"/>
            <family val="2"/>
          </rPr>
          <t xml:space="preserve">
For NSF budget entry. Includes Tuition and Other costs, but does </t>
        </r>
        <r>
          <rPr>
            <b/>
            <sz val="9"/>
            <color indexed="81"/>
            <rFont val="Tahoma"/>
            <family val="2"/>
          </rPr>
          <t>NOT</t>
        </r>
        <r>
          <rPr>
            <sz val="9"/>
            <color indexed="81"/>
            <rFont val="Tahoma"/>
            <family val="2"/>
          </rPr>
          <t xml:space="preserve"> include Materials &amp; Supplies, Publication Costs, Consultants, Computer Services since those are entered separately. </t>
        </r>
      </text>
    </comment>
    <comment ref="C287" authorId="5" shapeId="0" xr:uid="{D279896F-4C2D-4FA4-A731-4B876F2930E2}">
      <text>
        <r>
          <rPr>
            <b/>
            <sz val="9"/>
            <color indexed="81"/>
            <rFont val="Tahoma"/>
            <family val="2"/>
          </rPr>
          <t>Cyndy Kelchner:</t>
        </r>
        <r>
          <rPr>
            <sz val="9"/>
            <color indexed="81"/>
            <rFont val="Tahoma"/>
            <family val="2"/>
          </rPr>
          <t xml:space="preserve">
Sum of all Other Direct Costs except for Tuition and Subawards. Not needed for NSF budget entry.</t>
        </r>
      </text>
    </comment>
    <comment ref="D292" authorId="5" shapeId="0" xr:uid="{F98FAE5A-3D07-4826-AAAC-F0A74DC48609}">
      <text>
        <r>
          <rPr>
            <b/>
            <sz val="9"/>
            <color indexed="81"/>
            <rFont val="Tahoma"/>
            <family val="2"/>
          </rPr>
          <t>Cyndy Kelchner:</t>
        </r>
        <r>
          <rPr>
            <sz val="9"/>
            <color indexed="81"/>
            <rFont val="Tahoma"/>
            <family val="2"/>
          </rPr>
          <t xml:space="preserve">
Total Direct Costs only excludes subaward amounts &gt; $25k.</t>
        </r>
      </text>
    </comment>
    <comment ref="I292" authorId="5" shapeId="0" xr:uid="{1CFABCE3-AFFE-4B0F-B9B3-CE873596BE4E}">
      <text>
        <r>
          <rPr>
            <b/>
            <sz val="9"/>
            <color indexed="81"/>
            <rFont val="Tahoma"/>
            <family val="2"/>
          </rPr>
          <t>Cyndy Kelchner:</t>
        </r>
        <r>
          <rPr>
            <sz val="9"/>
            <color indexed="81"/>
            <rFont val="Tahoma"/>
            <family val="2"/>
          </rPr>
          <t xml:space="preserve">
Total Direct Costs only excludes subaward amounts &gt; $25k.</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tc={E99825D0-8758-4909-9744-11B50E39E1BA}</author>
    <author>Kokenyesi, Robert S</author>
  </authors>
  <commentList>
    <comment ref="AA2" authorId="0" shapeId="0" xr:uid="{E99825D0-8758-4909-9744-11B50E39E1BA}">
      <text>
        <t>[Threaded comment]
Your version of Excel allows you to read this threaded comment; however, any edits to it will get removed if the file is opened in a newer version of Excel. Learn more: https://go.microsoft.com/fwlink/?linkid=870924
Comment:
    Escalation logic: If the project starts before the end of the Effective Date Range, use the Current Rate. If the project starts after the extended start date limit , then add 2 x Annual Escalation (2%), Otherwise add 2%.</t>
      </text>
    </comment>
    <comment ref="V3" authorId="1" shapeId="0" xr:uid="{00000000-0006-0000-0500-000001000000}">
      <text>
        <r>
          <rPr>
            <b/>
            <sz val="9"/>
            <color indexed="81"/>
            <rFont val="Tahoma"/>
            <family val="2"/>
          </rPr>
          <t>Kokenyesi, Robert S:</t>
        </r>
        <r>
          <rPr>
            <sz val="9"/>
            <color indexed="81"/>
            <rFont val="Tahoma"/>
            <family val="2"/>
          </rPr>
          <t xml:space="preserve">
If projects starts in August, PI salary is budgeted for following summer</t>
        </r>
      </text>
    </comment>
    <comment ref="X3" authorId="1" shapeId="0" xr:uid="{00000000-0006-0000-0500-000002000000}">
      <text>
        <r>
          <rPr>
            <b/>
            <sz val="9"/>
            <color indexed="81"/>
            <rFont val="Tahoma"/>
            <family val="2"/>
          </rPr>
          <t>Kokenyesi, Robert S:</t>
        </r>
        <r>
          <rPr>
            <sz val="9"/>
            <color indexed="81"/>
            <rFont val="Tahoma"/>
            <family val="2"/>
          </rPr>
          <t xml:space="preserve">
If start date is after this date, the rate increases to 2*rate change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Kokenyesi, Robert S</author>
    <author>gormanl</author>
    <author>tc={66045647-F0C5-4D73-91B3-5A081DF09D87}</author>
    <author>tc={58A0AB58-534D-40C6-B404-301063239AE5}</author>
    <author>Cyndy Kelchner</author>
  </authors>
  <commentList>
    <comment ref="V3" authorId="0" shapeId="0" xr:uid="{26AC085D-E427-4AE3-B644-892661148AE4}">
      <text>
        <r>
          <rPr>
            <b/>
            <sz val="9"/>
            <color indexed="81"/>
            <rFont val="Tahoma"/>
            <family val="2"/>
          </rPr>
          <t>Kokenyesi, Robert S:</t>
        </r>
        <r>
          <rPr>
            <sz val="9"/>
            <color indexed="81"/>
            <rFont val="Tahoma"/>
            <family val="2"/>
          </rPr>
          <t xml:space="preserve">
If projects starts in August, PI salary is budgeted for following summer</t>
        </r>
      </text>
    </comment>
    <comment ref="X3" authorId="0" shapeId="0" xr:uid="{9471C397-E7D6-431D-8A56-B5FA2B5BE8BA}">
      <text>
        <r>
          <rPr>
            <b/>
            <sz val="9"/>
            <color indexed="81"/>
            <rFont val="Tahoma"/>
            <family val="2"/>
          </rPr>
          <t>Kokenyesi, Robert S:</t>
        </r>
        <r>
          <rPr>
            <sz val="9"/>
            <color indexed="81"/>
            <rFont val="Tahoma"/>
            <family val="2"/>
          </rPr>
          <t xml:space="preserve">
If start date is after this date, the rate increases to 2*rate change</t>
        </r>
      </text>
    </comment>
    <comment ref="F6" authorId="1" shapeId="0" xr:uid="{D5E5427F-EFE0-44EE-9AF2-E93A2D631CA3}">
      <text>
        <r>
          <rPr>
            <b/>
            <sz val="9"/>
            <color indexed="81"/>
            <rFont val="Tahoma"/>
            <family val="2"/>
          </rPr>
          <t>gormanl:</t>
        </r>
        <r>
          <rPr>
            <sz val="9"/>
            <color indexed="81"/>
            <rFont val="Tahoma"/>
            <family val="2"/>
          </rPr>
          <t xml:space="preserve">
Position types must be typed correctly to drive formulas - use drop-down on Data Input page.</t>
        </r>
      </text>
    </comment>
    <comment ref="W6" authorId="2" shapeId="0" xr:uid="{66045647-F0C5-4D73-91B3-5A081DF09D87}">
      <text>
        <t>[Threaded comment]
Your version of Excel allows you to read this threaded comment; however, any edits to it will get removed if the file is opened in a newer version of Excel. Learn more: https://go.microsoft.com/fwlink/?linkid=870924
Comment:
    Escalation logic: If the project starts before the end of the Effective Date Range, use the Current Rate. If the project starts after the extended start date limit , then add 2 x Annual Escalation (2%), Otherwise add 2%.</t>
      </text>
    </comment>
    <comment ref="V8" authorId="3" shapeId="0" xr:uid="{58A0AB58-534D-40C6-B404-301063239AE5}">
      <text>
        <t>[Threaded comment]
Your version of Excel allows you to read this threaded comment; however, any edits to it will get removed if the file is opened in a newer version of Excel. Learn more: https://go.microsoft.com/fwlink/?linkid=870924
Comment:
    *No escalation is applied to student fringe benefits.</t>
      </text>
    </comment>
    <comment ref="I118" authorId="1" shapeId="0" xr:uid="{F99E7DF8-73EE-410E-95B5-77361812B92A}">
      <text>
        <r>
          <rPr>
            <b/>
            <sz val="9"/>
            <color indexed="81"/>
            <rFont val="Tahoma"/>
            <family val="2"/>
          </rPr>
          <t>gormanl:</t>
        </r>
        <r>
          <rPr>
            <sz val="9"/>
            <color indexed="81"/>
            <rFont val="Tahoma"/>
            <family val="2"/>
          </rPr>
          <t xml:space="preserve">
This must be 9 or 12 to drive the formula to determine the correct health rate.</t>
        </r>
      </text>
    </comment>
    <comment ref="C132" authorId="4" shapeId="0" xr:uid="{1F6F752F-B65C-481E-B24A-40E6FB6B2683}">
      <text>
        <r>
          <rPr>
            <b/>
            <sz val="9"/>
            <color indexed="81"/>
            <rFont val="Tahoma"/>
            <family val="2"/>
          </rPr>
          <t>Cyndy Kelchner:</t>
        </r>
        <r>
          <rPr>
            <sz val="9"/>
            <color indexed="81"/>
            <rFont val="Tahoma"/>
            <family val="2"/>
          </rPr>
          <t xml:space="preserve">
Adjusted OFFSET function for 2-digit number of Other Personnel in column A, instead of 1-digit number.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Kokenyesi, Robert S</author>
    <author>tc={C97F6425-9CF4-4DB5-B0BE-E2ECC1B9B35E}</author>
    <author>tc={D9F94180-AC47-4ED8-8006-31315688AA4D}</author>
    <author>Cyndy Kelchner</author>
    <author>gormanl</author>
  </authors>
  <commentList>
    <comment ref="U2" authorId="0" shapeId="0" xr:uid="{00000000-0006-0000-0700-000001000000}">
      <text>
        <r>
          <rPr>
            <b/>
            <sz val="9"/>
            <color indexed="81"/>
            <rFont val="Tahoma"/>
            <family val="2"/>
          </rPr>
          <t>Kokenyesi, Robert S:</t>
        </r>
        <r>
          <rPr>
            <sz val="9"/>
            <color indexed="81"/>
            <rFont val="Tahoma"/>
            <family val="2"/>
          </rPr>
          <t xml:space="preserve">
If projects starts in August, PI salary is budgeted for following summer</t>
        </r>
      </text>
    </comment>
    <comment ref="W2" authorId="0" shapeId="0" xr:uid="{00000000-0006-0000-0700-000002000000}">
      <text>
        <r>
          <rPr>
            <b/>
            <sz val="9"/>
            <color indexed="81"/>
            <rFont val="Tahoma"/>
            <family val="2"/>
          </rPr>
          <t>Kokenyesi, Robert S:</t>
        </r>
        <r>
          <rPr>
            <sz val="9"/>
            <color indexed="81"/>
            <rFont val="Tahoma"/>
            <family val="2"/>
          </rPr>
          <t xml:space="preserve">
If start date is after this date, the rate increases to 2*rate change</t>
        </r>
      </text>
    </comment>
    <comment ref="Q5" authorId="1" shapeId="0" xr:uid="{C97F6425-9CF4-4DB5-B0BE-E2ECC1B9B35E}">
      <text>
        <t>[Threaded comment]
Your version of Excel allows you to read this threaded comment; however, any edits to it will get removed if the file is opened in a newer version of Excel. Learn more: https://go.microsoft.com/fwlink/?linkid=870924
Comment:
    OPE Rate Escalation logic: If the project starts before the end of the Effective Date Range, use the current rate. If the project starts after the extended start date limit, then add 2 x annual escalation, Otherwise add 1 x annual escalation.</t>
      </text>
    </comment>
    <comment ref="V5" authorId="2" shapeId="0" xr:uid="{D9F94180-AC47-4ED8-8006-31315688AA4D}">
      <text>
        <t>[Threaded comment]
Your version of Excel allows you to read this threaded comment; however, any edits to it will get removed if the file is opened in a newer version of Excel. Learn more: https://go.microsoft.com/fwlink/?linkid=870924
Comment:
    Assumes same across all budget years</t>
      </text>
    </comment>
    <comment ref="U6" authorId="3" shapeId="0" xr:uid="{BCE96804-BB23-406F-ABCE-20842E2B2BF7}">
      <text>
        <r>
          <rPr>
            <b/>
            <sz val="9"/>
            <color indexed="81"/>
            <rFont val="Tahoma"/>
            <family val="2"/>
          </rPr>
          <t>Cyndy Kelchner:</t>
        </r>
        <r>
          <rPr>
            <sz val="9"/>
            <color indexed="81"/>
            <rFont val="Tahoma"/>
            <family val="2"/>
          </rPr>
          <t xml:space="preserve">
Updated to prorate tuition if less than COE default GA appointment, 4/8/24</t>
        </r>
      </text>
    </comment>
    <comment ref="M18" authorId="0" shapeId="0" xr:uid="{00000000-0006-0000-0700-000006000000}">
      <text>
        <r>
          <rPr>
            <b/>
            <sz val="9"/>
            <color indexed="81"/>
            <rFont val="Tahoma"/>
            <family val="2"/>
          </rPr>
          <t>OSU Acad. Year</t>
        </r>
        <r>
          <rPr>
            <sz val="9"/>
            <color indexed="81"/>
            <rFont val="Tahoma"/>
            <family val="2"/>
          </rPr>
          <t xml:space="preserve">
If start date is in current university fiscal year, same FY is selected. Otherwise, next year is selected.  FY cutoff date is extended to July 15th here to enable current summer tuition selection in more situations.
</t>
        </r>
        <r>
          <rPr>
            <b/>
            <sz val="9"/>
            <color indexed="81"/>
            <rFont val="Tahoma"/>
            <family val="2"/>
          </rPr>
          <t xml:space="preserve">
Tuition selection rules</t>
        </r>
        <r>
          <rPr>
            <sz val="9"/>
            <color indexed="81"/>
            <rFont val="Tahoma"/>
            <family val="2"/>
          </rPr>
          <t xml:space="preserve">
1. Project start date is before term start cutoff date.
2. Student is selected.
3. Project end date is after term end cutoff date.
4. If student is on 9 month appointment, academic year is assumed and Summer value is set to zero.
</t>
        </r>
        <r>
          <rPr>
            <b/>
            <sz val="9"/>
            <color indexed="81"/>
            <rFont val="Tahoma"/>
            <family val="2"/>
          </rPr>
          <t xml:space="preserve">
AY Tuition and SU Tuition</t>
        </r>
        <r>
          <rPr>
            <sz val="9"/>
            <color indexed="81"/>
            <rFont val="Tahoma"/>
            <family val="2"/>
          </rPr>
          <t xml:space="preserve">
1. Tuition rates are selected from Reference Sheet based on year in column B. 
2. First year only, start date cutoff is July 31 for tuition to allow first summer tuition at current year rate (for projects starting in summer).
</t>
        </r>
        <r>
          <rPr>
            <b/>
            <sz val="9"/>
            <color indexed="81"/>
            <rFont val="Tahoma"/>
            <family val="2"/>
          </rPr>
          <t>Term Cutoff Dates</t>
        </r>
        <r>
          <rPr>
            <sz val="9"/>
            <color indexed="81"/>
            <rFont val="Tahoma"/>
            <family val="2"/>
          </rPr>
          <t xml:space="preserve">
Term cutoff dates are 2-3 weeks before/after actual term dates. Tuition is selected automatically for start dates up to Oct 7, Jan 15, Apr 15, Jul 15 (2-3 weeks after term start) and for end dates before Nov 16, Feb 22, May 25, Aug 25 (3 weeks before term end). These dates are based on OSU's 5-year academic calendar 2015-2020. </t>
        </r>
      </text>
    </comment>
    <comment ref="D20" authorId="3" shapeId="0" xr:uid="{00000000-0006-0000-0700-000007000000}">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I20" authorId="3" shapeId="0" xr:uid="{F9BFA6C2-280B-40BB-BB30-238D54C1C314}">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D21" authorId="3" shapeId="0" xr:uid="{BF85988A-5375-427B-8998-E198C2A00D97}">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I21" authorId="3" shapeId="0" xr:uid="{AE528837-F976-45C4-B86F-B1AADF560EFB}">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C22" authorId="3" shapeId="0" xr:uid="{00000000-0006-0000-0700-00000B000000}">
      <text>
        <r>
          <rPr>
            <b/>
            <sz val="9"/>
            <color indexed="81"/>
            <rFont val="Tahoma"/>
            <family val="2"/>
          </rPr>
          <t>Cyndy Kelchner:</t>
        </r>
        <r>
          <rPr>
            <sz val="9"/>
            <color indexed="81"/>
            <rFont val="Tahoma"/>
            <family val="2"/>
          </rPr>
          <t xml:space="preserve">
Non-summer start date with no GA in year 1 doesn't work right, starts year 2 in summer term instead of a later term.</t>
        </r>
      </text>
    </comment>
    <comment ref="Z25" authorId="3" shapeId="0" xr:uid="{00000000-0006-0000-0700-000014000000}">
      <text>
        <r>
          <rPr>
            <b/>
            <sz val="9"/>
            <color indexed="81"/>
            <rFont val="Tahoma"/>
            <family val="2"/>
          </rPr>
          <t>Cyndy Kelchner:</t>
        </r>
        <r>
          <rPr>
            <sz val="9"/>
            <color indexed="81"/>
            <rFont val="Tahoma"/>
            <family val="2"/>
          </rPr>
          <t xml:space="preserve">
Rates updated as of 5/30/19 for AY19-20. 
</t>
        </r>
        <r>
          <rPr>
            <b/>
            <sz val="9"/>
            <color indexed="81"/>
            <rFont val="Tahoma"/>
            <family val="2"/>
          </rPr>
          <t>http://fa.oregonstate.edu/budget/tuition-fees</t>
        </r>
        <r>
          <rPr>
            <sz val="9"/>
            <color indexed="81"/>
            <rFont val="Tahoma"/>
            <family val="2"/>
          </rPr>
          <t xml:space="preserve">
**Beginning with Summer Term 2019, the tuition and fee schedules are effective for one year from Summer Term through Spring Term. This is a change from prior years. </t>
        </r>
      </text>
    </comment>
    <comment ref="Z31" authorId="3" shapeId="0" xr:uid="{00000000-0006-0000-0700-000016000000}">
      <text>
        <r>
          <rPr>
            <b/>
            <sz val="9"/>
            <color indexed="81"/>
            <rFont val="Tahoma"/>
            <family val="2"/>
          </rPr>
          <t>Cyndy Kelchner:</t>
        </r>
        <r>
          <rPr>
            <sz val="9"/>
            <color indexed="81"/>
            <rFont val="Tahoma"/>
            <family val="2"/>
          </rPr>
          <t xml:space="preserve">
Rates updated as of 5/30/19 for AY19-20. 
</t>
        </r>
        <r>
          <rPr>
            <b/>
            <sz val="9"/>
            <color indexed="81"/>
            <rFont val="Tahoma"/>
            <family val="2"/>
          </rPr>
          <t>http://fa.oregonstate.edu/budget/tuition-fees</t>
        </r>
        <r>
          <rPr>
            <sz val="9"/>
            <color indexed="81"/>
            <rFont val="Tahoma"/>
            <family val="2"/>
          </rPr>
          <t xml:space="preserve">
**Beginning with Summer Term 2019, the tuition and fee schedules are effective for one year from Summer Term through Spring Term. This is a change from prior years. </t>
        </r>
      </text>
    </comment>
    <comment ref="Z37" authorId="3" shapeId="0" xr:uid="{00000000-0006-0000-0700-000018000000}">
      <text>
        <r>
          <rPr>
            <b/>
            <sz val="9"/>
            <color indexed="81"/>
            <rFont val="Tahoma"/>
            <family val="2"/>
          </rPr>
          <t>Cyndy Kelchner:</t>
        </r>
        <r>
          <rPr>
            <sz val="9"/>
            <color indexed="81"/>
            <rFont val="Tahoma"/>
            <family val="2"/>
          </rPr>
          <t xml:space="preserve">
Rates updated as of 5/30/19 for AY19-20. 
</t>
        </r>
        <r>
          <rPr>
            <b/>
            <sz val="9"/>
            <color indexed="81"/>
            <rFont val="Tahoma"/>
            <family val="2"/>
          </rPr>
          <t>http://fa.oregonstate.edu/budget/tuition-fees</t>
        </r>
        <r>
          <rPr>
            <sz val="9"/>
            <color indexed="81"/>
            <rFont val="Tahoma"/>
            <family val="2"/>
          </rPr>
          <t xml:space="preserve">
**Beginning with Summer Term 2019, the tuition and fee schedules are effective for one year from Summer Term through Spring Term. This is a change from prior years. </t>
        </r>
      </text>
    </comment>
    <comment ref="Z43" authorId="3" shapeId="0" xr:uid="{00000000-0006-0000-0700-00001E000000}">
      <text>
        <r>
          <rPr>
            <b/>
            <sz val="9"/>
            <color indexed="81"/>
            <rFont val="Tahoma"/>
            <family val="2"/>
          </rPr>
          <t>Cyndy Kelchner:</t>
        </r>
        <r>
          <rPr>
            <sz val="9"/>
            <color indexed="81"/>
            <rFont val="Tahoma"/>
            <family val="2"/>
          </rPr>
          <t xml:space="preserve">
Rates updated as of 5/30/19 for AY19-20. 
</t>
        </r>
        <r>
          <rPr>
            <b/>
            <sz val="9"/>
            <color indexed="81"/>
            <rFont val="Tahoma"/>
            <family val="2"/>
          </rPr>
          <t>http://fa.oregonstate.edu/budget/tuition-fees</t>
        </r>
        <r>
          <rPr>
            <sz val="9"/>
            <color indexed="81"/>
            <rFont val="Tahoma"/>
            <family val="2"/>
          </rPr>
          <t xml:space="preserve">
**Beginning with Summer Term 2019, the tuition and fee schedules are effective for one year from Summer Term through Spring Term. This is a change from prior years. </t>
        </r>
      </text>
    </comment>
    <comment ref="M47" authorId="0" shapeId="0" xr:uid="{00000000-0006-0000-0700-00000F000000}">
      <text>
        <r>
          <rPr>
            <b/>
            <sz val="9"/>
            <color indexed="81"/>
            <rFont val="Tahoma"/>
            <family val="2"/>
          </rPr>
          <t>OSU Acad. Year</t>
        </r>
        <r>
          <rPr>
            <sz val="9"/>
            <color indexed="81"/>
            <rFont val="Tahoma"/>
            <family val="2"/>
          </rPr>
          <t xml:space="preserve">
If start date is in current university fiscal year, same FY is selected. Otherwise, next year is selected.  FY cutoff date is extended to July 15th here to enable current summer tuition selection in more situations.
</t>
        </r>
        <r>
          <rPr>
            <b/>
            <sz val="9"/>
            <color indexed="81"/>
            <rFont val="Tahoma"/>
            <family val="2"/>
          </rPr>
          <t xml:space="preserve">
Tuition selection rules</t>
        </r>
        <r>
          <rPr>
            <sz val="9"/>
            <color indexed="81"/>
            <rFont val="Tahoma"/>
            <family val="2"/>
          </rPr>
          <t xml:space="preserve">
1. Project start date is before term start cutoff date.
2. Student is selected.
3. Project end date is after term end cutoff date.
4. If student is on 9 month appointment, academic year is assumed and Summer value is set to zero.
</t>
        </r>
        <r>
          <rPr>
            <b/>
            <sz val="9"/>
            <color indexed="81"/>
            <rFont val="Tahoma"/>
            <family val="2"/>
          </rPr>
          <t xml:space="preserve">
AY Tuition and SU Tuition</t>
        </r>
        <r>
          <rPr>
            <sz val="9"/>
            <color indexed="81"/>
            <rFont val="Tahoma"/>
            <family val="2"/>
          </rPr>
          <t xml:space="preserve">
1. Tuition rates are selected from Reference Sheet based on year in column B. 
2. First year only, start date cutoff is July 31 for tuition to allow first summer tuition at current year rate (for projects starting in summer).
</t>
        </r>
        <r>
          <rPr>
            <b/>
            <sz val="9"/>
            <color indexed="81"/>
            <rFont val="Tahoma"/>
            <family val="2"/>
          </rPr>
          <t>Term Cutoff Dates</t>
        </r>
        <r>
          <rPr>
            <sz val="9"/>
            <color indexed="81"/>
            <rFont val="Tahoma"/>
            <family val="2"/>
          </rPr>
          <t xml:space="preserve">
Term cutoff dates are 2-3 weeks before/after actual term dates. Tuition is selected automatically for start dates up to Oct 7, Jan 15, Apr 15, Jul 15 (2-3 weeks after term start) and for end dates before Nov 16, Feb 22, May 25, Aug 25 (3 weeks before term end). These dates are based on OSU's 5-year academic calendar 2015-2020. </t>
        </r>
      </text>
    </comment>
    <comment ref="Y47" authorId="4" shapeId="0" xr:uid="{00000000-0006-0000-0700-00001F000000}">
      <text>
        <r>
          <rPr>
            <b/>
            <sz val="9"/>
            <color indexed="81"/>
            <rFont val="Tahoma"/>
            <family val="2"/>
          </rPr>
          <t xml:space="preserve">gormanl: 
</t>
        </r>
        <r>
          <rPr>
            <sz val="9"/>
            <color indexed="81"/>
            <rFont val="Tahoma"/>
            <family val="2"/>
          </rPr>
          <t>Add 05/31/2019.</t>
        </r>
      </text>
    </comment>
    <comment ref="D49" authorId="3" shapeId="0" xr:uid="{CDB3CB7B-A6A9-45DF-B43F-F7E00058EC52}">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I49" authorId="3" shapeId="0" xr:uid="{40751872-298C-45F7-8DEC-39715A031114}">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Z49" authorId="3" shapeId="0" xr:uid="{00000000-0006-0000-0700-000020000000}">
      <text>
        <r>
          <rPr>
            <b/>
            <sz val="9"/>
            <color indexed="81"/>
            <rFont val="Tahoma"/>
            <family val="2"/>
          </rPr>
          <t>Cyndy Kelchner:</t>
        </r>
        <r>
          <rPr>
            <sz val="9"/>
            <color indexed="81"/>
            <rFont val="Tahoma"/>
            <family val="2"/>
          </rPr>
          <t xml:space="preserve">
Rates updated as of 5/30/19 for AY19-20. 
</t>
        </r>
        <r>
          <rPr>
            <b/>
            <sz val="9"/>
            <color indexed="81"/>
            <rFont val="Tahoma"/>
            <family val="2"/>
          </rPr>
          <t>http://fa.oregonstate.edu/budget/tuition-fees</t>
        </r>
        <r>
          <rPr>
            <sz val="9"/>
            <color indexed="81"/>
            <rFont val="Tahoma"/>
            <family val="2"/>
          </rPr>
          <t xml:space="preserve">
**Beginning with Summer Term 2019, the tuition and fee schedules are effective for one year from Summer Term through Spring Term. This is a change from prior years. </t>
        </r>
      </text>
    </comment>
    <comment ref="D50" authorId="3" shapeId="0" xr:uid="{EB83EAC3-952D-4CD2-919E-F7CA30E5ADCB}">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I50" authorId="3" shapeId="0" xr:uid="{DEC9CE84-F5DA-4C2E-9A27-0991C30940EB}">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M76" authorId="0" shapeId="0" xr:uid="{00000000-0006-0000-0700-000019000000}">
      <text>
        <r>
          <rPr>
            <b/>
            <sz val="9"/>
            <color indexed="81"/>
            <rFont val="Tahoma"/>
            <family val="2"/>
          </rPr>
          <t>OSU Acad. Year</t>
        </r>
        <r>
          <rPr>
            <sz val="9"/>
            <color indexed="81"/>
            <rFont val="Tahoma"/>
            <family val="2"/>
          </rPr>
          <t xml:space="preserve">
If start date is in current university fiscal year, same FY is selected. Otherwise, next year is selected.  FY cutoff date is extended to July 15th here to enable current summer tuition selection in more situations.
</t>
        </r>
        <r>
          <rPr>
            <b/>
            <sz val="9"/>
            <color indexed="81"/>
            <rFont val="Tahoma"/>
            <family val="2"/>
          </rPr>
          <t xml:space="preserve">
Tuition selection rules</t>
        </r>
        <r>
          <rPr>
            <sz val="9"/>
            <color indexed="81"/>
            <rFont val="Tahoma"/>
            <family val="2"/>
          </rPr>
          <t xml:space="preserve">
1. Project start date is before term start cutoff date.
2. Student is selected.
3. Project end date is after term end cutoff date.
4. If student is on 9 month appointment, academic year is assumed and Summer value is set to zero.
</t>
        </r>
        <r>
          <rPr>
            <b/>
            <sz val="9"/>
            <color indexed="81"/>
            <rFont val="Tahoma"/>
            <family val="2"/>
          </rPr>
          <t xml:space="preserve">
AY Tuition and SU Tuition</t>
        </r>
        <r>
          <rPr>
            <sz val="9"/>
            <color indexed="81"/>
            <rFont val="Tahoma"/>
            <family val="2"/>
          </rPr>
          <t xml:space="preserve">
1. Tuition rates are selected from Reference Sheet based on year in column B. 
2. First year only, start date cutoff is July 31 for tuition to allow first summer tuition at current year rate (for projects starting in summer).
</t>
        </r>
        <r>
          <rPr>
            <b/>
            <sz val="9"/>
            <color indexed="81"/>
            <rFont val="Tahoma"/>
            <family val="2"/>
          </rPr>
          <t>Term Cutoff Dates</t>
        </r>
        <r>
          <rPr>
            <sz val="9"/>
            <color indexed="81"/>
            <rFont val="Tahoma"/>
            <family val="2"/>
          </rPr>
          <t xml:space="preserve">
Term cutoff dates are 2-3 weeks before/after actual term dates. Tuition is selected automatically for start dates up to Oct 7, Jan 15, Apr 15, Jul 15 (2-3 weeks after term start) and for end dates before Nov 16, Feb 22, May 25, Aug 25 (3 weeks before term end). These dates are based on OSU's 5-year academic calendar 2015-2020. </t>
        </r>
      </text>
    </comment>
    <comment ref="D78" authorId="3" shapeId="0" xr:uid="{B5BBB9EC-B637-4080-B292-B81F318C8A33}">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I78" authorId="3" shapeId="0" xr:uid="{0777E77B-7779-4183-8102-8BCDC45052F1}">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D79" authorId="3" shapeId="0" xr:uid="{7EEF8665-9116-4E98-BC67-FECE69F5AC9C}">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I79" authorId="3" shapeId="0" xr:uid="{1F127767-9EC8-45F3-84C7-B34D32050F66}">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M105" authorId="0" shapeId="0" xr:uid="{00000000-0006-0000-0700-000023000000}">
      <text>
        <r>
          <rPr>
            <b/>
            <sz val="9"/>
            <color indexed="81"/>
            <rFont val="Tahoma"/>
            <family val="2"/>
          </rPr>
          <t>OSU Acad. Year</t>
        </r>
        <r>
          <rPr>
            <sz val="9"/>
            <color indexed="81"/>
            <rFont val="Tahoma"/>
            <family val="2"/>
          </rPr>
          <t xml:space="preserve">
If start date is in current university fiscal year, same FY is selected. Otherwise, next year is selected.  FY cutoff date is extended to July 15th here to enable current summer tuition selection in more situations.
</t>
        </r>
        <r>
          <rPr>
            <b/>
            <sz val="9"/>
            <color indexed="81"/>
            <rFont val="Tahoma"/>
            <family val="2"/>
          </rPr>
          <t xml:space="preserve">
Tuition selection rules</t>
        </r>
        <r>
          <rPr>
            <sz val="9"/>
            <color indexed="81"/>
            <rFont val="Tahoma"/>
            <family val="2"/>
          </rPr>
          <t xml:space="preserve">
1. Project start date is before term start cutoff date.
2. Student is selected.
3. Project end date is after term end cutoff date.
4. If student is on 9 month appointment, academic year is assumed and Summer value is set to zero.
</t>
        </r>
        <r>
          <rPr>
            <b/>
            <sz val="9"/>
            <color indexed="81"/>
            <rFont val="Tahoma"/>
            <family val="2"/>
          </rPr>
          <t xml:space="preserve">
AY Tuition and SU Tuition</t>
        </r>
        <r>
          <rPr>
            <sz val="9"/>
            <color indexed="81"/>
            <rFont val="Tahoma"/>
            <family val="2"/>
          </rPr>
          <t xml:space="preserve">
1. Tuition rates are selected from Reference Sheet based on year in column B. 
2. First year only, start date cutoff is July 31 for tuition to allow first summer tuition at current year rate (for projects starting in summer).
</t>
        </r>
        <r>
          <rPr>
            <b/>
            <sz val="9"/>
            <color indexed="81"/>
            <rFont val="Tahoma"/>
            <family val="2"/>
          </rPr>
          <t>Term Cutoff Dates</t>
        </r>
        <r>
          <rPr>
            <sz val="9"/>
            <color indexed="81"/>
            <rFont val="Tahoma"/>
            <family val="2"/>
          </rPr>
          <t xml:space="preserve">
Term cutoff dates are 2-3 weeks before/after actual term dates. Tuition is selected automatically for start dates up to Oct 7, Jan 15, Apr 15, Jul 15 (2-3 weeks after term start) and for end dates before Nov 16, Feb 22, May 25, Aug 25 (3 weeks before term end). These dates are based on OSU's 5-year academic calendar 2015-2020. </t>
        </r>
      </text>
    </comment>
    <comment ref="D107" authorId="3" shapeId="0" xr:uid="{CAC6D683-911A-4FCD-A245-5C9FB8DC63CB}">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I107" authorId="3" shapeId="0" xr:uid="{8DEEEEAF-A8C9-4E9B-9217-3384FCF6BF9C}">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D108" authorId="3" shapeId="0" xr:uid="{85256A16-3ADD-4F39-B2C3-749B56125581}">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I108" authorId="3" shapeId="0" xr:uid="{2F438F6C-4F1D-43B7-B87D-72AD9FAEDB1B}">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D136" authorId="3" shapeId="0" xr:uid="{983D36B7-4F36-4D4A-9D8C-5E8FAE8D4E6A}">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I136" authorId="3" shapeId="0" xr:uid="{F25BF15C-1069-4425-B2C1-ACEF621901F8}">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D137" authorId="3" shapeId="0" xr:uid="{7BD46FCD-B871-481E-A686-1D748C685ADE}">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I137" authorId="3" shapeId="0" xr:uid="{EB49B3C4-E65B-4B69-9930-A4E90F5E220B}">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D165" authorId="3" shapeId="0" xr:uid="{78996F47-0667-443B-A14C-00435708BD0C}">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I165" authorId="3" shapeId="0" xr:uid="{F512CA85-0A4F-42B0-8319-6953194956EF}">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D166" authorId="3" shapeId="0" xr:uid="{911EF960-8304-4899-87C2-BF884E73B9D0}">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I166" authorId="3" shapeId="0" xr:uid="{9AF54A7A-2068-4600-B076-0BAA0C1A4901}">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D194" authorId="3" shapeId="0" xr:uid="{47D8549D-12D6-4276-BC36-1F53776BAC34}">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I194" authorId="3" shapeId="0" xr:uid="{A52324F8-0084-4CD6-9D3F-A86866E8228A}">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D195" authorId="3" shapeId="0" xr:uid="{9BC1F810-0D74-4474-95D4-6D180A9F760A}">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I195" authorId="3" shapeId="0" xr:uid="{6BADB1DA-8206-4818-BD10-95578F5357BD}">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D223" authorId="3" shapeId="0" xr:uid="{A0A6EBF8-E3CE-4771-B91F-FCF29F45FFAA}">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I223" authorId="3" shapeId="0" xr:uid="{5AD012C9-7163-4DDE-A7D9-2084534C569F}">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D224" authorId="3" shapeId="0" xr:uid="{4719303C-23C1-4E5E-9CD1-24B414E9C776}">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I224" authorId="3" shapeId="0" xr:uid="{D63EDC95-66D9-4942-A4E8-AF77B2C13840}">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D252" authorId="3" shapeId="0" xr:uid="{58E2BAB3-B05B-4856-B8D4-120899A16D70}">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I252" authorId="3" shapeId="0" xr:uid="{C9EDA6A3-50CD-4F4D-8BB2-68C2B1652915}">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D253" authorId="3" shapeId="0" xr:uid="{39B9C95C-A64B-4EC2-B4B8-45F580E159D4}">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I253" authorId="3" shapeId="0" xr:uid="{717A8C7E-0DCC-49DC-AB44-AF5923B4CCF1}">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D281" authorId="3" shapeId="0" xr:uid="{07FF4845-C932-41ED-BAB7-29AC527A27D0}">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I281" authorId="3" shapeId="0" xr:uid="{0ABD3225-1906-4BAF-B933-4AD1C584EB68}">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D282" authorId="3" shapeId="0" xr:uid="{F7068014-DDCE-4D85-A8EC-5F4DF044F72A}">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I282" authorId="3" shapeId="0" xr:uid="{9B9F7391-CC9E-484A-86E7-D22CACC8558D}">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D310" authorId="3" shapeId="0" xr:uid="{6A1D527C-A01B-44BA-BAB7-71EAAF32B6C4}">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I310" authorId="3" shapeId="0" xr:uid="{62B784FE-7072-4430-901A-0DE45F0B295A}">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D311" authorId="3" shapeId="0" xr:uid="{9E1052A8-9AF2-4113-A8DF-FA2447810FC8}">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I311" authorId="3" shapeId="0" xr:uid="{6A60418C-473F-473C-9852-5DF8DBE3F199}">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D339" authorId="3" shapeId="0" xr:uid="{29D022F5-2927-41FB-92B9-76A3FEFFBF2E}">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I339" authorId="3" shapeId="0" xr:uid="{F12173A9-CD2F-4E3A-8A2E-D4CBEF4D9C6F}">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D340" authorId="3" shapeId="0" xr:uid="{BF57B5AC-E432-4B1A-83D2-1386E77EF39A}">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I340" authorId="3" shapeId="0" xr:uid="{40C97DEA-3CB4-456B-A32C-61FB79734028}">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D368" authorId="3" shapeId="0" xr:uid="{779B1758-D36D-4665-9928-3FC5A9E04F1C}">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I368" authorId="3" shapeId="0" xr:uid="{4E14181A-BBF1-4DA7-98CE-1BF02687D969}">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D369" authorId="3" shapeId="0" xr:uid="{81B603BB-ACEC-4DED-9F54-8A3C223CF9EB}">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I369" authorId="3" shapeId="0" xr:uid="{44DF4966-19B7-453F-A48E-7A3569BB83F0}">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D397" authorId="3" shapeId="0" xr:uid="{FAA38DD7-463A-470C-B52E-1DFD4AE64BAD}">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I397" authorId="3" shapeId="0" xr:uid="{DB9337B5-FC7B-4DCC-A359-818669B224E9}">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D398" authorId="3" shapeId="0" xr:uid="{56017B8C-B685-4325-9942-443675000CA8}">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I398" authorId="3" shapeId="0" xr:uid="{8DDC90F2-6C69-4E2B-9532-F2A0041736FD}">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D426" authorId="3" shapeId="0" xr:uid="{C02676F5-B520-43F6-8710-97F30FCD7F00}">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I426" authorId="3" shapeId="0" xr:uid="{7A3ADD0D-901C-486A-B8C7-DFC264320FA7}">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D427" authorId="3" shapeId="0" xr:uid="{731A2F7B-D5AF-4BD0-AE93-95ACACBE5380}">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 ref="I427" authorId="3" shapeId="0" xr:uid="{83AC29CC-2CFD-42AF-B4D1-18300F5113F2}">
      <text>
        <r>
          <rPr>
            <b/>
            <sz val="9"/>
            <color indexed="81"/>
            <rFont val="Tahoma"/>
            <family val="2"/>
          </rPr>
          <t>Cyndy Kelchner:</t>
        </r>
        <r>
          <rPr>
            <sz val="9"/>
            <color indexed="81"/>
            <rFont val="Tahoma"/>
            <family val="2"/>
          </rPr>
          <t xml:space="preserve">
Selects tuition based on Project Start Date and on College.
 Default for College is OSU base tuition.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Cyndy Kelchner</author>
    <author>Culver, Teresa</author>
    <author>tc={A946DDC0-3EB4-4825-AD49-9956075F6E21}</author>
    <author>tc={C67D4797-B93A-4F1F-AB46-556A357CBD0A}</author>
    <author>tc={229A8CA1-525E-4DC7-B0EC-1056F5688E36}</author>
    <author>tc={97946A10-88A2-431E-90C5-FDDCDBBF6A8B}</author>
    <author>tc={52AE5A49-ED5E-4B81-BAEF-FE41AB27D0E5}</author>
    <author>tc={C90BE762-8BB9-4AEC-94B3-7798D2AD86B8}</author>
    <author>tc={EFD92534-87E4-47FE-A634-6491688B1888}</author>
    <author>tc={644EC289-C251-4BFB-AFCC-E2705DAF7EE0}</author>
    <author>tc={2ADA4F29-DFC6-4F24-B693-7B9BDF445DE7}</author>
    <author>tc={E39A38DC-A784-4076-9A76-79C8D3121562}</author>
    <author>tc={3218F344-55F2-4D1A-899C-329E8A4C7DA8}</author>
    <author>tc={18662683-5823-4865-932A-B0C9F37F0237}</author>
    <author>tc={740F5AE5-892C-4440-8DCC-BF1AADA5FAE1}</author>
    <author>tc={9CD09A29-3EF5-4ACA-BDCE-9DC97D0FC52F}</author>
    <author>tc={29B6F396-0E11-4D7F-B3FA-BF4E8B531A68}</author>
  </authors>
  <commentList>
    <comment ref="C1" authorId="0" shapeId="0" xr:uid="{00000000-0006-0000-0800-000001000000}">
      <text>
        <r>
          <rPr>
            <b/>
            <sz val="9"/>
            <color indexed="81"/>
            <rFont val="Tahoma"/>
            <family val="2"/>
          </rPr>
          <t>Cyndy Kelchner:</t>
        </r>
        <r>
          <rPr>
            <sz val="9"/>
            <color indexed="81"/>
            <rFont val="Tahoma"/>
            <family val="2"/>
          </rPr>
          <t xml:space="preserve">
OSU travel website now requires OSU login. Go to Controller's Unit, then select Travel Assistance.</t>
        </r>
      </text>
    </comment>
    <comment ref="A2" authorId="0" shapeId="0" xr:uid="{35FEE1EE-6D48-422A-A489-3C2784983516}">
      <text>
        <r>
          <rPr>
            <b/>
            <sz val="9"/>
            <color indexed="81"/>
            <rFont val="Tahoma"/>
            <family val="2"/>
          </rPr>
          <t>Cyndy Kelchner:</t>
        </r>
        <r>
          <rPr>
            <sz val="9"/>
            <color indexed="81"/>
            <rFont val="Tahoma"/>
            <family val="2"/>
          </rPr>
          <t xml:space="preserve">
Outside Continental US (OCONUS) and CONUS rates</t>
        </r>
      </text>
    </comment>
    <comment ref="L5" authorId="1" shapeId="0" xr:uid="{00000000-0006-0000-0800-000002000000}">
      <text>
        <r>
          <rPr>
            <b/>
            <sz val="9"/>
            <color indexed="81"/>
            <rFont val="Tahoma"/>
            <family val="2"/>
          </rPr>
          <t>Culver, Teresa:</t>
        </r>
        <r>
          <rPr>
            <sz val="9"/>
            <color indexed="81"/>
            <rFont val="Tahoma"/>
            <family val="2"/>
          </rPr>
          <t xml:space="preserve">
Type in "Yes" if you wish to pull conference fees out of the travel details below. By marking yes, the fees will not show up in the cost category of Travel, but they will show up in the cost category of Other Direct Costs on the "Budget" Worksheet.</t>
        </r>
      </text>
    </comment>
    <comment ref="U5" authorId="0" shapeId="0" xr:uid="{81C29C61-2B1A-4EF4-893E-C13CA0CEAD82}">
      <text>
        <r>
          <rPr>
            <b/>
            <sz val="9"/>
            <color indexed="81"/>
            <rFont val="Tahoma"/>
            <family val="2"/>
          </rPr>
          <t>Cyndy Kelchner:</t>
        </r>
        <r>
          <rPr>
            <sz val="9"/>
            <color indexed="81"/>
            <rFont val="Tahoma"/>
            <family val="2"/>
          </rPr>
          <t xml:space="preserve">
Huge overestimate as a placeholder so you don't forget to replace this with actual GSA rates on Travel tab. 4/11/23</t>
        </r>
      </text>
    </comment>
    <comment ref="B7" authorId="2" shapeId="0" xr:uid="{A946DDC0-3EB4-4825-AD49-9956075F6E21}">
      <text>
        <t>[Threaded comment]
Your version of Excel allows you to read this threaded comment; however, any edits to it will get removed if the file is opened in a newer version of Excel. Learn more: https://go.microsoft.com/fwlink/?linkid=870924
Comment:
    Travel days only get 75% per diem, per GSA guidelines. Calculation updated Jan26 (subtract 0.5 from number of days when nights&gt;0).</t>
      </text>
    </comment>
    <comment ref="I7" authorId="0" shapeId="0" xr:uid="{40FB9E38-5AE4-44A4-A59F-262C096F5998}">
      <text>
        <r>
          <rPr>
            <b/>
            <sz val="9"/>
            <color indexed="81"/>
            <rFont val="Tahoma"/>
            <family val="2"/>
          </rPr>
          <t>Cyndy Kelchner:</t>
        </r>
        <r>
          <rPr>
            <sz val="9"/>
            <color indexed="81"/>
            <rFont val="Tahoma"/>
            <family val="2"/>
          </rPr>
          <t xml:space="preserve">
Estimated lodging tax rate. 
"Lodging taxes are not included in the CONUS per diem rate." https://www.gsa.gov/travel/plan-book/per-diem-rates/frequently-asked-questions-per-diem#11</t>
        </r>
      </text>
    </comment>
    <comment ref="L20" authorId="1" shapeId="0" xr:uid="{00000000-0006-0000-0800-000004000000}">
      <text>
        <r>
          <rPr>
            <b/>
            <sz val="9"/>
            <color indexed="81"/>
            <rFont val="Tahoma"/>
            <family val="2"/>
          </rPr>
          <t>Culver, Teresa:</t>
        </r>
        <r>
          <rPr>
            <sz val="9"/>
            <color indexed="81"/>
            <rFont val="Tahoma"/>
            <family val="2"/>
          </rPr>
          <t xml:space="preserve">
Type in "Yes" if you wish to pull conference fees out of the travel details below. By marking yes, the fees will not show up in the cost category of Travel, but they will show up in the cost category of Other Direct Costs on the "Budget" Worksheet.</t>
        </r>
      </text>
    </comment>
    <comment ref="B22" authorId="3" shapeId="0" xr:uid="{C67D4797-B93A-4F1F-AB46-556A357CBD0A}">
      <text>
        <t>[Threaded comment]
Your version of Excel allows you to read this threaded comment; however, any edits to it will get removed if the file is opened in a newer version of Excel. Learn more: https://go.microsoft.com/fwlink/?linkid=870924
Comment:
    Travel days only get 75% per diem, per GSA guidelines. Calculation updated Jan26 (subtract 0.5 from number of days when nights&gt;0).</t>
      </text>
    </comment>
    <comment ref="I22" authorId="0" shapeId="0" xr:uid="{EB0A71E7-B69D-4199-9049-9DF0F569AFB2}">
      <text>
        <r>
          <rPr>
            <b/>
            <sz val="9"/>
            <color indexed="81"/>
            <rFont val="Tahoma"/>
            <family val="2"/>
          </rPr>
          <t>Cyndy Kelchner:</t>
        </r>
        <r>
          <rPr>
            <sz val="9"/>
            <color indexed="81"/>
            <rFont val="Tahoma"/>
            <family val="2"/>
          </rPr>
          <t xml:space="preserve">
Estimated lodging tax rate. 
"Lodging taxes are not included in the CONUS per diem rate." https://www.gsa.gov/travel/plan-book/per-diem-rates/frequently-asked-questions-per-diem#11</t>
        </r>
      </text>
    </comment>
    <comment ref="L35" authorId="1" shapeId="0" xr:uid="{00000000-0006-0000-0800-000006000000}">
      <text>
        <r>
          <rPr>
            <b/>
            <sz val="9"/>
            <color indexed="81"/>
            <rFont val="Tahoma"/>
            <family val="2"/>
          </rPr>
          <t>Culver, Teresa:</t>
        </r>
        <r>
          <rPr>
            <sz val="9"/>
            <color indexed="81"/>
            <rFont val="Tahoma"/>
            <family val="2"/>
          </rPr>
          <t xml:space="preserve">
Type in "Yes" if you wish to pull conference fees out of the travel details below. By marking yes, the fees will not show up in the cost category of Travel, but they will show up in the cost category of Other Direct Costs on the "Budget" Worksheet.</t>
        </r>
      </text>
    </comment>
    <comment ref="B37" authorId="4" shapeId="0" xr:uid="{229A8CA1-525E-4DC7-B0EC-1056F5688E36}">
      <text>
        <t>[Threaded comment]
Your version of Excel allows you to read this threaded comment; however, any edits to it will get removed if the file is opened in a newer version of Excel. Learn more: https://go.microsoft.com/fwlink/?linkid=870924
Comment:
    Travel days only get 75% per diem, per GSA guidelines. Calculation updated Jan26 (subtract 0.5 from number of days when nights&gt;0).</t>
      </text>
    </comment>
    <comment ref="I37" authorId="0" shapeId="0" xr:uid="{072A0027-70D2-45E3-84B2-FA43141A7E75}">
      <text>
        <r>
          <rPr>
            <b/>
            <sz val="9"/>
            <color indexed="81"/>
            <rFont val="Tahoma"/>
            <family val="2"/>
          </rPr>
          <t>Cyndy Kelchner:</t>
        </r>
        <r>
          <rPr>
            <sz val="9"/>
            <color indexed="81"/>
            <rFont val="Tahoma"/>
            <family val="2"/>
          </rPr>
          <t xml:space="preserve">
Estimated lodging tax rate. 
"Lodging taxes are not included in the CONUS per diem rate." https://www.gsa.gov/travel/plan-book/per-diem-rates/frequently-asked-questions-per-diem#11</t>
        </r>
      </text>
    </comment>
    <comment ref="L50" authorId="1" shapeId="0" xr:uid="{00000000-0006-0000-0800-000008000000}">
      <text>
        <r>
          <rPr>
            <b/>
            <sz val="9"/>
            <color indexed="81"/>
            <rFont val="Tahoma"/>
            <family val="2"/>
          </rPr>
          <t>Culver, Teresa:</t>
        </r>
        <r>
          <rPr>
            <sz val="9"/>
            <color indexed="81"/>
            <rFont val="Tahoma"/>
            <family val="2"/>
          </rPr>
          <t xml:space="preserve">
Type in "Yes" if you wish to pull conference fees out of the travel details below. By marking yes, the fees will not show up in the cost category of Travel, but they will show up in the cost category of Other Direct Costs on the "Budget" Worksheet.</t>
        </r>
      </text>
    </comment>
    <comment ref="B52" authorId="5" shapeId="0" xr:uid="{97946A10-88A2-431E-90C5-FDDCDBBF6A8B}">
      <text>
        <t>[Threaded comment]
Your version of Excel allows you to read this threaded comment; however, any edits to it will get removed if the file is opened in a newer version of Excel. Learn more: https://go.microsoft.com/fwlink/?linkid=870924
Comment:
    Travel days only get 75% per diem, per GSA guidelines. Calculation updated Jan26 (subtract 0.5 from number of days when nights&gt;0).</t>
      </text>
    </comment>
    <comment ref="I52" authorId="0" shapeId="0" xr:uid="{10432F87-178C-45DC-9088-13F1568D204B}">
      <text>
        <r>
          <rPr>
            <b/>
            <sz val="9"/>
            <color indexed="81"/>
            <rFont val="Tahoma"/>
            <family val="2"/>
          </rPr>
          <t>Cyndy Kelchner:</t>
        </r>
        <r>
          <rPr>
            <sz val="9"/>
            <color indexed="81"/>
            <rFont val="Tahoma"/>
            <family val="2"/>
          </rPr>
          <t xml:space="preserve">
Estimated lodging tax rate. 
"Lodging taxes are not included in the CONUS per diem rate." https://www.gsa.gov/travel/plan-book/per-diem-rates/frequently-asked-questions-per-diem#11</t>
        </r>
      </text>
    </comment>
    <comment ref="L65" authorId="1" shapeId="0" xr:uid="{00000000-0006-0000-0800-00000A000000}">
      <text>
        <r>
          <rPr>
            <b/>
            <sz val="9"/>
            <color indexed="81"/>
            <rFont val="Tahoma"/>
            <family val="2"/>
          </rPr>
          <t>Culver, Teresa:</t>
        </r>
        <r>
          <rPr>
            <sz val="9"/>
            <color indexed="81"/>
            <rFont val="Tahoma"/>
            <family val="2"/>
          </rPr>
          <t xml:space="preserve">
Type in "Yes" if you wish to pull conference fees out of the travel details below. By marking yes, the fees will not show up in the cost category of Travel, but they will show up in the cost category of Other Direct Costs on the "Budget" Worksheet.</t>
        </r>
      </text>
    </comment>
    <comment ref="B67" authorId="6" shapeId="0" xr:uid="{52AE5A49-ED5E-4B81-BAEF-FE41AB27D0E5}">
      <text>
        <t>[Threaded comment]
Your version of Excel allows you to read this threaded comment; however, any edits to it will get removed if the file is opened in a newer version of Excel. Learn more: https://go.microsoft.com/fwlink/?linkid=870924
Comment:
    Travel days only get 75% per diem, per GSA guidelines. Calculation updated Jan26 (subtract 0.5 from number of days when nights&gt;0).</t>
      </text>
    </comment>
    <comment ref="I67" authorId="0" shapeId="0" xr:uid="{EFB56E6E-99C4-4C77-87A8-2DF487A32C02}">
      <text>
        <r>
          <rPr>
            <b/>
            <sz val="9"/>
            <color indexed="81"/>
            <rFont val="Tahoma"/>
            <family val="2"/>
          </rPr>
          <t>Cyndy Kelchner:</t>
        </r>
        <r>
          <rPr>
            <sz val="9"/>
            <color indexed="81"/>
            <rFont val="Tahoma"/>
            <family val="2"/>
          </rPr>
          <t xml:space="preserve">
Estimated lodging tax rate. 
"Lodging taxes are not included in the CONUS per diem rate." https://www.gsa.gov/travel/plan-book/per-diem-rates/frequently-asked-questions-per-diem#11</t>
        </r>
      </text>
    </comment>
    <comment ref="L80" authorId="1" shapeId="0" xr:uid="{00000000-0006-0000-0800-00000C000000}">
      <text>
        <r>
          <rPr>
            <b/>
            <sz val="9"/>
            <color indexed="81"/>
            <rFont val="Tahoma"/>
            <family val="2"/>
          </rPr>
          <t>Culver, Teresa:</t>
        </r>
        <r>
          <rPr>
            <sz val="9"/>
            <color indexed="81"/>
            <rFont val="Tahoma"/>
            <family val="2"/>
          </rPr>
          <t xml:space="preserve">
Type in "Yes" if you wish to pull conference fees out of the travel details below. By marking yes, the fees will not show up in the cost category of Travel, but they will show up in the cost category of Other Direct Costs on the "Budget" Worksheet.</t>
        </r>
      </text>
    </comment>
    <comment ref="B82" authorId="7" shapeId="0" xr:uid="{C90BE762-8BB9-4AEC-94B3-7798D2AD86B8}">
      <text>
        <t>[Threaded comment]
Your version of Excel allows you to read this threaded comment; however, any edits to it will get removed if the file is opened in a newer version of Excel. Learn more: https://go.microsoft.com/fwlink/?linkid=870924
Comment:
    Travel days only get 75% per diem, per GSA guidelines. Calculation updated Jan26 (subtract 0.5 from number of days when nights&gt;0).</t>
      </text>
    </comment>
    <comment ref="I82" authorId="0" shapeId="0" xr:uid="{E4544E79-9FF1-4BF0-A7A7-7F885EC228FA}">
      <text>
        <r>
          <rPr>
            <b/>
            <sz val="9"/>
            <color indexed="81"/>
            <rFont val="Tahoma"/>
            <family val="2"/>
          </rPr>
          <t>Cyndy Kelchner:</t>
        </r>
        <r>
          <rPr>
            <sz val="9"/>
            <color indexed="81"/>
            <rFont val="Tahoma"/>
            <family val="2"/>
          </rPr>
          <t xml:space="preserve">
Estimated lodging tax rate. 
"Lodging taxes are not included in the CONUS per diem rate." https://www.gsa.gov/travel/plan-book/per-diem-rates/frequently-asked-questions-per-diem#11</t>
        </r>
      </text>
    </comment>
    <comment ref="L95" authorId="1" shapeId="0" xr:uid="{00000000-0006-0000-0800-00000E000000}">
      <text>
        <r>
          <rPr>
            <b/>
            <sz val="9"/>
            <color indexed="81"/>
            <rFont val="Tahoma"/>
            <family val="2"/>
          </rPr>
          <t>Culver, Teresa:</t>
        </r>
        <r>
          <rPr>
            <sz val="9"/>
            <color indexed="81"/>
            <rFont val="Tahoma"/>
            <family val="2"/>
          </rPr>
          <t xml:space="preserve">
Type in "Yes" if you wish to pull conference fees out of the travel details below. By marking yes, the fees will not show up in the cost category of Travel, but they will show up in the cost category of Other Direct Costs on the "Budget" Worksheet.</t>
        </r>
      </text>
    </comment>
    <comment ref="B97" authorId="8" shapeId="0" xr:uid="{EFD92534-87E4-47FE-A634-6491688B1888}">
      <text>
        <t>[Threaded comment]
Your version of Excel allows you to read this threaded comment; however, any edits to it will get removed if the file is opened in a newer version of Excel. Learn more: https://go.microsoft.com/fwlink/?linkid=870924
Comment:
    Travel days only get 75% per diem, per GSA guidelines. Calculation updated Jan26 (subtract 0.5 from number of days when nights&gt;0).</t>
      </text>
    </comment>
    <comment ref="I97" authorId="0" shapeId="0" xr:uid="{F644E3C1-CEB6-491C-B144-7BD66B8B6D11}">
      <text>
        <r>
          <rPr>
            <b/>
            <sz val="9"/>
            <color indexed="81"/>
            <rFont val="Tahoma"/>
            <family val="2"/>
          </rPr>
          <t>Cyndy Kelchner:</t>
        </r>
        <r>
          <rPr>
            <sz val="9"/>
            <color indexed="81"/>
            <rFont val="Tahoma"/>
            <family val="2"/>
          </rPr>
          <t xml:space="preserve">
Estimated lodging tax rate. 
"Lodging taxes are not included in the CONUS per diem rate." https://www.gsa.gov/travel/plan-book/per-diem-rates/frequently-asked-questions-per-diem#11</t>
        </r>
      </text>
    </comment>
    <comment ref="L110" authorId="1" shapeId="0" xr:uid="{00000000-0006-0000-0800-000010000000}">
      <text>
        <r>
          <rPr>
            <b/>
            <sz val="9"/>
            <color indexed="81"/>
            <rFont val="Tahoma"/>
            <family val="2"/>
          </rPr>
          <t>Culver, Teresa:</t>
        </r>
        <r>
          <rPr>
            <sz val="9"/>
            <color indexed="81"/>
            <rFont val="Tahoma"/>
            <family val="2"/>
          </rPr>
          <t xml:space="preserve">
Type in "Yes" if you wish to pull conference fees out of the travel details below. By marking yes, the fees will not show up in the cost category of Travel, but they will show up in the cost category of Other Direct Costs on the "Budget" Worksheet.</t>
        </r>
      </text>
    </comment>
    <comment ref="B112" authorId="9" shapeId="0" xr:uid="{644EC289-C251-4BFB-AFCC-E2705DAF7EE0}">
      <text>
        <t>[Threaded comment]
Your version of Excel allows you to read this threaded comment; however, any edits to it will get removed if the file is opened in a newer version of Excel. Learn more: https://go.microsoft.com/fwlink/?linkid=870924
Comment:
    Travel days only get 75% per diem, per GSA guidelines. Calculation updated Jan26 (subtract 0.5 from number of days when nights&gt;0).</t>
      </text>
    </comment>
    <comment ref="I112" authorId="0" shapeId="0" xr:uid="{2B686D06-1AAE-48F0-9943-0C192F1EAF68}">
      <text>
        <r>
          <rPr>
            <b/>
            <sz val="9"/>
            <color indexed="81"/>
            <rFont val="Tahoma"/>
            <family val="2"/>
          </rPr>
          <t>Cyndy Kelchner:</t>
        </r>
        <r>
          <rPr>
            <sz val="9"/>
            <color indexed="81"/>
            <rFont val="Tahoma"/>
            <family val="2"/>
          </rPr>
          <t xml:space="preserve">
Estimated lodging tax rate. 
"Lodging taxes are not included in the CONUS per diem rate." https://www.gsa.gov/travel/plan-book/per-diem-rates/frequently-asked-questions-per-diem#11</t>
        </r>
      </text>
    </comment>
    <comment ref="L125" authorId="1" shapeId="0" xr:uid="{3D42DB3E-05F2-4363-B023-03D74B90888D}">
      <text>
        <r>
          <rPr>
            <b/>
            <sz val="9"/>
            <color indexed="81"/>
            <rFont val="Tahoma"/>
            <family val="2"/>
          </rPr>
          <t>Culver, Teresa:</t>
        </r>
        <r>
          <rPr>
            <sz val="9"/>
            <color indexed="81"/>
            <rFont val="Tahoma"/>
            <family val="2"/>
          </rPr>
          <t xml:space="preserve">
Type in "Yes" if you wish to pull conference fees out of the travel details below. By marking yes, the fees will not show up in the cost category of Travel, but they will show up in the cost category of Other Direct Costs on the "Budget" Worksheet.</t>
        </r>
      </text>
    </comment>
    <comment ref="B127" authorId="10" shapeId="0" xr:uid="{2ADA4F29-DFC6-4F24-B693-7B9BDF445DE7}">
      <text>
        <t>[Threaded comment]
Your version of Excel allows you to read this threaded comment; however, any edits to it will get removed if the file is opened in a newer version of Excel. Learn more: https://go.microsoft.com/fwlink/?linkid=870924
Comment:
    Travel days only get 75% per diem, per GSA guidelines. Calculation updated Jan26 (subtract 0.5 from number of days when nights&gt;0).</t>
      </text>
    </comment>
    <comment ref="I127" authorId="0" shapeId="0" xr:uid="{63D7719F-5E3A-4E8A-B6D9-36C0E141A8E8}">
      <text>
        <r>
          <rPr>
            <b/>
            <sz val="9"/>
            <color indexed="81"/>
            <rFont val="Tahoma"/>
            <family val="2"/>
          </rPr>
          <t>Cyndy Kelchner:</t>
        </r>
        <r>
          <rPr>
            <sz val="9"/>
            <color indexed="81"/>
            <rFont val="Tahoma"/>
            <family val="2"/>
          </rPr>
          <t xml:space="preserve">
Estimated lodging tax rate. 
"Lodging taxes are not included in the CONUS per diem rate." https://www.gsa.gov/travel/plan-book/per-diem-rates/frequently-asked-questions-per-diem#11</t>
        </r>
      </text>
    </comment>
    <comment ref="L140" authorId="1" shapeId="0" xr:uid="{A032E784-8AE3-4C33-956E-527AB2F723DA}">
      <text>
        <r>
          <rPr>
            <b/>
            <sz val="9"/>
            <color indexed="81"/>
            <rFont val="Tahoma"/>
            <family val="2"/>
          </rPr>
          <t>Culver, Teresa:</t>
        </r>
        <r>
          <rPr>
            <sz val="9"/>
            <color indexed="81"/>
            <rFont val="Tahoma"/>
            <family val="2"/>
          </rPr>
          <t xml:space="preserve">
Type in "Yes" if you wish to pull conference fees out of the travel details below. By marking yes, the fees will not show up in the cost category of Travel, but they will show up in the cost category of Other Direct Costs on the "Budget" Worksheet.</t>
        </r>
      </text>
    </comment>
    <comment ref="B142" authorId="11" shapeId="0" xr:uid="{E39A38DC-A784-4076-9A76-79C8D3121562}">
      <text>
        <t>[Threaded comment]
Your version of Excel allows you to read this threaded comment; however, any edits to it will get removed if the file is opened in a newer version of Excel. Learn more: https://go.microsoft.com/fwlink/?linkid=870924
Comment:
    Travel days only get 75% per diem, per GSA guidelines. Calculation updated Jan26 (subtract 0.5 from number of days when nights&gt;0).</t>
      </text>
    </comment>
    <comment ref="I142" authorId="0" shapeId="0" xr:uid="{28607392-30EF-4475-A55C-0FA6B25B4C6A}">
      <text>
        <r>
          <rPr>
            <b/>
            <sz val="9"/>
            <color indexed="81"/>
            <rFont val="Tahoma"/>
            <family val="2"/>
          </rPr>
          <t>Cyndy Kelchner:</t>
        </r>
        <r>
          <rPr>
            <sz val="9"/>
            <color indexed="81"/>
            <rFont val="Tahoma"/>
            <family val="2"/>
          </rPr>
          <t xml:space="preserve">
Estimated lodging tax rate. 
"Lodging taxes are not included in the CONUS per diem rate." https://www.gsa.gov/travel/plan-book/per-diem-rates/frequently-asked-questions-per-diem#11</t>
        </r>
      </text>
    </comment>
    <comment ref="L155" authorId="1" shapeId="0" xr:uid="{204652ED-E8DF-4E3F-902E-F3DD93ECBD2C}">
      <text>
        <r>
          <rPr>
            <b/>
            <sz val="9"/>
            <color indexed="81"/>
            <rFont val="Tahoma"/>
            <family val="2"/>
          </rPr>
          <t>Culver, Teresa:</t>
        </r>
        <r>
          <rPr>
            <sz val="9"/>
            <color indexed="81"/>
            <rFont val="Tahoma"/>
            <family val="2"/>
          </rPr>
          <t xml:space="preserve">
Type in "Yes" if you wish to pull conference fees out of the travel details below. By marking yes, the fees will not show up in the cost category of Travel, but they will show up in the cost category of Other Direct Costs on the "Budget" Worksheet.</t>
        </r>
      </text>
    </comment>
    <comment ref="B157" authorId="12" shapeId="0" xr:uid="{3218F344-55F2-4D1A-899C-329E8A4C7DA8}">
      <text>
        <t>[Threaded comment]
Your version of Excel allows you to read this threaded comment; however, any edits to it will get removed if the file is opened in a newer version of Excel. Learn more: https://go.microsoft.com/fwlink/?linkid=870924
Comment:
    Travel days only get 75% per diem, per GSA guidelines. Calculation updated Jan26 (subtract 0.5 from number of days when nights&gt;0).</t>
      </text>
    </comment>
    <comment ref="I157" authorId="0" shapeId="0" xr:uid="{4CC39CAA-B17C-4661-A31C-BC920ADCE2F4}">
      <text>
        <r>
          <rPr>
            <b/>
            <sz val="9"/>
            <color indexed="81"/>
            <rFont val="Tahoma"/>
            <family val="2"/>
          </rPr>
          <t>Cyndy Kelchner:</t>
        </r>
        <r>
          <rPr>
            <sz val="9"/>
            <color indexed="81"/>
            <rFont val="Tahoma"/>
            <family val="2"/>
          </rPr>
          <t xml:space="preserve">
Estimated lodging tax rate. 
"Lodging taxes are not included in the CONUS per diem rate." https://www.gsa.gov/travel/plan-book/per-diem-rates/frequently-asked-questions-per-diem#11</t>
        </r>
      </text>
    </comment>
    <comment ref="L170" authorId="1" shapeId="0" xr:uid="{32D23EA9-12EF-4AF6-ABA0-E55F9A1CBBCE}">
      <text>
        <r>
          <rPr>
            <b/>
            <sz val="9"/>
            <color indexed="81"/>
            <rFont val="Tahoma"/>
            <family val="2"/>
          </rPr>
          <t>Culver, Teresa:</t>
        </r>
        <r>
          <rPr>
            <sz val="9"/>
            <color indexed="81"/>
            <rFont val="Tahoma"/>
            <family val="2"/>
          </rPr>
          <t xml:space="preserve">
Type in "Yes" if you wish to pull conference fees out of the travel details below. By marking yes, the fees will not show up in the cost category of Travel, but they will show up in the cost category of Other Direct Costs on the "Budget" Worksheet.</t>
        </r>
      </text>
    </comment>
    <comment ref="B172" authorId="13" shapeId="0" xr:uid="{18662683-5823-4865-932A-B0C9F37F0237}">
      <text>
        <t>[Threaded comment]
Your version of Excel allows you to read this threaded comment; however, any edits to it will get removed if the file is opened in a newer version of Excel. Learn more: https://go.microsoft.com/fwlink/?linkid=870924
Comment:
    Travel days only get 75% per diem, per GSA guidelines. Calculation updated Jan26 (subtract 0.5 from number of days when nights&gt;0).</t>
      </text>
    </comment>
    <comment ref="I172" authorId="0" shapeId="0" xr:uid="{5274CD7E-FAA1-4D64-A793-51810F7F7C21}">
      <text>
        <r>
          <rPr>
            <b/>
            <sz val="9"/>
            <color indexed="81"/>
            <rFont val="Tahoma"/>
            <family val="2"/>
          </rPr>
          <t>Cyndy Kelchner:</t>
        </r>
        <r>
          <rPr>
            <sz val="9"/>
            <color indexed="81"/>
            <rFont val="Tahoma"/>
            <family val="2"/>
          </rPr>
          <t xml:space="preserve">
Estimated lodging tax rate. 
"Lodging taxes are not included in the CONUS per diem rate." https://www.gsa.gov/travel/plan-book/per-diem-rates/frequently-asked-questions-per-diem#11</t>
        </r>
      </text>
    </comment>
    <comment ref="L185" authorId="1" shapeId="0" xr:uid="{43D7176B-FC81-45ED-8B02-590A5FD3EC8A}">
      <text>
        <r>
          <rPr>
            <b/>
            <sz val="9"/>
            <color indexed="81"/>
            <rFont val="Tahoma"/>
            <family val="2"/>
          </rPr>
          <t>Culver, Teresa:</t>
        </r>
        <r>
          <rPr>
            <sz val="9"/>
            <color indexed="81"/>
            <rFont val="Tahoma"/>
            <family val="2"/>
          </rPr>
          <t xml:space="preserve">
Type in "Yes" if you wish to pull conference fees out of the travel details below. By marking yes, the fees will not show up in the cost category of Travel, but they will show up in the cost category of Other Direct Costs on the "Budget" Worksheet.</t>
        </r>
      </text>
    </comment>
    <comment ref="B187" authorId="14" shapeId="0" xr:uid="{740F5AE5-892C-4440-8DCC-BF1AADA5FAE1}">
      <text>
        <t>[Threaded comment]
Your version of Excel allows you to read this threaded comment; however, any edits to it will get removed if the file is opened in a newer version of Excel. Learn more: https://go.microsoft.com/fwlink/?linkid=870924
Comment:
    Travel days only get 75% per diem, per GSA guidelines. Calculation updated Jan26 (subtract 0.5 from number of days when nights&gt;0).</t>
      </text>
    </comment>
    <comment ref="I187" authorId="0" shapeId="0" xr:uid="{EC362597-839D-4901-9303-96EDA906231E}">
      <text>
        <r>
          <rPr>
            <b/>
            <sz val="9"/>
            <color indexed="81"/>
            <rFont val="Tahoma"/>
            <family val="2"/>
          </rPr>
          <t>Cyndy Kelchner:</t>
        </r>
        <r>
          <rPr>
            <sz val="9"/>
            <color indexed="81"/>
            <rFont val="Tahoma"/>
            <family val="2"/>
          </rPr>
          <t xml:space="preserve">
Estimated lodging tax rate. 
"Lodging taxes are not included in the CONUS per diem rate." https://www.gsa.gov/travel/plan-book/per-diem-rates/frequently-asked-questions-per-diem#11</t>
        </r>
      </text>
    </comment>
    <comment ref="L200" authorId="1" shapeId="0" xr:uid="{FCA31B33-3BFF-4320-8948-FDB9B21E25ED}">
      <text>
        <r>
          <rPr>
            <b/>
            <sz val="9"/>
            <color indexed="81"/>
            <rFont val="Tahoma"/>
            <family val="2"/>
          </rPr>
          <t>Culver, Teresa:</t>
        </r>
        <r>
          <rPr>
            <sz val="9"/>
            <color indexed="81"/>
            <rFont val="Tahoma"/>
            <family val="2"/>
          </rPr>
          <t xml:space="preserve">
Type in "Yes" if you wish to pull conference fees out of the travel details below. By marking yes, the fees will not show up in the cost category of Travel, but they will show up in the cost category of Other Direct Costs on the "Budget" Worksheet.</t>
        </r>
      </text>
    </comment>
    <comment ref="B202" authorId="15" shapeId="0" xr:uid="{9CD09A29-3EF5-4ACA-BDCE-9DC97D0FC52F}">
      <text>
        <t>[Threaded comment]
Your version of Excel allows you to read this threaded comment; however, any edits to it will get removed if the file is opened in a newer version of Excel. Learn more: https://go.microsoft.com/fwlink/?linkid=870924
Comment:
    Travel days only get 75% per diem, per GSA guidelines. Calculation updated Jan26 (subtract 0.5 from number of days when nights&gt;0).</t>
      </text>
    </comment>
    <comment ref="I202" authorId="0" shapeId="0" xr:uid="{CCF5A391-75B3-46A4-BDF3-7162B9FE5A94}">
      <text>
        <r>
          <rPr>
            <b/>
            <sz val="9"/>
            <color indexed="81"/>
            <rFont val="Tahoma"/>
            <family val="2"/>
          </rPr>
          <t>Cyndy Kelchner:</t>
        </r>
        <r>
          <rPr>
            <sz val="9"/>
            <color indexed="81"/>
            <rFont val="Tahoma"/>
            <family val="2"/>
          </rPr>
          <t xml:space="preserve">
Estimated lodging tax rate. 
"Lodging taxes are not included in the CONUS per diem rate." https://www.gsa.gov/travel/plan-book/per-diem-rates/frequently-asked-questions-per-diem#11</t>
        </r>
      </text>
    </comment>
    <comment ref="L215" authorId="1" shapeId="0" xr:uid="{09B31584-D202-4BD0-9BF7-3856DC55B2C3}">
      <text>
        <r>
          <rPr>
            <b/>
            <sz val="9"/>
            <color indexed="81"/>
            <rFont val="Tahoma"/>
            <family val="2"/>
          </rPr>
          <t>Culver, Teresa:</t>
        </r>
        <r>
          <rPr>
            <sz val="9"/>
            <color indexed="81"/>
            <rFont val="Tahoma"/>
            <family val="2"/>
          </rPr>
          <t xml:space="preserve">
Type in "Yes" if you wish to pull conference fees out of the travel details below. By marking yes, the fees will not show up in the cost category of Travel, but they will show up in the cost category of Other Direct Costs on the "Budget" Worksheet.</t>
        </r>
      </text>
    </comment>
    <comment ref="B217" authorId="16" shapeId="0" xr:uid="{29B6F396-0E11-4D7F-B3FA-BF4E8B531A68}">
      <text>
        <t>[Threaded comment]
Your version of Excel allows you to read this threaded comment; however, any edits to it will get removed if the file is opened in a newer version of Excel. Learn more: https://go.microsoft.com/fwlink/?linkid=870924
Comment:
    Travel days only get 75% per diem, per GSA guidelines. Calculation updated Jan26 (subtract 0.5 from number of days when nights&gt;0).</t>
      </text>
    </comment>
    <comment ref="I217" authorId="0" shapeId="0" xr:uid="{BD189726-ABF3-417D-BD8F-EEAF6F93938B}">
      <text>
        <r>
          <rPr>
            <b/>
            <sz val="9"/>
            <color indexed="81"/>
            <rFont val="Tahoma"/>
            <family val="2"/>
          </rPr>
          <t>Cyndy Kelchner:</t>
        </r>
        <r>
          <rPr>
            <sz val="9"/>
            <color indexed="81"/>
            <rFont val="Tahoma"/>
            <family val="2"/>
          </rPr>
          <t xml:space="preserve">
Estimated lodging tax rate. 
"Lodging taxes are not included in the CONUS per diem rate." https://www.gsa.gov/travel/plan-book/per-diem-rates/frequently-asked-questions-per-diem#11</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Cyndy Kelchner</author>
    <author>Kokenyesi, Robert S</author>
    <author>Susan Cao</author>
    <author>tc={403B5AD1-6157-479F-8E8B-165F42B3FE4E}</author>
    <author>tc={90F1AEE7-4D89-4E3F-88C7-DE417F9886A3}</author>
  </authors>
  <commentList>
    <comment ref="V1" authorId="0" shapeId="0" xr:uid="{701ECEC3-202C-4AF7-85C1-6FD199DB61F2}">
      <text>
        <r>
          <rPr>
            <b/>
            <sz val="9"/>
            <color indexed="81"/>
            <rFont val="Tahoma"/>
            <family val="2"/>
          </rPr>
          <t>Cyndy Kelchner:</t>
        </r>
        <r>
          <rPr>
            <sz val="9"/>
            <color indexed="81"/>
            <rFont val="Tahoma"/>
            <family val="2"/>
          </rPr>
          <t xml:space="preserve">
Default full-time GA appointment in COE</t>
        </r>
      </text>
    </comment>
    <comment ref="Q2" authorId="0" shapeId="0" xr:uid="{30EB2FEF-EEB1-4303-9780-61410CB802FD}">
      <text>
        <r>
          <rPr>
            <b/>
            <sz val="9"/>
            <color indexed="81"/>
            <rFont val="Tahoma"/>
            <family val="2"/>
          </rPr>
          <t>Cyndy Kelchner:</t>
        </r>
        <r>
          <rPr>
            <sz val="9"/>
            <color indexed="81"/>
            <rFont val="Tahoma"/>
            <family val="2"/>
          </rPr>
          <t xml:space="preserve">
4% increase confirmed by COE Assoc Dean for Grad Students 8/31/23</t>
        </r>
      </text>
    </comment>
    <comment ref="Q5" authorId="0" shapeId="0" xr:uid="{FC784142-E0C4-4723-8264-5FD1C196E908}">
      <text>
        <r>
          <rPr>
            <b/>
            <sz val="9"/>
            <color indexed="81"/>
            <rFont val="Tahoma"/>
            <family val="2"/>
          </rPr>
          <t>Cyndy Kelchner:</t>
        </r>
        <r>
          <rPr>
            <sz val="9"/>
            <color indexed="81"/>
            <rFont val="Tahoma"/>
            <family val="2"/>
          </rPr>
          <t xml:space="preserve">
Budget formulas add 3% salary increase in first year by default</t>
        </r>
      </text>
    </comment>
    <comment ref="S5" authorId="0" shapeId="0" xr:uid="{E58CDD5C-F4CC-48A4-889E-264F1C805560}">
      <text>
        <r>
          <rPr>
            <b/>
            <sz val="9"/>
            <color indexed="81"/>
            <rFont val="Tahoma"/>
            <family val="2"/>
          </rPr>
          <t>Cyndy Kelchner:</t>
        </r>
        <r>
          <rPr>
            <sz val="9"/>
            <color indexed="81"/>
            <rFont val="Tahoma"/>
            <family val="2"/>
          </rPr>
          <t xml:space="preserve">
Budget formulas add 3% salary increase in first year by default</t>
        </r>
      </text>
    </comment>
    <comment ref="L6" authorId="0" shapeId="0" xr:uid="{A3F60C79-1B80-4D33-A7E3-C9746735CB40}">
      <text>
        <r>
          <rPr>
            <b/>
            <sz val="9"/>
            <color indexed="81"/>
            <rFont val="Tahoma"/>
            <family val="2"/>
          </rPr>
          <t>Cyndy Kelchner:</t>
        </r>
        <r>
          <rPr>
            <sz val="9"/>
            <color indexed="81"/>
            <rFont val="Tahoma"/>
            <family val="2"/>
          </rPr>
          <t xml:space="preserve">
Update this in October each year.  Search for "Special Per Diem Rates - IRS".
https://www.taxnotes.com/research/federal/irs-guidance/revenue-procedures/irs-provides-per-diem-rate-rules-for-substantiating-expenses/2b5g2
</t>
        </r>
      </text>
    </comment>
    <comment ref="Q6" authorId="0" shapeId="0" xr:uid="{895CF221-7E07-4AD5-A2DD-5BF2E8DC15FB}">
      <text>
        <r>
          <rPr>
            <b/>
            <sz val="9"/>
            <color indexed="81"/>
            <rFont val="Tahoma"/>
            <family val="2"/>
          </rPr>
          <t>Cyndy Kelchner:</t>
        </r>
        <r>
          <rPr>
            <sz val="9"/>
            <color indexed="81"/>
            <rFont val="Tahoma"/>
            <family val="2"/>
          </rPr>
          <t xml:space="preserve">
Default level</t>
        </r>
      </text>
    </comment>
    <comment ref="S6" authorId="0" shapeId="0" xr:uid="{0F218377-1A3F-45A9-B358-47845D58A243}">
      <text>
        <r>
          <rPr>
            <b/>
            <sz val="9"/>
            <color indexed="81"/>
            <rFont val="Tahoma"/>
            <family val="2"/>
          </rPr>
          <t>Cyndy Kelchner:</t>
        </r>
        <r>
          <rPr>
            <sz val="9"/>
            <color indexed="81"/>
            <rFont val="Tahoma"/>
            <family val="2"/>
          </rPr>
          <t xml:space="preserve">
Default level</t>
        </r>
      </text>
    </comment>
    <comment ref="L7" authorId="0" shapeId="0" xr:uid="{1DCF8857-E266-4722-BB35-6284FB12F984}">
      <text>
        <r>
          <rPr>
            <b/>
            <sz val="9"/>
            <color indexed="81"/>
            <rFont val="Tahoma"/>
            <family val="2"/>
          </rPr>
          <t>Cyndy Kelchner:</t>
        </r>
        <r>
          <rPr>
            <sz val="9"/>
            <color indexed="81"/>
            <rFont val="Tahoma"/>
            <family val="2"/>
          </rPr>
          <t xml:space="preserve">
Outside Continental US (OCONUS) and CONUS rates</t>
        </r>
      </text>
    </comment>
    <comment ref="S7" authorId="0" shapeId="0" xr:uid="{9A262472-EB1E-4B9A-8E90-5F6162737966}">
      <text>
        <r>
          <rPr>
            <b/>
            <sz val="9"/>
            <color indexed="81"/>
            <rFont val="Tahoma"/>
            <family val="2"/>
          </rPr>
          <t>Cyndy Kelchner:</t>
        </r>
        <r>
          <rPr>
            <sz val="9"/>
            <color indexed="81"/>
            <rFont val="Tahoma"/>
            <family val="2"/>
          </rPr>
          <t xml:space="preserve">
Prelims Complete = 2 years at 2% increase per year, above entry PhD with MS.</t>
        </r>
      </text>
    </comment>
    <comment ref="J8" authorId="0" shapeId="0" xr:uid="{00000000-0006-0000-0A00-000005000000}">
      <text>
        <r>
          <rPr>
            <b/>
            <sz val="9"/>
            <color indexed="81"/>
            <rFont val="Tahoma"/>
            <family val="2"/>
          </rPr>
          <t>Cyndy Kelchner:</t>
        </r>
        <r>
          <rPr>
            <sz val="9"/>
            <color indexed="81"/>
            <rFont val="Tahoma"/>
            <family val="2"/>
          </rPr>
          <t xml:space="preserve">
Updated each year per </t>
        </r>
        <r>
          <rPr>
            <b/>
            <sz val="9"/>
            <color indexed="81"/>
            <rFont val="Tahoma"/>
            <family val="2"/>
          </rPr>
          <t>IRS Special Per Diem Rates</t>
        </r>
        <r>
          <rPr>
            <sz val="9"/>
            <color indexed="81"/>
            <rFont val="Tahoma"/>
            <family val="2"/>
          </rPr>
          <t xml:space="preserve"> using High-Low Substantiation Method </t>
        </r>
      </text>
    </comment>
    <comment ref="K12" authorId="0" shapeId="0" xr:uid="{CF186E4A-C5C9-4DD3-990D-617301722BE9}">
      <text>
        <r>
          <rPr>
            <b/>
            <sz val="9"/>
            <color indexed="81"/>
            <rFont val="Tahoma"/>
            <family val="2"/>
          </rPr>
          <t>Cyndy Kelchner:</t>
        </r>
        <r>
          <rPr>
            <sz val="9"/>
            <color indexed="81"/>
            <rFont val="Tahoma"/>
            <family val="2"/>
          </rPr>
          <t xml:space="preserve">
Huge overestimate as a placeholder so you don't forget to replace this with actual GSA rates on Travel tab. 4/11/23</t>
        </r>
      </text>
    </comment>
    <comment ref="K13" authorId="0" shapeId="0" xr:uid="{3846C353-7E68-483A-9579-503B9CDD585E}">
      <text>
        <r>
          <rPr>
            <b/>
            <sz val="9"/>
            <color indexed="81"/>
            <rFont val="Tahoma"/>
            <family val="2"/>
          </rPr>
          <t>Cyndy Kelchner:</t>
        </r>
        <r>
          <rPr>
            <sz val="9"/>
            <color indexed="81"/>
            <rFont val="Tahoma"/>
            <family val="2"/>
          </rPr>
          <t xml:space="preserve">
For international locations, use High-Cost Domestic as estimate.
</t>
        </r>
        <r>
          <rPr>
            <b/>
            <sz val="9"/>
            <color indexed="81"/>
            <rFont val="Tahoma"/>
            <family val="2"/>
          </rPr>
          <t>For known locations,</t>
        </r>
        <r>
          <rPr>
            <sz val="9"/>
            <color indexed="81"/>
            <rFont val="Tahoma"/>
            <family val="2"/>
          </rPr>
          <t xml:space="preserve"> look up current Per Diem rates at https://www.travel.dod.mil/Travel-Transportation-Rates/Per-Diem/Per-Diem-Rate-Lookup/</t>
        </r>
      </text>
    </comment>
    <comment ref="D20" authorId="1" shapeId="0" xr:uid="{CE07C65B-54EA-4D84-B4D8-0401770725B4}">
      <text>
        <r>
          <rPr>
            <sz val="9"/>
            <color indexed="81"/>
            <rFont val="Tahoma"/>
            <family val="2"/>
          </rPr>
          <t xml:space="preserve">FY27 change to Pooled Fringe Rates for all employees.
</t>
        </r>
        <r>
          <rPr>
            <b/>
            <sz val="9"/>
            <color indexed="81"/>
            <rFont val="Tahoma"/>
            <family val="2"/>
          </rPr>
          <t xml:space="preserve">Leah Gorman: </t>
        </r>
        <r>
          <rPr>
            <sz val="9"/>
            <color indexed="81"/>
            <rFont val="Tahoma"/>
            <family val="2"/>
          </rPr>
          <t>Rate adjustments are expected in January of each year when new health plans take effect.  https://fa.oregonstate.edu/budget/budget-resources</t>
        </r>
      </text>
    </comment>
    <comment ref="H22" authorId="0" shapeId="0" xr:uid="{139860D0-C558-4F0C-838E-36BA6CAD137B}">
      <text>
        <r>
          <rPr>
            <b/>
            <sz val="9"/>
            <color indexed="81"/>
            <rFont val="Tahoma"/>
            <family val="2"/>
          </rPr>
          <t>Susan Cao:</t>
        </r>
        <r>
          <rPr>
            <sz val="9"/>
            <color indexed="81"/>
            <rFont val="Tahoma"/>
            <family val="2"/>
          </rPr>
          <t>Maximum Allowed FTE</t>
        </r>
      </text>
    </comment>
    <comment ref="P22" authorId="0" shapeId="0" xr:uid="{49389BBA-EC3A-4020-AC13-DD187462FDFD}">
      <text>
        <r>
          <rPr>
            <b/>
            <sz val="9"/>
            <color indexed="81"/>
            <rFont val="Tahoma"/>
            <family val="2"/>
          </rPr>
          <t>Cyndy Kelchner:</t>
        </r>
        <r>
          <rPr>
            <sz val="9"/>
            <color indexed="81"/>
            <rFont val="Tahoma"/>
            <family val="2"/>
          </rPr>
          <t xml:space="preserve">
Updated 7/24/26 with final values. (Rates were previously updated for AY26-27 based on Trustees announcement 3/13/26)
</t>
        </r>
        <r>
          <rPr>
            <b/>
            <sz val="9"/>
            <color indexed="81"/>
            <rFont val="Tahoma"/>
            <family val="2"/>
          </rPr>
          <t>http://fa.oregonstate.edu/budget/tuition-fees</t>
        </r>
        <r>
          <rPr>
            <sz val="9"/>
            <color indexed="81"/>
            <rFont val="Tahoma"/>
            <family val="2"/>
          </rPr>
          <t xml:space="preserve">
**AY now starts with Summer Term, as of summer 2019.</t>
        </r>
      </text>
    </comment>
    <comment ref="H23" authorId="2" shapeId="0" xr:uid="{DB4E2697-632C-4B51-956C-2604F1C6694B}">
      <text>
        <r>
          <rPr>
            <b/>
            <sz val="9"/>
            <color indexed="81"/>
            <rFont val="Tahoma"/>
            <family val="2"/>
          </rPr>
          <t>Susan Cao:</t>
        </r>
        <r>
          <rPr>
            <sz val="9"/>
            <color indexed="81"/>
            <rFont val="Tahoma"/>
            <family val="2"/>
          </rPr>
          <t xml:space="preserve">
Minimum allowed FTE for COE</t>
        </r>
      </text>
    </comment>
    <comment ref="K24" authorId="0" shapeId="0" xr:uid="{C7C2BCF2-A477-4EFE-8B76-FC174CDF68AF}">
      <text>
        <r>
          <rPr>
            <b/>
            <sz val="9"/>
            <color indexed="81"/>
            <rFont val="Tahoma"/>
            <family val="2"/>
          </rPr>
          <t>Susan Cao:</t>
        </r>
        <r>
          <rPr>
            <sz val="9"/>
            <color indexed="81"/>
            <rFont val="Tahoma"/>
            <family val="2"/>
          </rPr>
          <t xml:space="preserve">
Will update the 2025 rate in April when state announces it</t>
        </r>
      </text>
    </comment>
    <comment ref="B30" authorId="3" shapeId="0" xr:uid="{403B5AD1-6157-479F-8E8B-165F42B3FE4E}">
      <text>
        <t>[Threaded comment]
Your version of Excel allows you to read this threaded comment; however, any edits to it will get removed if the file is opened in a newer version of Excel. Learn more: https://go.microsoft.com/fwlink/?linkid=870924
Comment:
    Updated March 2026. New rates backdated to July 2025. New MTDC and off-campus definitions effective July 2026.</t>
      </text>
    </comment>
    <comment ref="P30" authorId="1" shapeId="0" xr:uid="{00000000-0006-0000-0A00-000019000000}">
      <text>
        <r>
          <rPr>
            <b/>
            <sz val="9"/>
            <color indexed="81"/>
            <rFont val="Tahoma"/>
            <family val="2"/>
          </rPr>
          <t>Kokenyesi, Robert S (modified by Cyndy Kelchner):</t>
        </r>
        <r>
          <rPr>
            <sz val="9"/>
            <color indexed="81"/>
            <rFont val="Tahoma"/>
            <family val="2"/>
          </rPr>
          <t xml:space="preserve">
Starting tuition year is updated based on project start date. If project starts after Spring start cutoff date (April 15), then start budget with next AY tuition rates. Changed 10/25/19 to align with AY starting in Summer term.</t>
        </r>
      </text>
    </comment>
    <comment ref="N31" authorId="1" shapeId="0" xr:uid="{00000000-0006-0000-0A00-00001A000000}">
      <text>
        <r>
          <rPr>
            <b/>
            <sz val="9"/>
            <color indexed="81"/>
            <rFont val="Tahoma"/>
            <family val="2"/>
          </rPr>
          <t>Kokenyesi, Robert S:</t>
        </r>
        <r>
          <rPr>
            <sz val="9"/>
            <color indexed="81"/>
            <rFont val="Tahoma"/>
            <family val="2"/>
          </rPr>
          <t xml:space="preserve">
This table defines allowable start dates for full term student performance. 
For example: a project starting in November with full time student appointment, tuition payment is considered pre-award spending for that term. This budget template will not calculate tuition for that term. The project should start by October 1 for full-term appointment.</t>
        </r>
      </text>
    </comment>
    <comment ref="N34" authorId="1" shapeId="0" xr:uid="{00000000-0006-0000-0A00-00001B000000}">
      <text>
        <r>
          <rPr>
            <b/>
            <sz val="9"/>
            <color indexed="81"/>
            <rFont val="Tahoma"/>
            <family val="2"/>
          </rPr>
          <t>Kokenyesi, Robert S:</t>
        </r>
        <r>
          <rPr>
            <sz val="9"/>
            <color indexed="81"/>
            <rFont val="Tahoma"/>
            <family val="2"/>
          </rPr>
          <t xml:space="preserve">
This table defines allowable end dates for full term student performance. 
For example: a project ending November 1 with full time student appointment, tuition payment may not be justifiable spending for that term. This budget template will not calculate tuition for that term. The project should end after December 15th or later to allow student tuition payment.</t>
        </r>
      </text>
    </comment>
    <comment ref="E39" authorId="0" shapeId="0" xr:uid="{00000000-0006-0000-0A00-00001C000000}">
      <text>
        <r>
          <rPr>
            <b/>
            <sz val="9"/>
            <color indexed="81"/>
            <rFont val="Tahoma"/>
            <family val="2"/>
          </rPr>
          <t>Cyndy Kelchner:</t>
        </r>
        <r>
          <rPr>
            <sz val="9"/>
            <color indexed="81"/>
            <rFont val="Tahoma"/>
            <family val="2"/>
          </rPr>
          <t xml:space="preserve">
Same GA salary for all COE Schools starting AY23, for budgeting purposes as of 2/1/22.
Default GA salary is Level II, entry PhD student with Masters degree.</t>
        </r>
      </text>
    </comment>
    <comment ref="O45" authorId="4" shapeId="0" xr:uid="{90F1AEE7-4D89-4E3F-88C7-DE417F9886A3}">
      <text>
        <t>[Threaded comment]
Your version of Excel allows you to read this threaded comment; however, any edits to it will get removed if the file is opened in a newer version of Excel. Learn more: https://go.microsoft.com/fwlink/?linkid=870924
Comment:
    No longer has separate tuition rate for MPH students.</t>
      </text>
    </comment>
    <comment ref="D46" authorId="0" shapeId="0" xr:uid="{00000000-0006-0000-0A00-00001E000000}">
      <text>
        <r>
          <rPr>
            <b/>
            <sz val="9"/>
            <color indexed="81"/>
            <rFont val="Tahoma"/>
            <family val="2"/>
          </rPr>
          <t>Cyndy Kelchner:</t>
        </r>
        <r>
          <rPr>
            <sz val="9"/>
            <color indexed="81"/>
            <rFont val="Tahoma"/>
            <family val="2"/>
          </rPr>
          <t xml:space="preserve">
Maximum for COE</t>
        </r>
      </text>
    </comment>
    <comment ref="D48" authorId="0" shapeId="0" xr:uid="{3C3F7286-BBB3-4522-9E7A-0074AE39209B}">
      <text>
        <r>
          <rPr>
            <b/>
            <sz val="9"/>
            <color indexed="81"/>
            <rFont val="Tahoma"/>
            <family val="2"/>
          </rPr>
          <t>Cyndy Kelchner:</t>
        </r>
        <r>
          <rPr>
            <sz val="9"/>
            <color indexed="81"/>
            <rFont val="Tahoma"/>
            <family val="2"/>
          </rPr>
          <t xml:space="preserve">
Updated Jan24 for AY25 in CEOAS at 0.49 FTE. Same rate for MS and PhD students. 
GA appointments in CEOAS will be extended through summer as of 2021. </t>
        </r>
      </text>
    </comment>
    <comment ref="N48" authorId="0" shapeId="0" xr:uid="{9894E06B-CBF3-49BE-8AB0-2B4FA4787D9C}">
      <text>
        <r>
          <rPr>
            <b/>
            <sz val="9"/>
            <color indexed="81"/>
            <rFont val="Tahoma"/>
            <family val="2"/>
          </rPr>
          <t>Cyndy Kelchner:</t>
        </r>
        <r>
          <rPr>
            <sz val="9"/>
            <color indexed="81"/>
            <rFont val="Tahoma"/>
            <family val="2"/>
          </rPr>
          <t xml:space="preserve">
Applies only to the MPH degree.  All other CPHHS degrees use base tuition rate. </t>
        </r>
      </text>
    </comment>
    <comment ref="D52" authorId="0" shapeId="0" xr:uid="{0CBD0218-B895-47B7-9D7F-A21E6DD99F05}">
      <text>
        <r>
          <rPr>
            <b/>
            <sz val="9"/>
            <color indexed="81"/>
            <rFont val="Tahoma"/>
            <family val="2"/>
          </rPr>
          <t>Cyndy Kelchner:</t>
        </r>
        <r>
          <rPr>
            <sz val="9"/>
            <color indexed="81"/>
            <rFont val="Tahoma"/>
            <family val="2"/>
          </rPr>
          <t xml:space="preserve">
Updated Jan26 for AY27 in COF at 0.49 FTE. Same rate for MS and PhD students.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Cyndy Kelchner</author>
    <author>Kelchner, Cyndy</author>
  </authors>
  <commentList>
    <comment ref="C10" authorId="0" shapeId="0" xr:uid="{00000000-0006-0000-0D00-000001000000}">
      <text>
        <r>
          <rPr>
            <b/>
            <sz val="9"/>
            <color indexed="81"/>
            <rFont val="Tahoma"/>
            <family val="2"/>
          </rPr>
          <t>Cyndy Kelchner:</t>
        </r>
        <r>
          <rPr>
            <sz val="9"/>
            <color indexed="81"/>
            <rFont val="Tahoma"/>
            <family val="2"/>
          </rPr>
          <t xml:space="preserve">
Do NOT edit here. Linked to Budget tab.</t>
        </r>
      </text>
    </comment>
    <comment ref="C12" authorId="0" shapeId="0" xr:uid="{00000000-0006-0000-0D00-000002000000}">
      <text>
        <r>
          <rPr>
            <b/>
            <sz val="9"/>
            <color indexed="81"/>
            <rFont val="Tahoma"/>
            <family val="2"/>
          </rPr>
          <t>Cyndy Kelchner:</t>
        </r>
        <r>
          <rPr>
            <sz val="9"/>
            <color indexed="81"/>
            <rFont val="Tahoma"/>
            <family val="2"/>
          </rPr>
          <t xml:space="preserve">
Also includes FFRDC funds directly awarded from sponsor, if using Total Project Costs as the cost share basis. Linked to Data Input tab sponsor total to reflect the Actual or Rounded total per rest of budget.</t>
        </r>
      </text>
    </comment>
    <comment ref="C13" authorId="0" shapeId="0" xr:uid="{00000000-0006-0000-0D00-000003000000}">
      <text>
        <r>
          <rPr>
            <b/>
            <sz val="9"/>
            <color indexed="81"/>
            <rFont val="Tahoma"/>
            <family val="2"/>
          </rPr>
          <t>Cyndy Kelchner:</t>
        </r>
        <r>
          <rPr>
            <sz val="9"/>
            <color indexed="81"/>
            <rFont val="Tahoma"/>
            <family val="2"/>
          </rPr>
          <t xml:space="preserve">
If 100% cost share or more, the basis must be Sponsor Cost (not Total Project Cost).</t>
        </r>
      </text>
    </comment>
    <comment ref="C18" authorId="1" shapeId="0" xr:uid="{00000000-0006-0000-0D00-000004000000}">
      <text>
        <r>
          <rPr>
            <b/>
            <sz val="9"/>
            <color indexed="81"/>
            <rFont val="Tahoma"/>
            <family val="2"/>
          </rPr>
          <t>Kelchner, Cyndy:</t>
        </r>
        <r>
          <rPr>
            <sz val="9"/>
            <color indexed="81"/>
            <rFont val="Tahoma"/>
            <family val="2"/>
          </rPr>
          <t xml:space="preserve">
Offset calculation assumptions for Total Cost Share by Unit: 
* Year 1 is in the 3rd column of this tab.
* First org is in row 18 of this tab.
* Cost share orgs are 8 columns apart on the Budget tab.</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Kelchner, Cyndy</author>
    <author>Cyndy Kelchner</author>
  </authors>
  <commentList>
    <comment ref="L3" authorId="0" shapeId="0" xr:uid="{00000000-0006-0000-0E00-000001000000}">
      <text>
        <r>
          <rPr>
            <b/>
            <sz val="9"/>
            <color indexed="81"/>
            <rFont val="Tahoma"/>
            <family val="2"/>
          </rPr>
          <t>Kelchner, Cyndy:</t>
        </r>
        <r>
          <rPr>
            <sz val="9"/>
            <color indexed="81"/>
            <rFont val="Tahoma"/>
            <family val="2"/>
          </rPr>
          <t xml:space="preserve">
Offset calculation assumptions:
* Year 1 is in the 3rd column of this tab.
* Cost share orgs are 8 columns apart on the Budget tab.</t>
        </r>
      </text>
    </comment>
    <comment ref="F13" authorId="1" shapeId="0" xr:uid="{B22966E1-EBA1-48ED-9CA3-A963E6382D97}">
      <text>
        <r>
          <rPr>
            <b/>
            <sz val="9"/>
            <color indexed="81"/>
            <rFont val="Tahoma"/>
            <family val="2"/>
          </rPr>
          <t>Cyndy Kelchner:</t>
        </r>
        <r>
          <rPr>
            <sz val="9"/>
            <color indexed="81"/>
            <rFont val="Tahoma"/>
            <family val="2"/>
          </rPr>
          <t xml:space="preserve">
These cells are colored when Other Costs are involved, to remind you to add explanatory text here and to highlight it for reviewers.</t>
        </r>
      </text>
    </comment>
    <comment ref="A35" authorId="0" shapeId="0" xr:uid="{00000000-0006-0000-0E00-000002000000}">
      <text>
        <r>
          <rPr>
            <b/>
            <sz val="9"/>
            <color indexed="81"/>
            <rFont val="Tahoma"/>
            <family val="2"/>
          </rPr>
          <t>Kelchner, Cyndy:</t>
        </r>
        <r>
          <rPr>
            <sz val="9"/>
            <color indexed="81"/>
            <rFont val="Tahoma"/>
            <family val="2"/>
          </rPr>
          <t xml:space="preserve">
Using same F&amp;A rate as on sponsor costs. When this is a sponsor-limited rate, see separate tab for unrecovered F&amp;A.</t>
        </r>
      </text>
    </comment>
    <comment ref="C41" authorId="0" shapeId="0" xr:uid="{00000000-0006-0000-0E00-000003000000}">
      <text>
        <r>
          <rPr>
            <b/>
            <sz val="9"/>
            <color indexed="81"/>
            <rFont val="Tahoma"/>
            <family val="2"/>
          </rPr>
          <t>Kelchner, Cyndy:</t>
        </r>
        <r>
          <rPr>
            <sz val="9"/>
            <color indexed="81"/>
            <rFont val="Tahoma"/>
            <family val="2"/>
          </rPr>
          <t xml:space="preserve">
Offset calculation assumptions for AY months: 
* Co-PIs are 14 rows apart on the Senior Personnel tab.</t>
        </r>
      </text>
    </comment>
    <comment ref="C60" authorId="0" shapeId="0" xr:uid="{00000000-0006-0000-0E00-000004000000}">
      <text>
        <r>
          <rPr>
            <b/>
            <sz val="9"/>
            <color indexed="81"/>
            <rFont val="Tahoma"/>
            <family val="2"/>
          </rPr>
          <t>Kelchner, Cyndy:</t>
        </r>
        <r>
          <rPr>
            <sz val="9"/>
            <color indexed="81"/>
            <rFont val="Tahoma"/>
            <family val="2"/>
          </rPr>
          <t xml:space="preserve">
Offset calculation assumptions for AY months: 
* Personnel are 14 rows apart on the Other Personnel tab.</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Kelchner, Cyndy</author>
  </authors>
  <commentList>
    <comment ref="L3" authorId="0" shapeId="0" xr:uid="{00000000-0006-0000-0F00-000001000000}">
      <text>
        <r>
          <rPr>
            <b/>
            <sz val="9"/>
            <color indexed="81"/>
            <rFont val="Tahoma"/>
            <family val="2"/>
          </rPr>
          <t>Kelchner, Cyndy:</t>
        </r>
        <r>
          <rPr>
            <sz val="9"/>
            <color indexed="81"/>
            <rFont val="Tahoma"/>
            <family val="2"/>
          </rPr>
          <t xml:space="preserve">
Offset calculation assumptions:
* Year 1 is in the 3rd column of this tab.
* Cost share orgs are 8 columns apart on the Budget tab.</t>
        </r>
      </text>
    </comment>
    <comment ref="C41" authorId="0" shapeId="0" xr:uid="{0E753C94-2EF7-4DA3-9D57-CFF37AAD9F7A}">
      <text>
        <r>
          <rPr>
            <b/>
            <sz val="9"/>
            <color indexed="81"/>
            <rFont val="Tahoma"/>
            <family val="2"/>
          </rPr>
          <t>Kelchner, Cyndy:</t>
        </r>
        <r>
          <rPr>
            <sz val="9"/>
            <color indexed="81"/>
            <rFont val="Tahoma"/>
            <family val="2"/>
          </rPr>
          <t xml:space="preserve">
Offset calculation assumptions for AY months: 
* Co-PIs are 14 rows apart on the Senior Personnel tab.</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<sst xmlns="http://schemas.openxmlformats.org/spreadsheetml/2006/main" count="7120" uniqueCount="1098">
  <si>
    <t>Year 2</t>
  </si>
  <si>
    <t>Year 3</t>
  </si>
  <si>
    <t>Year 4</t>
  </si>
  <si>
    <t>Total</t>
  </si>
  <si>
    <t>Domestic Travel</t>
  </si>
  <si>
    <t>Foreign Travel</t>
  </si>
  <si>
    <t>Capital Equipment</t>
  </si>
  <si>
    <t xml:space="preserve"> </t>
  </si>
  <si>
    <t>Consultant Services</t>
  </si>
  <si>
    <t>End Date</t>
  </si>
  <si>
    <t>Start Date</t>
  </si>
  <si>
    <t>Stipends</t>
  </si>
  <si>
    <t>Travel</t>
  </si>
  <si>
    <t>Subsistence</t>
  </si>
  <si>
    <t>Materials &amp; Supplies</t>
  </si>
  <si>
    <t>Other-fees</t>
  </si>
  <si>
    <t>Year 5</t>
  </si>
  <si>
    <t>Summer</t>
  </si>
  <si>
    <t>Destination</t>
  </si>
  <si>
    <t>Inflation</t>
  </si>
  <si>
    <t>TOTAL FRINGE</t>
  </si>
  <si>
    <t>TOTAL PARTICIPANT COST</t>
  </si>
  <si>
    <t>TOTAL OTHER DIRECT COSTS</t>
  </si>
  <si>
    <t>Airfare</t>
  </si>
  <si>
    <t>A</t>
  </si>
  <si>
    <t>B</t>
  </si>
  <si>
    <t>C</t>
  </si>
  <si>
    <t>D</t>
  </si>
  <si>
    <t>F</t>
  </si>
  <si>
    <t>G</t>
  </si>
  <si>
    <t>G.1</t>
  </si>
  <si>
    <t>G.2</t>
  </si>
  <si>
    <t>G.3</t>
  </si>
  <si>
    <t>G.4</t>
  </si>
  <si>
    <t>G.5</t>
  </si>
  <si>
    <t>G.6</t>
  </si>
  <si>
    <t>E.1</t>
  </si>
  <si>
    <t>E.2</t>
  </si>
  <si>
    <t>Participant Support Costs</t>
  </si>
  <si>
    <t>Other Direct Costs</t>
  </si>
  <si>
    <t>TOTAL TRAVEL COSTS</t>
  </si>
  <si>
    <t>Fall</t>
  </si>
  <si>
    <t>Winter</t>
  </si>
  <si>
    <t>Spring</t>
  </si>
  <si>
    <t>TOTAL - ALL PERSONNEL</t>
  </si>
  <si>
    <t>E</t>
  </si>
  <si>
    <t>TOTAL CAPITAL EQUIPMENT COSTS</t>
  </si>
  <si>
    <t>D.1</t>
  </si>
  <si>
    <t>D.2</t>
  </si>
  <si>
    <t>D.3</t>
  </si>
  <si>
    <t>Subtotal Senior Personnel</t>
  </si>
  <si>
    <t>State of Oregon Agency</t>
  </si>
  <si>
    <t>TOTAL DIRECT COSTS (TDC)</t>
  </si>
  <si>
    <t>H</t>
  </si>
  <si>
    <t>I</t>
  </si>
  <si>
    <t>G.5 Subcontracts Total</t>
  </si>
  <si>
    <t>G.6 Other Total</t>
  </si>
  <si>
    <t>AY Tuition</t>
  </si>
  <si>
    <t>Description</t>
  </si>
  <si>
    <t>Annual</t>
  </si>
  <si>
    <t>Monthly</t>
  </si>
  <si>
    <t>PhD</t>
  </si>
  <si>
    <t>Sponsor</t>
  </si>
  <si>
    <t>Sponsor Deadline</t>
  </si>
  <si>
    <t>SMR</t>
  </si>
  <si>
    <t>Salary Information</t>
  </si>
  <si>
    <t>Hourly</t>
  </si>
  <si>
    <t>%</t>
  </si>
  <si>
    <t>$</t>
  </si>
  <si>
    <t>CBEE</t>
  </si>
  <si>
    <t>CCE</t>
  </si>
  <si>
    <t>EECS</t>
  </si>
  <si>
    <t>MIME</t>
  </si>
  <si>
    <t>NSE</t>
  </si>
  <si>
    <t>COE</t>
  </si>
  <si>
    <t>COF</t>
  </si>
  <si>
    <t>COS</t>
  </si>
  <si>
    <t>CEOAS</t>
  </si>
  <si>
    <t>Fringe Benefits</t>
  </si>
  <si>
    <t>Lead PI:</t>
  </si>
  <si>
    <t>College/School:</t>
  </si>
  <si>
    <t>Appointment:</t>
  </si>
  <si>
    <t>FTE:</t>
  </si>
  <si>
    <t>Effort in Hours</t>
  </si>
  <si>
    <t>Costs to Project</t>
  </si>
  <si>
    <t>TOTALS</t>
  </si>
  <si>
    <t>% Increase</t>
  </si>
  <si>
    <t>Loaded Rate</t>
  </si>
  <si>
    <t>Annual Salary:</t>
  </si>
  <si>
    <t>Hourly Rate:</t>
  </si>
  <si>
    <t xml:space="preserve">Hourly Rate </t>
  </si>
  <si>
    <t>Unit:</t>
  </si>
  <si>
    <t>Months of Effort</t>
  </si>
  <si>
    <t>Total Hours</t>
  </si>
  <si>
    <t>Start Date:</t>
  </si>
  <si>
    <t>End Date:</t>
  </si>
  <si>
    <t>SU Tuition</t>
  </si>
  <si>
    <t>AY Fee</t>
  </si>
  <si>
    <t>SU Fee</t>
  </si>
  <si>
    <t>AY Fees</t>
  </si>
  <si>
    <t>SU Fees</t>
  </si>
  <si>
    <t>Total Fees</t>
  </si>
  <si>
    <t>TOTAL PROJECT COSTS</t>
  </si>
  <si>
    <t>Fees</t>
  </si>
  <si>
    <t>Co-PI:</t>
  </si>
  <si>
    <t>Year 6</t>
  </si>
  <si>
    <t>Year 1</t>
  </si>
  <si>
    <t>Lead-PI:</t>
  </si>
  <si>
    <t xml:space="preserve">Fringe </t>
  </si>
  <si>
    <t xml:space="preserve">Other Personnel </t>
  </si>
  <si>
    <t>Senior Personnel</t>
  </si>
  <si>
    <t>Nights</t>
  </si>
  <si>
    <t>Days</t>
  </si>
  <si>
    <t>Totals</t>
  </si>
  <si>
    <t>Ground Transp.</t>
  </si>
  <si>
    <t>Lodging</t>
  </si>
  <si>
    <t>Per Diem</t>
  </si>
  <si>
    <t>Duration</t>
  </si>
  <si>
    <t>Transp.</t>
  </si>
  <si>
    <t>Domestic</t>
  </si>
  <si>
    <t>Purpose</t>
  </si>
  <si>
    <t>Foreign</t>
  </si>
  <si>
    <t>Conf. Fee</t>
  </si>
  <si>
    <t>Trip #1</t>
  </si>
  <si>
    <t>Trip #2</t>
  </si>
  <si>
    <t>Trip #3</t>
  </si>
  <si>
    <t>Trip #4</t>
  </si>
  <si>
    <t>Trip #5</t>
  </si>
  <si>
    <t>Total Domestic</t>
  </si>
  <si>
    <t>Total Foreign</t>
  </si>
  <si>
    <t>Remission Fees</t>
  </si>
  <si>
    <t>Direct Costs exempt from F&amp;A</t>
  </si>
  <si>
    <t>TOTAL INDIRECT COSTS (F&amp;A)</t>
  </si>
  <si>
    <t>Other Personnel</t>
  </si>
  <si>
    <t>Masters</t>
  </si>
  <si>
    <t>Level:</t>
  </si>
  <si>
    <t>Fringe</t>
  </si>
  <si>
    <t>TOTAL PERSONNEL + FRINGE</t>
  </si>
  <si>
    <t>COST SHARE BUDGETS</t>
  </si>
  <si>
    <t>TOTAL COST SHARE</t>
  </si>
  <si>
    <t>Req'd Cost Share %</t>
  </si>
  <si>
    <t>CAPITAL EQUIPMENT</t>
  </si>
  <si>
    <t>Other</t>
  </si>
  <si>
    <t>Lead PI</t>
  </si>
  <si>
    <t>FRINGE</t>
  </si>
  <si>
    <t>PI/Co-PI</t>
  </si>
  <si>
    <t>Equipment</t>
  </si>
  <si>
    <t>Grant Coordinator</t>
  </si>
  <si>
    <t>Period 1</t>
  </si>
  <si>
    <t>Period 2</t>
  </si>
  <si>
    <t>Period 3</t>
  </si>
  <si>
    <t>Period 4</t>
  </si>
  <si>
    <t>Year 1 (12 Months)</t>
  </si>
  <si>
    <t>Year 2 (12 Months)</t>
  </si>
  <si>
    <t>Year 3 (8 Months)</t>
  </si>
  <si>
    <t>4 Months</t>
  </si>
  <si>
    <t>3 Months</t>
  </si>
  <si>
    <t>2 Months</t>
  </si>
  <si>
    <t>1 Month</t>
  </si>
  <si>
    <t>Participant Support</t>
  </si>
  <si>
    <t>Year 0 (4 Mo)</t>
  </si>
  <si>
    <t>Project Period 1</t>
  </si>
  <si>
    <t>SENIOR PERSONNEL</t>
  </si>
  <si>
    <t>OTHER PERSONNEL</t>
  </si>
  <si>
    <t>TRAVEL</t>
  </si>
  <si>
    <t>PARTICIPANT SUPPORT</t>
  </si>
  <si>
    <t>OTHER DIRECT COSTS</t>
  </si>
  <si>
    <t>Project Period 2</t>
  </si>
  <si>
    <t>Director's Fellowship</t>
  </si>
  <si>
    <t>DARPA PROJECT PERIOD OF PERFORMANCE</t>
  </si>
  <si>
    <t>TOTAL</t>
  </si>
  <si>
    <t>BREAKDOWN OF GOVERNMENT FISCAL YEARS</t>
  </si>
  <si>
    <t>GFY 2017/2018</t>
  </si>
  <si>
    <t>GFY 2018/2019</t>
  </si>
  <si>
    <t>GFY 2019/2020</t>
  </si>
  <si>
    <t>Quarter 4</t>
  </si>
  <si>
    <t>Quarter 1</t>
  </si>
  <si>
    <t>Quarter 2</t>
  </si>
  <si>
    <t>Quarter 3</t>
  </si>
  <si>
    <t>Cost by Task Totals</t>
  </si>
  <si>
    <t>Total Costs by GFY</t>
  </si>
  <si>
    <t>Project Period 3</t>
  </si>
  <si>
    <t>ONR Project Period</t>
  </si>
  <si>
    <t>Yearly Breakdowns</t>
  </si>
  <si>
    <t>FFY 2017</t>
  </si>
  <si>
    <t>FFY 2018</t>
  </si>
  <si>
    <t>FFY 2019</t>
  </si>
  <si>
    <t>FFY 2020</t>
  </si>
  <si>
    <t xml:space="preserve">Quarter 4 </t>
  </si>
  <si>
    <t>GFY 2017</t>
  </si>
  <si>
    <t>GFY 2018</t>
  </si>
  <si>
    <t>GFY 2019</t>
  </si>
  <si>
    <t>GFY 2020</t>
  </si>
  <si>
    <t>Task 3:</t>
  </si>
  <si>
    <t>Task 4:</t>
  </si>
  <si>
    <t>Task 5:</t>
  </si>
  <si>
    <t>Objectives Delivered:</t>
  </si>
  <si>
    <t>Task 1</t>
  </si>
  <si>
    <t>Task 1.1</t>
  </si>
  <si>
    <t>Task 2</t>
  </si>
  <si>
    <t>Task 2.1</t>
  </si>
  <si>
    <t>Task 2.2</t>
  </si>
  <si>
    <t>Task 2.3</t>
  </si>
  <si>
    <t>Task 2.4</t>
  </si>
  <si>
    <t>Task 2.5</t>
  </si>
  <si>
    <t>???</t>
  </si>
  <si>
    <t>Task 1.2</t>
  </si>
  <si>
    <t>Task 1.3</t>
  </si>
  <si>
    <t>Task 1.4</t>
  </si>
  <si>
    <t>Task 3.1</t>
  </si>
  <si>
    <t>Task 3.2</t>
  </si>
  <si>
    <t>Task 3.3</t>
  </si>
  <si>
    <t>Task 4.1</t>
  </si>
  <si>
    <t>Task 4.2</t>
  </si>
  <si>
    <t>Task 5.1</t>
  </si>
  <si>
    <t>Task 5.2</t>
  </si>
  <si>
    <t xml:space="preserve"> COST SHARE FUNDS</t>
  </si>
  <si>
    <t>COST SHARE SUMMARY TABLE</t>
  </si>
  <si>
    <t>Project 
Period 1 TOTALS</t>
  </si>
  <si>
    <t>Project 
Period 2 TOTALS</t>
  </si>
  <si>
    <t>Project 
Period 3 TOTALS</t>
  </si>
  <si>
    <t>Personnel</t>
  </si>
  <si>
    <t>COST SHARE FUNDS</t>
  </si>
  <si>
    <t>First $25,000</t>
  </si>
  <si>
    <t>Remaining Project Subcontract Cost</t>
  </si>
  <si>
    <t>Tuition/Remission Fees</t>
  </si>
  <si>
    <t>Total Direct Costs</t>
  </si>
  <si>
    <t>First organization should be for Lead PI</t>
  </si>
  <si>
    <t>Cost Share Funds</t>
  </si>
  <si>
    <t>Sponsor Funds</t>
  </si>
  <si>
    <t>Total Project Costs</t>
  </si>
  <si>
    <t>% Effort on Project</t>
  </si>
  <si>
    <t>SMR Hours</t>
  </si>
  <si>
    <t>Monthly (1.0 FTE)</t>
  </si>
  <si>
    <t>`</t>
  </si>
  <si>
    <t>Trip #6</t>
  </si>
  <si>
    <t>Trip #7</t>
  </si>
  <si>
    <t>Trip #8</t>
  </si>
  <si>
    <t>Computer Services</t>
  </si>
  <si>
    <t>SUBTOTAL</t>
  </si>
  <si>
    <t>Subtotal GA</t>
  </si>
  <si>
    <t>Subtotal Other Personnel (non-GA)</t>
  </si>
  <si>
    <t>Subtotal Senior Personnel Fringe</t>
  </si>
  <si>
    <t>Subtotal GA Fringe</t>
  </si>
  <si>
    <t>Subtotal GA Tuition/Remission</t>
  </si>
  <si>
    <t>SALARY CALCULATOR - SENIOR PERSONNEL</t>
  </si>
  <si>
    <t>SALARY CALCULATOR - OTHER PERSONNEL (NON-GA)</t>
  </si>
  <si>
    <t>Other Personnel #1:</t>
  </si>
  <si>
    <t>Other Personnel #2:</t>
  </si>
  <si>
    <t>Other Personnel #3:</t>
  </si>
  <si>
    <t>Other Personnel #4:</t>
  </si>
  <si>
    <t>GRADUATE ASSISTANT (GA) CALCULATOR</t>
  </si>
  <si>
    <t>SMR Months</t>
  </si>
  <si>
    <t>Project Period</t>
  </si>
  <si>
    <t>Months in Period</t>
  </si>
  <si>
    <t>Monthly (Appt. FTE)</t>
  </si>
  <si>
    <t>Total Person Months</t>
  </si>
  <si>
    <t>Base Salary (1 FTE):</t>
  </si>
  <si>
    <t>Months and % Effort on Project</t>
  </si>
  <si>
    <t>Total Project Cost</t>
  </si>
  <si>
    <t>Subcontracts</t>
  </si>
  <si>
    <t>GA Tuition/Fees</t>
  </si>
  <si>
    <t>average</t>
  </si>
  <si>
    <t>CLA</t>
  </si>
  <si>
    <t>SPONSOR PROJECT COSTS</t>
  </si>
  <si>
    <t>Budget Categories</t>
  </si>
  <si>
    <t>CAS</t>
  </si>
  <si>
    <t>SUBTOTAL FOR GA #1</t>
  </si>
  <si>
    <t>SUBTOTAL FOR GA #2</t>
  </si>
  <si>
    <t>SUBTOTAL FOR GA #3</t>
  </si>
  <si>
    <t>SUBTOTAL FOR GA #4</t>
  </si>
  <si>
    <t>SUBTOTAL FOR GA #5</t>
  </si>
  <si>
    <t>Start date</t>
  </si>
  <si>
    <t>Budget Totals</t>
  </si>
  <si>
    <t>End date</t>
  </si>
  <si>
    <t>Name</t>
  </si>
  <si>
    <t>FTE</t>
  </si>
  <si>
    <t>Materials and Supplies</t>
  </si>
  <si>
    <t>End</t>
  </si>
  <si>
    <t xml:space="preserve">Spring </t>
  </si>
  <si>
    <t>Term cutoff</t>
  </si>
  <si>
    <t>Effort Months Total</t>
  </si>
  <si>
    <t>% Effort</t>
  </si>
  <si>
    <t>AY is based on 12 credits; summer is based on 5 credits.</t>
  </si>
  <si>
    <t>Research Associate</t>
  </si>
  <si>
    <t>rate change</t>
  </si>
  <si>
    <t>Rate Selector</t>
  </si>
  <si>
    <t>Project Start</t>
  </si>
  <si>
    <t>From</t>
  </si>
  <si>
    <t>To</t>
  </si>
  <si>
    <t>Extended start date</t>
  </si>
  <si>
    <t>Base Rate Effective Date Range</t>
  </si>
  <si>
    <t>Select Rate:</t>
  </si>
  <si>
    <t>Comment:</t>
  </si>
  <si>
    <t>Project Title:</t>
  </si>
  <si>
    <t>Enter annual costs $:</t>
  </si>
  <si>
    <t>FY</t>
  </si>
  <si>
    <t>Graduate Assistants</t>
  </si>
  <si>
    <t>Cost Per Traveler/Trip</t>
  </si>
  <si>
    <t xml:space="preserve"> OSU Acad. Year</t>
  </si>
  <si>
    <t>Trip Total</t>
  </si>
  <si>
    <t>Inflation:</t>
  </si>
  <si>
    <t>Period duration, months</t>
  </si>
  <si>
    <t>Fraction of full rate</t>
  </si>
  <si>
    <t>Sponsor Total</t>
  </si>
  <si>
    <t>SPONSOR FUNDS</t>
  </si>
  <si>
    <r>
      <t>COST SHARE SUMMARY TABLE (</t>
    </r>
    <r>
      <rPr>
        <b/>
        <i/>
        <sz val="11"/>
        <color rgb="FFFF0000"/>
        <rFont val="Calibri"/>
        <family val="2"/>
        <scheme val="minor"/>
      </rPr>
      <t>FROM BUDGET WORKSHEET</t>
    </r>
    <r>
      <rPr>
        <b/>
        <sz val="11"/>
        <color theme="1"/>
        <rFont val="Calibri"/>
        <family val="2"/>
        <scheme val="minor"/>
      </rPr>
      <t>)</t>
    </r>
  </si>
  <si>
    <t>Organization</t>
  </si>
  <si>
    <t>Project Costs</t>
  </si>
  <si>
    <t>% on TPC</t>
  </si>
  <si>
    <t>% on SF</t>
  </si>
  <si>
    <t>Cost Share</t>
  </si>
  <si>
    <t>% on Total Project Costs</t>
  </si>
  <si>
    <t>% on Sponsor Funds</t>
  </si>
  <si>
    <t>SPONSOR COSTS DOUBLE-CHECK</t>
  </si>
  <si>
    <t>Cost Category</t>
  </si>
  <si>
    <t>Budget</t>
  </si>
  <si>
    <t>Budget Summary</t>
  </si>
  <si>
    <t>Difference</t>
  </si>
  <si>
    <t>COST SHARE COSTS DOUBLE-CHECK</t>
  </si>
  <si>
    <t>Year 6 Totals</t>
  </si>
  <si>
    <t>Total Sponsor Funds</t>
  </si>
  <si>
    <t>Total Cost Share Funds</t>
  </si>
  <si>
    <t>COST SUMMARY BY GOVERNMENT FISCAL YEAR</t>
  </si>
  <si>
    <t>Cost Categories</t>
  </si>
  <si>
    <t>GFY 2021</t>
  </si>
  <si>
    <t>Salary</t>
  </si>
  <si>
    <t>F&amp;A Costs</t>
  </si>
  <si>
    <t>Task 3</t>
  </si>
  <si>
    <t>Task 4</t>
  </si>
  <si>
    <t>Task 5</t>
  </si>
  <si>
    <t>Total Task Costs</t>
  </si>
  <si>
    <t>COST SUMMARY BY PROJECT PHASE</t>
  </si>
  <si>
    <t>Months in Project Period</t>
  </si>
  <si>
    <t>Dropdown lists, Tuition Rates, GA Salaries, and other References</t>
  </si>
  <si>
    <t>OSU Travel Cost Table</t>
  </si>
  <si>
    <r>
      <t xml:space="preserve">Pro-rate Tuition? </t>
    </r>
    <r>
      <rPr>
        <b/>
        <sz val="11"/>
        <color rgb="FFFF0000"/>
        <rFont val="Calibri"/>
        <family val="2"/>
        <scheme val="minor"/>
      </rPr>
      <t>(1=yes)</t>
    </r>
  </si>
  <si>
    <t>Deadline:</t>
  </si>
  <si>
    <t>Cost Target</t>
  </si>
  <si>
    <t>Unit</t>
  </si>
  <si>
    <t>Select Unit</t>
  </si>
  <si>
    <t>Postdoctoral Scholar</t>
  </si>
  <si>
    <t>ApptMonths</t>
  </si>
  <si>
    <t>ApptFTE</t>
  </si>
  <si>
    <t>GA_Level</t>
  </si>
  <si>
    <t>TravelDest</t>
  </si>
  <si>
    <t>SP_Titles</t>
  </si>
  <si>
    <t>GA_FTE</t>
  </si>
  <si>
    <t>Title</t>
  </si>
  <si>
    <t>Select Base:</t>
  </si>
  <si>
    <t>Base for F&amp;A</t>
  </si>
  <si>
    <t>Modified Total Direct Costs (MTDC)</t>
  </si>
  <si>
    <t>Total Direct Costs (TDC)</t>
  </si>
  <si>
    <t>Rates</t>
  </si>
  <si>
    <t>F&amp;A Base</t>
  </si>
  <si>
    <t>Prior to assigning indexes, verify these splits are accurate and complete.</t>
  </si>
  <si>
    <t>This worksheet is a DRAFT based on conversations with PI/research team at the proposal stage.</t>
  </si>
  <si>
    <t>Direct Costs exempt from F&amp;A if MTDC used</t>
  </si>
  <si>
    <t>F&amp;A Base (MTDC or TDC)</t>
  </si>
  <si>
    <t>Indirect Costs</t>
  </si>
  <si>
    <t>Cost share as % of Total Project Costs</t>
  </si>
  <si>
    <t>PROJECT COSTS by PI/Co-PIs</t>
  </si>
  <si>
    <t>Conference</t>
  </si>
  <si>
    <t># Trips</t>
  </si>
  <si>
    <t># Travelers per Trip</t>
  </si>
  <si>
    <t>Total Per Year</t>
  </si>
  <si>
    <t>Lodging Tax</t>
  </si>
  <si>
    <t>Start</t>
  </si>
  <si>
    <t>GA Total Cost (includes tuition)</t>
  </si>
  <si>
    <t>All calculations are in hidden tabs.</t>
  </si>
  <si>
    <t>Adjusted base salary/month</t>
  </si>
  <si>
    <t>Annual % Increase</t>
  </si>
  <si>
    <t>Total Project</t>
  </si>
  <si>
    <t>Indirect Costs (F&amp;A)</t>
  </si>
  <si>
    <t>Subawards</t>
  </si>
  <si>
    <t>Personnel + Fringe</t>
  </si>
  <si>
    <t>Domestic/Foreign</t>
  </si>
  <si>
    <t>Total Project Costs (Sponsor + Cost Share)</t>
  </si>
  <si>
    <t>Sponsor Funds ONLY</t>
  </si>
  <si>
    <t>CostShare</t>
  </si>
  <si>
    <t>OSU Unrecovered F&amp;A</t>
  </si>
  <si>
    <t>% of sponsor</t>
  </si>
  <si>
    <t>% of total project</t>
  </si>
  <si>
    <r>
      <t xml:space="preserve">College of Engineering </t>
    </r>
    <r>
      <rPr>
        <b/>
        <sz val="20"/>
        <color theme="1"/>
        <rFont val="Calibri"/>
        <family val="2"/>
      </rPr>
      <t xml:space="preserve">— </t>
    </r>
    <r>
      <rPr>
        <b/>
        <sz val="20"/>
        <color theme="1"/>
        <rFont val="Calibri"/>
        <family val="2"/>
        <scheme val="minor"/>
      </rPr>
      <t>AUTHORIZATION FOR COST SHARING</t>
    </r>
  </si>
  <si>
    <t>Proposal Information</t>
  </si>
  <si>
    <t>Lead PI's Unit:</t>
  </si>
  <si>
    <t>Sponsor:</t>
  </si>
  <si>
    <t>Proposal Due:</t>
  </si>
  <si>
    <t>COE Proposal Manager:</t>
  </si>
  <si>
    <t>TOTAL Cost Sharing</t>
  </si>
  <si>
    <t>Required Cost Share %</t>
  </si>
  <si>
    <t>Total Cost Share from Budget</t>
  </si>
  <si>
    <t>Basis for calculating cost share</t>
  </si>
  <si>
    <t>Voluntary Cost Share</t>
  </si>
  <si>
    <t>Required Cost Share</t>
  </si>
  <si>
    <t>Voluntary Cost Share %</t>
  </si>
  <si>
    <t>Total Actual Project Cost</t>
  </si>
  <si>
    <t>Total Required Project Cost</t>
  </si>
  <si>
    <t>Total Cost Share %</t>
  </si>
  <si>
    <t>All Sources of Cost Sharing Funds (see Details by Unit on following pages)</t>
  </si>
  <si>
    <t>YEAR 1</t>
  </si>
  <si>
    <t>YEAR 2</t>
  </si>
  <si>
    <t>YEAR 3</t>
  </si>
  <si>
    <t>YEAR 4</t>
  </si>
  <si>
    <t>YEAR 5</t>
  </si>
  <si>
    <t>YEAR 6</t>
  </si>
  <si>
    <t>% Total Project</t>
  </si>
  <si>
    <t>% Sponsor</t>
  </si>
  <si>
    <t>Cost Share Details by Unit:</t>
  </si>
  <si>
    <t>org # for cost share (order on Budget tab)</t>
  </si>
  <si>
    <t>org name</t>
  </si>
  <si>
    <t>column offset for cost share details</t>
  </si>
  <si>
    <t>Cost Share Unit:</t>
  </si>
  <si>
    <t>Cost Sharing Summary for Unit:</t>
  </si>
  <si>
    <t>Total Cost Share</t>
  </si>
  <si>
    <t>Source details if known</t>
  </si>
  <si>
    <t>AY Salaries</t>
  </si>
  <si>
    <t>Faculty time as listed in the AY Months table below</t>
  </si>
  <si>
    <t>Other Funds</t>
  </si>
  <si>
    <t>IDCs</t>
  </si>
  <si>
    <t>Indirect costs on cost share expenses</t>
  </si>
  <si>
    <t>Allocated Costs (faculty time)</t>
  </si>
  <si>
    <t>Senior Personnel (Salary+Fringe)</t>
  </si>
  <si>
    <t>Total Allocated Costs</t>
  </si>
  <si>
    <t>Discretionary Funds (New $)</t>
  </si>
  <si>
    <t>check total</t>
  </si>
  <si>
    <t>Other Personnel (Salary+Fringe)</t>
  </si>
  <si>
    <t>Tuition</t>
  </si>
  <si>
    <t>Total Discretionary Funds</t>
  </si>
  <si>
    <t>Indirect Costs on Cost Share</t>
  </si>
  <si>
    <t>Total IDCs as Cost Share</t>
  </si>
  <si>
    <t>Academic Year Months for Senior Personnel in Unit:</t>
  </si>
  <si>
    <t>PERSONNEL</t>
  </si>
  <si>
    <t>Total AY Months for Unit</t>
  </si>
  <si>
    <t>Approval from Unit Head</t>
  </si>
  <si>
    <t>Signature</t>
  </si>
  <si>
    <t>Date</t>
  </si>
  <si>
    <t>Unrecovered F&amp;A (indirects) on sponsor + cost share expenses</t>
  </si>
  <si>
    <t>Sponsor-limited F&amp;A rate:</t>
  </si>
  <si>
    <t>Unrecovered F&amp;A is the difference between the sponsor-allowed indirect costs and the indirect</t>
  </si>
  <si>
    <t>COST SHARE FORM INSTRUCTIONS</t>
  </si>
  <si>
    <t>Responsible Office:</t>
  </si>
  <si>
    <t>College of Engineering Research Administration Office</t>
  </si>
  <si>
    <t>Applicability:</t>
  </si>
  <si>
    <t>A principal investigator (PI) engaging in any externally-funded research project that has budgeted (quantified) any cash, in-kind, or third party cost sharing must submit a cost share authorization form at the time a proposal is submitted. An updated form should be submitted at the time of award, as applicable.</t>
  </si>
  <si>
    <t>Nature of the form:</t>
  </si>
  <si>
    <r>
      <rPr>
        <b/>
        <sz val="11"/>
        <color rgb="FFFF0000"/>
        <rFont val="Calibri"/>
        <family val="2"/>
        <scheme val="minor"/>
      </rPr>
      <t>INTERNAL USE ONLY</t>
    </r>
    <r>
      <rPr>
        <sz val="11"/>
        <color theme="1"/>
        <rFont val="Calibri"/>
        <family val="2"/>
        <scheme val="minor"/>
      </rPr>
      <t xml:space="preserve"> </t>
    </r>
    <r>
      <rPr>
        <sz val="11"/>
        <color theme="1"/>
        <rFont val="Calibri"/>
        <family val="2"/>
      </rPr>
      <t>—</t>
    </r>
    <r>
      <rPr>
        <sz val="11"/>
        <color theme="1"/>
        <rFont val="Calibri"/>
        <family val="2"/>
        <scheme val="minor"/>
      </rPr>
      <t xml:space="preserve"> </t>
    </r>
    <r>
      <rPr>
        <b/>
        <sz val="11"/>
        <color theme="1"/>
        <rFont val="Calibri"/>
        <family val="2"/>
        <scheme val="minor"/>
      </rPr>
      <t>Please do NOT provide this form to the sponsor as evidence of committed cost share.</t>
    </r>
  </si>
  <si>
    <t>Process for Preparation and Submission of Cost Share Authorization Form:</t>
  </si>
  <si>
    <t>OSRAA</t>
  </si>
  <si>
    <t>Unrecovered F&amp;A</t>
  </si>
  <si>
    <t>Not required</t>
  </si>
  <si>
    <t>OSU's F&amp;A rate:</t>
  </si>
  <si>
    <t>costs calculated at OSU's federally negotiated F&amp;A rate, for both sponsor and cost share expenses.</t>
  </si>
  <si>
    <t>IDCs at OSU's rate</t>
  </si>
  <si>
    <t xml:space="preserve"> IDCs at limited rate</t>
  </si>
  <si>
    <t>Sponsor IDCs at OSU's rate</t>
  </si>
  <si>
    <t>Sponsor IDCs at limited rate</t>
  </si>
  <si>
    <t>Unrecovered F&amp;A on Sponsor Funds</t>
  </si>
  <si>
    <t>Unrecovered F&amp;A on Cost Share</t>
  </si>
  <si>
    <t>Unrecovered F&amp;A on Total Project Costs</t>
  </si>
  <si>
    <t>Cost Share Total IDCs at OSU's rate</t>
  </si>
  <si>
    <t>Cost Share Total IDCs at limited rate</t>
  </si>
  <si>
    <t xml:space="preserve">Total Unrecovered F&amp;A </t>
  </si>
  <si>
    <t>Cost Share Basis</t>
  </si>
  <si>
    <r>
      <t>COST SHARE SUMMARY TABLE (</t>
    </r>
    <r>
      <rPr>
        <b/>
        <i/>
        <sz val="10"/>
        <color rgb="FFFF0000"/>
        <rFont val="Arial"/>
        <family val="2"/>
      </rPr>
      <t>from BUDGET worksheet)</t>
    </r>
  </si>
  <si>
    <t>COST SHARE</t>
  </si>
  <si>
    <t>Colored = Data Input Cells</t>
  </si>
  <si>
    <t>Total Sponsor Cost</t>
  </si>
  <si>
    <t>Dest. Type</t>
  </si>
  <si>
    <t>Notes on Tuition Selection</t>
  </si>
  <si>
    <t>Oregon Minimum Wage:</t>
  </si>
  <si>
    <t>https://hr.oregonstate.edu/policies-procedures/administrators/classification-compensation/new-oregon-minimum-wage-rate-summary</t>
  </si>
  <si>
    <t>AY Total Tuition</t>
  </si>
  <si>
    <t>TOTAL FFRDC COSTS</t>
  </si>
  <si>
    <t>SU Total Tuition</t>
  </si>
  <si>
    <t>limit</t>
  </si>
  <si>
    <t>Total Project Cost here does not include FFRDC funds, if any.</t>
  </si>
  <si>
    <t>http://fa.oregonstate.edu/budget/tuition-fees</t>
  </si>
  <si>
    <t>http://research.oregonstate.edu/osraa/forms-and-rates/facilities-administration-information-and-rates</t>
  </si>
  <si>
    <t>Rates from OSU's F&amp;A rate agreement</t>
  </si>
  <si>
    <t>For OSU units only:</t>
  </si>
  <si>
    <t>For OSU units only</t>
  </si>
  <si>
    <t>TOTAL PROJECT COSTS (Sponsor + Cost Share)</t>
  </si>
  <si>
    <t>includes FFRDC</t>
  </si>
  <si>
    <t>no FFRDC</t>
  </si>
  <si>
    <t>Monthly 
(1.0 FTE)</t>
  </si>
  <si>
    <t>Annual 
(1.0 FTE)</t>
  </si>
  <si>
    <t>TOTAL COSTS</t>
  </si>
  <si>
    <r>
      <t xml:space="preserve">Subawards </t>
    </r>
    <r>
      <rPr>
        <b/>
        <sz val="12"/>
        <color theme="1"/>
        <rFont val="Calibri"/>
        <family val="2"/>
      </rPr>
      <t>–</t>
    </r>
    <r>
      <rPr>
        <b/>
        <sz val="12"/>
        <color theme="1"/>
        <rFont val="Arial"/>
        <family val="2"/>
      </rPr>
      <t xml:space="preserve"> Sponsor Costs</t>
    </r>
  </si>
  <si>
    <r>
      <t xml:space="preserve">Subawards </t>
    </r>
    <r>
      <rPr>
        <b/>
        <sz val="12"/>
        <color theme="1"/>
        <rFont val="Calibri"/>
        <family val="2"/>
      </rPr>
      <t>–</t>
    </r>
    <r>
      <rPr>
        <b/>
        <sz val="12"/>
        <color theme="1"/>
        <rFont val="Arial"/>
        <family val="2"/>
      </rPr>
      <t xml:space="preserve"> Cost Share</t>
    </r>
  </si>
  <si>
    <t>TBD Low-Cost Domestic</t>
  </si>
  <si>
    <t>TBD High-Cost Domestic</t>
  </si>
  <si>
    <t>TBD Foreign</t>
  </si>
  <si>
    <t>GA #10 / Sponsor Funds</t>
  </si>
  <si>
    <t>GA #11 / Sponsor Funds</t>
  </si>
  <si>
    <t>GA #12 / Sponsor Funds</t>
  </si>
  <si>
    <t>GA #13 / Sponsor Funds</t>
  </si>
  <si>
    <t>GA #14 / Sponsor Funds</t>
  </si>
  <si>
    <t>GA #15 / Sponsor Funds</t>
  </si>
  <si>
    <t>SUBTOTAL FOR GA #6</t>
  </si>
  <si>
    <t>SUBTOTAL FOR GA #7</t>
  </si>
  <si>
    <t>SUBTOTAL FOR GA #8</t>
  </si>
  <si>
    <t>SUBTOTAL FOR GA #9</t>
  </si>
  <si>
    <t>SUBTOTAL FOR GA #10</t>
  </si>
  <si>
    <t>SUBTOTAL FOR GA #11</t>
  </si>
  <si>
    <t>SUBTOTAL FOR GA #12</t>
  </si>
  <si>
    <t>SUBTOTAL FOR GA #13</t>
  </si>
  <si>
    <t>SUBTOTAL FOR GA #14</t>
  </si>
  <si>
    <t>SUBTOTAL FOR GA #15</t>
  </si>
  <si>
    <t>per mile</t>
  </si>
  <si>
    <t>Lead PI 
and co-PIs</t>
  </si>
  <si>
    <t>Current Salary</t>
  </si>
  <si>
    <t>Deadline</t>
  </si>
  <si>
    <t>FIRM</t>
  </si>
  <si>
    <t>SOFT</t>
  </si>
  <si>
    <t>Pull Out Conference Fees:</t>
  </si>
  <si>
    <t xml:space="preserve">SEPARATELY COSTED OUT PROJECT SPECIFIC CONFERENCES -- SEE UNDER OTHER DIRECT COSTS (ROW 147) </t>
  </si>
  <si>
    <t>Students Per Year</t>
  </si>
  <si>
    <t>Months of Effort Per Student</t>
  </si>
  <si>
    <t>Total Hours Per Student</t>
  </si>
  <si>
    <t>Faculty ApptFTE</t>
  </si>
  <si>
    <t xml:space="preserve">Total Hours </t>
  </si>
  <si>
    <t>Academic Wage</t>
  </si>
  <si>
    <t>Temporary</t>
  </si>
  <si>
    <t>Other Permanent Employee</t>
  </si>
  <si>
    <t>Position:</t>
  </si>
  <si>
    <t>No</t>
  </si>
  <si>
    <t>Standard</t>
  </si>
  <si>
    <t>Monthly Base Salary:</t>
  </si>
  <si>
    <t>Base Salary/Month:</t>
  </si>
  <si>
    <t>Tenure Date:</t>
  </si>
  <si>
    <t>Student (hourly)</t>
  </si>
  <si>
    <t>Travel Purpose and Destination</t>
  </si>
  <si>
    <t>Off-campus Research or OSA (non-DoD)</t>
  </si>
  <si>
    <t>OSU Base tuition/fees history:</t>
  </si>
  <si>
    <t>Cost Share % on Total Project Costs</t>
  </si>
  <si>
    <t>Cost Share % on Sponsor Costs</t>
  </si>
  <si>
    <t>Cyndy Kelchner</t>
  </si>
  <si>
    <t xml:space="preserve">No signature needed for cost share provided solely by faculty time (up to 1.0 month/year/faculty) 
and/or unrecovered F&amp;A from sponsor-limited rate. </t>
  </si>
  <si>
    <t>Copy these cells to the left when needed:</t>
  </si>
  <si>
    <t>GA #10</t>
  </si>
  <si>
    <t>GA #11</t>
  </si>
  <si>
    <t>GA #12</t>
  </si>
  <si>
    <t>GA #13</t>
  </si>
  <si>
    <t>GA #14</t>
  </si>
  <si>
    <t>GA #15</t>
  </si>
  <si>
    <t>GA #01</t>
  </si>
  <si>
    <t>GA #02</t>
  </si>
  <si>
    <t>GA #03</t>
  </si>
  <si>
    <t>GA #04</t>
  </si>
  <si>
    <t>GA #05</t>
  </si>
  <si>
    <t>GA #06</t>
  </si>
  <si>
    <t>GA #07</t>
  </si>
  <si>
    <t>GA #08</t>
  </si>
  <si>
    <t>GA #09</t>
  </si>
  <si>
    <t>GA #02 / Sponsor Funds</t>
  </si>
  <si>
    <t>GA #03 / Sponsor Funds</t>
  </si>
  <si>
    <t>GA #04 / Sponsor Funds</t>
  </si>
  <si>
    <t>GA #05 / Sponsor Funds</t>
  </si>
  <si>
    <t>GA #06 / Sponsor Funds</t>
  </si>
  <si>
    <t>GA #07 / Sponsor Funds</t>
  </si>
  <si>
    <t>GA #08 / Sponsor Funds</t>
  </si>
  <si>
    <t>GA #09 / Sponsor Funds</t>
  </si>
  <si>
    <t>Publication Costs</t>
  </si>
  <si>
    <t>Other - Specify</t>
  </si>
  <si>
    <t>User/Service Fees</t>
  </si>
  <si>
    <t>Conference Registration Fees</t>
  </si>
  <si>
    <t>Grant Coord:</t>
  </si>
  <si>
    <t>Grant Coordinators</t>
  </si>
  <si>
    <t>Robert Kokenyesi</t>
  </si>
  <si>
    <t>GA_Salary
PhD</t>
  </si>
  <si>
    <t>GA_Salary
MS</t>
  </si>
  <si>
    <t>Tenure Date</t>
  </si>
  <si>
    <t>Facilities &amp; Administrative (F&amp;A) Costs</t>
  </si>
  <si>
    <t>Hourly Students</t>
  </si>
  <si>
    <t>Effort Type</t>
  </si>
  <si>
    <t xml:space="preserve">Appt (mo)             </t>
  </si>
  <si>
    <t>Duration (mo.)</t>
  </si>
  <si>
    <t>GA Level</t>
  </si>
  <si>
    <t>Information from Calculator tabs</t>
  </si>
  <si>
    <t xml:space="preserve"> Period 1</t>
  </si>
  <si>
    <t xml:space="preserve"> Period 2</t>
  </si>
  <si>
    <t xml:space="preserve"> Period 3</t>
  </si>
  <si>
    <t xml:space="preserve"> Period 4</t>
  </si>
  <si>
    <t xml:space="preserve"> Period 5</t>
  </si>
  <si>
    <t xml:space="preserve"> Period 6</t>
  </si>
  <si>
    <t>Total Cost
(all Periods)</t>
  </si>
  <si>
    <t># Students
Period 1</t>
  </si>
  <si>
    <t># Students
Period 2</t>
  </si>
  <si>
    <t># Students
Period 3</t>
  </si>
  <si>
    <t># Students
Period 4</t>
  </si>
  <si>
    <t># Students
Period 5</t>
  </si>
  <si>
    <t># Students
Period 6</t>
  </si>
  <si>
    <t>Total Cost in Period 1</t>
  </si>
  <si>
    <t xml:space="preserve">  Period 1</t>
  </si>
  <si>
    <t>Period 5</t>
  </si>
  <si>
    <t>Period 6</t>
  </si>
  <si>
    <t>Hourly Rate</t>
  </si>
  <si>
    <t xml:space="preserve">Effort Months
Period 1 </t>
  </si>
  <si>
    <t>Effort Months
Period 2</t>
  </si>
  <si>
    <t>Effort Months
Period 3</t>
  </si>
  <si>
    <t>Effort Months
Period 4</t>
  </si>
  <si>
    <t>Effort Months
Period 5</t>
  </si>
  <si>
    <t>Effort Months
Period 6</t>
  </si>
  <si>
    <t>Academic</t>
  </si>
  <si>
    <t>Total Costs</t>
  </si>
  <si>
    <t>College of Business Tuition/Fee Rates:</t>
  </si>
  <si>
    <t>https://fa.oregonstate.edu/budget/tuition-fees</t>
  </si>
  <si>
    <t>College of Public Health Tuition/Fee Rates:</t>
  </si>
  <si>
    <t>College of Vet Med Tuition/Fee Rates:</t>
  </si>
  <si>
    <t>College of Pharmacy Tuition/Fee Rates:</t>
  </si>
  <si>
    <t>COB</t>
  </si>
  <si>
    <t>Pharm</t>
  </si>
  <si>
    <t>General</t>
  </si>
  <si>
    <t>CPH</t>
  </si>
  <si>
    <t>CoEd</t>
  </si>
  <si>
    <t>Base %</t>
  </si>
  <si>
    <t>SMR Base %</t>
  </si>
  <si>
    <t>CS Months</t>
  </si>
  <si>
    <t>CS Hours</t>
  </si>
  <si>
    <t>CS % Effort on Project</t>
  </si>
  <si>
    <t>CS Fringe Benefits</t>
  </si>
  <si>
    <t>Rate</t>
  </si>
  <si>
    <t>Committed AY/CY Cost Share to Project</t>
  </si>
  <si>
    <t>Salary Committed CS</t>
  </si>
  <si>
    <t>TOTAL Committed CS</t>
  </si>
  <si>
    <t>BUDGET SUMMARY</t>
  </si>
  <si>
    <t>(one way)</t>
  </si>
  <si>
    <t>OW Miles</t>
  </si>
  <si>
    <t>RT Miles</t>
  </si>
  <si>
    <t>Mileage Cost</t>
  </si>
  <si>
    <t>Note: June 1 is estimated start date based on previous Announcements</t>
  </si>
  <si>
    <t>Sponsor / Program</t>
  </si>
  <si>
    <r>
      <t xml:space="preserve">Academic/Cal. Year </t>
    </r>
    <r>
      <rPr>
        <b/>
        <i/>
        <sz val="10"/>
        <color theme="5" tint="-0.249977111117893"/>
        <rFont val="Arial"/>
        <family val="2"/>
      </rPr>
      <t xml:space="preserve">and/or </t>
    </r>
    <r>
      <rPr>
        <b/>
        <i/>
        <sz val="10"/>
        <color theme="1"/>
        <rFont val="Arial"/>
        <family val="2"/>
      </rPr>
      <t>Cost Share</t>
    </r>
  </si>
  <si>
    <t>Base Year %</t>
  </si>
  <si>
    <t>COST SHARE FOR OTHER PERSONNEL:</t>
  </si>
  <si>
    <t>Months</t>
  </si>
  <si>
    <t>Hours</t>
  </si>
  <si>
    <t>Academic/Calendar Year Months for Other Personnel in Unit:</t>
  </si>
  <si>
    <t>Use unrec. IDCs?</t>
  </si>
  <si>
    <t>Total Cost Share Amount</t>
  </si>
  <si>
    <t>Classified Staff</t>
  </si>
  <si>
    <t>VetMed</t>
  </si>
  <si>
    <t>Base</t>
  </si>
  <si>
    <t>F&amp;A Rate</t>
  </si>
  <si>
    <t>Total Indirect Costs</t>
  </si>
  <si>
    <t>Total Indirect Cost per Project Period (SPONSOR funds only)</t>
  </si>
  <si>
    <t>Salary/month base period</t>
  </si>
  <si>
    <t xml:space="preserve">F&amp;A rate per period </t>
  </si>
  <si>
    <t>Total Project Costs per Period (Sponsor + Cost Share)</t>
  </si>
  <si>
    <t>FFRDC per Period, direct award from sponsor, to get Total Project Cost</t>
  </si>
  <si>
    <t>Total Cost Share by Period</t>
  </si>
  <si>
    <t>Sponsored Funds and Cost Share Totals by Project Period</t>
  </si>
  <si>
    <t>Period 1 Totals</t>
  </si>
  <si>
    <t>Period 2 Totals</t>
  </si>
  <si>
    <t>Period 3 Totals</t>
  </si>
  <si>
    <t>Period 4 Totals</t>
  </si>
  <si>
    <t>Period 5 Totals</t>
  </si>
  <si>
    <t>Pull Out Conf. Fees? Yes/No</t>
  </si>
  <si>
    <t>Project</t>
  </si>
  <si>
    <t>Period</t>
  </si>
  <si>
    <t>Total Conf. Fees</t>
  </si>
  <si>
    <t>DARPA (GOVERNMENT) GFY BREAKDOWN</t>
  </si>
  <si>
    <t>ONR BUDGET TEMPLATE</t>
  </si>
  <si>
    <t>Jun 1 to 
Sep 30</t>
  </si>
  <si>
    <t>Oct 1 to 
Dec 31</t>
  </si>
  <si>
    <t>Jan 1 to 
Mar 31</t>
  </si>
  <si>
    <t>Apr 1 to 
May 31</t>
  </si>
  <si>
    <t>Jun 1 to 
Jun 30</t>
  </si>
  <si>
    <t>Jul 1 to 
Sep 30</t>
  </si>
  <si>
    <t>formulas updated 3/16/20 for this breakdown</t>
  </si>
  <si>
    <t>Macros in this budget template</t>
  </si>
  <si>
    <t>CostShareHideAll</t>
  </si>
  <si>
    <t>CostShareShowAll</t>
  </si>
  <si>
    <t>CurrencyHideCents</t>
  </si>
  <si>
    <t>Hide cents for all worksheets in current workbook (and convert all accounting cells to currency format).  Does not autofit columns.</t>
  </si>
  <si>
    <t>CurrencyShowCents</t>
  </si>
  <si>
    <t>Show cents for all worksheets in current workbook (and convert all accounting cells to currency format).  Does not autofit columns.</t>
  </si>
  <si>
    <t>PeriodHideShowColumns</t>
  </si>
  <si>
    <t>RowsBudgetHideShow</t>
  </si>
  <si>
    <t>RowsDataInputHide</t>
  </si>
  <si>
    <t>Workbook_BeforeSave</t>
  </si>
  <si>
    <t>Susan Cao</t>
  </si>
  <si>
    <t xml:space="preserve">On Budget tab, hide all rows where Total Project cost is zero, and show all rows where Total Project cost is non-zero.  Considers both sponsor and cost share funds. </t>
  </si>
  <si>
    <t>Waived Fees</t>
  </si>
  <si>
    <t>Waived user fees</t>
  </si>
  <si>
    <t>Category</t>
  </si>
  <si>
    <t>Years Exp.</t>
  </si>
  <si>
    <t>Postdoc</t>
  </si>
  <si>
    <t>7+</t>
  </si>
  <si>
    <t>Annual Stipend</t>
  </si>
  <si>
    <t>Effective Date</t>
  </si>
  <si>
    <t>PDX Metro Area</t>
  </si>
  <si>
    <t>Statewide Mimimum</t>
  </si>
  <si>
    <t>Other Costs</t>
  </si>
  <si>
    <t>Waived Costs</t>
  </si>
  <si>
    <t>Tuition (Grad School waiver)</t>
  </si>
  <si>
    <t>Tuition covered by unit funds *or* paid by Graduate School via waiver</t>
  </si>
  <si>
    <t>Total Waived Costs</t>
  </si>
  <si>
    <t>Other (not tuition)</t>
  </si>
  <si>
    <t>Cost Share by Period</t>
  </si>
  <si>
    <t>Sponsor Effort %</t>
  </si>
  <si>
    <t>Cost Share Effort %</t>
  </si>
  <si>
    <t>Other Personnel #5:</t>
  </si>
  <si>
    <t>Other Personnel #6:</t>
  </si>
  <si>
    <t>Other Personnel #7:</t>
  </si>
  <si>
    <t>Other Personnel #8:</t>
  </si>
  <si>
    <t>Other Personnel #9:</t>
  </si>
  <si>
    <t>Other Personnel #10:</t>
  </si>
  <si>
    <t>Other Personnel #11:</t>
  </si>
  <si>
    <t>Other Personnel #12:</t>
  </si>
  <si>
    <t>Other Personnel #13:</t>
  </si>
  <si>
    <t>Other Personnel #14:</t>
  </si>
  <si>
    <t>Other Personnel #15:</t>
  </si>
  <si>
    <t>Labor</t>
  </si>
  <si>
    <t>Fully Loaded Cost by Budget Category</t>
  </si>
  <si>
    <t>Fully Loaded Cost by High-level Category</t>
  </si>
  <si>
    <t>SPONSOR PROJECT COSTS with Indirect Costs shown separately</t>
  </si>
  <si>
    <t>Equipment &amp; Supplies</t>
  </si>
  <si>
    <t>RowsPersonnelHideShow</t>
  </si>
  <si>
    <t xml:space="preserve">On all salary Calculator tabs (Senior Personnel, Other Personnel, GA), hide all rows per person where Name is zero, and unhide all rows per person where Name is filled in.  Does not hide/show by project period. </t>
  </si>
  <si>
    <t>ROUNDED BUDGET FOR NSF AND 424 BUDGET FORMS</t>
  </si>
  <si>
    <t>Total Annual Hours</t>
  </si>
  <si>
    <t>Monthly, 0.4 FTE</t>
  </si>
  <si>
    <t>Monthly, 0.49 FTE</t>
  </si>
  <si>
    <t>12-month, 
1 FTE</t>
  </si>
  <si>
    <t>Level I - Entry Level (MS)</t>
  </si>
  <si>
    <t>Level II - Entry PhD with MS</t>
  </si>
  <si>
    <t>Total Subawards</t>
  </si>
  <si>
    <t>% of Total Sponsor Funds</t>
  </si>
  <si>
    <t>% of Total Cost Share</t>
  </si>
  <si>
    <t>Template Updated:</t>
  </si>
  <si>
    <t>On DATA INPUT tab, hide all unused rows (where first data entry column is empty) and unhide all non-empty rows.</t>
  </si>
  <si>
    <t>Hide all cost share columns and rows on DATA INPUT, Budget, SUMMARY, and PI Budgets tabs.  Also hide all Cost Share tabs in workbook.</t>
  </si>
  <si>
    <t>Show all cost share columns and rows on DATA INPUT, Budget, SUMMARY, and PI Budgets tabs.  Also show all Cost Share tabs in workbook.</t>
  </si>
  <si>
    <t>Hide project periods with zero months and zero sponsor cost, and show project periods with non-zero months or non-zero sponsor cost, on DATA INPUT, Budget, SUMMARY, and PI Budgets tabs.  Also hides all Cost Share columns for unused project periods.</t>
  </si>
  <si>
    <t>All_HideShow_Unused</t>
  </si>
  <si>
    <t>All_Workbook_Show_Rows</t>
  </si>
  <si>
    <t>Unhide all rows in entire workbook.</t>
  </si>
  <si>
    <t>Combined macro to hide all unused rows/columns/tabs in workbook at once.</t>
  </si>
  <si>
    <t>All_Workbook_Show_Tabs</t>
  </si>
  <si>
    <t>Unhide all tabs at once.</t>
  </si>
  <si>
    <t>b_RowsShowAll_ThisSheet</t>
  </si>
  <si>
    <t>b_UseRoundedTotals</t>
  </si>
  <si>
    <t>b_UseActualTotals</t>
  </si>
  <si>
    <t>Show ROUNDED totals in summary cells on DATA INPUT and Summary tabs and on top summary row of Calc tabs, as calculated separately on Budget tab.</t>
  </si>
  <si>
    <t>Show ACTUAL totals in summary cells on DATA INPUT and Summary tabs and on top summary row of Calc tabs, from Budget tab. This is the default view.</t>
  </si>
  <si>
    <t>Unhide all rows in active worksheet only.  Use this for DATA INPUT or Budget tab if you've hidden rows that you later need to fill in.</t>
  </si>
  <si>
    <t>Comments_MoveResize_Workbook</t>
  </si>
  <si>
    <t>TabsHideShowUnused</t>
  </si>
  <si>
    <t>Hide/show unused Calculator tabs based on Budget category totals.</t>
  </si>
  <si>
    <t>Prompts to save as Macro-Enabled Workbook, runs automatically (saved as Private Sub in ThisWorkbook so it's not visible in macro list).</t>
  </si>
  <si>
    <t>Resize and move all comments in the entire workbook for easier reading/editing because comments tend to move around when hiding/unhiding rows or columns.</t>
  </si>
  <si>
    <t>Total Direct Cost per Project Period (SPONSOR funds only)</t>
  </si>
  <si>
    <t>updated 5/18/2022 by Cyndy Kelchner</t>
  </si>
  <si>
    <t>Tax</t>
  </si>
  <si>
    <t>Total with Conference Fees</t>
  </si>
  <si>
    <t>PMEC</t>
  </si>
  <si>
    <t>GSA Rates - Known Destination</t>
  </si>
  <si>
    <r>
      <t>(</t>
    </r>
    <r>
      <rPr>
        <b/>
        <i/>
        <sz val="11"/>
        <rFont val="Calibri"/>
        <family val="2"/>
        <scheme val="minor"/>
      </rPr>
      <t xml:space="preserve">not </t>
    </r>
    <r>
      <rPr>
        <i/>
        <sz val="11"/>
        <rFont val="Calibri"/>
        <family val="2"/>
        <scheme val="minor"/>
      </rPr>
      <t>MTDC) unless otherwise specified</t>
    </r>
  </si>
  <si>
    <r>
      <t xml:space="preserve">Sponsor-limited F&amp;A uses </t>
    </r>
    <r>
      <rPr>
        <b/>
        <i/>
        <sz val="11"/>
        <color theme="1"/>
        <rFont val="Calibri"/>
        <family val="2"/>
        <scheme val="minor"/>
      </rPr>
      <t xml:space="preserve">Total Direct Costs </t>
    </r>
    <r>
      <rPr>
        <i/>
        <sz val="11"/>
        <color theme="1"/>
        <rFont val="Calibri"/>
        <family val="2"/>
        <scheme val="minor"/>
      </rPr>
      <t>as base</t>
    </r>
  </si>
  <si>
    <t>default</t>
  </si>
  <si>
    <t>Michael Miles</t>
  </si>
  <si>
    <t>Total OSU-only cost share</t>
  </si>
  <si>
    <t>Total OSU-only</t>
  </si>
  <si>
    <t>OSU F&amp;A on subawards</t>
  </si>
  <si>
    <t>ECB025</t>
  </si>
  <si>
    <t>ECC025</t>
  </si>
  <si>
    <t>EMM025</t>
  </si>
  <si>
    <t>ENS025</t>
  </si>
  <si>
    <t>ESE025</t>
  </si>
  <si>
    <t>Cost share index for AY faculty time</t>
  </si>
  <si>
    <t>COE School</t>
  </si>
  <si>
    <t>Index</t>
  </si>
  <si>
    <t>Orgs</t>
  </si>
  <si>
    <t>ENG006</t>
  </si>
  <si>
    <t>Rental Costs (no F&amp;A)</t>
  </si>
  <si>
    <t>Rental costs are excluded from Modified Total Direct Costs</t>
  </si>
  <si>
    <t>D.4</t>
  </si>
  <si>
    <t>D.5</t>
  </si>
  <si>
    <t>D.6</t>
  </si>
  <si>
    <t>Payment to Human Subjects</t>
  </si>
  <si>
    <t>Total Other Direct Costs (no Subawards/Tuition)</t>
  </si>
  <si>
    <t>Not eligible for tenure</t>
  </si>
  <si>
    <t>Tenure Status</t>
  </si>
  <si>
    <t>Tenured, Associate Professor</t>
  </si>
  <si>
    <t>Tenured, Full Professor</t>
  </si>
  <si>
    <t>Tenure-track, Assistant Professor</t>
  </si>
  <si>
    <t>Error - duplicate effort type entered for a PI</t>
  </si>
  <si>
    <t>Error - use effort type 2 for PI on a 12-month appointment</t>
  </si>
  <si>
    <t>Total Cost
(incl. separate Conf Fee)</t>
  </si>
  <si>
    <r>
      <t>Total Cost
(</t>
    </r>
    <r>
      <rPr>
        <b/>
        <sz val="11"/>
        <color rgb="FFFF0000"/>
        <rFont val="Calibri"/>
        <family val="2"/>
        <scheme val="minor"/>
      </rPr>
      <t>NOT</t>
    </r>
    <r>
      <rPr>
        <b/>
        <sz val="11"/>
        <rFont val="Calibri"/>
        <family val="2"/>
        <scheme val="minor"/>
      </rPr>
      <t xml:space="preserve"> i</t>
    </r>
    <r>
      <rPr>
        <b/>
        <sz val="11"/>
        <color theme="1"/>
        <rFont val="Calibri"/>
        <family val="2"/>
        <scheme val="minor"/>
      </rPr>
      <t>ncl. Conf Fee)</t>
    </r>
  </si>
  <si>
    <t>F&amp;A Base per Project Period (SPONSOR funds only)</t>
  </si>
  <si>
    <t>Total Direct Cost from Data Input tab [error if highlighted)</t>
  </si>
  <si>
    <t>Lodging + Tax</t>
  </si>
  <si>
    <t>Cost Per Trip</t>
  </si>
  <si>
    <t>Total Cost</t>
  </si>
  <si>
    <t>Mileage from Corvallis</t>
  </si>
  <si>
    <t>Portland airport</t>
  </si>
  <si>
    <t>Eugene airport</t>
  </si>
  <si>
    <t>Trips Per Year</t>
  </si>
  <si>
    <t>Cost per Trip</t>
  </si>
  <si>
    <t>Travelers</t>
  </si>
  <si>
    <t xml:space="preserve"> Lodging </t>
  </si>
  <si>
    <t>Flight</t>
  </si>
  <si>
    <t xml:space="preserve"> Ground</t>
  </si>
  <si>
    <t>Total Conf. Fee</t>
  </si>
  <si>
    <t>Other Cost</t>
  </si>
  <si>
    <t>DOE EERE Budget Justification format</t>
  </si>
  <si>
    <t>cost per traveler</t>
  </si>
  <si>
    <t>Lodging
+ Tax</t>
  </si>
  <si>
    <t>Table to paste into budget justification</t>
  </si>
  <si>
    <t>rounded</t>
  </si>
  <si>
    <t>Based on Project Start Date</t>
  </si>
  <si>
    <t>Project Start Date</t>
  </si>
  <si>
    <t>It is expected that GA salary and tuition rates will be updated by August each year.</t>
  </si>
  <si>
    <t>https://www.travel.dod.mil/travel-transportation-rates/per-diem/per-diem-rate-lookup/</t>
  </si>
  <si>
    <t>https://fa.oregonstate.edu/controllers-unit</t>
  </si>
  <si>
    <t xml:space="preserve">OSU Travel: </t>
  </si>
  <si>
    <t xml:space="preserve">Per Diem Rates by Location (GSA rates, AK/HI, Foreign): </t>
  </si>
  <si>
    <t>https://www.travel.dod.mil/Travel-Transportation-Rates/Per-Diem/Per-Diem-Rate-Lookup/</t>
  </si>
  <si>
    <t>IRS mileage rate</t>
  </si>
  <si>
    <t>https://www.irs.gov/tax-professionals/standard-mileage-rates</t>
  </si>
  <si>
    <t>TravelMileage</t>
  </si>
  <si>
    <t>Updated</t>
  </si>
  <si>
    <t>MileRate</t>
  </si>
  <si>
    <t>Hourly Student(s) #1</t>
  </si>
  <si>
    <t>Hourly Student(s) #2</t>
  </si>
  <si>
    <t>Hourly Student(s) #3</t>
  </si>
  <si>
    <t>Subtotal Other Personnel (Hourly Students ONLY)</t>
  </si>
  <si>
    <t>Subtotal Other Personnel (non-GA + Hourly)</t>
  </si>
  <si>
    <t>difference</t>
  </si>
  <si>
    <t>from target</t>
  </si>
  <si>
    <t>Notes for Budget Justification</t>
  </si>
  <si>
    <t>Maximum monthly salary</t>
  </si>
  <si>
    <t>Cap for 9-month appointment</t>
  </si>
  <si>
    <t>Cap for 12-month appointment</t>
  </si>
  <si>
    <t>Column1</t>
  </si>
  <si>
    <t>Tenure-track, Associate Professor</t>
  </si>
  <si>
    <t>Annual Escalation for Fringe Benefit Rates</t>
  </si>
  <si>
    <t>Annual Escalation for Fringe Benefits Rates</t>
  </si>
  <si>
    <t>Fringe Benefits Rate Table</t>
  </si>
  <si>
    <t>COE full-time GA default</t>
  </si>
  <si>
    <t>Calculating unrecovered IDCs:</t>
  </si>
  <si>
    <t>ROUNDED COST SHARE BUDGETS</t>
  </si>
  <si>
    <t>ated</t>
  </si>
  <si>
    <t>Joan Welc-LePain</t>
  </si>
  <si>
    <t>as of 2/21/25</t>
  </si>
  <si>
    <t>Minimum GA Rates for AY 2024-25</t>
  </si>
  <si>
    <t>Trip #9</t>
  </si>
  <si>
    <t>Trip #10</t>
  </si>
  <si>
    <t>Trip #11</t>
  </si>
  <si>
    <t>Trip #12</t>
  </si>
  <si>
    <t>Trip #13</t>
  </si>
  <si>
    <t>Trip #14</t>
  </si>
  <si>
    <t>Trip #15</t>
  </si>
  <si>
    <t>GFY XXXX, Quarter Y</t>
  </si>
  <si>
    <t>Destination - Select Type</t>
  </si>
  <si>
    <t xml:space="preserve"># Travelers
Period 1 </t>
  </si>
  <si>
    <t># Travelers
Period 2</t>
  </si>
  <si>
    <t># Travelers
Period 3</t>
  </si>
  <si>
    <t># Travelers
Period 4</t>
  </si>
  <si>
    <t># Travelers
Period 5</t>
  </si>
  <si>
    <t># Travelers
Period 6</t>
  </si>
  <si>
    <t xml:space="preserve">https://tuition-calculator.fa.oregonstate.edu/25-26_tuition.html </t>
  </si>
  <si>
    <t>https://www.niaid.nih.gov/grants-contracts/salary-cap-stipends</t>
  </si>
  <si>
    <t>2025 NIH Salary Cap</t>
  </si>
  <si>
    <t>College of Health Tuition/Fee Rates:</t>
  </si>
  <si>
    <t>OSU Base tuition/fees:</t>
  </si>
  <si>
    <t>OSU College of Engineering tuition/fees:</t>
  </si>
  <si>
    <t>Sponsor (Loaded Rate)</t>
  </si>
  <si>
    <t>Project Total</t>
  </si>
  <si>
    <t>Supplies</t>
  </si>
  <si>
    <t>In-kind Contribution</t>
  </si>
  <si>
    <t>OMI Fee at 8.83%</t>
  </si>
  <si>
    <t>Industry</t>
  </si>
  <si>
    <t>OMI Share</t>
  </si>
  <si>
    <t>Complete Data Input page for all project costs. Adjust allocations here (1 = OMI only):</t>
  </si>
  <si>
    <t xml:space="preserve"> OMI Share Funds</t>
  </si>
  <si>
    <t>Effort Split for Senior Personnel</t>
  </si>
  <si>
    <t>Effort Split for GAs</t>
  </si>
  <si>
    <t>Effort Split for OPs</t>
  </si>
  <si>
    <t>Effort Split for Hourly</t>
  </si>
  <si>
    <t>Equipment Split</t>
  </si>
  <si>
    <t>Travel Split</t>
  </si>
  <si>
    <t>enter an amount on OMI side by which to reduce industry costs</t>
  </si>
  <si>
    <t>-&gt;</t>
  </si>
  <si>
    <t>IN-KIND CONTRIBUTION</t>
  </si>
  <si>
    <t>OMI Budget Template (Simplified)</t>
  </si>
  <si>
    <t>updated 9/3/25</t>
  </si>
  <si>
    <t>https://hr.oregonstate.edu/main/documents/student-pay-rate-guidelines</t>
  </si>
  <si>
    <t>Student Pay Rate Guidelines:</t>
  </si>
  <si>
    <t>2026 salary cap:</t>
  </si>
  <si>
    <t>2025 salary cap:</t>
  </si>
  <si>
    <t>https://www.irs.gov/newsroom/irs-sets-2026-business-standard-mileage-rate-at-725-cents-per-mile-up-25-cents</t>
  </si>
  <si>
    <t>https://www.irs.gov/pub/irs-drop/n-25-54.pdf</t>
  </si>
  <si>
    <t>https://agsci.oregonstate.edu/mycas/researchers/research-toolbox  </t>
  </si>
  <si>
    <t xml:space="preserve">CAS.Proposals@oregonstate.edu </t>
  </si>
  <si>
    <t xml:space="preserve">https://ceoas.oregonstate.edu/proposal-fss-budget </t>
  </si>
  <si>
    <t>proposals@ceoas.oregonstate.edu </t>
  </si>
  <si>
    <t>https://liberalarts.oregonstate.edu/research-support/budget-development-tools-and-resources</t>
  </si>
  <si>
    <t xml:space="preserve">Gina.Betcher@oregonstate.edu </t>
  </si>
  <si>
    <t xml:space="preserve">https://www.forestry.oregonstate.edu/employees/proposal-support </t>
  </si>
  <si>
    <t>COH</t>
  </si>
  <si>
    <t>https://health.oregonstate.edu/research/support/resources</t>
  </si>
  <si>
    <t>Catherine.Clevinger@oregonstate.edu</t>
  </si>
  <si>
    <t>https://internal.science.oregonstate.edu/rdu/proposal-support</t>
  </si>
  <si>
    <t>COS.proposals@oregonstate.edu</t>
  </si>
  <si>
    <t>School</t>
  </si>
  <si>
    <t>Proposals Webpage</t>
  </si>
  <si>
    <t>Proposals Staff</t>
  </si>
  <si>
    <t>none</t>
  </si>
  <si>
    <t>Chiron.Alston@oregonstate.edu</t>
  </si>
  <si>
    <t xml:space="preserve">Melora.Park@oregonstate.edu </t>
  </si>
  <si>
    <t>https://grants.nih.gov/grants/guide/notice-files/NOT-OD-26-034.html</t>
  </si>
  <si>
    <t>SECTION A - SENIOR PERSONNEL</t>
  </si>
  <si>
    <t>OSU's Unique Entity Identifier (UEI):</t>
  </si>
  <si>
    <t>MZ4DYXE1SL98</t>
  </si>
  <si>
    <t>SENIOR PERSONNEL TOTAL SALARY, WAGES, AND FRINGE BENEFITS</t>
  </si>
  <si>
    <t>Budget Period</t>
  </si>
  <si>
    <t>Cal. Salary</t>
  </si>
  <si>
    <t>AY Salary</t>
  </si>
  <si>
    <t>SMR Salary</t>
  </si>
  <si>
    <t>Cal. Months</t>
  </si>
  <si>
    <t>AY Months</t>
  </si>
  <si>
    <t>Req. Salary</t>
  </si>
  <si>
    <t>Funds Requested</t>
  </si>
  <si>
    <t>B. OTHER PERSONNEL</t>
  </si>
  <si>
    <t>PROJECT YEAR 1</t>
  </si>
  <si>
    <t>Number of</t>
  </si>
  <si>
    <t>Calendar</t>
  </si>
  <si>
    <t>Requested</t>
  </si>
  <si>
    <t>Funds</t>
  </si>
  <si>
    <t>Role</t>
  </si>
  <si>
    <t>Benefits</t>
  </si>
  <si>
    <t>Post Doctoral Associates</t>
  </si>
  <si>
    <t>Graduate Students</t>
  </si>
  <si>
    <t>Other Staff Categories - do not delete!</t>
  </si>
  <si>
    <t>Undergraduate Students</t>
  </si>
  <si>
    <t>Secretarial / Clerical</t>
  </si>
  <si>
    <t>Total Number Other Personnel:</t>
  </si>
  <si>
    <t>Total Other Personnel</t>
  </si>
  <si>
    <t>Total Salary, Wages, and Fringe Benefits</t>
  </si>
  <si>
    <t>PROJECT YEAR 2</t>
  </si>
  <si>
    <t>PROJECT YEAR 3</t>
  </si>
  <si>
    <t>PROJECT YEAR 4</t>
  </si>
  <si>
    <t>PROJECT YEAR 5</t>
  </si>
  <si>
    <t>PROJECT YEAR 6</t>
  </si>
  <si>
    <t>C.</t>
  </si>
  <si>
    <t>Equipment Description</t>
  </si>
  <si>
    <t>List items and dollar amount for item exceeding $5,000</t>
  </si>
  <si>
    <t>Equipment Item</t>
  </si>
  <si>
    <t>Funds Requested ($)</t>
  </si>
  <si>
    <t>Total Equipment</t>
  </si>
  <si>
    <t>D.</t>
  </si>
  <si>
    <t>Domestic Travel Costs (Incl. Canada, Mexico, and U.S. Possessions)</t>
  </si>
  <si>
    <t>Foreign Travel Costs</t>
  </si>
  <si>
    <t>Total Travel Costs</t>
  </si>
  <si>
    <t>E.</t>
  </si>
  <si>
    <t>Participant/Trainee Support costs</t>
  </si>
  <si>
    <t>Tuition/Fees/Health Insurance</t>
  </si>
  <si>
    <t>Number of Participants/Trainees</t>
  </si>
  <si>
    <t>Total PSC/Trainee Costs</t>
  </si>
  <si>
    <t>F.</t>
  </si>
  <si>
    <t>Consultant Costs</t>
  </si>
  <si>
    <t>ADP/Computer Services</t>
  </si>
  <si>
    <t>Subawards/Constortium/Contractual Costs</t>
  </si>
  <si>
    <t>Allocated IDC Base</t>
  </si>
  <si>
    <t>Equipment or Facility Rental/User Fees</t>
  </si>
  <si>
    <t>Alterations and Renovations</t>
  </si>
  <si>
    <t>Total Other Direct Costs</t>
  </si>
  <si>
    <t>G.</t>
  </si>
  <si>
    <t>Direct Costs</t>
  </si>
  <si>
    <t>Total Direct Costs (A thru F)</t>
  </si>
  <si>
    <t>H.</t>
  </si>
  <si>
    <t>Indirct Costs Rate (%)</t>
  </si>
  <si>
    <t>Indirect Cost Base ($)</t>
  </si>
  <si>
    <t>This information is uploaded in SF 424 automatically</t>
  </si>
  <si>
    <t>J.</t>
  </si>
  <si>
    <t>Fee</t>
  </si>
  <si>
    <t>K.</t>
  </si>
  <si>
    <t>Total Costs and Fees</t>
  </si>
  <si>
    <t>RESEARCH &amp; RELATED BUDGET - Cumulative Budget</t>
  </si>
  <si>
    <t xml:space="preserve">Costs from the </t>
  </si>
  <si>
    <t>Budget Tab</t>
  </si>
  <si>
    <t>Section A, Senior/Key Personnel</t>
  </si>
  <si>
    <t>Section B, Other Personnel</t>
  </si>
  <si>
    <t>Total Number Other Personnel</t>
  </si>
  <si>
    <t>Total Salary, Wages, and Fringe Benefits (A+B)</t>
  </si>
  <si>
    <t>Section C, Equipment</t>
  </si>
  <si>
    <t>Section D, Travel</t>
  </si>
  <si>
    <t>1. Domestic</t>
  </si>
  <si>
    <t>2. Foreign</t>
  </si>
  <si>
    <t>Section E, Participant/Trainee Support Costs</t>
  </si>
  <si>
    <t>1. Tuition/Fees/Health Insurance</t>
  </si>
  <si>
    <t>2. Stipends</t>
  </si>
  <si>
    <t>3. Travel</t>
  </si>
  <si>
    <t>4. Subsistence</t>
  </si>
  <si>
    <t>5. Other</t>
  </si>
  <si>
    <t>Number of Particpants/Trainees</t>
  </si>
  <si>
    <t>Section F, Other Direct Costs</t>
  </si>
  <si>
    <t>1. Materials and Supplies</t>
  </si>
  <si>
    <t>2. Publication Costs</t>
  </si>
  <si>
    <t>3. Consultant Services</t>
  </si>
  <si>
    <t>4. ADP/Computer Services</t>
  </si>
  <si>
    <t>5. Subawards/Consortium/Contractual Costs</t>
  </si>
  <si>
    <t>6. Equipment or Facility Rental/User Fees</t>
  </si>
  <si>
    <t>7. Alterations and Renovations</t>
  </si>
  <si>
    <t>8. Tuition</t>
  </si>
  <si>
    <t>Conference Registration</t>
  </si>
  <si>
    <t>Section G, Direct Costs (A thru F)</t>
  </si>
  <si>
    <t>Section H, Indirect Costs</t>
  </si>
  <si>
    <t>Section I, Total Direct and Indirect Costs (G +H)</t>
  </si>
  <si>
    <t>Section J, Fees</t>
  </si>
  <si>
    <t>Section K, Total Costs and Fee (I + J)</t>
  </si>
  <si>
    <t>Base Salary</t>
  </si>
  <si>
    <t>GA #01 / Sponsor Funds</t>
  </si>
  <si>
    <t xml:space="preserve">Fringe Pool Rates by Employee Classification </t>
  </si>
  <si>
    <t>Proposed FY27 Rates (Updated January 21, 2026)</t>
  </si>
  <si>
    <t>Fringe Pool Rate</t>
  </si>
  <si>
    <t>which fiscal year applies for calculation of fringe rates and tuition.</t>
  </si>
  <si>
    <t>University Fiscal Year begins July 1st. The project start date will determine</t>
  </si>
  <si>
    <t>Validity Dates</t>
  </si>
  <si>
    <t>Not Needed</t>
  </si>
  <si>
    <t>HOURLY STUDENT WAGE CALCULATOR</t>
  </si>
  <si>
    <t>Off-campus Industry Research, FY26</t>
  </si>
  <si>
    <t>Off-campus Industry OSA, FY26</t>
  </si>
  <si>
    <t>Organized Sponsored Research (non-DoD), FY26</t>
  </si>
  <si>
    <t>Industry Sponsored Research Agreements, FY26</t>
  </si>
  <si>
    <t>Other Sponsored Activities (OSA), FY26</t>
  </si>
  <si>
    <t>Organized Sponsored Research for DoD contracts and BAA, FY26</t>
  </si>
  <si>
    <t>OSA - Industry, FY26</t>
  </si>
  <si>
    <t>Off-campus Research for DoD contracts &amp; BAA, FY26</t>
  </si>
  <si>
    <t>First $50,000</t>
  </si>
  <si>
    <r>
      <t>Over $10,000</t>
    </r>
    <r>
      <rPr>
        <i/>
        <sz val="11"/>
        <color rgb="FFFF0000"/>
        <rFont val="Calibri"/>
        <family val="2"/>
        <scheme val="minor"/>
      </rPr>
      <t xml:space="preserve"> and &gt;1 year of use; new threshold as of July 2026</t>
    </r>
  </si>
  <si>
    <r>
      <rPr>
        <b/>
        <i/>
        <sz val="11"/>
        <color rgb="FFFF0000"/>
        <rFont val="Calibri"/>
        <family val="2"/>
        <scheme val="minor"/>
      </rPr>
      <t>Indirects applied to first $50,000</t>
    </r>
    <r>
      <rPr>
        <i/>
        <sz val="11"/>
        <color rgb="FFFF0000"/>
        <rFont val="Calibri"/>
        <family val="2"/>
        <scheme val="minor"/>
      </rPr>
      <t>; new threshold as of July 2026</t>
    </r>
  </si>
  <si>
    <t>Check for updated rates every 12 months</t>
  </si>
  <si>
    <t>Subcontracts (≤$50k)</t>
  </si>
  <si>
    <t>Subcontracts (&gt;$50k)</t>
  </si>
  <si>
    <t>Research Hub #</t>
  </si>
  <si>
    <t>Research Hub:</t>
  </si>
  <si>
    <t>P1</t>
  </si>
  <si>
    <t>P2</t>
  </si>
  <si>
    <t>P3</t>
  </si>
  <si>
    <t>P4</t>
  </si>
  <si>
    <t>P5</t>
  </si>
  <si>
    <t>P6</t>
  </si>
  <si>
    <t>Direct</t>
  </si>
  <si>
    <t>Indirect</t>
  </si>
  <si>
    <t>No IDC</t>
  </si>
  <si>
    <t>Monthly Salary</t>
  </si>
  <si>
    <t>Total at Appt FTE</t>
  </si>
  <si>
    <t>Fringe Rate</t>
  </si>
  <si>
    <t>Effort Months</t>
  </si>
  <si>
    <t>Salary Months</t>
  </si>
  <si>
    <t>Summer Months</t>
  </si>
  <si>
    <t>Number of GAs</t>
  </si>
  <si>
    <t>Effort Months per GA</t>
  </si>
  <si>
    <r>
      <t xml:space="preserve">Effort </t>
    </r>
    <r>
      <rPr>
        <b/>
        <sz val="11"/>
        <color rgb="FFFF0000"/>
        <rFont val="Calibri"/>
        <family val="2"/>
        <scheme val="minor"/>
      </rPr>
      <t>Months</t>
    </r>
    <r>
      <rPr>
        <b/>
        <sz val="11"/>
        <color theme="1"/>
        <rFont val="Calibri"/>
        <family val="2"/>
        <scheme val="minor"/>
      </rPr>
      <t xml:space="preserve">
Period 1 </t>
    </r>
  </si>
  <si>
    <r>
      <t xml:space="preserve">Effort </t>
    </r>
    <r>
      <rPr>
        <b/>
        <sz val="11"/>
        <color rgb="FFFF0000"/>
        <rFont val="Calibri"/>
        <family val="2"/>
        <scheme val="minor"/>
      </rPr>
      <t>Months</t>
    </r>
    <r>
      <rPr>
        <b/>
        <sz val="11"/>
        <color theme="1"/>
        <rFont val="Calibri"/>
        <family val="2"/>
        <scheme val="minor"/>
      </rPr>
      <t xml:space="preserve">
Period 2</t>
    </r>
    <r>
      <rPr>
        <sz val="11"/>
        <color theme="1"/>
        <rFont val="Calibri"/>
        <family val="2"/>
        <scheme val="minor"/>
      </rPr>
      <t/>
    </r>
  </si>
  <si>
    <r>
      <t xml:space="preserve">Effort </t>
    </r>
    <r>
      <rPr>
        <b/>
        <sz val="11"/>
        <color rgb="FFFF0000"/>
        <rFont val="Calibri"/>
        <family val="2"/>
        <scheme val="minor"/>
      </rPr>
      <t>Months</t>
    </r>
    <r>
      <rPr>
        <b/>
        <sz val="11"/>
        <color theme="1"/>
        <rFont val="Calibri"/>
        <family val="2"/>
        <scheme val="minor"/>
      </rPr>
      <t xml:space="preserve">
Period 3</t>
    </r>
    <r>
      <rPr>
        <sz val="11"/>
        <color theme="1"/>
        <rFont val="Calibri"/>
        <family val="2"/>
        <scheme val="minor"/>
      </rPr>
      <t/>
    </r>
  </si>
  <si>
    <r>
      <t xml:space="preserve">Effort </t>
    </r>
    <r>
      <rPr>
        <b/>
        <sz val="11"/>
        <color rgb="FFFF0000"/>
        <rFont val="Calibri"/>
        <family val="2"/>
        <scheme val="minor"/>
      </rPr>
      <t>Months</t>
    </r>
    <r>
      <rPr>
        <b/>
        <sz val="11"/>
        <color theme="1"/>
        <rFont val="Calibri"/>
        <family val="2"/>
        <scheme val="minor"/>
      </rPr>
      <t xml:space="preserve">
Period 4</t>
    </r>
    <r>
      <rPr>
        <sz val="11"/>
        <color theme="1"/>
        <rFont val="Calibri"/>
        <family val="2"/>
        <scheme val="minor"/>
      </rPr>
      <t/>
    </r>
  </si>
  <si>
    <r>
      <t xml:space="preserve">Effort </t>
    </r>
    <r>
      <rPr>
        <b/>
        <sz val="11"/>
        <color rgb="FFFF0000"/>
        <rFont val="Calibri"/>
        <family val="2"/>
        <scheme val="minor"/>
      </rPr>
      <t>Months</t>
    </r>
    <r>
      <rPr>
        <b/>
        <sz val="11"/>
        <color theme="1"/>
        <rFont val="Calibri"/>
        <family val="2"/>
        <scheme val="minor"/>
      </rPr>
      <t xml:space="preserve">
Period 5</t>
    </r>
    <r>
      <rPr>
        <sz val="11"/>
        <color theme="1"/>
        <rFont val="Calibri"/>
        <family val="2"/>
        <scheme val="minor"/>
      </rPr>
      <t/>
    </r>
  </si>
  <si>
    <r>
      <t xml:space="preserve">Effort </t>
    </r>
    <r>
      <rPr>
        <b/>
        <sz val="11"/>
        <color rgb="FFFF0000"/>
        <rFont val="Calibri"/>
        <family val="2"/>
        <scheme val="minor"/>
      </rPr>
      <t>Months</t>
    </r>
    <r>
      <rPr>
        <b/>
        <sz val="11"/>
        <color theme="1"/>
        <rFont val="Calibri"/>
        <family val="2"/>
        <scheme val="minor"/>
      </rPr>
      <t xml:space="preserve">
Period 6</t>
    </r>
    <r>
      <rPr>
        <sz val="11"/>
        <color theme="1"/>
        <rFont val="Calibri"/>
        <family val="2"/>
        <scheme val="minor"/>
      </rPr>
      <t/>
    </r>
  </si>
  <si>
    <t>User Fees</t>
  </si>
  <si>
    <t>GA Tuition/Remission</t>
  </si>
  <si>
    <t>Professional &amp; Academic Faculty</t>
  </si>
  <si>
    <t>Part Time &amp; Temporary</t>
  </si>
  <si>
    <t>Student Employees</t>
  </si>
  <si>
    <t>Graduate Employee</t>
  </si>
  <si>
    <t>With IDC</t>
  </si>
  <si>
    <t>Personnel Details</t>
  </si>
  <si>
    <t>Position Classification</t>
  </si>
  <si>
    <t>Position Class</t>
  </si>
  <si>
    <t>Total Effort:</t>
  </si>
  <si>
    <t>Pro-rate Tuition?</t>
  </si>
  <si>
    <t>DN002708</t>
  </si>
  <si>
    <t>DN002626</t>
  </si>
  <si>
    <t>DN002676</t>
  </si>
  <si>
    <t>DN002687</t>
  </si>
  <si>
    <t>DN002653</t>
  </si>
  <si>
    <t>DN002618</t>
  </si>
  <si>
    <t>COE for cost share only</t>
  </si>
  <si>
    <t>CS Worktag</t>
  </si>
  <si>
    <t>Index (old)</t>
  </si>
  <si>
    <t>https://hr.oregonstate.edu/employees/stipends-postdoc-scholars</t>
  </si>
  <si>
    <t>Updated March 2026</t>
  </si>
  <si>
    <t>Subawards - Direct and Indirect Costs</t>
  </si>
  <si>
    <t>Total Subaward</t>
  </si>
  <si>
    <t>Enter total annual cost here, and indirects per year in table below:</t>
  </si>
  <si>
    <t>Summary for Beaver Research Hub data entry - scroll down for all Personnel details, right for Subawards</t>
  </si>
  <si>
    <r>
      <t xml:space="preserve">Enter Subaward Indirect Costs per Period on </t>
    </r>
    <r>
      <rPr>
        <b/>
        <i/>
        <sz val="12"/>
        <color theme="5" tint="-0.249977111117893"/>
        <rFont val="Calibri"/>
        <family val="2"/>
        <scheme val="minor"/>
      </rPr>
      <t>Data Input tab</t>
    </r>
    <r>
      <rPr>
        <b/>
        <i/>
        <sz val="12"/>
        <color theme="1"/>
        <rFont val="Calibri"/>
        <family val="2"/>
        <scheme val="minor"/>
      </rPr>
      <t xml:space="preserve"> (new table at end)</t>
    </r>
  </si>
  <si>
    <t>N/A</t>
  </si>
  <si>
    <t>Using Rounded Budget Totals</t>
  </si>
  <si>
    <t>Link to Rounded Budget Totals</t>
  </si>
  <si>
    <t>HCSS</t>
  </si>
  <si>
    <t>Virag Mishra</t>
  </si>
  <si>
    <t>TBD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</si>
</sst>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164" formatCode="&quot;$&quot;#,##0"/>
    <numFmt numFmtId="165" formatCode="0.0%"/>
    <numFmt numFmtId="166" formatCode="_(&quot;$&quot;* #,##0_);_(&quot;$&quot;* \(#,##0\);_(&quot;$&quot;* &quot;-&quot;??_);_(@_)"/>
    <numFmt numFmtId="167" formatCode="m/d/yy;@"/>
    <numFmt numFmtId="168" formatCode="&quot;$&quot;#,##0.00"/>
    <numFmt numFmtId="169" formatCode="0.0000"/>
    <numFmt numFmtId="170" formatCode="m/d/yyyy;@"/>
    <numFmt numFmtId="171" formatCode="&quot;$&quot;#,##0.000"/>
    <numFmt numFmtId="172" formatCode="0.00_);\(0.00\)"/>
  </numFmts>
  <fonts count="138" x14ac:knownFonts="1">
    <font>
      <sz val="11"/>
      <color theme="1"/>
      <name val="Calibri"/>
      <family val="2"/>
      <scheme val="minor"/>
    </font>
    <font>
      <sz val="11"/>
      <color theme="1"/>
      <name val="Calibri"/>
      <family val="2"/>
      <scheme val="minor"/>
    </font>
    <font>
      <sz val="10"/>
      <name val="Arial"/>
      <family val="2"/>
    </font>
    <font>
      <sz val="10"/>
      <color theme="1"/>
      <name val="Arial"/>
      <family val="2"/>
    </font>
    <font>
      <b/>
      <sz val="10"/>
      <color rgb="FF000000"/>
      <name val="Arial"/>
      <family val="2"/>
    </font>
    <font>
      <b/>
      <sz val="10"/>
      <color theme="1"/>
      <name val="Arial"/>
      <family val="2"/>
    </font>
    <font>
      <b/>
      <sz val="10"/>
      <color rgb="FFFF0000"/>
      <name val="Arial"/>
      <family val="2"/>
    </font>
    <font>
      <b/>
      <i/>
      <sz val="10"/>
      <color theme="1"/>
      <name val="Arial"/>
      <family val="2"/>
    </font>
    <font>
      <b/>
      <sz val="10"/>
      <name val="Arial"/>
      <family val="2"/>
    </font>
    <font>
      <b/>
      <sz val="10"/>
      <color rgb="FF0070C0"/>
      <name val="Arial"/>
      <family val="2"/>
    </font>
    <font>
      <sz val="9"/>
      <color indexed="81"/>
      <name val="Tahoma"/>
      <family val="2"/>
    </font>
    <font>
      <u/>
      <sz val="11"/>
      <color theme="10"/>
      <name val="Calibri"/>
      <family val="2"/>
      <scheme val="minor"/>
    </font>
    <font>
      <b/>
      <i/>
      <sz val="10"/>
      <color rgb="FF000000"/>
      <name val="Arial"/>
      <family val="2"/>
    </font>
    <font>
      <b/>
      <i/>
      <sz val="9"/>
      <color theme="9" tint="-0.249977111117893"/>
      <name val="Arial"/>
      <family val="2"/>
    </font>
    <font>
      <i/>
      <sz val="10"/>
      <color theme="1"/>
      <name val="Arial"/>
      <family val="2"/>
    </font>
    <font>
      <b/>
      <sz val="10"/>
      <color theme="5" tint="-0.249977111117893"/>
      <name val="Arial"/>
      <family val="2"/>
    </font>
    <font>
      <b/>
      <i/>
      <sz val="10"/>
      <color theme="5" tint="-0.249977111117893"/>
      <name val="Arial"/>
      <family val="2"/>
    </font>
    <font>
      <b/>
      <sz val="10"/>
      <color theme="3"/>
      <name val="Arial"/>
      <family val="2"/>
    </font>
    <font>
      <i/>
      <sz val="11"/>
      <color theme="1"/>
      <name val="Calibri"/>
      <family val="2"/>
      <scheme val="minor"/>
    </font>
    <font>
      <b/>
      <sz val="9"/>
      <color rgb="FF000000"/>
      <name val="Arial"/>
      <family val="2"/>
    </font>
    <font>
      <b/>
      <i/>
      <sz val="10"/>
      <name val="Arial"/>
      <family val="2"/>
    </font>
    <font>
      <u/>
      <sz val="10"/>
      <color theme="10"/>
      <name val="Arial"/>
      <family val="2"/>
    </font>
    <font>
      <b/>
      <sz val="9"/>
      <color indexed="81"/>
      <name val="Tahoma"/>
      <family val="2"/>
    </font>
    <font>
      <i/>
      <sz val="11"/>
      <name val="Calibri"/>
      <family val="2"/>
      <scheme val="minor"/>
    </font>
    <font>
      <b/>
      <sz val="11"/>
      <name val="Calibri"/>
      <family val="2"/>
      <scheme val="minor"/>
    </font>
    <font>
      <b/>
      <sz val="12"/>
      <color theme="1"/>
      <name val="Arial"/>
      <family val="2"/>
    </font>
    <font>
      <b/>
      <sz val="11"/>
      <color theme="1"/>
      <name val="Calibri"/>
      <family val="2"/>
      <scheme val="minor"/>
    </font>
    <font>
      <b/>
      <sz val="12"/>
      <color theme="0"/>
      <name val="Calibri"/>
      <family val="2"/>
      <scheme val="minor"/>
    </font>
    <font>
      <b/>
      <i/>
      <sz val="11"/>
      <color theme="1"/>
      <name val="Calibri"/>
      <family val="2"/>
      <scheme val="minor"/>
    </font>
    <font>
      <sz val="8"/>
      <color theme="1"/>
      <name val="Arial"/>
      <family val="2"/>
    </font>
    <font>
      <b/>
      <sz val="11"/>
      <color theme="0"/>
      <name val="Calibri"/>
      <family val="2"/>
      <scheme val="minor"/>
    </font>
    <font>
      <b/>
      <sz val="18"/>
      <color rgb="FFFF0000"/>
      <name val="Calibri"/>
      <family val="2"/>
      <scheme val="minor"/>
    </font>
    <font>
      <b/>
      <sz val="12"/>
      <color rgb="FF000000"/>
      <name val="Arial"/>
      <family val="2"/>
    </font>
    <font>
      <i/>
      <sz val="8"/>
      <color theme="9" tint="-0.249977111117893"/>
      <name val="Calibri"/>
      <family val="2"/>
      <scheme val="minor"/>
    </font>
    <font>
      <b/>
      <sz val="14"/>
      <color theme="0"/>
      <name val="Calibri"/>
      <family val="2"/>
      <scheme val="minor"/>
    </font>
    <font>
      <b/>
      <sz val="28"/>
      <color theme="1"/>
      <name val="Arial"/>
      <family val="2"/>
    </font>
    <font>
      <sz val="9"/>
      <color rgb="FFFA7D00"/>
      <name val="Calibri"/>
      <family val="2"/>
      <scheme val="minor"/>
    </font>
    <font>
      <b/>
      <i/>
      <sz val="10"/>
      <color rgb="FFFF0000"/>
      <name val="Arial"/>
      <family val="2"/>
    </font>
    <font>
      <sz val="10"/>
      <color rgb="FF000000"/>
      <name val="Arial"/>
      <family val="2"/>
    </font>
    <font>
      <b/>
      <sz val="10"/>
      <color theme="3" tint="0.39997558519241921"/>
      <name val="Arial"/>
      <family val="2"/>
    </font>
    <font>
      <sz val="12"/>
      <color theme="1"/>
      <name val="Calibri"/>
      <family val="2"/>
      <scheme val="minor"/>
    </font>
    <font>
      <b/>
      <sz val="18"/>
      <name val="Arial"/>
      <family val="2"/>
    </font>
    <font>
      <b/>
      <sz val="11"/>
      <color theme="3"/>
      <name val="Calibri"/>
      <family val="2"/>
      <scheme val="minor"/>
    </font>
    <font>
      <b/>
      <i/>
      <sz val="11"/>
      <color rgb="FFFF0000"/>
      <name val="Calibri"/>
      <family val="2"/>
      <scheme val="minor"/>
    </font>
    <font>
      <b/>
      <sz val="11"/>
      <color rgb="FFFF0000"/>
      <name val="Calibri"/>
      <family val="2"/>
      <scheme val="minor"/>
    </font>
    <font>
      <b/>
      <sz val="11"/>
      <color theme="5" tint="-0.249977111117893"/>
      <name val="Calibri"/>
      <family val="2"/>
      <scheme val="minor"/>
    </font>
    <font>
      <i/>
      <sz val="10"/>
      <color theme="9" tint="-0.249977111117893"/>
      <name val="Arial"/>
      <family val="2"/>
    </font>
    <font>
      <b/>
      <sz val="10"/>
      <color theme="0"/>
      <name val="Calibri"/>
      <family val="2"/>
      <scheme val="minor"/>
    </font>
    <font>
      <b/>
      <i/>
      <sz val="10"/>
      <color theme="9" tint="-0.249977111117893"/>
      <name val="Arial"/>
      <family val="2"/>
    </font>
    <font>
      <b/>
      <sz val="18"/>
      <color theme="1"/>
      <name val="Calibri"/>
      <family val="2"/>
      <scheme val="minor"/>
    </font>
    <font>
      <sz val="11"/>
      <name val="Calibri"/>
      <family val="2"/>
      <scheme val="minor"/>
    </font>
    <font>
      <sz val="11"/>
      <color rgb="FF3F3F76"/>
      <name val="Calibri"/>
      <family val="2"/>
      <scheme val="minor"/>
    </font>
    <font>
      <i/>
      <sz val="11"/>
      <color rgb="FF7F7F7F"/>
      <name val="Calibri"/>
      <family val="2"/>
      <scheme val="minor"/>
    </font>
    <font>
      <b/>
      <sz val="14"/>
      <color theme="1"/>
      <name val="Calibri"/>
      <family val="2"/>
      <scheme val="minor"/>
    </font>
    <font>
      <b/>
      <sz val="12"/>
      <color theme="1"/>
      <name val="Calibri"/>
      <family val="2"/>
      <scheme val="minor"/>
    </font>
    <font>
      <b/>
      <i/>
      <sz val="12"/>
      <color rgb="FF7F7F7F"/>
      <name val="Calibri"/>
      <family val="2"/>
      <scheme val="minor"/>
    </font>
    <font>
      <sz val="11"/>
      <color theme="0"/>
      <name val="Calibri"/>
      <family val="2"/>
      <scheme val="minor"/>
    </font>
    <font>
      <b/>
      <sz val="12"/>
      <color rgb="FFFF0000"/>
      <name val="Calibri"/>
      <family val="2"/>
      <scheme val="minor"/>
    </font>
    <font>
      <b/>
      <sz val="14"/>
      <color rgb="FFFF0000"/>
      <name val="Calibri"/>
      <family val="2"/>
      <scheme val="minor"/>
    </font>
    <font>
      <i/>
      <sz val="11"/>
      <color rgb="FFFF0000"/>
      <name val="Calibri"/>
      <family val="2"/>
      <scheme val="minor"/>
    </font>
    <font>
      <b/>
      <i/>
      <sz val="11"/>
      <color theme="5" tint="-0.249977111117893"/>
      <name val="Calibri"/>
      <family val="2"/>
      <scheme val="minor"/>
    </font>
    <font>
      <b/>
      <sz val="11"/>
      <color theme="4" tint="-0.249977111117893"/>
      <name val="Calibri"/>
      <family val="2"/>
      <scheme val="minor"/>
    </font>
    <font>
      <sz val="11"/>
      <color rgb="FFFF0000"/>
      <name val="Calibri"/>
      <family val="2"/>
      <scheme val="minor"/>
    </font>
    <font>
      <b/>
      <i/>
      <sz val="12"/>
      <name val="Calibri"/>
      <family val="2"/>
      <scheme val="minor"/>
    </font>
    <font>
      <b/>
      <sz val="12"/>
      <name val="Calibri"/>
      <family val="2"/>
      <scheme val="minor"/>
    </font>
    <font>
      <sz val="12"/>
      <name val="Calibri"/>
      <family val="2"/>
      <scheme val="minor"/>
    </font>
    <font>
      <b/>
      <i/>
      <sz val="12"/>
      <color theme="1" tint="0.499984740745262"/>
      <name val="Calibri"/>
      <family val="2"/>
      <scheme val="minor"/>
    </font>
    <font>
      <b/>
      <i/>
      <sz val="16"/>
      <color theme="5" tint="-0.249977111117893"/>
      <name val="Calibri"/>
      <family val="2"/>
      <scheme val="minor"/>
    </font>
    <font>
      <i/>
      <sz val="10"/>
      <name val="Calibri"/>
      <family val="2"/>
      <scheme val="minor"/>
    </font>
    <font>
      <b/>
      <sz val="24"/>
      <color theme="1"/>
      <name val="Arial"/>
      <family val="2"/>
    </font>
    <font>
      <b/>
      <i/>
      <sz val="8"/>
      <color theme="9" tint="-0.249977111117893"/>
      <name val="Arial"/>
      <family val="2"/>
    </font>
    <font>
      <i/>
      <sz val="10"/>
      <color rgb="FF000000"/>
      <name val="Arial"/>
      <family val="2"/>
    </font>
    <font>
      <b/>
      <sz val="20"/>
      <color theme="1"/>
      <name val="Calibri"/>
      <family val="2"/>
      <scheme val="minor"/>
    </font>
    <font>
      <b/>
      <sz val="20"/>
      <color theme="1"/>
      <name val="Calibri"/>
      <family val="2"/>
    </font>
    <font>
      <b/>
      <sz val="14"/>
      <name val="Calibri"/>
      <family val="2"/>
      <scheme val="minor"/>
    </font>
    <font>
      <b/>
      <sz val="12"/>
      <color rgb="FFFFFF00"/>
      <name val="Calibri"/>
      <family val="2"/>
      <scheme val="minor"/>
    </font>
    <font>
      <b/>
      <sz val="14"/>
      <color rgb="FFFFFF00"/>
      <name val="Calibri"/>
      <family val="2"/>
      <scheme val="minor"/>
    </font>
    <font>
      <sz val="14"/>
      <color theme="1"/>
      <name val="Calibri"/>
      <family val="2"/>
      <scheme val="minor"/>
    </font>
    <font>
      <sz val="11"/>
      <color theme="1"/>
      <name val="Calibri"/>
      <family val="2"/>
    </font>
    <font>
      <i/>
      <sz val="10"/>
      <name val="Arial"/>
      <family val="2"/>
    </font>
    <font>
      <sz val="10"/>
      <name val="Calibri"/>
      <family val="2"/>
      <scheme val="minor"/>
    </font>
    <font>
      <b/>
      <i/>
      <sz val="10"/>
      <color rgb="FFFF0000"/>
      <name val="Calibri"/>
      <family val="2"/>
      <scheme val="minor"/>
    </font>
    <font>
      <b/>
      <i/>
      <sz val="11"/>
      <name val="Calibri"/>
      <family val="2"/>
      <scheme val="minor"/>
    </font>
    <font>
      <i/>
      <sz val="10"/>
      <color theme="1"/>
      <name val="Calibri"/>
      <family val="2"/>
      <scheme val="minor"/>
    </font>
    <font>
      <i/>
      <sz val="10"/>
      <color rgb="FFFF0000"/>
      <name val="Arial"/>
      <family val="2"/>
    </font>
    <font>
      <i/>
      <u/>
      <sz val="11"/>
      <color theme="10"/>
      <name val="Calibri"/>
      <family val="2"/>
      <scheme val="minor"/>
    </font>
    <font>
      <i/>
      <sz val="9"/>
      <color rgb="FF7030A0"/>
      <name val="Arial"/>
      <family val="2"/>
    </font>
    <font>
      <b/>
      <i/>
      <sz val="9"/>
      <color rgb="FF7030A0"/>
      <name val="Arial"/>
      <family val="2"/>
    </font>
    <font>
      <i/>
      <sz val="10"/>
      <color rgb="FF7030A0"/>
      <name val="Arial"/>
      <family val="2"/>
    </font>
    <font>
      <b/>
      <i/>
      <sz val="10"/>
      <color rgb="FF7030A0"/>
      <name val="Arial"/>
      <family val="2"/>
    </font>
    <font>
      <b/>
      <sz val="12"/>
      <color theme="1"/>
      <name val="Calibri"/>
      <family val="2"/>
    </font>
    <font>
      <b/>
      <sz val="18"/>
      <color rgb="FFFF0000"/>
      <name val="Arial"/>
      <family val="2"/>
    </font>
    <font>
      <sz val="11"/>
      <color theme="1"/>
      <name val="Calibri"/>
      <family val="2"/>
      <scheme val="minor"/>
    </font>
    <font>
      <sz val="11"/>
      <color rgb="FF9C0006"/>
      <name val="Calibri"/>
      <family val="2"/>
      <scheme val="minor"/>
    </font>
    <font>
      <b/>
      <sz val="11"/>
      <color theme="0"/>
      <name val="Calibri"/>
      <family val="2"/>
    </font>
    <font>
      <sz val="11"/>
      <color rgb="FFC00000"/>
      <name val="Calibri"/>
      <family val="2"/>
      <scheme val="minor"/>
    </font>
    <font>
      <sz val="11"/>
      <color rgb="FF000000"/>
      <name val="Calibri"/>
      <family val="2"/>
      <scheme val="minor"/>
    </font>
    <font>
      <i/>
      <sz val="11"/>
      <color theme="4" tint="-0.249977111117893"/>
      <name val="Calibri"/>
      <family val="2"/>
      <scheme val="minor"/>
    </font>
    <font>
      <b/>
      <i/>
      <sz val="9"/>
      <color rgb="FFFF0000"/>
      <name val="Arial"/>
      <family val="2"/>
    </font>
    <font>
      <sz val="10"/>
      <color rgb="FFFF0000"/>
      <name val="Arial"/>
      <family val="2"/>
    </font>
    <font>
      <b/>
      <sz val="10"/>
      <color rgb="FF990033"/>
      <name val="Arial"/>
      <family val="2"/>
    </font>
    <font>
      <b/>
      <i/>
      <sz val="10"/>
      <color rgb="FF990033"/>
      <name val="Arial"/>
      <family val="2"/>
    </font>
    <font>
      <b/>
      <i/>
      <sz val="9"/>
      <color indexed="81"/>
      <name val="Tahoma"/>
      <family val="2"/>
    </font>
    <font>
      <u/>
      <sz val="9"/>
      <color indexed="81"/>
      <name val="Tahoma"/>
      <family val="2"/>
    </font>
    <font>
      <b/>
      <u/>
      <sz val="9"/>
      <color indexed="81"/>
      <name val="Tahoma"/>
      <family val="2"/>
    </font>
    <font>
      <b/>
      <sz val="20"/>
      <color rgb="FFFF0000"/>
      <name val="Arial"/>
      <family val="2"/>
    </font>
    <font>
      <b/>
      <sz val="20"/>
      <color rgb="FFFF0000"/>
      <name val="Calibri"/>
      <family val="2"/>
      <scheme val="minor"/>
    </font>
    <font>
      <b/>
      <sz val="16"/>
      <color rgb="FFFF0000"/>
      <name val="Calibri"/>
      <family val="2"/>
      <scheme val="minor"/>
    </font>
    <font>
      <sz val="16"/>
      <color rgb="FFFF0000"/>
      <name val="Calibri"/>
      <family val="2"/>
      <scheme val="minor"/>
    </font>
    <font>
      <b/>
      <i/>
      <sz val="12"/>
      <color theme="1"/>
      <name val="Calibri"/>
      <family val="2"/>
      <scheme val="minor"/>
    </font>
    <font>
      <b/>
      <i/>
      <sz val="12"/>
      <color rgb="FFFF0000"/>
      <name val="Calibri"/>
      <family val="2"/>
      <scheme val="minor"/>
    </font>
    <font>
      <i/>
      <sz val="12"/>
      <color theme="1"/>
      <name val="Calibri"/>
      <family val="2"/>
      <scheme val="minor"/>
    </font>
    <font>
      <sz val="11"/>
      <name val="Calibri"/>
      <family val="2"/>
      <scheme val="minor"/>
    </font>
    <font>
      <sz val="12"/>
      <color rgb="FFFF0000"/>
      <name val="Calibri"/>
      <family val="2"/>
    </font>
    <font>
      <b/>
      <i/>
      <sz val="14"/>
      <color rgb="FF7030A0"/>
      <name val="Calibri"/>
      <family val="2"/>
      <scheme val="minor"/>
    </font>
    <font>
      <b/>
      <sz val="12"/>
      <color rgb="FF7030A0"/>
      <name val="Calibri"/>
      <family val="2"/>
      <scheme val="minor"/>
    </font>
    <font>
      <b/>
      <i/>
      <sz val="11"/>
      <color rgb="FF7030A0"/>
      <name val="Calibri"/>
      <family val="2"/>
      <scheme val="minor"/>
    </font>
    <font>
      <sz val="10"/>
      <color theme="3"/>
      <name val="Arial"/>
      <family val="2"/>
    </font>
    <font>
      <sz val="8"/>
      <name val="Calibri"/>
      <family val="2"/>
      <scheme val="minor"/>
    </font>
    <font>
      <b/>
      <sz val="10"/>
      <color rgb="FFC00000"/>
      <name val="Arial"/>
      <family val="2"/>
    </font>
    <font>
      <b/>
      <i/>
      <sz val="10"/>
      <color rgb="FFC00000"/>
      <name val="Arial"/>
      <family val="2"/>
    </font>
    <font>
      <b/>
      <sz val="11"/>
      <color rgb="FFC00000"/>
      <name val="Arial"/>
      <family val="2"/>
    </font>
    <font>
      <b/>
      <sz val="12"/>
      <color rgb="FFC00000"/>
      <name val="Arial"/>
      <family val="2"/>
    </font>
    <font>
      <sz val="14"/>
      <color rgb="FFFF0000"/>
      <name val="Calibri"/>
      <family val="2"/>
      <scheme val="minor"/>
    </font>
    <font>
      <sz val="11"/>
      <color theme="5" tint="-0.249977111117893"/>
      <name val="Calibri"/>
      <family val="2"/>
      <scheme val="minor"/>
    </font>
    <font>
      <i/>
      <sz val="12"/>
      <name val="Calibri"/>
      <family val="2"/>
      <scheme val="minor"/>
    </font>
    <font>
      <b/>
      <i/>
      <sz val="12"/>
      <color theme="1" tint="0.34998626667073579"/>
      <name val="Calibri"/>
      <family val="2"/>
      <scheme val="minor"/>
    </font>
    <font>
      <sz val="13"/>
      <color theme="1"/>
      <name val="Calibri"/>
      <family val="2"/>
      <scheme val="minor"/>
    </font>
    <font>
      <i/>
      <u/>
      <sz val="12"/>
      <color theme="1"/>
      <name val="Calibri"/>
      <family val="2"/>
      <scheme val="minor"/>
    </font>
    <font>
      <b/>
      <i/>
      <sz val="12"/>
      <color theme="4" tint="-0.249977111117893"/>
      <name val="Calibri"/>
      <family val="2"/>
      <scheme val="minor"/>
    </font>
    <font>
      <i/>
      <sz val="12"/>
      <color theme="4" tint="-0.249977111117893"/>
      <name val="Calibri"/>
      <family val="2"/>
      <scheme val="minor"/>
    </font>
    <font>
      <b/>
      <sz val="13"/>
      <color theme="1"/>
      <name val="Calibri"/>
      <family val="2"/>
      <scheme val="minor"/>
    </font>
    <font>
      <b/>
      <sz val="22"/>
      <color theme="5" tint="-0.249977111117893"/>
      <name val="Calibri"/>
      <family val="2"/>
      <scheme val="minor"/>
    </font>
    <font>
      <sz val="12"/>
      <color theme="5" tint="-0.249977111117893"/>
      <name val="Calibri"/>
      <family val="2"/>
      <scheme val="minor"/>
    </font>
    <font>
      <u/>
      <sz val="12"/>
      <color theme="1"/>
      <name val="Calibri"/>
      <family val="2"/>
      <scheme val="minor"/>
    </font>
    <font>
      <b/>
      <u/>
      <sz val="14"/>
      <color theme="1"/>
      <name val="Calibri"/>
      <family val="2"/>
      <scheme val="minor"/>
    </font>
    <font>
      <b/>
      <i/>
      <u/>
      <sz val="14"/>
      <color theme="4" tint="-0.249977111117893"/>
      <name val="Calibri"/>
      <family val="2"/>
      <scheme val="minor"/>
    </font>
    <font>
      <b/>
      <i/>
      <sz val="12"/>
      <color theme="5" tint="-0.249977111117893"/>
      <name val="Calibri"/>
      <family val="2"/>
      <scheme val="minor"/>
    </font>
  </fonts>
  <fills count="60">
    <fill>
      <patternFill patternType="none"/>
    </fill>
    <fill>
      <patternFill patternType="gray125"/>
    </fill>
    <fill>
      <patternFill patternType="solid">
        <fgColor theme="9" tint="0.59999389629810485"/>
        <bgColor indexed="64"/>
      </patternFill>
    </fill>
    <fill>
      <patternFill patternType="solid">
        <fgColor theme="2" tint="-9.9978637043366805E-2"/>
        <bgColor indexed="64"/>
      </patternFill>
    </fill>
    <fill>
      <patternFill patternType="solid">
        <fgColor theme="2"/>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rgb="FFFFFFCC"/>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tint="-0.34998626667073579"/>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7" tint="-0.249977111117893"/>
        <bgColor indexed="64"/>
      </patternFill>
    </fill>
    <fill>
      <patternFill patternType="solid">
        <fgColor theme="3" tint="0.79998168889431442"/>
        <bgColor indexed="64"/>
      </patternFill>
    </fill>
    <fill>
      <patternFill patternType="solid">
        <fgColor theme="5" tint="-0.249977111117893"/>
        <bgColor indexed="64"/>
      </patternFill>
    </fill>
    <fill>
      <patternFill patternType="solid">
        <fgColor theme="8" tint="-0.249977111117893"/>
        <bgColor indexed="64"/>
      </patternFill>
    </fill>
    <fill>
      <patternFill patternType="solid">
        <fgColor theme="4" tint="0.79998168889431442"/>
        <bgColor indexed="64"/>
      </patternFill>
    </fill>
    <fill>
      <patternFill patternType="solid">
        <fgColor theme="1" tint="0.499984740745262"/>
        <bgColor indexed="64"/>
      </patternFill>
    </fill>
    <fill>
      <patternFill patternType="solid">
        <fgColor theme="1" tint="4.9989318521683403E-2"/>
        <bgColor indexed="64"/>
      </patternFill>
    </fill>
    <fill>
      <patternFill patternType="solid">
        <fgColor theme="6" tint="-0.499984740745262"/>
        <bgColor indexed="64"/>
      </patternFill>
    </fill>
    <fill>
      <patternFill patternType="solid">
        <fgColor theme="2" tint="-0.749992370372631"/>
        <bgColor indexed="64"/>
      </patternFill>
    </fill>
    <fill>
      <patternFill patternType="solid">
        <fgColor theme="1"/>
        <bgColor indexed="64"/>
      </patternFill>
    </fill>
    <fill>
      <patternFill patternType="solid">
        <fgColor rgb="FFF2F2F2"/>
      </patternFill>
    </fill>
    <fill>
      <patternFill patternType="solid">
        <fgColor theme="9" tint="-0.249977111117893"/>
        <bgColor indexed="64"/>
      </patternFill>
    </fill>
    <fill>
      <patternFill patternType="solid">
        <fgColor rgb="FFFFFF99"/>
        <bgColor indexed="64"/>
      </patternFill>
    </fill>
    <fill>
      <patternFill patternType="solid">
        <fgColor theme="4" tint="-0.249977111117893"/>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rgb="FFCCFFCC"/>
        <bgColor indexed="64"/>
      </patternFill>
    </fill>
    <fill>
      <patternFill patternType="solid">
        <fgColor theme="4" tint="0.39997558519241921"/>
        <bgColor indexed="64"/>
      </patternFill>
    </fill>
    <fill>
      <patternFill patternType="solid">
        <fgColor rgb="FFFFCC99"/>
      </patternFill>
    </fill>
    <fill>
      <patternFill patternType="solid">
        <fgColor theme="0"/>
        <bgColor indexed="64"/>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patternFill>
    </fill>
    <fill>
      <patternFill patternType="solid">
        <fgColor theme="3"/>
        <bgColor indexed="64"/>
      </patternFill>
    </fill>
    <fill>
      <patternFill patternType="solid">
        <fgColor theme="0" tint="-0.14996795556505021"/>
        <bgColor indexed="64"/>
      </patternFill>
    </fill>
    <fill>
      <patternFill patternType="solid">
        <fgColor theme="5" tint="0.39994506668294322"/>
        <bgColor indexed="64"/>
      </patternFill>
    </fill>
    <fill>
      <patternFill patternType="solid">
        <fgColor theme="5"/>
        <bgColor indexed="64"/>
      </patternFill>
    </fill>
    <fill>
      <patternFill patternType="solid">
        <fgColor theme="5" tint="0.39997558519241921"/>
        <bgColor indexed="64"/>
      </patternFill>
    </fill>
    <fill>
      <patternFill patternType="solid">
        <fgColor rgb="FFFFC7CE"/>
      </patternFill>
    </fill>
    <fill>
      <patternFill patternType="solid">
        <fgColor theme="0" tint="-0.499984740745262"/>
        <bgColor indexed="64"/>
      </patternFill>
    </fill>
    <fill>
      <patternFill patternType="solid">
        <fgColor rgb="FFFBFDD9"/>
        <bgColor indexed="64"/>
      </patternFill>
    </fill>
    <fill>
      <patternFill patternType="solid">
        <fgColor rgb="FFAE85FF"/>
        <bgColor indexed="64"/>
      </patternFill>
    </fill>
    <fill>
      <patternFill patternType="solid">
        <fgColor rgb="FF92D050"/>
        <bgColor indexed="64"/>
      </patternFill>
    </fill>
    <fill>
      <patternFill patternType="solid">
        <fgColor rgb="FF00B0F0"/>
        <bgColor indexed="64"/>
      </patternFill>
    </fill>
    <fill>
      <patternFill patternType="solid">
        <fgColor rgb="FFFFC000"/>
        <bgColor indexed="64"/>
      </patternFill>
    </fill>
    <fill>
      <patternFill patternType="solid">
        <fgColor rgb="FF6DB6FF"/>
        <bgColor indexed="64"/>
      </patternFill>
    </fill>
    <fill>
      <patternFill patternType="solid">
        <fgColor rgb="FF800080"/>
        <bgColor indexed="64"/>
      </patternFill>
    </fill>
    <fill>
      <patternFill patternType="solid">
        <fgColor rgb="FFFFCCFF"/>
        <bgColor indexed="64"/>
      </patternFill>
    </fill>
    <fill>
      <patternFill patternType="solid">
        <fgColor rgb="FFE9DFEC"/>
        <bgColor indexed="64"/>
      </patternFill>
    </fill>
  </fills>
  <borders count="107">
    <border>
      <left/>
      <right/>
      <top/>
      <bottom/>
      <diagonal/>
    </border>
    <border>
      <left style="thin">
        <color auto="1"/>
      </left>
      <right/>
      <top/>
      <bottom/>
      <diagonal/>
    </border>
    <border>
      <left style="thin">
        <color auto="1"/>
      </left>
      <right style="thin">
        <color auto="1"/>
      </right>
      <top/>
      <bottom style="thin">
        <color auto="1"/>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auto="1"/>
      </left>
      <right/>
      <top style="thin">
        <color auto="1"/>
      </top>
      <bottom/>
      <diagonal/>
    </border>
    <border>
      <left style="thin">
        <color auto="1"/>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diagonal/>
    </border>
    <border>
      <left style="thin">
        <color auto="1"/>
      </left>
      <right/>
      <top/>
      <bottom style="dotted">
        <color auto="1"/>
      </bottom>
      <diagonal/>
    </border>
    <border>
      <left style="thin">
        <color auto="1"/>
      </left>
      <right/>
      <top style="dotted">
        <color auto="1"/>
      </top>
      <bottom style="dotted">
        <color auto="1"/>
      </bottom>
      <diagonal/>
    </border>
    <border>
      <left/>
      <right style="thin">
        <color indexed="64"/>
      </right>
      <top style="dotted">
        <color auto="1"/>
      </top>
      <bottom style="dotted">
        <color auto="1"/>
      </bottom>
      <diagonal/>
    </border>
    <border>
      <left style="thin">
        <color auto="1"/>
      </left>
      <right/>
      <top style="dotted">
        <color auto="1"/>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dotted">
        <color indexed="64"/>
      </top>
      <bottom style="thin">
        <color indexed="64"/>
      </bottom>
      <diagonal/>
    </border>
    <border>
      <left/>
      <right style="thin">
        <color indexed="64"/>
      </right>
      <top style="dotted">
        <color indexed="64"/>
      </top>
      <bottom/>
      <diagonal/>
    </border>
    <border>
      <left style="medium">
        <color indexed="64"/>
      </left>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auto="1"/>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thin">
        <color indexed="64"/>
      </left>
      <right/>
      <top style="thin">
        <color indexed="64"/>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style="thin">
        <color auto="1"/>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auto="1"/>
      </right>
      <top/>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bottom/>
      <diagonal/>
    </border>
    <border>
      <left/>
      <right style="thin">
        <color indexed="64"/>
      </right>
      <top style="medium">
        <color indexed="64"/>
      </top>
      <bottom style="thin">
        <color indexed="64"/>
      </bottom>
      <diagonal/>
    </border>
    <border>
      <left style="thin">
        <color auto="1"/>
      </left>
      <right style="thin">
        <color auto="1"/>
      </right>
      <top style="medium">
        <color indexed="64"/>
      </top>
      <bottom style="thin">
        <color indexed="64"/>
      </bottom>
      <diagonal/>
    </border>
    <border>
      <left style="thin">
        <color indexed="64"/>
      </left>
      <right style="medium">
        <color indexed="64"/>
      </right>
      <top/>
      <bottom/>
      <diagonal/>
    </border>
    <border>
      <left style="medium">
        <color indexed="64"/>
      </left>
      <right style="medium">
        <color indexed="64"/>
      </right>
      <top/>
      <bottom style="thin">
        <color indexed="64"/>
      </bottom>
      <diagonal/>
    </border>
    <border>
      <left/>
      <right style="thin">
        <color auto="1"/>
      </right>
      <top style="medium">
        <color indexed="64"/>
      </top>
      <bottom style="medium">
        <color indexed="64"/>
      </bottom>
      <diagonal/>
    </border>
    <border>
      <left/>
      <right style="thin">
        <color auto="1"/>
      </right>
      <top style="medium">
        <color indexed="64"/>
      </top>
      <bottom/>
      <diagonal/>
    </border>
    <border>
      <left style="thin">
        <color auto="1"/>
      </left>
      <right/>
      <top style="medium">
        <color indexed="64"/>
      </top>
      <bottom style="medium">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thin">
        <color auto="1"/>
      </left>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top style="medium">
        <color indexed="64"/>
      </top>
      <bottom style="thin">
        <color indexed="64"/>
      </bottom>
      <diagonal/>
    </border>
    <border>
      <left/>
      <right/>
      <top style="thin">
        <color indexed="64"/>
      </top>
      <bottom/>
      <diagonal/>
    </border>
    <border>
      <left/>
      <right/>
      <top style="thin">
        <color indexed="64"/>
      </top>
      <bottom style="medium">
        <color indexed="64"/>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right/>
      <top/>
      <bottom style="thick">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thin">
        <color indexed="64"/>
      </top>
      <bottom/>
      <diagonal/>
    </border>
    <border>
      <left/>
      <right style="medium">
        <color indexed="64"/>
      </right>
      <top style="thin">
        <color indexed="64"/>
      </top>
      <bottom style="thin">
        <color indexed="64"/>
      </bottom>
      <diagonal/>
    </border>
    <border>
      <left/>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thin">
        <color indexed="64"/>
      </right>
      <top/>
      <bottom style="dotted">
        <color auto="1"/>
      </bottom>
      <diagonal/>
    </border>
    <border>
      <left/>
      <right/>
      <top/>
      <bottom style="dotted">
        <color indexed="64"/>
      </bottom>
      <diagonal/>
    </border>
    <border>
      <left/>
      <right/>
      <top style="dotted">
        <color indexed="64"/>
      </top>
      <bottom/>
      <diagonal/>
    </border>
    <border>
      <left/>
      <right/>
      <top style="medium">
        <color indexed="64"/>
      </top>
      <bottom style="thick">
        <color indexed="64"/>
      </bottom>
      <diagonal/>
    </border>
    <border>
      <left style="thin">
        <color rgb="FF7F7F7F"/>
      </left>
      <right style="thin">
        <color rgb="FF7F7F7F"/>
      </right>
      <top style="thin">
        <color indexed="64"/>
      </top>
      <bottom style="thin">
        <color indexed="64"/>
      </bottom>
      <diagonal/>
    </border>
    <border>
      <left style="medium">
        <color indexed="64"/>
      </left>
      <right style="medium">
        <color indexed="64"/>
      </right>
      <top style="thick">
        <color indexed="64"/>
      </top>
      <bottom/>
      <diagonal/>
    </border>
    <border>
      <left style="medium">
        <color indexed="64"/>
      </left>
      <right style="thin">
        <color indexed="64"/>
      </right>
      <top style="thick">
        <color indexed="64"/>
      </top>
      <bottom/>
      <diagonal/>
    </border>
    <border>
      <left style="thin">
        <color indexed="64"/>
      </left>
      <right style="medium">
        <color indexed="64"/>
      </right>
      <top style="thick">
        <color indexed="64"/>
      </top>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
      <left style="thin">
        <color auto="1"/>
      </left>
      <right style="medium">
        <color indexed="64"/>
      </right>
      <top/>
      <bottom style="dotted">
        <color auto="1"/>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indexed="64"/>
      </left>
      <right/>
      <top style="thick">
        <color indexed="64"/>
      </top>
      <bottom/>
      <diagonal/>
    </border>
  </borders>
  <cellStyleXfs count="12">
    <xf numFmtId="0" fontId="0" fillId="0" borderId="0"/>
    <xf numFmtId="9" fontId="1" fillId="0" borderId="0" applyFont="0" applyFill="0" applyBorder="0" applyAlignment="0" applyProtection="0"/>
    <xf numFmtId="44" fontId="1" fillId="0" borderId="0" applyFont="0" applyFill="0" applyBorder="0" applyAlignment="0" applyProtection="0"/>
    <xf numFmtId="0" fontId="11" fillId="0" borderId="0" applyNumberFormat="0" applyFill="0" applyBorder="0" applyAlignment="0" applyProtection="0"/>
    <xf numFmtId="0" fontId="36" fillId="24" borderId="83" applyNumberFormat="0" applyAlignment="0" applyProtection="0"/>
    <xf numFmtId="0" fontId="40" fillId="0" borderId="0"/>
    <xf numFmtId="0" fontId="51" fillId="39" borderId="83" applyNumberFormat="0" applyAlignment="0" applyProtection="0"/>
    <xf numFmtId="0" fontId="52" fillId="0" borderId="0" applyNumberFormat="0" applyFill="0" applyBorder="0" applyAlignment="0" applyProtection="0"/>
    <xf numFmtId="0" fontId="1" fillId="41" borderId="0" applyNumberFormat="0" applyBorder="0" applyAlignment="0" applyProtection="0"/>
    <xf numFmtId="0" fontId="1" fillId="42" borderId="0" applyNumberFormat="0" applyBorder="0" applyAlignment="0" applyProtection="0"/>
    <xf numFmtId="0" fontId="56" fillId="43" borderId="0" applyNumberFormat="0" applyBorder="0" applyAlignment="0" applyProtection="0"/>
    <xf numFmtId="0" fontId="93" fillId="49" borderId="0" applyNumberFormat="0" applyBorder="0" applyAlignment="0" applyProtection="0"/>
  </cellStyleXfs>
  <cellXfs count="3731">
    <xf numFmtId="0" fontId="0" fillId="0" borderId="0" xfId="0"/>
    <xf numFmtId="0" fontId="3" fillId="0" borderId="0" xfId="0" applyFont="1"/>
    <xf numFmtId="0" fontId="4" fillId="0" borderId="0" xfId="0" applyFont="1" applyAlignment="1">
      <alignment horizontal="center"/>
    </xf>
    <xf numFmtId="3" fontId="3" fillId="0" borderId="0" xfId="0" applyNumberFormat="1" applyFont="1"/>
    <xf numFmtId="0" fontId="5" fillId="0" borderId="0" xfId="0" applyFont="1"/>
    <xf numFmtId="164" fontId="3" fillId="0" borderId="3" xfId="0" applyNumberFormat="1" applyFont="1" applyBorder="1"/>
    <xf numFmtId="0" fontId="4" fillId="0" borderId="0" xfId="0" applyFont="1"/>
    <xf numFmtId="164" fontId="5" fillId="3" borderId="3" xfId="0" applyNumberFormat="1" applyFont="1" applyFill="1" applyBorder="1"/>
    <xf numFmtId="0" fontId="9" fillId="0" borderId="0" xfId="0" applyFont="1"/>
    <xf numFmtId="0" fontId="6" fillId="0" borderId="0" xfId="0" applyFont="1"/>
    <xf numFmtId="0" fontId="0" fillId="0" borderId="0" xfId="0" applyAlignment="1">
      <alignment horizontal="center"/>
    </xf>
    <xf numFmtId="164" fontId="4" fillId="3" borderId="3" xfId="0" applyNumberFormat="1" applyFont="1" applyFill="1" applyBorder="1"/>
    <xf numFmtId="164" fontId="7" fillId="3" borderId="3" xfId="0" applyNumberFormat="1" applyFont="1" applyFill="1" applyBorder="1"/>
    <xf numFmtId="164" fontId="13" fillId="0" borderId="0" xfId="0" applyNumberFormat="1" applyFont="1" applyAlignment="1">
      <alignment horizontal="left"/>
    </xf>
    <xf numFmtId="0" fontId="14" fillId="0" borderId="0" xfId="0" applyFont="1"/>
    <xf numFmtId="164" fontId="15" fillId="3" borderId="3" xfId="0" applyNumberFormat="1" applyFont="1" applyFill="1" applyBorder="1"/>
    <xf numFmtId="164" fontId="16" fillId="3" borderId="3" xfId="0" applyNumberFormat="1" applyFont="1" applyFill="1" applyBorder="1"/>
    <xf numFmtId="0" fontId="7" fillId="0" borderId="0" xfId="0" applyFont="1"/>
    <xf numFmtId="164" fontId="12" fillId="3" borderId="3" xfId="0" applyNumberFormat="1" applyFont="1" applyFill="1" applyBorder="1"/>
    <xf numFmtId="0" fontId="18" fillId="0" borderId="0" xfId="0" applyFont="1"/>
    <xf numFmtId="0" fontId="5" fillId="0" borderId="22" xfId="0" applyFont="1" applyBorder="1"/>
    <xf numFmtId="164" fontId="2" fillId="0" borderId="3" xfId="0" applyNumberFormat="1" applyFont="1" applyBorder="1"/>
    <xf numFmtId="0" fontId="6" fillId="0" borderId="1" xfId="0" applyFont="1" applyBorder="1" applyAlignment="1">
      <alignment horizontal="center"/>
    </xf>
    <xf numFmtId="0" fontId="3" fillId="0" borderId="10" xfId="0" applyFont="1" applyBorder="1"/>
    <xf numFmtId="0" fontId="3" fillId="0" borderId="0" xfId="0" applyFont="1" applyAlignment="1">
      <alignment horizontal="left"/>
    </xf>
    <xf numFmtId="0" fontId="3" fillId="0" borderId="1" xfId="0" applyFont="1" applyBorder="1"/>
    <xf numFmtId="0" fontId="3" fillId="0" borderId="12" xfId="0" applyFont="1" applyBorder="1"/>
    <xf numFmtId="0" fontId="5" fillId="0" borderId="28" xfId="0" applyFont="1" applyBorder="1" applyAlignment="1">
      <alignment horizontal="center"/>
    </xf>
    <xf numFmtId="0" fontId="3" fillId="0" borderId="29" xfId="0" applyFont="1" applyBorder="1"/>
    <xf numFmtId="164" fontId="3" fillId="0" borderId="3" xfId="0" applyNumberFormat="1" applyFont="1" applyBorder="1" applyAlignment="1">
      <alignment horizontal="right"/>
    </xf>
    <xf numFmtId="0" fontId="0" fillId="3" borderId="3" xfId="0" applyFill="1" applyBorder="1"/>
    <xf numFmtId="164" fontId="17" fillId="3" borderId="3" xfId="0" applyNumberFormat="1" applyFont="1" applyFill="1" applyBorder="1"/>
    <xf numFmtId="0" fontId="5" fillId="0" borderId="35" xfId="0" applyFont="1" applyBorder="1" applyAlignment="1">
      <alignment horizontal="center"/>
    </xf>
    <xf numFmtId="0" fontId="3" fillId="0" borderId="6" xfId="0" applyFont="1" applyBorder="1"/>
    <xf numFmtId="0" fontId="5" fillId="0" borderId="29" xfId="0" applyFont="1" applyBorder="1" applyAlignment="1">
      <alignment horizontal="left"/>
    </xf>
    <xf numFmtId="0" fontId="19" fillId="0" borderId="0" xfId="0" applyFont="1"/>
    <xf numFmtId="164" fontId="4" fillId="0" borderId="13" xfId="0" applyNumberFormat="1" applyFont="1" applyBorder="1"/>
    <xf numFmtId="164" fontId="12" fillId="0" borderId="7" xfId="0" applyNumberFormat="1" applyFont="1" applyBorder="1"/>
    <xf numFmtId="164" fontId="15" fillId="0" borderId="13" xfId="0" applyNumberFormat="1" applyFont="1" applyBorder="1"/>
    <xf numFmtId="164" fontId="16" fillId="0" borderId="7" xfId="0" applyNumberFormat="1" applyFont="1" applyBorder="1"/>
    <xf numFmtId="0" fontId="0" fillId="0" borderId="0" xfId="0" applyAlignment="1">
      <alignment horizontal="left"/>
    </xf>
    <xf numFmtId="164" fontId="3" fillId="0" borderId="2" xfId="0" applyNumberFormat="1" applyFont="1" applyBorder="1"/>
    <xf numFmtId="164" fontId="3" fillId="0" borderId="14" xfId="0" applyNumberFormat="1" applyFont="1" applyBorder="1"/>
    <xf numFmtId="0" fontId="23" fillId="10" borderId="3" xfId="0" applyFont="1" applyFill="1" applyBorder="1"/>
    <xf numFmtId="164" fontId="20" fillId="10" borderId="3" xfId="0" applyNumberFormat="1" applyFont="1" applyFill="1" applyBorder="1"/>
    <xf numFmtId="0" fontId="5" fillId="0" borderId="0" xfId="0" applyFont="1" applyAlignment="1">
      <alignment horizontal="left"/>
    </xf>
    <xf numFmtId="0" fontId="24" fillId="3" borderId="3" xfId="0" applyFont="1" applyFill="1" applyBorder="1" applyAlignment="1">
      <alignment horizontal="center"/>
    </xf>
    <xf numFmtId="164" fontId="8" fillId="8" borderId="3" xfId="0" applyNumberFormat="1" applyFont="1" applyFill="1" applyBorder="1" applyAlignment="1">
      <alignment horizontal="right"/>
    </xf>
    <xf numFmtId="164" fontId="7" fillId="8" borderId="3" xfId="0" applyNumberFormat="1" applyFont="1" applyFill="1" applyBorder="1"/>
    <xf numFmtId="0" fontId="0" fillId="0" borderId="17" xfId="0" applyBorder="1"/>
    <xf numFmtId="0" fontId="26" fillId="0" borderId="38" xfId="0" applyFont="1" applyBorder="1" applyAlignment="1">
      <alignment horizontal="center"/>
    </xf>
    <xf numFmtId="0" fontId="0" fillId="0" borderId="0" xfId="0" applyAlignment="1">
      <alignment wrapText="1"/>
    </xf>
    <xf numFmtId="164" fontId="3" fillId="12" borderId="3" xfId="0" applyNumberFormat="1" applyFont="1" applyFill="1" applyBorder="1"/>
    <xf numFmtId="164" fontId="3" fillId="0" borderId="3" xfId="2" applyNumberFormat="1" applyFont="1" applyFill="1" applyBorder="1"/>
    <xf numFmtId="0" fontId="14" fillId="0" borderId="10" xfId="0" applyFont="1" applyBorder="1" applyAlignment="1">
      <alignment vertical="center"/>
    </xf>
    <xf numFmtId="164" fontId="3" fillId="18" borderId="3" xfId="0" applyNumberFormat="1" applyFont="1" applyFill="1" applyBorder="1"/>
    <xf numFmtId="164" fontId="3" fillId="11" borderId="3" xfId="0" applyNumberFormat="1" applyFont="1" applyFill="1" applyBorder="1"/>
    <xf numFmtId="0" fontId="3" fillId="0" borderId="3" xfId="0" applyFont="1" applyBorder="1" applyAlignment="1">
      <alignment horizontal="left"/>
    </xf>
    <xf numFmtId="9" fontId="0" fillId="0" borderId="0" xfId="0" applyNumberFormat="1"/>
    <xf numFmtId="0" fontId="30" fillId="19" borderId="0" xfId="0" applyFont="1" applyFill="1"/>
    <xf numFmtId="164" fontId="0" fillId="0" borderId="0" xfId="0" applyNumberFormat="1"/>
    <xf numFmtId="0" fontId="30" fillId="0" borderId="0" xfId="0" applyFont="1" applyAlignment="1">
      <alignment horizontal="center"/>
    </xf>
    <xf numFmtId="0" fontId="5" fillId="3" borderId="6" xfId="0" applyFont="1" applyFill="1" applyBorder="1" applyAlignment="1">
      <alignment horizontal="left"/>
    </xf>
    <xf numFmtId="0" fontId="3" fillId="0" borderId="6" xfId="0" applyFont="1" applyBorder="1" applyAlignment="1">
      <alignment horizontal="left"/>
    </xf>
    <xf numFmtId="0" fontId="30" fillId="20" borderId="4" xfId="0" applyFont="1" applyFill="1" applyBorder="1"/>
    <xf numFmtId="0" fontId="30" fillId="20" borderId="16" xfId="0" applyFont="1" applyFill="1" applyBorder="1"/>
    <xf numFmtId="0" fontId="30" fillId="19" borderId="4" xfId="0" applyFont="1" applyFill="1" applyBorder="1"/>
    <xf numFmtId="0" fontId="30" fillId="19" borderId="65" xfId="0" applyFont="1" applyFill="1" applyBorder="1"/>
    <xf numFmtId="164" fontId="0" fillId="7" borderId="52" xfId="0" applyNumberFormat="1" applyFill="1" applyBorder="1"/>
    <xf numFmtId="164" fontId="0" fillId="7" borderId="39" xfId="0" applyNumberFormat="1" applyFill="1" applyBorder="1"/>
    <xf numFmtId="0" fontId="30" fillId="21" borderId="16" xfId="0" applyFont="1" applyFill="1" applyBorder="1" applyAlignment="1">
      <alignment horizontal="right"/>
    </xf>
    <xf numFmtId="0" fontId="0" fillId="0" borderId="82" xfId="0" applyBorder="1"/>
    <xf numFmtId="0" fontId="5" fillId="0" borderId="1" xfId="0" applyFont="1" applyBorder="1" applyAlignment="1">
      <alignment vertical="center"/>
    </xf>
    <xf numFmtId="0" fontId="3" fillId="0" borderId="7" xfId="0" applyFont="1" applyBorder="1"/>
    <xf numFmtId="0" fontId="15" fillId="3" borderId="6" xfId="0" applyFont="1" applyFill="1" applyBorder="1"/>
    <xf numFmtId="0" fontId="5" fillId="0" borderId="12" xfId="0" applyFont="1" applyBorder="1" applyAlignment="1">
      <alignment vertical="center"/>
    </xf>
    <xf numFmtId="0" fontId="8" fillId="8" borderId="6" xfId="0" applyFont="1" applyFill="1" applyBorder="1"/>
    <xf numFmtId="0" fontId="5" fillId="3" borderId="6" xfId="0" applyFont="1" applyFill="1" applyBorder="1"/>
    <xf numFmtId="0" fontId="3" fillId="0" borderId="13" xfId="0" applyFont="1" applyBorder="1"/>
    <xf numFmtId="0" fontId="5" fillId="3" borderId="13" xfId="0" applyFont="1" applyFill="1" applyBorder="1"/>
    <xf numFmtId="0" fontId="15" fillId="3" borderId="13" xfId="0" applyFont="1" applyFill="1" applyBorder="1"/>
    <xf numFmtId="0" fontId="17" fillId="3" borderId="6" xfId="0" applyFont="1" applyFill="1" applyBorder="1"/>
    <xf numFmtId="0" fontId="17" fillId="3" borderId="13" xfId="0" applyFont="1" applyFill="1" applyBorder="1"/>
    <xf numFmtId="0" fontId="4" fillId="3" borderId="6" xfId="0" applyFont="1" applyFill="1" applyBorder="1"/>
    <xf numFmtId="0" fontId="4" fillId="3" borderId="13" xfId="0" applyFont="1" applyFill="1" applyBorder="1"/>
    <xf numFmtId="164" fontId="2" fillId="0" borderId="62" xfId="0" applyNumberFormat="1" applyFont="1" applyBorder="1"/>
    <xf numFmtId="164" fontId="3" fillId="0" borderId="62" xfId="0" applyNumberFormat="1" applyFont="1" applyBorder="1"/>
    <xf numFmtId="164" fontId="7" fillId="3" borderId="52" xfId="0" applyNumberFormat="1" applyFont="1" applyFill="1" applyBorder="1"/>
    <xf numFmtId="164" fontId="7" fillId="3" borderId="39" xfId="0" applyNumberFormat="1" applyFont="1" applyFill="1" applyBorder="1"/>
    <xf numFmtId="164" fontId="2" fillId="0" borderId="14" xfId="0" applyNumberFormat="1" applyFont="1" applyBorder="1"/>
    <xf numFmtId="164" fontId="7" fillId="3" borderId="41" xfId="0" applyNumberFormat="1" applyFont="1" applyFill="1" applyBorder="1"/>
    <xf numFmtId="0" fontId="3" fillId="0" borderId="51" xfId="0" applyFont="1" applyBorder="1" applyAlignment="1">
      <alignment horizontal="left"/>
    </xf>
    <xf numFmtId="0" fontId="3" fillId="0" borderId="38" xfId="0" applyFont="1" applyBorder="1" applyAlignment="1">
      <alignment horizontal="left"/>
    </xf>
    <xf numFmtId="0" fontId="4" fillId="0" borderId="10" xfId="0" applyFont="1" applyBorder="1"/>
    <xf numFmtId="164" fontId="7" fillId="3" borderId="43" xfId="0" applyNumberFormat="1" applyFont="1" applyFill="1" applyBorder="1"/>
    <xf numFmtId="164" fontId="4" fillId="3" borderId="23" xfId="0" applyNumberFormat="1" applyFont="1" applyFill="1" applyBorder="1"/>
    <xf numFmtId="164" fontId="4" fillId="3" borderId="24" xfId="0" applyNumberFormat="1" applyFont="1" applyFill="1" applyBorder="1"/>
    <xf numFmtId="164" fontId="4" fillId="3" borderId="25" xfId="0" applyNumberFormat="1" applyFont="1" applyFill="1" applyBorder="1"/>
    <xf numFmtId="0" fontId="26" fillId="0" borderId="33" xfId="0" applyFont="1" applyBorder="1" applyAlignment="1">
      <alignment horizontal="center"/>
    </xf>
    <xf numFmtId="0" fontId="26" fillId="0" borderId="69" xfId="0" applyFont="1" applyBorder="1" applyAlignment="1">
      <alignment horizontal="center"/>
    </xf>
    <xf numFmtId="0" fontId="21" fillId="0" borderId="0" xfId="3" applyFont="1" applyBorder="1" applyAlignment="1">
      <alignment horizontal="left"/>
    </xf>
    <xf numFmtId="0" fontId="33" fillId="0" borderId="0" xfId="0" applyFont="1" applyAlignment="1">
      <alignment horizontal="left" vertical="top"/>
    </xf>
    <xf numFmtId="0" fontId="30" fillId="21" borderId="3" xfId="0" applyFont="1" applyFill="1" applyBorder="1" applyAlignment="1">
      <alignment horizontal="right"/>
    </xf>
    <xf numFmtId="0" fontId="3" fillId="0" borderId="0" xfId="0" applyFont="1" applyAlignment="1">
      <alignment horizontal="left" vertical="center"/>
    </xf>
    <xf numFmtId="0" fontId="30" fillId="21" borderId="3" xfId="0" applyFont="1" applyFill="1" applyBorder="1"/>
    <xf numFmtId="0" fontId="0" fillId="0" borderId="51" xfId="0" applyBorder="1" applyAlignment="1" applyProtection="1">
      <alignment horizontal="center"/>
      <protection locked="0"/>
    </xf>
    <xf numFmtId="0" fontId="0" fillId="0" borderId="62" xfId="0" applyBorder="1" applyAlignment="1" applyProtection="1">
      <alignment horizontal="center"/>
      <protection locked="0"/>
    </xf>
    <xf numFmtId="0" fontId="0" fillId="0" borderId="38" xfId="0" applyBorder="1" applyAlignment="1" applyProtection="1">
      <alignment horizontal="center"/>
      <protection locked="0"/>
    </xf>
    <xf numFmtId="0" fontId="0" fillId="0" borderId="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0" xfId="0" applyProtection="1">
      <protection locked="0"/>
    </xf>
    <xf numFmtId="6" fontId="0" fillId="11" borderId="3" xfId="0" applyNumberFormat="1" applyFill="1" applyBorder="1" applyProtection="1">
      <protection locked="0"/>
    </xf>
    <xf numFmtId="6" fontId="0" fillId="18" borderId="3" xfId="0" applyNumberFormat="1" applyFill="1" applyBorder="1" applyProtection="1">
      <protection locked="0"/>
    </xf>
    <xf numFmtId="0" fontId="30" fillId="14" borderId="3" xfId="0" applyFont="1" applyFill="1" applyBorder="1" applyAlignment="1">
      <alignment horizontal="right"/>
    </xf>
    <xf numFmtId="0" fontId="30" fillId="14" borderId="3" xfId="0" applyFont="1" applyFill="1" applyBorder="1"/>
    <xf numFmtId="6" fontId="0" fillId="12" borderId="3" xfId="0" applyNumberFormat="1" applyFill="1" applyBorder="1" applyProtection="1">
      <protection locked="0"/>
    </xf>
    <xf numFmtId="6" fontId="0" fillId="6" borderId="3" xfId="0" applyNumberFormat="1" applyFill="1" applyBorder="1" applyProtection="1">
      <protection locked="0"/>
    </xf>
    <xf numFmtId="0" fontId="30" fillId="17" borderId="3" xfId="0" applyFont="1" applyFill="1" applyBorder="1"/>
    <xf numFmtId="0" fontId="30" fillId="17" borderId="3" xfId="0" applyFont="1" applyFill="1" applyBorder="1" applyAlignment="1">
      <alignment horizontal="right"/>
    </xf>
    <xf numFmtId="0" fontId="30" fillId="22" borderId="3" xfId="0" applyFont="1" applyFill="1" applyBorder="1" applyAlignment="1">
      <alignment horizontal="right"/>
    </xf>
    <xf numFmtId="0" fontId="30" fillId="22" borderId="3" xfId="0" applyFont="1" applyFill="1" applyBorder="1"/>
    <xf numFmtId="6" fontId="0" fillId="4" borderId="3" xfId="0" applyNumberFormat="1" applyFill="1" applyBorder="1" applyProtection="1">
      <protection locked="0"/>
    </xf>
    <xf numFmtId="0" fontId="30" fillId="20" borderId="5" xfId="0" applyFont="1" applyFill="1" applyBorder="1"/>
    <xf numFmtId="0" fontId="3" fillId="0" borderId="8" xfId="0" applyFont="1" applyBorder="1" applyAlignment="1">
      <alignment horizontal="left"/>
    </xf>
    <xf numFmtId="0" fontId="5" fillId="6" borderId="3" xfId="0" applyFont="1" applyFill="1" applyBorder="1" applyAlignment="1">
      <alignment horizontal="center"/>
    </xf>
    <xf numFmtId="0" fontId="3" fillId="0" borderId="36" xfId="0" applyFont="1" applyBorder="1"/>
    <xf numFmtId="0" fontId="30" fillId="19" borderId="0" xfId="0" applyFont="1" applyFill="1" applyAlignment="1">
      <alignment horizontal="center"/>
    </xf>
    <xf numFmtId="0" fontId="4" fillId="0" borderId="60" xfId="0" applyFont="1" applyBorder="1" applyAlignment="1">
      <alignment horizontal="center" vertical="center" wrapText="1"/>
    </xf>
    <xf numFmtId="0" fontId="4" fillId="0" borderId="60" xfId="0" applyFont="1" applyBorder="1" applyAlignment="1">
      <alignment horizontal="center" vertical="center"/>
    </xf>
    <xf numFmtId="164" fontId="4" fillId="0" borderId="0" xfId="0" applyNumberFormat="1" applyFont="1"/>
    <xf numFmtId="164" fontId="12" fillId="0" borderId="0" xfId="0" applyNumberFormat="1" applyFont="1"/>
    <xf numFmtId="0" fontId="4" fillId="0" borderId="53" xfId="0" applyFont="1" applyBorder="1" applyAlignment="1">
      <alignment horizontal="center" vertical="center" wrapText="1"/>
    </xf>
    <xf numFmtId="164" fontId="2" fillId="0" borderId="42" xfId="0" applyNumberFormat="1" applyFont="1" applyBorder="1"/>
    <xf numFmtId="164" fontId="2" fillId="0" borderId="38" xfId="0" applyNumberFormat="1" applyFont="1" applyBorder="1"/>
    <xf numFmtId="164" fontId="2" fillId="0" borderId="40" xfId="0" applyNumberFormat="1" applyFont="1" applyBorder="1"/>
    <xf numFmtId="164" fontId="2" fillId="0" borderId="51" xfId="0" applyNumberFormat="1" applyFont="1" applyBorder="1"/>
    <xf numFmtId="0" fontId="12" fillId="8" borderId="63" xfId="0" applyFont="1" applyFill="1" applyBorder="1" applyAlignment="1">
      <alignment horizontal="center"/>
    </xf>
    <xf numFmtId="164" fontId="7" fillId="8" borderId="43" xfId="0" applyNumberFormat="1" applyFont="1" applyFill="1" applyBorder="1"/>
    <xf numFmtId="164" fontId="7" fillId="8" borderId="39" xfId="0" applyNumberFormat="1" applyFont="1" applyFill="1" applyBorder="1"/>
    <xf numFmtId="164" fontId="7" fillId="8" borderId="41" xfId="0" applyNumberFormat="1" applyFont="1" applyFill="1" applyBorder="1"/>
    <xf numFmtId="164" fontId="7" fillId="8" borderId="52" xfId="0" applyNumberFormat="1" applyFont="1" applyFill="1" applyBorder="1"/>
    <xf numFmtId="164" fontId="4" fillId="8" borderId="3" xfId="0" applyNumberFormat="1" applyFont="1" applyFill="1" applyBorder="1"/>
    <xf numFmtId="164" fontId="15" fillId="8" borderId="3" xfId="0" applyNumberFormat="1" applyFont="1" applyFill="1" applyBorder="1"/>
    <xf numFmtId="164" fontId="12" fillId="8" borderId="3" xfId="0" applyNumberFormat="1" applyFont="1" applyFill="1" applyBorder="1"/>
    <xf numFmtId="164" fontId="5" fillId="8" borderId="3" xfId="0" applyNumberFormat="1" applyFont="1" applyFill="1" applyBorder="1"/>
    <xf numFmtId="164" fontId="16" fillId="8" borderId="3" xfId="0" applyNumberFormat="1" applyFont="1" applyFill="1" applyBorder="1"/>
    <xf numFmtId="164" fontId="15" fillId="8" borderId="3" xfId="0" applyNumberFormat="1" applyFont="1" applyFill="1" applyBorder="1" applyAlignment="1">
      <alignment horizontal="right"/>
    </xf>
    <xf numFmtId="164" fontId="20" fillId="8" borderId="3" xfId="0" applyNumberFormat="1" applyFont="1" applyFill="1" applyBorder="1"/>
    <xf numFmtId="0" fontId="12" fillId="18" borderId="63" xfId="0" applyFont="1" applyFill="1" applyBorder="1" applyAlignment="1">
      <alignment horizontal="center"/>
    </xf>
    <xf numFmtId="164" fontId="7" fillId="18" borderId="43" xfId="0" applyNumberFormat="1" applyFont="1" applyFill="1" applyBorder="1"/>
    <xf numFmtId="164" fontId="7" fillId="18" borderId="39" xfId="0" applyNumberFormat="1" applyFont="1" applyFill="1" applyBorder="1"/>
    <xf numFmtId="164" fontId="7" fillId="18" borderId="41" xfId="0" applyNumberFormat="1" applyFont="1" applyFill="1" applyBorder="1"/>
    <xf numFmtId="164" fontId="7" fillId="18" borderId="52" xfId="0" applyNumberFormat="1" applyFont="1" applyFill="1" applyBorder="1"/>
    <xf numFmtId="164" fontId="7" fillId="18" borderId="3" xfId="0" applyNumberFormat="1" applyFont="1" applyFill="1" applyBorder="1"/>
    <xf numFmtId="164" fontId="4" fillId="18" borderId="3" xfId="0" applyNumberFormat="1" applyFont="1" applyFill="1" applyBorder="1"/>
    <xf numFmtId="164" fontId="15" fillId="18" borderId="3" xfId="0" applyNumberFormat="1" applyFont="1" applyFill="1" applyBorder="1"/>
    <xf numFmtId="164" fontId="12" fillId="18" borderId="3" xfId="0" applyNumberFormat="1" applyFont="1" applyFill="1" applyBorder="1"/>
    <xf numFmtId="164" fontId="5" fillId="18" borderId="3" xfId="0" applyNumberFormat="1" applyFont="1" applyFill="1" applyBorder="1"/>
    <xf numFmtId="164" fontId="16" fillId="18" borderId="3" xfId="0" applyNumberFormat="1" applyFont="1" applyFill="1" applyBorder="1"/>
    <xf numFmtId="164" fontId="15" fillId="18" borderId="3" xfId="0" applyNumberFormat="1" applyFont="1" applyFill="1" applyBorder="1" applyAlignment="1">
      <alignment horizontal="right"/>
    </xf>
    <xf numFmtId="164" fontId="8" fillId="18" borderId="3" xfId="0" applyNumberFormat="1" applyFont="1" applyFill="1" applyBorder="1" applyAlignment="1">
      <alignment horizontal="right"/>
    </xf>
    <xf numFmtId="164" fontId="20" fillId="18" borderId="3" xfId="0" applyNumberFormat="1" applyFont="1" applyFill="1" applyBorder="1"/>
    <xf numFmtId="0" fontId="12" fillId="9" borderId="63" xfId="0" applyFont="1" applyFill="1" applyBorder="1" applyAlignment="1">
      <alignment horizontal="center"/>
    </xf>
    <xf numFmtId="164" fontId="7" fillId="9" borderId="43" xfId="0" applyNumberFormat="1" applyFont="1" applyFill="1" applyBorder="1"/>
    <xf numFmtId="164" fontId="7" fillId="9" borderId="39" xfId="0" applyNumberFormat="1" applyFont="1" applyFill="1" applyBorder="1"/>
    <xf numFmtId="164" fontId="7" fillId="9" borderId="41" xfId="0" applyNumberFormat="1" applyFont="1" applyFill="1" applyBorder="1"/>
    <xf numFmtId="164" fontId="7" fillId="9" borderId="52" xfId="0" applyNumberFormat="1" applyFont="1" applyFill="1" applyBorder="1"/>
    <xf numFmtId="164" fontId="7" fillId="9" borderId="3" xfId="0" applyNumberFormat="1" applyFont="1" applyFill="1" applyBorder="1"/>
    <xf numFmtId="164" fontId="4" fillId="9" borderId="3" xfId="0" applyNumberFormat="1" applyFont="1" applyFill="1" applyBorder="1"/>
    <xf numFmtId="164" fontId="15" fillId="9" borderId="3" xfId="0" applyNumberFormat="1" applyFont="1" applyFill="1" applyBorder="1"/>
    <xf numFmtId="164" fontId="12" fillId="9" borderId="3" xfId="0" applyNumberFormat="1" applyFont="1" applyFill="1" applyBorder="1"/>
    <xf numFmtId="164" fontId="5" fillId="9" borderId="3" xfId="0" applyNumberFormat="1" applyFont="1" applyFill="1" applyBorder="1"/>
    <xf numFmtId="164" fontId="16" fillId="9" borderId="3" xfId="0" applyNumberFormat="1" applyFont="1" applyFill="1" applyBorder="1"/>
    <xf numFmtId="164" fontId="15" fillId="9" borderId="3" xfId="0" applyNumberFormat="1" applyFont="1" applyFill="1" applyBorder="1" applyAlignment="1">
      <alignment horizontal="right"/>
    </xf>
    <xf numFmtId="164" fontId="8" fillId="9" borderId="3" xfId="0" applyNumberFormat="1" applyFont="1" applyFill="1" applyBorder="1" applyAlignment="1">
      <alignment horizontal="right"/>
    </xf>
    <xf numFmtId="164" fontId="20" fillId="9" borderId="3" xfId="0" applyNumberFormat="1" applyFont="1" applyFill="1" applyBorder="1"/>
    <xf numFmtId="0" fontId="12" fillId="11" borderId="63" xfId="0" applyFont="1" applyFill="1" applyBorder="1" applyAlignment="1">
      <alignment horizontal="center"/>
    </xf>
    <xf numFmtId="164" fontId="7" fillId="11" borderId="43" xfId="0" applyNumberFormat="1" applyFont="1" applyFill="1" applyBorder="1"/>
    <xf numFmtId="164" fontId="7" fillId="11" borderId="39" xfId="0" applyNumberFormat="1" applyFont="1" applyFill="1" applyBorder="1"/>
    <xf numFmtId="164" fontId="7" fillId="11" borderId="41" xfId="0" applyNumberFormat="1" applyFont="1" applyFill="1" applyBorder="1"/>
    <xf numFmtId="164" fontId="7" fillId="11" borderId="52" xfId="0" applyNumberFormat="1" applyFont="1" applyFill="1" applyBorder="1"/>
    <xf numFmtId="164" fontId="7" fillId="11" borderId="3" xfId="0" applyNumberFormat="1" applyFont="1" applyFill="1" applyBorder="1"/>
    <xf numFmtId="164" fontId="4" fillId="11" borderId="3" xfId="0" applyNumberFormat="1" applyFont="1" applyFill="1" applyBorder="1"/>
    <xf numFmtId="164" fontId="15" fillId="11" borderId="3" xfId="0" applyNumberFormat="1" applyFont="1" applyFill="1" applyBorder="1"/>
    <xf numFmtId="164" fontId="12" fillId="11" borderId="3" xfId="0" applyNumberFormat="1" applyFont="1" applyFill="1" applyBorder="1"/>
    <xf numFmtId="164" fontId="5" fillId="11" borderId="3" xfId="0" applyNumberFormat="1" applyFont="1" applyFill="1" applyBorder="1"/>
    <xf numFmtId="164" fontId="16" fillId="11" borderId="3" xfId="0" applyNumberFormat="1" applyFont="1" applyFill="1" applyBorder="1"/>
    <xf numFmtId="164" fontId="15" fillId="11" borderId="3" xfId="0" applyNumberFormat="1" applyFont="1" applyFill="1" applyBorder="1" applyAlignment="1">
      <alignment horizontal="right"/>
    </xf>
    <xf numFmtId="164" fontId="8" fillId="11" borderId="3" xfId="0" applyNumberFormat="1" applyFont="1" applyFill="1" applyBorder="1" applyAlignment="1">
      <alignment horizontal="right"/>
    </xf>
    <xf numFmtId="164" fontId="20" fillId="11" borderId="3" xfId="0" applyNumberFormat="1" applyFont="1" applyFill="1" applyBorder="1"/>
    <xf numFmtId="0" fontId="12" fillId="12" borderId="63" xfId="0" applyFont="1" applyFill="1" applyBorder="1" applyAlignment="1">
      <alignment horizontal="center"/>
    </xf>
    <xf numFmtId="164" fontId="7" fillId="12" borderId="43" xfId="0" applyNumberFormat="1" applyFont="1" applyFill="1" applyBorder="1"/>
    <xf numFmtId="164" fontId="7" fillId="12" borderId="39" xfId="0" applyNumberFormat="1" applyFont="1" applyFill="1" applyBorder="1"/>
    <xf numFmtId="164" fontId="7" fillId="12" borderId="41" xfId="0" applyNumberFormat="1" applyFont="1" applyFill="1" applyBorder="1"/>
    <xf numFmtId="164" fontId="7" fillId="12" borderId="52" xfId="0" applyNumberFormat="1" applyFont="1" applyFill="1" applyBorder="1"/>
    <xf numFmtId="164" fontId="7" fillId="12" borderId="3" xfId="0" applyNumberFormat="1" applyFont="1" applyFill="1" applyBorder="1"/>
    <xf numFmtId="164" fontId="4" fillId="12" borderId="3" xfId="0" applyNumberFormat="1" applyFont="1" applyFill="1" applyBorder="1"/>
    <xf numFmtId="164" fontId="15" fillId="12" borderId="3" xfId="0" applyNumberFormat="1" applyFont="1" applyFill="1" applyBorder="1"/>
    <xf numFmtId="164" fontId="12" fillId="12" borderId="3" xfId="0" applyNumberFormat="1" applyFont="1" applyFill="1" applyBorder="1"/>
    <xf numFmtId="164" fontId="5" fillId="12" borderId="3" xfId="0" applyNumberFormat="1" applyFont="1" applyFill="1" applyBorder="1"/>
    <xf numFmtId="164" fontId="16" fillId="12" borderId="3" xfId="0" applyNumberFormat="1" applyFont="1" applyFill="1" applyBorder="1"/>
    <xf numFmtId="164" fontId="15" fillId="12" borderId="3" xfId="0" applyNumberFormat="1" applyFont="1" applyFill="1" applyBorder="1" applyAlignment="1">
      <alignment horizontal="right"/>
    </xf>
    <xf numFmtId="164" fontId="8" fillId="12" borderId="3" xfId="0" applyNumberFormat="1" applyFont="1" applyFill="1" applyBorder="1" applyAlignment="1">
      <alignment horizontal="right"/>
    </xf>
    <xf numFmtId="164" fontId="20" fillId="12" borderId="3" xfId="0" applyNumberFormat="1" applyFont="1" applyFill="1" applyBorder="1"/>
    <xf numFmtId="0" fontId="12" fillId="7" borderId="63" xfId="0" applyFont="1" applyFill="1" applyBorder="1" applyAlignment="1">
      <alignment horizontal="center"/>
    </xf>
    <xf numFmtId="164" fontId="7" fillId="7" borderId="43" xfId="0" applyNumberFormat="1" applyFont="1" applyFill="1" applyBorder="1"/>
    <xf numFmtId="164" fontId="7" fillId="7" borderId="39" xfId="0" applyNumberFormat="1" applyFont="1" applyFill="1" applyBorder="1"/>
    <xf numFmtId="164" fontId="7" fillId="7" borderId="41" xfId="0" applyNumberFormat="1" applyFont="1" applyFill="1" applyBorder="1"/>
    <xf numFmtId="164" fontId="7" fillId="7" borderId="52" xfId="0" applyNumberFormat="1" applyFont="1" applyFill="1" applyBorder="1"/>
    <xf numFmtId="164" fontId="7" fillId="7" borderId="3" xfId="0" applyNumberFormat="1" applyFont="1" applyFill="1" applyBorder="1"/>
    <xf numFmtId="164" fontId="4" fillId="7" borderId="3" xfId="0" applyNumberFormat="1" applyFont="1" applyFill="1" applyBorder="1"/>
    <xf numFmtId="164" fontId="15" fillId="7" borderId="3" xfId="0" applyNumberFormat="1" applyFont="1" applyFill="1" applyBorder="1"/>
    <xf numFmtId="164" fontId="12" fillId="7" borderId="3" xfId="0" applyNumberFormat="1" applyFont="1" applyFill="1" applyBorder="1"/>
    <xf numFmtId="164" fontId="5" fillId="7" borderId="3" xfId="0" applyNumberFormat="1" applyFont="1" applyFill="1" applyBorder="1"/>
    <xf numFmtId="164" fontId="16" fillId="7" borderId="3" xfId="0" applyNumberFormat="1" applyFont="1" applyFill="1" applyBorder="1"/>
    <xf numFmtId="164" fontId="15" fillId="7" borderId="3" xfId="0" applyNumberFormat="1" applyFont="1" applyFill="1" applyBorder="1" applyAlignment="1">
      <alignment horizontal="right"/>
    </xf>
    <xf numFmtId="164" fontId="8" fillId="7" borderId="3" xfId="0" applyNumberFormat="1" applyFont="1" applyFill="1" applyBorder="1" applyAlignment="1">
      <alignment horizontal="right"/>
    </xf>
    <xf numFmtId="164" fontId="20" fillId="7" borderId="3" xfId="0" applyNumberFormat="1" applyFont="1" applyFill="1" applyBorder="1"/>
    <xf numFmtId="164" fontId="16" fillId="0" borderId="0" xfId="0" applyNumberFormat="1" applyFont="1"/>
    <xf numFmtId="10" fontId="18" fillId="9" borderId="3" xfId="1" applyNumberFormat="1" applyFont="1" applyFill="1" applyBorder="1"/>
    <xf numFmtId="10" fontId="18" fillId="8" borderId="3" xfId="1" applyNumberFormat="1" applyFont="1" applyFill="1" applyBorder="1"/>
    <xf numFmtId="10" fontId="18" fillId="7" borderId="3" xfId="1" applyNumberFormat="1" applyFont="1" applyFill="1" applyBorder="1"/>
    <xf numFmtId="10" fontId="18" fillId="11" borderId="3" xfId="1" applyNumberFormat="1" applyFont="1" applyFill="1" applyBorder="1"/>
    <xf numFmtId="10" fontId="18" fillId="18" borderId="3" xfId="1" applyNumberFormat="1" applyFont="1" applyFill="1" applyBorder="1"/>
    <xf numFmtId="10" fontId="18" fillId="12" borderId="3" xfId="1" applyNumberFormat="1" applyFont="1" applyFill="1" applyBorder="1"/>
    <xf numFmtId="0" fontId="26" fillId="0" borderId="0" xfId="0" applyFont="1" applyAlignment="1">
      <alignment horizontal="left"/>
    </xf>
    <xf numFmtId="0" fontId="26" fillId="0" borderId="0" xfId="0" applyFont="1"/>
    <xf numFmtId="0" fontId="30" fillId="19" borderId="18" xfId="0" applyFont="1" applyFill="1" applyBorder="1" applyAlignment="1">
      <alignment horizontal="right"/>
    </xf>
    <xf numFmtId="0" fontId="37" fillId="0" borderId="0" xfId="0" applyFont="1"/>
    <xf numFmtId="0" fontId="12" fillId="3" borderId="74" xfId="0" applyFont="1" applyFill="1" applyBorder="1" applyAlignment="1">
      <alignment horizontal="center"/>
    </xf>
    <xf numFmtId="0" fontId="5" fillId="12" borderId="75" xfId="0" applyFont="1" applyFill="1" applyBorder="1" applyAlignment="1">
      <alignment horizontal="center" vertical="center"/>
    </xf>
    <xf numFmtId="0" fontId="2" fillId="13" borderId="74" xfId="0" applyFont="1" applyFill="1" applyBorder="1" applyAlignment="1">
      <alignment horizontal="left" vertical="center" wrapText="1"/>
    </xf>
    <xf numFmtId="17" fontId="26" fillId="0" borderId="72" xfId="0" applyNumberFormat="1" applyFont="1" applyBorder="1" applyAlignment="1">
      <alignment horizontal="center"/>
    </xf>
    <xf numFmtId="17" fontId="26" fillId="0" borderId="48" xfId="0" applyNumberFormat="1" applyFont="1" applyBorder="1" applyAlignment="1">
      <alignment horizontal="center"/>
    </xf>
    <xf numFmtId="17" fontId="26" fillId="0" borderId="14" xfId="0" applyNumberFormat="1" applyFont="1" applyBorder="1" applyAlignment="1">
      <alignment horizontal="center"/>
    </xf>
    <xf numFmtId="17" fontId="26" fillId="0" borderId="40" xfId="0" applyNumberFormat="1" applyFont="1" applyBorder="1" applyAlignment="1">
      <alignment horizontal="center"/>
    </xf>
    <xf numFmtId="164" fontId="0" fillId="6" borderId="3" xfId="0" applyNumberFormat="1" applyFill="1" applyBorder="1" applyAlignment="1">
      <alignment horizontal="center"/>
    </xf>
    <xf numFmtId="0" fontId="26" fillId="3" borderId="55" xfId="0" applyFont="1" applyFill="1" applyBorder="1" applyAlignment="1">
      <alignment horizontal="center"/>
    </xf>
    <xf numFmtId="0" fontId="26" fillId="28" borderId="38" xfId="0" applyFont="1" applyFill="1" applyBorder="1" applyAlignment="1">
      <alignment horizontal="center"/>
    </xf>
    <xf numFmtId="0" fontId="26" fillId="28" borderId="3" xfId="0" applyFont="1" applyFill="1" applyBorder="1" applyAlignment="1">
      <alignment horizontal="center"/>
    </xf>
    <xf numFmtId="0" fontId="26" fillId="28" borderId="39" xfId="0" applyFont="1" applyFill="1" applyBorder="1" applyAlignment="1">
      <alignment horizontal="center"/>
    </xf>
    <xf numFmtId="0" fontId="26" fillId="5" borderId="38" xfId="0" applyFont="1" applyFill="1" applyBorder="1" applyAlignment="1">
      <alignment horizontal="center"/>
    </xf>
    <xf numFmtId="0" fontId="26" fillId="5" borderId="3" xfId="0" applyFont="1" applyFill="1" applyBorder="1" applyAlignment="1">
      <alignment horizontal="center"/>
    </xf>
    <xf numFmtId="0" fontId="26" fillId="5" borderId="39" xfId="0" applyFont="1" applyFill="1" applyBorder="1" applyAlignment="1">
      <alignment horizontal="center"/>
    </xf>
    <xf numFmtId="0" fontId="26" fillId="31" borderId="38" xfId="0" applyFont="1" applyFill="1" applyBorder="1" applyAlignment="1">
      <alignment horizontal="center"/>
    </xf>
    <xf numFmtId="0" fontId="26" fillId="31" borderId="3" xfId="0" applyFont="1" applyFill="1" applyBorder="1" applyAlignment="1">
      <alignment horizontal="center"/>
    </xf>
    <xf numFmtId="0" fontId="26" fillId="31" borderId="39" xfId="0" applyFont="1" applyFill="1" applyBorder="1" applyAlignment="1">
      <alignment horizontal="center"/>
    </xf>
    <xf numFmtId="0" fontId="26" fillId="28" borderId="40" xfId="0" applyFont="1" applyFill="1" applyBorder="1" applyAlignment="1">
      <alignment horizontal="right"/>
    </xf>
    <xf numFmtId="0" fontId="26" fillId="5" borderId="40" xfId="0" applyFont="1" applyFill="1" applyBorder="1" applyAlignment="1">
      <alignment horizontal="right"/>
    </xf>
    <xf numFmtId="0" fontId="26" fillId="31" borderId="40" xfId="0" applyFont="1" applyFill="1" applyBorder="1" applyAlignment="1">
      <alignment horizontal="right"/>
    </xf>
    <xf numFmtId="0" fontId="26" fillId="0" borderId="0" xfId="5" applyFont="1" applyAlignment="1">
      <alignment horizontal="center" vertical="center"/>
    </xf>
    <xf numFmtId="0" fontId="1" fillId="0" borderId="0" xfId="5" applyFont="1" applyAlignment="1">
      <alignment horizontal="left" wrapText="1"/>
    </xf>
    <xf numFmtId="0" fontId="26" fillId="0" borderId="0" xfId="5" applyFont="1"/>
    <xf numFmtId="0" fontId="26" fillId="0" borderId="0" xfId="5" applyFont="1" applyAlignment="1">
      <alignment horizontal="center" vertical="center" wrapText="1"/>
    </xf>
    <xf numFmtId="0" fontId="26" fillId="0" borderId="0" xfId="5" applyFont="1" applyAlignment="1">
      <alignment horizontal="left" vertical="center" wrapText="1"/>
    </xf>
    <xf numFmtId="0" fontId="26" fillId="0" borderId="0" xfId="5" applyFont="1" applyAlignment="1">
      <alignment vertical="center"/>
    </xf>
    <xf numFmtId="0" fontId="5" fillId="0" borderId="0" xfId="0" applyFont="1" applyAlignment="1">
      <alignment horizontal="center"/>
    </xf>
    <xf numFmtId="164" fontId="7" fillId="0" borderId="0" xfId="0" applyNumberFormat="1" applyFont="1"/>
    <xf numFmtId="164" fontId="15" fillId="0" borderId="0" xfId="0" applyNumberFormat="1" applyFont="1"/>
    <xf numFmtId="164" fontId="5" fillId="0" borderId="0" xfId="0" applyNumberFormat="1" applyFont="1"/>
    <xf numFmtId="164" fontId="15" fillId="0" borderId="0" xfId="0" applyNumberFormat="1" applyFont="1" applyAlignment="1">
      <alignment horizontal="right"/>
    </xf>
    <xf numFmtId="0" fontId="5" fillId="0" borderId="0" xfId="0" applyFont="1" applyAlignment="1">
      <alignment horizontal="center" wrapText="1"/>
    </xf>
    <xf numFmtId="164" fontId="8" fillId="0" borderId="0" xfId="0" applyNumberFormat="1" applyFont="1" applyAlignment="1">
      <alignment horizontal="right"/>
    </xf>
    <xf numFmtId="164" fontId="20" fillId="0" borderId="0" xfId="0" applyNumberFormat="1" applyFont="1"/>
    <xf numFmtId="164" fontId="17" fillId="0" borderId="0" xfId="0" applyNumberFormat="1" applyFont="1"/>
    <xf numFmtId="0" fontId="3" fillId="0" borderId="21" xfId="0" applyFont="1" applyBorder="1"/>
    <xf numFmtId="0" fontId="3" fillId="0" borderId="22" xfId="0" applyFont="1" applyBorder="1"/>
    <xf numFmtId="0" fontId="7" fillId="0" borderId="22" xfId="0" applyFont="1" applyBorder="1"/>
    <xf numFmtId="164" fontId="4" fillId="3" borderId="39" xfId="0" applyNumberFormat="1" applyFont="1" applyFill="1" applyBorder="1"/>
    <xf numFmtId="164" fontId="15" fillId="3" borderId="41" xfId="0" applyNumberFormat="1" applyFont="1" applyFill="1" applyBorder="1"/>
    <xf numFmtId="164" fontId="12" fillId="3" borderId="41" xfId="0" applyNumberFormat="1" applyFont="1" applyFill="1" applyBorder="1"/>
    <xf numFmtId="164" fontId="5" fillId="8" borderId="59" xfId="0" applyNumberFormat="1" applyFont="1" applyFill="1" applyBorder="1"/>
    <xf numFmtId="164" fontId="5" fillId="8" borderId="80" xfId="0" applyNumberFormat="1" applyFont="1" applyFill="1" applyBorder="1"/>
    <xf numFmtId="164" fontId="15" fillId="3" borderId="39" xfId="0" applyNumberFormat="1" applyFont="1" applyFill="1" applyBorder="1" applyAlignment="1">
      <alignment horizontal="right"/>
    </xf>
    <xf numFmtId="164" fontId="8" fillId="3" borderId="39" xfId="0" applyNumberFormat="1" applyFont="1" applyFill="1" applyBorder="1" applyAlignment="1">
      <alignment horizontal="right"/>
    </xf>
    <xf numFmtId="164" fontId="5" fillId="3" borderId="41" xfId="0" applyNumberFormat="1" applyFont="1" applyFill="1" applyBorder="1"/>
    <xf numFmtId="164" fontId="5" fillId="3" borderId="52" xfId="0" applyNumberFormat="1" applyFont="1" applyFill="1" applyBorder="1"/>
    <xf numFmtId="164" fontId="16" fillId="3" borderId="39" xfId="0" applyNumberFormat="1" applyFont="1" applyFill="1" applyBorder="1"/>
    <xf numFmtId="164" fontId="20" fillId="3" borderId="39" xfId="0" applyNumberFormat="1" applyFont="1" applyFill="1" applyBorder="1"/>
    <xf numFmtId="164" fontId="17" fillId="3" borderId="39" xfId="0" applyNumberFormat="1" applyFont="1" applyFill="1" applyBorder="1"/>
    <xf numFmtId="0" fontId="5" fillId="8" borderId="3" xfId="0" applyFont="1" applyFill="1" applyBorder="1" applyAlignment="1">
      <alignment horizontal="center"/>
    </xf>
    <xf numFmtId="0" fontId="26" fillId="28" borderId="4" xfId="0" applyFont="1" applyFill="1" applyBorder="1"/>
    <xf numFmtId="0" fontId="5" fillId="28" borderId="74" xfId="0" applyFont="1" applyFill="1" applyBorder="1"/>
    <xf numFmtId="0" fontId="5" fillId="5" borderId="74" xfId="0" applyFont="1" applyFill="1" applyBorder="1"/>
    <xf numFmtId="0" fontId="5" fillId="29" borderId="74" xfId="0" applyFont="1" applyFill="1" applyBorder="1"/>
    <xf numFmtId="0" fontId="5" fillId="2" borderId="74" xfId="0" applyFont="1" applyFill="1" applyBorder="1"/>
    <xf numFmtId="0" fontId="26" fillId="28" borderId="74" xfId="0" applyFont="1" applyFill="1" applyBorder="1" applyAlignment="1">
      <alignment horizontal="center"/>
    </xf>
    <xf numFmtId="0" fontId="26" fillId="5" borderId="74" xfId="0" applyFont="1" applyFill="1" applyBorder="1" applyAlignment="1">
      <alignment horizontal="center"/>
    </xf>
    <xf numFmtId="0" fontId="26" fillId="29" borderId="74" xfId="0" applyFont="1" applyFill="1" applyBorder="1" applyAlignment="1">
      <alignment horizontal="center"/>
    </xf>
    <xf numFmtId="0" fontId="26" fillId="2" borderId="74" xfId="0" applyFont="1" applyFill="1" applyBorder="1" applyAlignment="1">
      <alignment horizontal="center"/>
    </xf>
    <xf numFmtId="9" fontId="8" fillId="12" borderId="46" xfId="0" applyNumberFormat="1" applyFont="1" applyFill="1" applyBorder="1" applyAlignment="1">
      <alignment horizontal="center"/>
    </xf>
    <xf numFmtId="0" fontId="3" fillId="9" borderId="38" xfId="0" applyFont="1" applyFill="1" applyBorder="1" applyAlignment="1">
      <alignment vertical="center"/>
    </xf>
    <xf numFmtId="0" fontId="5" fillId="7" borderId="4" xfId="0" applyFont="1" applyFill="1" applyBorder="1" applyAlignment="1">
      <alignment horizontal="right"/>
    </xf>
    <xf numFmtId="0" fontId="3" fillId="0" borderId="16" xfId="0" applyFont="1" applyBorder="1"/>
    <xf numFmtId="0" fontId="5" fillId="35" borderId="74" xfId="0" applyFont="1" applyFill="1" applyBorder="1" applyAlignment="1">
      <alignment horizontal="center"/>
    </xf>
    <xf numFmtId="0" fontId="5" fillId="31" borderId="50" xfId="0" applyFont="1" applyFill="1" applyBorder="1" applyAlignment="1">
      <alignment vertical="center"/>
    </xf>
    <xf numFmtId="0" fontId="5" fillId="7" borderId="18" xfId="0" applyFont="1" applyFill="1" applyBorder="1" applyAlignment="1">
      <alignment horizontal="right"/>
    </xf>
    <xf numFmtId="0" fontId="3" fillId="9" borderId="51" xfId="0" applyFont="1" applyFill="1" applyBorder="1" applyAlignment="1">
      <alignment vertical="center"/>
    </xf>
    <xf numFmtId="0" fontId="5" fillId="32" borderId="42" xfId="0" applyFont="1" applyFill="1" applyBorder="1" applyAlignment="1">
      <alignment vertical="center" wrapText="1"/>
    </xf>
    <xf numFmtId="0" fontId="3" fillId="18" borderId="38" xfId="0" applyFont="1" applyFill="1" applyBorder="1" applyAlignment="1">
      <alignment vertical="center"/>
    </xf>
    <xf numFmtId="0" fontId="5" fillId="34" borderId="38" xfId="0" applyFont="1" applyFill="1" applyBorder="1"/>
    <xf numFmtId="0" fontId="3" fillId="11" borderId="38" xfId="0" applyFont="1" applyFill="1" applyBorder="1"/>
    <xf numFmtId="0" fontId="5" fillId="30" borderId="38" xfId="0" applyFont="1" applyFill="1" applyBorder="1"/>
    <xf numFmtId="0" fontId="3" fillId="8" borderId="38" xfId="0" applyFont="1" applyFill="1" applyBorder="1"/>
    <xf numFmtId="0" fontId="5" fillId="33" borderId="38" xfId="0" applyFont="1" applyFill="1" applyBorder="1"/>
    <xf numFmtId="0" fontId="3" fillId="6" borderId="38" xfId="0" applyFont="1" applyFill="1" applyBorder="1"/>
    <xf numFmtId="0" fontId="3" fillId="6" borderId="40" xfId="0" applyFont="1" applyFill="1" applyBorder="1"/>
    <xf numFmtId="0" fontId="5" fillId="28" borderId="75" xfId="0" applyFont="1" applyFill="1" applyBorder="1" applyAlignment="1">
      <alignment horizontal="center" vertical="center" wrapText="1"/>
    </xf>
    <xf numFmtId="0" fontId="5" fillId="28" borderId="76" xfId="0" applyFont="1" applyFill="1" applyBorder="1" applyAlignment="1">
      <alignment horizontal="center" vertical="center" wrapText="1"/>
    </xf>
    <xf numFmtId="0" fontId="5" fillId="28" borderId="71" xfId="0" applyFont="1" applyFill="1" applyBorder="1" applyAlignment="1">
      <alignment horizontal="center" vertical="center" wrapText="1"/>
    </xf>
    <xf numFmtId="0" fontId="41" fillId="0" borderId="0" xfId="0" applyFont="1" applyAlignment="1">
      <alignment vertical="center" wrapText="1"/>
    </xf>
    <xf numFmtId="0" fontId="5" fillId="13" borderId="74" xfId="0" applyFont="1" applyFill="1" applyBorder="1" applyAlignment="1">
      <alignment horizontal="right" vertical="center" wrapText="1"/>
    </xf>
    <xf numFmtId="0" fontId="4" fillId="0" borderId="0" xfId="0" applyFont="1" applyAlignment="1">
      <alignment horizontal="right"/>
    </xf>
    <xf numFmtId="14" fontId="38" fillId="0" borderId="0" xfId="0" applyNumberFormat="1" applyFont="1" applyAlignment="1">
      <alignment horizontal="left" vertical="top"/>
    </xf>
    <xf numFmtId="0" fontId="4" fillId="0" borderId="18" xfId="0" applyFont="1" applyBorder="1" applyAlignment="1">
      <alignment horizontal="right" vertical="center"/>
    </xf>
    <xf numFmtId="0" fontId="4" fillId="13" borderId="37" xfId="0" applyFont="1" applyFill="1" applyBorder="1" applyAlignment="1">
      <alignment horizontal="right" vertical="center"/>
    </xf>
    <xf numFmtId="0" fontId="4" fillId="0" borderId="4" xfId="0" applyFont="1" applyBorder="1" applyAlignment="1">
      <alignment horizontal="right" vertical="center"/>
    </xf>
    <xf numFmtId="0" fontId="4" fillId="0" borderId="74" xfId="0" applyFont="1" applyBorder="1" applyAlignment="1">
      <alignment horizontal="right" vertical="center"/>
    </xf>
    <xf numFmtId="14" fontId="38" fillId="0" borderId="71" xfId="0" applyNumberFormat="1" applyFont="1" applyBorder="1" applyAlignment="1">
      <alignment horizontal="left" vertical="center"/>
    </xf>
    <xf numFmtId="14" fontId="38" fillId="13" borderId="74" xfId="0" applyNumberFormat="1" applyFont="1" applyFill="1" applyBorder="1" applyAlignment="1">
      <alignment horizontal="left" vertical="center"/>
    </xf>
    <xf numFmtId="0" fontId="3" fillId="0" borderId="11" xfId="0" applyFont="1" applyBorder="1"/>
    <xf numFmtId="164" fontId="3" fillId="0" borderId="58" xfId="0" applyNumberFormat="1" applyFont="1" applyBorder="1"/>
    <xf numFmtId="164" fontId="7" fillId="3" borderId="58" xfId="0" applyNumberFormat="1" applyFont="1" applyFill="1" applyBorder="1"/>
    <xf numFmtId="0" fontId="5" fillId="29" borderId="37" xfId="0" applyFont="1" applyFill="1" applyBorder="1" applyAlignment="1">
      <alignment horizontal="center"/>
    </xf>
    <xf numFmtId="0" fontId="5" fillId="29" borderId="20" xfId="0" applyFont="1" applyFill="1" applyBorder="1" applyAlignment="1">
      <alignment horizontal="center"/>
    </xf>
    <xf numFmtId="0" fontId="5" fillId="29" borderId="21" xfId="0" applyFont="1" applyFill="1" applyBorder="1" applyAlignment="1">
      <alignment horizontal="center"/>
    </xf>
    <xf numFmtId="0" fontId="46" fillId="0" borderId="0" xfId="0" applyFont="1"/>
    <xf numFmtId="0" fontId="31" fillId="0" borderId="0" xfId="0" applyFont="1" applyAlignment="1">
      <alignment horizontal="left"/>
    </xf>
    <xf numFmtId="0" fontId="5" fillId="6" borderId="4" xfId="0" applyFont="1" applyFill="1" applyBorder="1"/>
    <xf numFmtId="164" fontId="26" fillId="0" borderId="0" xfId="0" applyNumberFormat="1" applyFont="1"/>
    <xf numFmtId="10" fontId="28" fillId="0" borderId="0" xfId="1" applyNumberFormat="1" applyFont="1" applyFill="1" applyBorder="1"/>
    <xf numFmtId="0" fontId="24" fillId="0" borderId="0" xfId="0" applyFont="1" applyAlignment="1">
      <alignment horizontal="center"/>
    </xf>
    <xf numFmtId="0" fontId="30" fillId="20" borderId="37" xfId="0" applyFont="1" applyFill="1" applyBorder="1" applyAlignment="1">
      <alignment horizontal="right"/>
    </xf>
    <xf numFmtId="0" fontId="30" fillId="0" borderId="0" xfId="0" applyFont="1"/>
    <xf numFmtId="164" fontId="30" fillId="19" borderId="5" xfId="0" applyNumberFormat="1" applyFont="1" applyFill="1" applyBorder="1" applyAlignment="1">
      <alignment horizontal="center"/>
    </xf>
    <xf numFmtId="0" fontId="2" fillId="0" borderId="0" xfId="0" applyFont="1"/>
    <xf numFmtId="0" fontId="30" fillId="25" borderId="3" xfId="0" applyFont="1" applyFill="1" applyBorder="1" applyAlignment="1">
      <alignment horizontal="right"/>
    </xf>
    <xf numFmtId="0" fontId="30" fillId="25" borderId="3" xfId="0" applyFont="1" applyFill="1" applyBorder="1"/>
    <xf numFmtId="6" fontId="0" fillId="8" borderId="3" xfId="0" applyNumberFormat="1" applyFill="1" applyBorder="1" applyProtection="1">
      <protection locked="0"/>
    </xf>
    <xf numFmtId="0" fontId="30" fillId="16" borderId="3" xfId="0" applyFont="1" applyFill="1" applyBorder="1" applyAlignment="1">
      <alignment horizontal="right"/>
    </xf>
    <xf numFmtId="0" fontId="30" fillId="16" borderId="3" xfId="0" applyFont="1" applyFill="1" applyBorder="1"/>
    <xf numFmtId="6" fontId="0" fillId="9" borderId="3" xfId="0" applyNumberFormat="1" applyFill="1" applyBorder="1" applyProtection="1">
      <protection locked="0"/>
    </xf>
    <xf numFmtId="0" fontId="30" fillId="27" borderId="3" xfId="0" applyFont="1" applyFill="1" applyBorder="1" applyAlignment="1">
      <alignment horizontal="right"/>
    </xf>
    <xf numFmtId="0" fontId="30" fillId="27" borderId="3" xfId="0" applyFont="1" applyFill="1" applyBorder="1"/>
    <xf numFmtId="164" fontId="3" fillId="0" borderId="2" xfId="0" applyNumberFormat="1" applyFont="1" applyBorder="1" applyAlignment="1">
      <alignment horizontal="right"/>
    </xf>
    <xf numFmtId="164" fontId="7" fillId="3" borderId="2" xfId="0" applyNumberFormat="1" applyFont="1" applyFill="1" applyBorder="1"/>
    <xf numFmtId="0" fontId="3" fillId="0" borderId="62" xfId="0" applyFont="1" applyBorder="1" applyAlignment="1">
      <alignment horizontal="left"/>
    </xf>
    <xf numFmtId="164" fontId="3" fillId="0" borderId="62" xfId="0" applyNumberFormat="1" applyFont="1" applyBorder="1" applyAlignment="1">
      <alignment horizontal="right"/>
    </xf>
    <xf numFmtId="0" fontId="3" fillId="0" borderId="38" xfId="0" applyFont="1" applyBorder="1" applyAlignment="1">
      <alignment horizontal="center"/>
    </xf>
    <xf numFmtId="0" fontId="3" fillId="0" borderId="14" xfId="0" applyFont="1" applyBorder="1" applyAlignment="1">
      <alignment horizontal="left"/>
    </xf>
    <xf numFmtId="164" fontId="3" fillId="0" borderId="14" xfId="0" applyNumberFormat="1" applyFont="1" applyBorder="1" applyAlignment="1">
      <alignment horizontal="right"/>
    </xf>
    <xf numFmtId="164" fontId="7" fillId="3" borderId="80" xfId="0" applyNumberFormat="1" applyFont="1" applyFill="1" applyBorder="1"/>
    <xf numFmtId="0" fontId="3" fillId="0" borderId="58" xfId="0" applyFont="1" applyBorder="1" applyAlignment="1">
      <alignment horizontal="left"/>
    </xf>
    <xf numFmtId="164" fontId="48" fillId="0" borderId="0" xfId="0" applyNumberFormat="1" applyFont="1" applyAlignment="1">
      <alignment horizontal="left"/>
    </xf>
    <xf numFmtId="164" fontId="5" fillId="3" borderId="60" xfId="0" applyNumberFormat="1" applyFont="1" applyFill="1" applyBorder="1" applyAlignment="1">
      <alignment horizontal="right"/>
    </xf>
    <xf numFmtId="164" fontId="5" fillId="3" borderId="24" xfId="0" applyNumberFormat="1" applyFont="1" applyFill="1" applyBorder="1"/>
    <xf numFmtId="164" fontId="7" fillId="3" borderId="25" xfId="0" applyNumberFormat="1" applyFont="1" applyFill="1" applyBorder="1"/>
    <xf numFmtId="0" fontId="3" fillId="18" borderId="62" xfId="0" applyFont="1" applyFill="1" applyBorder="1"/>
    <xf numFmtId="164" fontId="3" fillId="18" borderId="62" xfId="0" applyNumberFormat="1" applyFont="1" applyFill="1" applyBorder="1"/>
    <xf numFmtId="0" fontId="3" fillId="11" borderId="62" xfId="0" applyFont="1" applyFill="1" applyBorder="1"/>
    <xf numFmtId="164" fontId="3" fillId="11" borderId="62" xfId="0" applyNumberFormat="1" applyFont="1" applyFill="1" applyBorder="1"/>
    <xf numFmtId="164" fontId="7" fillId="9" borderId="58" xfId="0" applyNumberFormat="1" applyFont="1" applyFill="1" applyBorder="1"/>
    <xf numFmtId="164" fontId="7" fillId="8" borderId="58" xfId="0" applyNumberFormat="1" applyFont="1" applyFill="1" applyBorder="1"/>
    <xf numFmtId="164" fontId="7" fillId="7" borderId="58" xfId="0" applyNumberFormat="1" applyFont="1" applyFill="1" applyBorder="1"/>
    <xf numFmtId="164" fontId="7" fillId="11" borderId="58" xfId="0" applyNumberFormat="1" applyFont="1" applyFill="1" applyBorder="1"/>
    <xf numFmtId="164" fontId="7" fillId="18" borderId="58" xfId="0" applyNumberFormat="1" applyFont="1" applyFill="1" applyBorder="1"/>
    <xf numFmtId="164" fontId="7" fillId="12" borderId="58" xfId="0" applyNumberFormat="1" applyFont="1" applyFill="1" applyBorder="1"/>
    <xf numFmtId="0" fontId="3" fillId="11" borderId="3" xfId="0" applyFont="1" applyFill="1" applyBorder="1"/>
    <xf numFmtId="0" fontId="3" fillId="18" borderId="3" xfId="0" applyFont="1" applyFill="1" applyBorder="1"/>
    <xf numFmtId="0" fontId="5" fillId="5" borderId="14" xfId="0" applyFont="1" applyFill="1" applyBorder="1"/>
    <xf numFmtId="164" fontId="5" fillId="5" borderId="14" xfId="0" applyNumberFormat="1" applyFont="1" applyFill="1" applyBorder="1"/>
    <xf numFmtId="164" fontId="5" fillId="5" borderId="41" xfId="0" applyNumberFormat="1" applyFont="1" applyFill="1" applyBorder="1"/>
    <xf numFmtId="0" fontId="5" fillId="32" borderId="14" xfId="0" applyFont="1" applyFill="1" applyBorder="1"/>
    <xf numFmtId="164" fontId="5" fillId="32" borderId="14" xfId="0" applyNumberFormat="1" applyFont="1" applyFill="1" applyBorder="1"/>
    <xf numFmtId="164" fontId="5" fillId="32" borderId="41" xfId="0" applyNumberFormat="1" applyFont="1" applyFill="1" applyBorder="1"/>
    <xf numFmtId="0" fontId="14" fillId="8" borderId="23" xfId="0" applyFont="1" applyFill="1" applyBorder="1" applyAlignment="1">
      <alignment vertical="center"/>
    </xf>
    <xf numFmtId="0" fontId="5" fillId="8" borderId="24" xfId="0" applyFont="1" applyFill="1" applyBorder="1"/>
    <xf numFmtId="164" fontId="5" fillId="8" borderId="24" xfId="0" applyNumberFormat="1" applyFont="1" applyFill="1" applyBorder="1"/>
    <xf numFmtId="164" fontId="15" fillId="3" borderId="2" xfId="0" applyNumberFormat="1" applyFont="1" applyFill="1" applyBorder="1" applyAlignment="1">
      <alignment horizontal="right"/>
    </xf>
    <xf numFmtId="0" fontId="3" fillId="0" borderId="78" xfId="0" applyFont="1" applyBorder="1"/>
    <xf numFmtId="164" fontId="7" fillId="9" borderId="80" xfId="0" applyNumberFormat="1" applyFont="1" applyFill="1" applyBorder="1"/>
    <xf numFmtId="164" fontId="7" fillId="9" borderId="2" xfId="0" applyNumberFormat="1" applyFont="1" applyFill="1" applyBorder="1"/>
    <xf numFmtId="164" fontId="7" fillId="12" borderId="80" xfId="0" applyNumberFormat="1" applyFont="1" applyFill="1" applyBorder="1"/>
    <xf numFmtId="164" fontId="7" fillId="18" borderId="80" xfId="0" applyNumberFormat="1" applyFont="1" applyFill="1" applyBorder="1"/>
    <xf numFmtId="164" fontId="7" fillId="11" borderId="80" xfId="0" applyNumberFormat="1" applyFont="1" applyFill="1" applyBorder="1"/>
    <xf numFmtId="164" fontId="7" fillId="7" borderId="80" xfId="0" applyNumberFormat="1" applyFont="1" applyFill="1" applyBorder="1"/>
    <xf numFmtId="164" fontId="3" fillId="11" borderId="51" xfId="0" applyNumberFormat="1" applyFont="1" applyFill="1" applyBorder="1"/>
    <xf numFmtId="164" fontId="3" fillId="11" borderId="38" xfId="0" applyNumberFormat="1" applyFont="1" applyFill="1" applyBorder="1"/>
    <xf numFmtId="164" fontId="5" fillId="5" borderId="40" xfId="0" applyNumberFormat="1" applyFont="1" applyFill="1" applyBorder="1"/>
    <xf numFmtId="164" fontId="7" fillId="5" borderId="41" xfId="0" applyNumberFormat="1" applyFont="1" applyFill="1" applyBorder="1"/>
    <xf numFmtId="164" fontId="3" fillId="18" borderId="51" xfId="0" applyNumberFormat="1" applyFont="1" applyFill="1" applyBorder="1"/>
    <xf numFmtId="164" fontId="3" fillId="18" borderId="38" xfId="0" applyNumberFormat="1" applyFont="1" applyFill="1" applyBorder="1"/>
    <xf numFmtId="164" fontId="5" fillId="32" borderId="40" xfId="0" applyNumberFormat="1" applyFont="1" applyFill="1" applyBorder="1"/>
    <xf numFmtId="164" fontId="7" fillId="32" borderId="41" xfId="0" applyNumberFormat="1" applyFont="1" applyFill="1" applyBorder="1"/>
    <xf numFmtId="164" fontId="5" fillId="8" borderId="25" xfId="0" applyNumberFormat="1" applyFont="1" applyFill="1" applyBorder="1"/>
    <xf numFmtId="164" fontId="7" fillId="8" borderId="2" xfId="0" applyNumberFormat="1" applyFont="1" applyFill="1" applyBorder="1"/>
    <xf numFmtId="164" fontId="7" fillId="7" borderId="2" xfId="0" applyNumberFormat="1" applyFont="1" applyFill="1" applyBorder="1"/>
    <xf numFmtId="164" fontId="7" fillId="11" borderId="2" xfId="0" applyNumberFormat="1" applyFont="1" applyFill="1" applyBorder="1"/>
    <xf numFmtId="164" fontId="7" fillId="18" borderId="2" xfId="0" applyNumberFormat="1" applyFont="1" applyFill="1" applyBorder="1"/>
    <xf numFmtId="164" fontId="7" fillId="12" borderId="2" xfId="0" applyNumberFormat="1" applyFont="1" applyFill="1" applyBorder="1"/>
    <xf numFmtId="0" fontId="29" fillId="0" borderId="0" xfId="0" applyFont="1"/>
    <xf numFmtId="0" fontId="30" fillId="20" borderId="4" xfId="0" applyFont="1" applyFill="1" applyBorder="1" applyAlignment="1">
      <alignment horizontal="left"/>
    </xf>
    <xf numFmtId="0" fontId="30" fillId="20" borderId="16" xfId="0" applyFont="1" applyFill="1" applyBorder="1" applyAlignment="1">
      <alignment horizontal="left"/>
    </xf>
    <xf numFmtId="0" fontId="7" fillId="0" borderId="1" xfId="0" applyFont="1" applyBorder="1" applyAlignment="1">
      <alignment vertical="center" wrapText="1"/>
    </xf>
    <xf numFmtId="0" fontId="12" fillId="0" borderId="1" xfId="0" applyFont="1" applyBorder="1" applyAlignment="1">
      <alignment vertical="center"/>
    </xf>
    <xf numFmtId="0" fontId="5" fillId="3" borderId="12" xfId="0" applyFont="1" applyFill="1" applyBorder="1" applyAlignment="1">
      <alignment horizontal="center"/>
    </xf>
    <xf numFmtId="0" fontId="7" fillId="0" borderId="63" xfId="0" applyFont="1" applyBorder="1" applyAlignment="1">
      <alignment vertical="center" wrapText="1"/>
    </xf>
    <xf numFmtId="0" fontId="3" fillId="0" borderId="63" xfId="0" applyFont="1" applyBorder="1"/>
    <xf numFmtId="164" fontId="3" fillId="0" borderId="58" xfId="2" applyNumberFormat="1" applyFont="1" applyFill="1" applyBorder="1"/>
    <xf numFmtId="164" fontId="2" fillId="0" borderId="2" xfId="0" applyNumberFormat="1" applyFont="1" applyBorder="1"/>
    <xf numFmtId="164" fontId="2" fillId="0" borderId="58" xfId="0" applyNumberFormat="1" applyFont="1" applyBorder="1"/>
    <xf numFmtId="0" fontId="4" fillId="3" borderId="18" xfId="0" applyFont="1" applyFill="1" applyBorder="1"/>
    <xf numFmtId="164" fontId="4" fillId="3" borderId="48" xfId="0" applyNumberFormat="1" applyFont="1" applyFill="1" applyBorder="1"/>
    <xf numFmtId="164" fontId="7" fillId="3" borderId="49" xfId="0" applyNumberFormat="1" applyFont="1" applyFill="1" applyBorder="1"/>
    <xf numFmtId="0" fontId="6" fillId="0" borderId="1" xfId="0" applyFont="1" applyBorder="1"/>
    <xf numFmtId="164" fontId="5" fillId="3" borderId="65" xfId="0" applyNumberFormat="1" applyFont="1" applyFill="1" applyBorder="1"/>
    <xf numFmtId="164" fontId="4" fillId="3" borderId="65" xfId="0" applyNumberFormat="1" applyFont="1" applyFill="1" applyBorder="1"/>
    <xf numFmtId="0" fontId="5" fillId="3" borderId="4" xfId="0" applyFont="1" applyFill="1" applyBorder="1" applyAlignment="1">
      <alignment horizontal="right"/>
    </xf>
    <xf numFmtId="0" fontId="3" fillId="0" borderId="2" xfId="0" applyFont="1" applyBorder="1" applyAlignment="1">
      <alignment horizontal="left"/>
    </xf>
    <xf numFmtId="0" fontId="3" fillId="0" borderId="61" xfId="0" applyFont="1" applyBorder="1"/>
    <xf numFmtId="0" fontId="3" fillId="0" borderId="79" xfId="0" applyFont="1" applyBorder="1"/>
    <xf numFmtId="0" fontId="3" fillId="0" borderId="59" xfId="0" applyFont="1" applyBorder="1" applyAlignment="1">
      <alignment horizontal="center"/>
    </xf>
    <xf numFmtId="0" fontId="3" fillId="0" borderId="7" xfId="0" applyFont="1" applyBorder="1" applyAlignment="1">
      <alignment horizontal="left"/>
    </xf>
    <xf numFmtId="0" fontId="3" fillId="0" borderId="7" xfId="0" applyFont="1" applyBorder="1" applyAlignment="1">
      <alignment horizontal="left" vertical="center"/>
    </xf>
    <xf numFmtId="0" fontId="3" fillId="0" borderId="26" xfId="0" applyFont="1" applyBorder="1" applyAlignment="1">
      <alignment horizontal="left"/>
    </xf>
    <xf numFmtId="0" fontId="3" fillId="0" borderId="61" xfId="0" applyFont="1" applyBorder="1" applyAlignment="1">
      <alignment horizontal="left" vertical="center"/>
    </xf>
    <xf numFmtId="164" fontId="7" fillId="3" borderId="62" xfId="0" applyNumberFormat="1" applyFont="1" applyFill="1" applyBorder="1"/>
    <xf numFmtId="0" fontId="3" fillId="0" borderId="73" xfId="0" applyFont="1" applyBorder="1" applyAlignment="1">
      <alignment horizontal="left" vertical="center"/>
    </xf>
    <xf numFmtId="164" fontId="7" fillId="3" borderId="14" xfId="0" applyNumberFormat="1" applyFont="1" applyFill="1" applyBorder="1"/>
    <xf numFmtId="0" fontId="25" fillId="6" borderId="23" xfId="0" applyFont="1" applyFill="1" applyBorder="1" applyAlignment="1">
      <alignment horizontal="center"/>
    </xf>
    <xf numFmtId="0" fontId="4" fillId="0" borderId="0" xfId="0" applyFont="1" applyAlignment="1">
      <alignment horizontal="left"/>
    </xf>
    <xf numFmtId="164" fontId="12" fillId="0" borderId="10" xfId="0" applyNumberFormat="1" applyFont="1" applyBorder="1"/>
    <xf numFmtId="0" fontId="5" fillId="0" borderId="27" xfId="0" applyFont="1" applyBorder="1" applyAlignment="1">
      <alignment horizontal="center"/>
    </xf>
    <xf numFmtId="0" fontId="5" fillId="0" borderId="89" xfId="0" applyFont="1" applyBorder="1" applyAlignment="1">
      <alignment horizontal="left"/>
    </xf>
    <xf numFmtId="0" fontId="3" fillId="0" borderId="12" xfId="0" applyFont="1" applyBorder="1" applyAlignment="1">
      <alignment horizontal="left"/>
    </xf>
    <xf numFmtId="0" fontId="5" fillId="0" borderId="90" xfId="0" applyFont="1" applyBorder="1"/>
    <xf numFmtId="0" fontId="25" fillId="6" borderId="4" xfId="0" applyFont="1" applyFill="1" applyBorder="1" applyAlignment="1">
      <alignment horizontal="center"/>
    </xf>
    <xf numFmtId="164" fontId="15" fillId="0" borderId="78" xfId="0" applyNumberFormat="1" applyFont="1" applyBorder="1"/>
    <xf numFmtId="164" fontId="16" fillId="0" borderId="78" xfId="0" applyNumberFormat="1" applyFont="1" applyBorder="1"/>
    <xf numFmtId="0" fontId="3" fillId="0" borderId="89" xfId="0" applyFont="1" applyBorder="1"/>
    <xf numFmtId="164" fontId="5" fillId="3" borderId="7" xfId="0" applyNumberFormat="1" applyFont="1" applyFill="1" applyBorder="1"/>
    <xf numFmtId="0" fontId="5" fillId="0" borderId="91" xfId="0" applyFont="1" applyBorder="1"/>
    <xf numFmtId="0" fontId="5" fillId="3" borderId="4" xfId="0" applyFont="1" applyFill="1" applyBorder="1" applyAlignment="1">
      <alignment horizontal="left"/>
    </xf>
    <xf numFmtId="164" fontId="15" fillId="3" borderId="7" xfId="0" applyNumberFormat="1" applyFont="1" applyFill="1" applyBorder="1"/>
    <xf numFmtId="0" fontId="5" fillId="0" borderId="36" xfId="0" applyFont="1" applyBorder="1" applyAlignment="1">
      <alignment horizontal="left"/>
    </xf>
    <xf numFmtId="0" fontId="3" fillId="0" borderId="11" xfId="0" applyFont="1" applyBorder="1" applyAlignment="1">
      <alignment horizontal="left"/>
    </xf>
    <xf numFmtId="0" fontId="5" fillId="0" borderId="80" xfId="0" applyFont="1" applyBorder="1" applyAlignment="1">
      <alignment horizontal="center"/>
    </xf>
    <xf numFmtId="0" fontId="3" fillId="0" borderId="80" xfId="0" applyFont="1" applyBorder="1"/>
    <xf numFmtId="0" fontId="50" fillId="0" borderId="0" xfId="0" applyFont="1"/>
    <xf numFmtId="164" fontId="50" fillId="3" borderId="16" xfId="2" applyNumberFormat="1" applyFont="1" applyFill="1" applyBorder="1" applyAlignment="1">
      <alignment horizontal="center"/>
    </xf>
    <xf numFmtId="0" fontId="50" fillId="0" borderId="0" xfId="0" applyFont="1" applyAlignment="1">
      <alignment horizontal="center"/>
    </xf>
    <xf numFmtId="0" fontId="34" fillId="21" borderId="4" xfId="0" applyFont="1" applyFill="1" applyBorder="1"/>
    <xf numFmtId="0" fontId="34" fillId="21" borderId="16" xfId="0" applyFont="1" applyFill="1" applyBorder="1"/>
    <xf numFmtId="164" fontId="50" fillId="0" borderId="0" xfId="0" applyNumberFormat="1" applyFont="1" applyAlignment="1">
      <alignment horizontal="center"/>
    </xf>
    <xf numFmtId="164" fontId="24" fillId="0" borderId="0" xfId="0" applyNumberFormat="1" applyFont="1" applyAlignment="1">
      <alignment horizontal="center"/>
    </xf>
    <xf numFmtId="0" fontId="30" fillId="0" borderId="0" xfId="0" applyFont="1" applyAlignment="1">
      <alignment horizontal="center" wrapText="1"/>
    </xf>
    <xf numFmtId="0" fontId="24" fillId="0" borderId="0" xfId="0" applyFont="1" applyAlignment="1">
      <alignment horizontal="center" wrapText="1"/>
    </xf>
    <xf numFmtId="164" fontId="0" fillId="0" borderId="3" xfId="0" applyNumberFormat="1" applyBorder="1"/>
    <xf numFmtId="165" fontId="17" fillId="3" borderId="3" xfId="1" applyNumberFormat="1" applyFont="1" applyFill="1" applyBorder="1"/>
    <xf numFmtId="0" fontId="26" fillId="0" borderId="75" xfId="0" applyFont="1" applyBorder="1" applyAlignment="1">
      <alignment horizontal="left" wrapText="1"/>
    </xf>
    <xf numFmtId="164" fontId="0" fillId="0" borderId="61" xfId="0" applyNumberFormat="1" applyBorder="1"/>
    <xf numFmtId="9" fontId="0" fillId="0" borderId="38" xfId="1" applyFont="1" applyFill="1" applyBorder="1" applyAlignment="1">
      <alignment horizontal="center"/>
    </xf>
    <xf numFmtId="164" fontId="0" fillId="0" borderId="7" xfId="0" applyNumberFormat="1" applyBorder="1"/>
    <xf numFmtId="9" fontId="0" fillId="0" borderId="72" xfId="1" applyFont="1" applyFill="1" applyBorder="1" applyAlignment="1">
      <alignment horizontal="center"/>
    </xf>
    <xf numFmtId="164" fontId="0" fillId="0" borderId="73" xfId="0" applyNumberFormat="1" applyBorder="1"/>
    <xf numFmtId="0" fontId="26" fillId="6" borderId="4" xfId="0" applyFont="1" applyFill="1" applyBorder="1"/>
    <xf numFmtId="164" fontId="4" fillId="3" borderId="65" xfId="0" applyNumberFormat="1" applyFont="1" applyFill="1" applyBorder="1" applyAlignment="1">
      <alignment horizontal="right"/>
    </xf>
    <xf numFmtId="0" fontId="4" fillId="3" borderId="5" xfId="0" applyFont="1" applyFill="1" applyBorder="1" applyAlignment="1">
      <alignment horizontal="right"/>
    </xf>
    <xf numFmtId="0" fontId="5" fillId="3" borderId="5" xfId="0" applyFont="1" applyFill="1" applyBorder="1" applyAlignment="1">
      <alignment horizontal="right"/>
    </xf>
    <xf numFmtId="0" fontId="5" fillId="3" borderId="7" xfId="0" applyFont="1" applyFill="1" applyBorder="1" applyAlignment="1">
      <alignment horizontal="right"/>
    </xf>
    <xf numFmtId="0" fontId="15" fillId="3" borderId="5" xfId="0" applyFont="1" applyFill="1" applyBorder="1" applyAlignment="1">
      <alignment horizontal="right"/>
    </xf>
    <xf numFmtId="0" fontId="8" fillId="8" borderId="7" xfId="0" applyFont="1" applyFill="1" applyBorder="1" applyAlignment="1">
      <alignment horizontal="right"/>
    </xf>
    <xf numFmtId="0" fontId="4" fillId="3" borderId="73" xfId="0" applyFont="1" applyFill="1" applyBorder="1" applyAlignment="1">
      <alignment horizontal="right"/>
    </xf>
    <xf numFmtId="14" fontId="38" fillId="0" borderId="74" xfId="0" applyNumberFormat="1" applyFont="1" applyBorder="1" applyAlignment="1">
      <alignment horizontal="left" vertical="center"/>
    </xf>
    <xf numFmtId="9" fontId="38" fillId="0" borderId="74" xfId="1" applyFont="1" applyFill="1" applyBorder="1" applyAlignment="1">
      <alignment horizontal="left" vertical="center"/>
    </xf>
    <xf numFmtId="164" fontId="0" fillId="9" borderId="39" xfId="0" applyNumberFormat="1" applyFill="1" applyBorder="1"/>
    <xf numFmtId="10" fontId="18" fillId="6" borderId="3" xfId="1" applyNumberFormat="1" applyFont="1" applyFill="1" applyBorder="1"/>
    <xf numFmtId="10" fontId="18" fillId="4" borderId="3" xfId="1" applyNumberFormat="1" applyFont="1" applyFill="1" applyBorder="1"/>
    <xf numFmtId="10" fontId="18" fillId="15" borderId="3" xfId="1" applyNumberFormat="1" applyFont="1" applyFill="1" applyBorder="1"/>
    <xf numFmtId="10" fontId="18" fillId="37" borderId="3" xfId="1" applyNumberFormat="1" applyFont="1" applyFill="1" applyBorder="1"/>
    <xf numFmtId="0" fontId="5" fillId="0" borderId="1" xfId="0" applyFont="1" applyBorder="1" applyAlignment="1">
      <alignment horizontal="center" vertical="center"/>
    </xf>
    <xf numFmtId="0" fontId="30" fillId="19" borderId="70" xfId="0" applyFont="1" applyFill="1" applyBorder="1" applyAlignment="1">
      <alignment horizontal="center"/>
    </xf>
    <xf numFmtId="0" fontId="30" fillId="19" borderId="15" xfId="0" applyFont="1" applyFill="1" applyBorder="1" applyAlignment="1">
      <alignment horizontal="center"/>
    </xf>
    <xf numFmtId="0" fontId="3" fillId="0" borderId="86" xfId="0" applyFont="1" applyBorder="1"/>
    <xf numFmtId="0" fontId="3" fillId="0" borderId="77" xfId="0" applyFont="1" applyBorder="1"/>
    <xf numFmtId="0" fontId="5" fillId="3" borderId="12" xfId="0" applyFont="1" applyFill="1" applyBorder="1" applyAlignment="1">
      <alignment horizontal="left"/>
    </xf>
    <xf numFmtId="0" fontId="15" fillId="3" borderId="8" xfId="0" applyFont="1" applyFill="1" applyBorder="1" applyAlignment="1">
      <alignment horizontal="right"/>
    </xf>
    <xf numFmtId="0" fontId="5" fillId="29" borderId="4" xfId="0" applyFont="1" applyFill="1" applyBorder="1"/>
    <xf numFmtId="164" fontId="5" fillId="29" borderId="24" xfId="0" applyNumberFormat="1" applyFont="1" applyFill="1" applyBorder="1"/>
    <xf numFmtId="164" fontId="5" fillId="29" borderId="25" xfId="0" applyNumberFormat="1" applyFont="1" applyFill="1" applyBorder="1"/>
    <xf numFmtId="0" fontId="5" fillId="0" borderId="0" xfId="0" applyFont="1" applyAlignment="1">
      <alignment horizontal="left" vertical="center"/>
    </xf>
    <xf numFmtId="10" fontId="0" fillId="0" borderId="52" xfId="1" applyNumberFormat="1" applyFont="1" applyFill="1" applyBorder="1" applyAlignment="1">
      <alignment horizontal="center"/>
    </xf>
    <xf numFmtId="164" fontId="0" fillId="0" borderId="62" xfId="0" applyNumberFormat="1" applyBorder="1"/>
    <xf numFmtId="10" fontId="0" fillId="0" borderId="39" xfId="1" applyNumberFormat="1" applyFont="1" applyFill="1" applyBorder="1" applyAlignment="1">
      <alignment horizontal="center"/>
    </xf>
    <xf numFmtId="9" fontId="0" fillId="0" borderId="40" xfId="1" applyFont="1" applyFill="1" applyBorder="1" applyAlignment="1">
      <alignment horizontal="center"/>
    </xf>
    <xf numFmtId="164" fontId="0" fillId="0" borderId="14" xfId="0" applyNumberFormat="1" applyBorder="1"/>
    <xf numFmtId="0" fontId="26" fillId="26" borderId="0" xfId="0" applyFont="1" applyFill="1" applyAlignment="1">
      <alignment horizontal="left"/>
    </xf>
    <xf numFmtId="0" fontId="0" fillId="26" borderId="0" xfId="0" applyFill="1"/>
    <xf numFmtId="10" fontId="26" fillId="26" borderId="0" xfId="0" applyNumberFormat="1" applyFont="1" applyFill="1"/>
    <xf numFmtId="0" fontId="26" fillId="26" borderId="0" xfId="0" applyFont="1" applyFill="1"/>
    <xf numFmtId="0" fontId="0" fillId="26" borderId="0" xfId="0" applyFill="1" applyAlignment="1">
      <alignment wrapText="1"/>
    </xf>
    <xf numFmtId="164" fontId="0" fillId="0" borderId="2" xfId="0" applyNumberFormat="1" applyBorder="1"/>
    <xf numFmtId="164" fontId="0" fillId="0" borderId="48" xfId="0" applyNumberFormat="1" applyBorder="1"/>
    <xf numFmtId="0" fontId="40" fillId="0" borderId="0" xfId="0" applyFont="1"/>
    <xf numFmtId="0" fontId="40" fillId="0" borderId="0" xfId="5"/>
    <xf numFmtId="0" fontId="26" fillId="0" borderId="3" xfId="0" applyFont="1" applyBorder="1" applyAlignment="1">
      <alignment horizontal="center"/>
    </xf>
    <xf numFmtId="14" fontId="5" fillId="5" borderId="3" xfId="0" applyNumberFormat="1" applyFont="1" applyFill="1" applyBorder="1" applyAlignment="1">
      <alignment horizontal="center" vertical="center"/>
    </xf>
    <xf numFmtId="0" fontId="0" fillId="5" borderId="3" xfId="0" applyFill="1" applyBorder="1" applyAlignment="1">
      <alignment horizontal="center"/>
    </xf>
    <xf numFmtId="0" fontId="23" fillId="3" borderId="3" xfId="7" applyFont="1" applyFill="1" applyBorder="1" applyAlignment="1">
      <alignment wrapText="1"/>
    </xf>
    <xf numFmtId="0" fontId="0" fillId="0" borderId="0" xfId="0" applyAlignment="1">
      <alignment horizontal="right"/>
    </xf>
    <xf numFmtId="0" fontId="0" fillId="0" borderId="62" xfId="0" applyBorder="1" applyAlignment="1">
      <alignment horizontal="center"/>
    </xf>
    <xf numFmtId="0" fontId="0" fillId="0" borderId="14" xfId="0" applyBorder="1" applyAlignment="1">
      <alignment horizontal="center"/>
    </xf>
    <xf numFmtId="165" fontId="17" fillId="3" borderId="13" xfId="0" applyNumberFormat="1" applyFont="1" applyFill="1" applyBorder="1" applyAlignment="1">
      <alignment horizontal="right"/>
    </xf>
    <xf numFmtId="164" fontId="24" fillId="3" borderId="74" xfId="2" applyNumberFormat="1" applyFont="1" applyFill="1" applyBorder="1" applyAlignment="1">
      <alignment horizontal="center"/>
    </xf>
    <xf numFmtId="0" fontId="0" fillId="40" borderId="0" xfId="0" applyFill="1"/>
    <xf numFmtId="0" fontId="26" fillId="8" borderId="20" xfId="0" applyFont="1" applyFill="1" applyBorder="1" applyAlignment="1">
      <alignment horizontal="right"/>
    </xf>
    <xf numFmtId="0" fontId="26" fillId="0" borderId="3" xfId="0" applyFont="1" applyBorder="1" applyAlignment="1">
      <alignment horizontal="center" wrapText="1"/>
    </xf>
    <xf numFmtId="0" fontId="26" fillId="0" borderId="53" xfId="0" applyFont="1" applyBorder="1" applyAlignment="1">
      <alignment horizontal="center"/>
    </xf>
    <xf numFmtId="0" fontId="26" fillId="0" borderId="76" xfId="0" applyFont="1" applyBorder="1" applyAlignment="1">
      <alignment horizontal="center"/>
    </xf>
    <xf numFmtId="0" fontId="26" fillId="0" borderId="74" xfId="0" applyFont="1" applyBorder="1" applyAlignment="1">
      <alignment horizontal="center"/>
    </xf>
    <xf numFmtId="0" fontId="26" fillId="9" borderId="3" xfId="0" applyFont="1" applyFill="1" applyBorder="1" applyAlignment="1">
      <alignment vertical="top"/>
    </xf>
    <xf numFmtId="10" fontId="1" fillId="9" borderId="3" xfId="1" applyNumberFormat="1" applyFont="1" applyFill="1" applyBorder="1"/>
    <xf numFmtId="10" fontId="0" fillId="9" borderId="3" xfId="1" applyNumberFormat="1" applyFont="1" applyFill="1" applyBorder="1"/>
    <xf numFmtId="0" fontId="26" fillId="8" borderId="3" xfId="0" applyFont="1" applyFill="1" applyBorder="1" applyAlignment="1">
      <alignment vertical="top"/>
    </xf>
    <xf numFmtId="10" fontId="1" fillId="8" borderId="3" xfId="1" applyNumberFormat="1" applyFont="1" applyFill="1" applyBorder="1"/>
    <xf numFmtId="10" fontId="0" fillId="8" borderId="3" xfId="1" applyNumberFormat="1" applyFont="1" applyFill="1" applyBorder="1"/>
    <xf numFmtId="0" fontId="26" fillId="7" borderId="3" xfId="0" applyFont="1" applyFill="1" applyBorder="1" applyAlignment="1">
      <alignment vertical="top"/>
    </xf>
    <xf numFmtId="10" fontId="1" fillId="7" borderId="3" xfId="1" applyNumberFormat="1" applyFont="1" applyFill="1" applyBorder="1"/>
    <xf numFmtId="10" fontId="0" fillId="7" borderId="3" xfId="1" applyNumberFormat="1" applyFont="1" applyFill="1" applyBorder="1"/>
    <xf numFmtId="0" fontId="26" fillId="11" borderId="3" xfId="0" applyFont="1" applyFill="1" applyBorder="1" applyAlignment="1">
      <alignment vertical="top"/>
    </xf>
    <xf numFmtId="10" fontId="1" fillId="11" borderId="3" xfId="1" applyNumberFormat="1" applyFont="1" applyFill="1" applyBorder="1"/>
    <xf numFmtId="10" fontId="0" fillId="11" borderId="3" xfId="1" applyNumberFormat="1" applyFont="1" applyFill="1" applyBorder="1"/>
    <xf numFmtId="0" fontId="26" fillId="18" borderId="3" xfId="0" applyFont="1" applyFill="1" applyBorder="1" applyAlignment="1">
      <alignment vertical="top"/>
    </xf>
    <xf numFmtId="10" fontId="1" fillId="18" borderId="3" xfId="1" applyNumberFormat="1" applyFont="1" applyFill="1" applyBorder="1"/>
    <xf numFmtId="10" fontId="0" fillId="18" borderId="3" xfId="1" applyNumberFormat="1" applyFont="1" applyFill="1" applyBorder="1"/>
    <xf numFmtId="0" fontId="26" fillId="12" borderId="3" xfId="0" applyFont="1" applyFill="1" applyBorder="1" applyAlignment="1">
      <alignment vertical="top"/>
    </xf>
    <xf numFmtId="10" fontId="1" fillId="12" borderId="3" xfId="1" applyNumberFormat="1" applyFont="1" applyFill="1" applyBorder="1"/>
    <xf numFmtId="10" fontId="0" fillId="12" borderId="3" xfId="1" applyNumberFormat="1" applyFont="1" applyFill="1" applyBorder="1"/>
    <xf numFmtId="0" fontId="26" fillId="3" borderId="3" xfId="0" applyFont="1" applyFill="1" applyBorder="1" applyAlignment="1">
      <alignment vertical="top"/>
    </xf>
    <xf numFmtId="10" fontId="0" fillId="3" borderId="3" xfId="1" applyNumberFormat="1" applyFont="1" applyFill="1" applyBorder="1"/>
    <xf numFmtId="0" fontId="26" fillId="0" borderId="39" xfId="0" applyFont="1" applyBorder="1" applyAlignment="1">
      <alignment horizontal="center"/>
    </xf>
    <xf numFmtId="0" fontId="26" fillId="8" borderId="38" xfId="0" applyFont="1" applyFill="1" applyBorder="1" applyAlignment="1">
      <alignment horizontal="left"/>
    </xf>
    <xf numFmtId="10" fontId="18" fillId="8" borderId="39" xfId="1" applyNumberFormat="1" applyFont="1" applyFill="1" applyBorder="1"/>
    <xf numFmtId="0" fontId="26" fillId="6" borderId="38" xfId="0" applyFont="1" applyFill="1" applyBorder="1" applyAlignment="1">
      <alignment horizontal="left"/>
    </xf>
    <xf numFmtId="10" fontId="18" fillId="6" borderId="39" xfId="1" applyNumberFormat="1" applyFont="1" applyFill="1" applyBorder="1"/>
    <xf numFmtId="0" fontId="26" fillId="12" borderId="38" xfId="0" applyFont="1" applyFill="1" applyBorder="1" applyAlignment="1">
      <alignment horizontal="left"/>
    </xf>
    <xf numFmtId="10" fontId="18" fillId="12" borderId="39" xfId="1" applyNumberFormat="1" applyFont="1" applyFill="1" applyBorder="1"/>
    <xf numFmtId="0" fontId="26" fillId="11" borderId="38" xfId="0" applyFont="1" applyFill="1" applyBorder="1" applyAlignment="1">
      <alignment horizontal="left"/>
    </xf>
    <xf numFmtId="10" fontId="18" fillId="11" borderId="39" xfId="1" applyNumberFormat="1" applyFont="1" applyFill="1" applyBorder="1"/>
    <xf numFmtId="0" fontId="26" fillId="9" borderId="38" xfId="0" applyFont="1" applyFill="1" applyBorder="1" applyAlignment="1">
      <alignment horizontal="left"/>
    </xf>
    <xf numFmtId="10" fontId="18" fillId="9" borderId="39" xfId="1" applyNumberFormat="1" applyFont="1" applyFill="1" applyBorder="1"/>
    <xf numFmtId="0" fontId="26" fillId="18" borderId="38" xfId="0" applyFont="1" applyFill="1" applyBorder="1" applyAlignment="1">
      <alignment horizontal="left"/>
    </xf>
    <xf numFmtId="10" fontId="18" fillId="18" borderId="39" xfId="1" applyNumberFormat="1" applyFont="1" applyFill="1" applyBorder="1"/>
    <xf numFmtId="0" fontId="26" fillId="4" borderId="38" xfId="0" applyFont="1" applyFill="1" applyBorder="1" applyAlignment="1">
      <alignment horizontal="left"/>
    </xf>
    <xf numFmtId="10" fontId="18" fillId="4" borderId="39" xfId="1" applyNumberFormat="1" applyFont="1" applyFill="1" applyBorder="1"/>
    <xf numFmtId="0" fontId="26" fillId="15" borderId="38" xfId="0" applyFont="1" applyFill="1" applyBorder="1" applyAlignment="1">
      <alignment horizontal="left"/>
    </xf>
    <xf numFmtId="10" fontId="18" fillId="15" borderId="39" xfId="1" applyNumberFormat="1" applyFont="1" applyFill="1" applyBorder="1"/>
    <xf numFmtId="0" fontId="26" fillId="7" borderId="38" xfId="0" applyFont="1" applyFill="1" applyBorder="1" applyAlignment="1">
      <alignment horizontal="left"/>
    </xf>
    <xf numFmtId="10" fontId="18" fillId="7" borderId="39" xfId="1" applyNumberFormat="1" applyFont="1" applyFill="1" applyBorder="1"/>
    <xf numFmtId="0" fontId="26" fillId="37" borderId="38" xfId="0" applyFont="1" applyFill="1" applyBorder="1" applyAlignment="1">
      <alignment horizontal="left"/>
    </xf>
    <xf numFmtId="10" fontId="18" fillId="37" borderId="39" xfId="1" applyNumberFormat="1" applyFont="1" applyFill="1" applyBorder="1"/>
    <xf numFmtId="0" fontId="26" fillId="6" borderId="20" xfId="0" applyFont="1" applyFill="1" applyBorder="1" applyAlignment="1">
      <alignment horizontal="right"/>
    </xf>
    <xf numFmtId="0" fontId="26" fillId="3" borderId="40" xfId="0" applyFont="1" applyFill="1" applyBorder="1" applyAlignment="1">
      <alignment horizontal="right"/>
    </xf>
    <xf numFmtId="164" fontId="26" fillId="3" borderId="14" xfId="0" applyNumberFormat="1" applyFont="1" applyFill="1" applyBorder="1"/>
    <xf numFmtId="10" fontId="28" fillId="3" borderId="14" xfId="1" applyNumberFormat="1" applyFont="1" applyFill="1" applyBorder="1"/>
    <xf numFmtId="10" fontId="28" fillId="3" borderId="41" xfId="1" applyNumberFormat="1" applyFont="1" applyFill="1" applyBorder="1"/>
    <xf numFmtId="0" fontId="26" fillId="28" borderId="55" xfId="0" applyFont="1" applyFill="1" applyBorder="1" applyAlignment="1">
      <alignment horizontal="center"/>
    </xf>
    <xf numFmtId="0" fontId="26" fillId="2" borderId="55" xfId="0" applyFont="1" applyFill="1" applyBorder="1" applyAlignment="1">
      <alignment horizontal="center"/>
    </xf>
    <xf numFmtId="0" fontId="26" fillId="29" borderId="55" xfId="0" applyFont="1" applyFill="1" applyBorder="1" applyAlignment="1">
      <alignment horizontal="center"/>
    </xf>
    <xf numFmtId="0" fontId="26" fillId="12" borderId="20" xfId="0" applyFont="1" applyFill="1" applyBorder="1" applyAlignment="1">
      <alignment horizontal="right"/>
    </xf>
    <xf numFmtId="0" fontId="26" fillId="11" borderId="20" xfId="0" applyFont="1" applyFill="1" applyBorder="1" applyAlignment="1">
      <alignment horizontal="right"/>
    </xf>
    <xf numFmtId="0" fontId="26" fillId="9" borderId="20" xfId="0" applyFont="1" applyFill="1" applyBorder="1" applyAlignment="1">
      <alignment horizontal="right"/>
    </xf>
    <xf numFmtId="164" fontId="3" fillId="0" borderId="56" xfId="0" applyNumberFormat="1" applyFont="1" applyBorder="1"/>
    <xf numFmtId="164" fontId="5" fillId="3" borderId="39" xfId="0" applyNumberFormat="1" applyFont="1" applyFill="1" applyBorder="1"/>
    <xf numFmtId="164" fontId="3" fillId="0" borderId="51" xfId="0" applyNumberFormat="1" applyFont="1" applyBorder="1"/>
    <xf numFmtId="164" fontId="3" fillId="0" borderId="38" xfId="0" applyNumberFormat="1" applyFont="1" applyBorder="1"/>
    <xf numFmtId="164" fontId="3" fillId="0" borderId="84" xfId="0" applyNumberFormat="1" applyFont="1" applyBorder="1"/>
    <xf numFmtId="164" fontId="5" fillId="3" borderId="80" xfId="0" applyNumberFormat="1" applyFont="1" applyFill="1" applyBorder="1"/>
    <xf numFmtId="164" fontId="4" fillId="3" borderId="41" xfId="0" applyNumberFormat="1" applyFont="1" applyFill="1" applyBorder="1"/>
    <xf numFmtId="164" fontId="5" fillId="15" borderId="38" xfId="0" applyNumberFormat="1" applyFont="1" applyFill="1" applyBorder="1"/>
    <xf numFmtId="164" fontId="5" fillId="15" borderId="39" xfId="0" applyNumberFormat="1" applyFont="1" applyFill="1" applyBorder="1"/>
    <xf numFmtId="164" fontId="5" fillId="18" borderId="38" xfId="0" applyNumberFormat="1" applyFont="1" applyFill="1" applyBorder="1"/>
    <xf numFmtId="164" fontId="5" fillId="18" borderId="39" xfId="0" applyNumberFormat="1" applyFont="1" applyFill="1" applyBorder="1"/>
    <xf numFmtId="164" fontId="5" fillId="9" borderId="38" xfId="0" applyNumberFormat="1" applyFont="1" applyFill="1" applyBorder="1"/>
    <xf numFmtId="164" fontId="5" fillId="9" borderId="39" xfId="0" applyNumberFormat="1" applyFont="1" applyFill="1" applyBorder="1"/>
    <xf numFmtId="164" fontId="5" fillId="11" borderId="38" xfId="0" applyNumberFormat="1" applyFont="1" applyFill="1" applyBorder="1"/>
    <xf numFmtId="164" fontId="5" fillId="11" borderId="39" xfId="0" applyNumberFormat="1" applyFont="1" applyFill="1" applyBorder="1"/>
    <xf numFmtId="164" fontId="5" fillId="12" borderId="38" xfId="0" applyNumberFormat="1" applyFont="1" applyFill="1" applyBorder="1"/>
    <xf numFmtId="164" fontId="5" fillId="12" borderId="39" xfId="0" applyNumberFormat="1" applyFont="1" applyFill="1" applyBorder="1"/>
    <xf numFmtId="164" fontId="5" fillId="6" borderId="38" xfId="0" applyNumberFormat="1" applyFont="1" applyFill="1" applyBorder="1"/>
    <xf numFmtId="164" fontId="5" fillId="6" borderId="39" xfId="0" applyNumberFormat="1" applyFont="1" applyFill="1" applyBorder="1"/>
    <xf numFmtId="165" fontId="17" fillId="3" borderId="59" xfId="1" applyNumberFormat="1" applyFont="1" applyFill="1" applyBorder="1"/>
    <xf numFmtId="0" fontId="5" fillId="6" borderId="38" xfId="0" applyFont="1" applyFill="1" applyBorder="1" applyAlignment="1">
      <alignment horizontal="center"/>
    </xf>
    <xf numFmtId="0" fontId="3" fillId="0" borderId="56" xfId="0" applyFont="1" applyBorder="1"/>
    <xf numFmtId="0" fontId="5" fillId="0" borderId="74" xfId="0" applyFont="1" applyBorder="1" applyAlignment="1">
      <alignment horizontal="center"/>
    </xf>
    <xf numFmtId="0" fontId="5" fillId="11" borderId="74" xfId="0" applyFont="1" applyFill="1" applyBorder="1" applyAlignment="1">
      <alignment horizontal="center"/>
    </xf>
    <xf numFmtId="0" fontId="5" fillId="6" borderId="5" xfId="0" applyFont="1" applyFill="1" applyBorder="1"/>
    <xf numFmtId="0" fontId="5" fillId="6" borderId="16" xfId="0" applyFont="1" applyFill="1" applyBorder="1"/>
    <xf numFmtId="165" fontId="17" fillId="9" borderId="3" xfId="1" applyNumberFormat="1" applyFont="1" applyFill="1" applyBorder="1"/>
    <xf numFmtId="165" fontId="17" fillId="8" borderId="3" xfId="1" applyNumberFormat="1" applyFont="1" applyFill="1" applyBorder="1"/>
    <xf numFmtId="165" fontId="17" fillId="7" borderId="3" xfId="1" applyNumberFormat="1" applyFont="1" applyFill="1" applyBorder="1"/>
    <xf numFmtId="165" fontId="17" fillId="11" borderId="3" xfId="1" applyNumberFormat="1" applyFont="1" applyFill="1" applyBorder="1"/>
    <xf numFmtId="165" fontId="17" fillId="18" borderId="3" xfId="1" applyNumberFormat="1" applyFont="1" applyFill="1" applyBorder="1"/>
    <xf numFmtId="165" fontId="17" fillId="12" borderId="3" xfId="1" applyNumberFormat="1" applyFont="1" applyFill="1" applyBorder="1"/>
    <xf numFmtId="165" fontId="17" fillId="3" borderId="58" xfId="1" applyNumberFormat="1" applyFont="1" applyFill="1" applyBorder="1"/>
    <xf numFmtId="165" fontId="17" fillId="3" borderId="11" xfId="1" applyNumberFormat="1" applyFont="1" applyFill="1" applyBorder="1"/>
    <xf numFmtId="165" fontId="17" fillId="3" borderId="84" xfId="1" applyNumberFormat="1" applyFont="1" applyFill="1" applyBorder="1"/>
    <xf numFmtId="165" fontId="5" fillId="3" borderId="40" xfId="1" applyNumberFormat="1" applyFont="1" applyFill="1" applyBorder="1"/>
    <xf numFmtId="165" fontId="5" fillId="3" borderId="14" xfId="1" applyNumberFormat="1" applyFont="1" applyFill="1" applyBorder="1"/>
    <xf numFmtId="165" fontId="5" fillId="3" borderId="41" xfId="1" applyNumberFormat="1" applyFont="1" applyFill="1" applyBorder="1"/>
    <xf numFmtId="165" fontId="5" fillId="3" borderId="57" xfId="1" applyNumberFormat="1" applyFont="1" applyFill="1" applyBorder="1"/>
    <xf numFmtId="164" fontId="26" fillId="6" borderId="75" xfId="0" applyNumberFormat="1" applyFont="1" applyFill="1" applyBorder="1" applyAlignment="1">
      <alignment horizontal="center"/>
    </xf>
    <xf numFmtId="164" fontId="26" fillId="6" borderId="71" xfId="0" applyNumberFormat="1" applyFont="1" applyFill="1" applyBorder="1" applyAlignment="1">
      <alignment horizontal="center" vertical="top"/>
    </xf>
    <xf numFmtId="0" fontId="26" fillId="6" borderId="50" xfId="0" applyFont="1" applyFill="1" applyBorder="1" applyAlignment="1">
      <alignment horizontal="center"/>
    </xf>
    <xf numFmtId="0" fontId="26" fillId="0" borderId="18" xfId="0" applyFont="1" applyBorder="1"/>
    <xf numFmtId="0" fontId="0" fillId="0" borderId="92" xfId="0" applyBorder="1"/>
    <xf numFmtId="0" fontId="26" fillId="7" borderId="72" xfId="0" applyFont="1" applyFill="1" applyBorder="1" applyAlignment="1">
      <alignment horizontal="center"/>
    </xf>
    <xf numFmtId="9" fontId="0" fillId="0" borderId="3" xfId="1" applyFont="1" applyFill="1" applyBorder="1" applyAlignment="1">
      <alignment horizontal="center"/>
    </xf>
    <xf numFmtId="9" fontId="0" fillId="0" borderId="62" xfId="1" applyFont="1" applyFill="1" applyBorder="1" applyAlignment="1">
      <alignment horizontal="center"/>
    </xf>
    <xf numFmtId="0" fontId="26" fillId="40" borderId="38" xfId="0" applyFont="1" applyFill="1" applyBorder="1" applyAlignment="1">
      <alignment horizontal="center"/>
    </xf>
    <xf numFmtId="0" fontId="26" fillId="40" borderId="40" xfId="0" applyFont="1" applyFill="1" applyBorder="1" applyAlignment="1">
      <alignment horizontal="center"/>
    </xf>
    <xf numFmtId="9" fontId="0" fillId="0" borderId="14" xfId="1" applyFont="1" applyFill="1" applyBorder="1" applyAlignment="1">
      <alignment horizontal="center"/>
    </xf>
    <xf numFmtId="0" fontId="26" fillId="0" borderId="51" xfId="0" applyFont="1" applyBorder="1" applyAlignment="1">
      <alignment horizontal="center"/>
    </xf>
    <xf numFmtId="0" fontId="26" fillId="0" borderId="40" xfId="0" applyFont="1" applyBorder="1" applyAlignment="1">
      <alignment horizontal="center"/>
    </xf>
    <xf numFmtId="0" fontId="26" fillId="0" borderId="74" xfId="0" applyFont="1" applyBorder="1"/>
    <xf numFmtId="10" fontId="0" fillId="0" borderId="3" xfId="1" applyNumberFormat="1" applyFont="1" applyFill="1" applyBorder="1" applyAlignment="1">
      <alignment horizontal="center"/>
    </xf>
    <xf numFmtId="10" fontId="0" fillId="0" borderId="62" xfId="1" applyNumberFormat="1" applyFont="1" applyFill="1" applyBorder="1" applyAlignment="1">
      <alignment horizontal="center"/>
    </xf>
    <xf numFmtId="10" fontId="0" fillId="0" borderId="14" xfId="1" applyNumberFormat="1" applyFont="1" applyFill="1" applyBorder="1" applyAlignment="1">
      <alignment horizontal="center"/>
    </xf>
    <xf numFmtId="10" fontId="0" fillId="0" borderId="41" xfId="1" applyNumberFormat="1" applyFont="1" applyFill="1" applyBorder="1" applyAlignment="1">
      <alignment horizontal="center"/>
    </xf>
    <xf numFmtId="164" fontId="5" fillId="3" borderId="6" xfId="0" applyNumberFormat="1" applyFont="1" applyFill="1" applyBorder="1"/>
    <xf numFmtId="164" fontId="5" fillId="3" borderId="11" xfId="0" applyNumberFormat="1" applyFont="1" applyFill="1" applyBorder="1"/>
    <xf numFmtId="164" fontId="5" fillId="3" borderId="25" xfId="0" applyNumberFormat="1" applyFont="1" applyFill="1" applyBorder="1"/>
    <xf numFmtId="164" fontId="5" fillId="3" borderId="67" xfId="0" applyNumberFormat="1" applyFont="1" applyFill="1" applyBorder="1"/>
    <xf numFmtId="0" fontId="26" fillId="0" borderId="23" xfId="0" applyFont="1" applyBorder="1" applyAlignment="1">
      <alignment horizontal="center"/>
    </xf>
    <xf numFmtId="0" fontId="44" fillId="37" borderId="16" xfId="0" applyFont="1" applyFill="1" applyBorder="1" applyAlignment="1">
      <alignment horizontal="left"/>
    </xf>
    <xf numFmtId="0" fontId="44" fillId="37" borderId="20" xfId="0" applyFont="1" applyFill="1" applyBorder="1" applyAlignment="1">
      <alignment horizontal="left"/>
    </xf>
    <xf numFmtId="0" fontId="44" fillId="7" borderId="16" xfId="0" applyFont="1" applyFill="1" applyBorder="1" applyAlignment="1">
      <alignment horizontal="left"/>
    </xf>
    <xf numFmtId="0" fontId="44" fillId="7" borderId="20" xfId="0" applyFont="1" applyFill="1" applyBorder="1" applyAlignment="1">
      <alignment horizontal="left"/>
    </xf>
    <xf numFmtId="0" fontId="44" fillId="15" borderId="16" xfId="0" applyFont="1" applyFill="1" applyBorder="1" applyAlignment="1">
      <alignment horizontal="left"/>
    </xf>
    <xf numFmtId="0" fontId="44" fillId="15" borderId="20" xfId="0" applyFont="1" applyFill="1" applyBorder="1" applyAlignment="1">
      <alignment horizontal="left"/>
    </xf>
    <xf numFmtId="0" fontId="44" fillId="3" borderId="16" xfId="0" applyFont="1" applyFill="1" applyBorder="1" applyAlignment="1">
      <alignment horizontal="left"/>
    </xf>
    <xf numFmtId="0" fontId="44" fillId="3" borderId="20" xfId="0" applyFont="1" applyFill="1" applyBorder="1" applyAlignment="1">
      <alignment horizontal="left"/>
    </xf>
    <xf numFmtId="0" fontId="44" fillId="18" borderId="16" xfId="0" applyFont="1" applyFill="1" applyBorder="1" applyAlignment="1">
      <alignment horizontal="left"/>
    </xf>
    <xf numFmtId="0" fontId="44" fillId="18" borderId="20" xfId="0" applyFont="1" applyFill="1" applyBorder="1" applyAlignment="1">
      <alignment horizontal="left"/>
    </xf>
    <xf numFmtId="0" fontId="44" fillId="9" borderId="16" xfId="0" applyFont="1" applyFill="1" applyBorder="1" applyAlignment="1">
      <alignment horizontal="left"/>
    </xf>
    <xf numFmtId="0" fontId="44" fillId="9" borderId="20" xfId="0" applyFont="1" applyFill="1" applyBorder="1" applyAlignment="1">
      <alignment horizontal="left"/>
    </xf>
    <xf numFmtId="0" fontId="44" fillId="11" borderId="16" xfId="0" applyFont="1" applyFill="1" applyBorder="1" applyAlignment="1">
      <alignment horizontal="left"/>
    </xf>
    <xf numFmtId="0" fontId="44" fillId="12" borderId="16" xfId="0" applyFont="1" applyFill="1" applyBorder="1" applyAlignment="1">
      <alignment horizontal="left"/>
    </xf>
    <xf numFmtId="0" fontId="44" fillId="6" borderId="16" xfId="0" applyFont="1" applyFill="1" applyBorder="1" applyAlignment="1">
      <alignment horizontal="left"/>
    </xf>
    <xf numFmtId="0" fontId="44" fillId="6" borderId="20" xfId="0" applyFont="1" applyFill="1" applyBorder="1" applyAlignment="1">
      <alignment horizontal="left"/>
    </xf>
    <xf numFmtId="0" fontId="44" fillId="8" borderId="16" xfId="0" applyFont="1" applyFill="1" applyBorder="1" applyAlignment="1">
      <alignment horizontal="left"/>
    </xf>
    <xf numFmtId="0" fontId="26" fillId="0" borderId="31" xfId="0" applyFont="1" applyBorder="1" applyAlignment="1">
      <alignment horizontal="center"/>
    </xf>
    <xf numFmtId="0" fontId="26" fillId="0" borderId="68" xfId="0" applyFont="1" applyBorder="1" applyAlignment="1">
      <alignment horizontal="center"/>
    </xf>
    <xf numFmtId="0" fontId="0" fillId="0" borderId="37" xfId="0" applyBorder="1"/>
    <xf numFmtId="0" fontId="23" fillId="3" borderId="16" xfId="2" applyNumberFormat="1" applyFont="1" applyFill="1" applyBorder="1" applyAlignment="1">
      <alignment horizontal="center"/>
    </xf>
    <xf numFmtId="0" fontId="23" fillId="3" borderId="74" xfId="2" applyNumberFormat="1" applyFont="1" applyFill="1" applyBorder="1" applyAlignment="1">
      <alignment horizontal="center"/>
    </xf>
    <xf numFmtId="0" fontId="24" fillId="0" borderId="18" xfId="0" applyFont="1" applyBorder="1" applyAlignment="1">
      <alignment horizontal="right"/>
    </xf>
    <xf numFmtId="0" fontId="24" fillId="0" borderId="15" xfId="0" applyFont="1" applyBorder="1" applyAlignment="1">
      <alignment horizontal="right"/>
    </xf>
    <xf numFmtId="14" fontId="24" fillId="0" borderId="15" xfId="0" applyNumberFormat="1" applyFont="1" applyBorder="1" applyAlignment="1">
      <alignment horizontal="center"/>
    </xf>
    <xf numFmtId="14" fontId="24" fillId="0" borderId="15" xfId="0" applyNumberFormat="1" applyFont="1" applyBorder="1" applyAlignment="1">
      <alignment horizontal="center" wrapText="1"/>
    </xf>
    <xf numFmtId="0" fontId="30" fillId="0" borderId="20" xfId="0" applyFont="1" applyBorder="1" applyAlignment="1">
      <alignment horizontal="right"/>
    </xf>
    <xf numFmtId="14" fontId="30" fillId="0" borderId="20" xfId="0" applyNumberFormat="1" applyFont="1" applyBorder="1" applyAlignment="1">
      <alignment horizontal="left"/>
    </xf>
    <xf numFmtId="0" fontId="56" fillId="0" borderId="0" xfId="0" applyFont="1" applyAlignment="1">
      <alignment vertical="center"/>
    </xf>
    <xf numFmtId="0" fontId="30" fillId="19" borderId="24" xfId="0" applyFont="1" applyFill="1" applyBorder="1" applyAlignment="1">
      <alignment horizontal="center"/>
    </xf>
    <xf numFmtId="0" fontId="26" fillId="7" borderId="49" xfId="0" applyFont="1" applyFill="1" applyBorder="1" applyAlignment="1">
      <alignment horizontal="center"/>
    </xf>
    <xf numFmtId="0" fontId="34" fillId="0" borderId="0" xfId="0" applyFont="1"/>
    <xf numFmtId="0" fontId="34" fillId="0" borderId="0" xfId="0" applyFont="1" applyAlignment="1">
      <alignment wrapText="1"/>
    </xf>
    <xf numFmtId="0" fontId="34" fillId="21" borderId="5" xfId="0" applyFont="1" applyFill="1" applyBorder="1"/>
    <xf numFmtId="0" fontId="0" fillId="0" borderId="20" xfId="0" applyBorder="1"/>
    <xf numFmtId="0" fontId="20" fillId="10" borderId="13" xfId="0" applyFont="1" applyFill="1" applyBorder="1" applyAlignment="1">
      <alignment horizontal="left"/>
    </xf>
    <xf numFmtId="0" fontId="20" fillId="10" borderId="6" xfId="0" applyFont="1" applyFill="1" applyBorder="1" applyAlignment="1">
      <alignment horizontal="left"/>
    </xf>
    <xf numFmtId="0" fontId="0" fillId="0" borderId="0" xfId="0" applyAlignment="1">
      <alignment horizontal="right" vertical="center"/>
    </xf>
    <xf numFmtId="0" fontId="26" fillId="0" borderId="0" xfId="0" applyFont="1" applyAlignment="1">
      <alignment horizontal="right"/>
    </xf>
    <xf numFmtId="0" fontId="44" fillId="8" borderId="16" xfId="0" applyFont="1" applyFill="1" applyBorder="1"/>
    <xf numFmtId="0" fontId="44" fillId="8" borderId="20" xfId="0" applyFont="1" applyFill="1" applyBorder="1"/>
    <xf numFmtId="0" fontId="26" fillId="8" borderId="16" xfId="0" applyFont="1" applyFill="1" applyBorder="1"/>
    <xf numFmtId="0" fontId="44" fillId="8" borderId="37" xfId="0" applyFont="1" applyFill="1" applyBorder="1" applyAlignment="1">
      <alignment horizontal="left"/>
    </xf>
    <xf numFmtId="0" fontId="44" fillId="6" borderId="16" xfId="0" applyFont="1" applyFill="1" applyBorder="1"/>
    <xf numFmtId="0" fontId="26" fillId="6" borderId="16" xfId="0" applyFont="1" applyFill="1" applyBorder="1"/>
    <xf numFmtId="0" fontId="44" fillId="6" borderId="20" xfId="0" applyFont="1" applyFill="1" applyBorder="1"/>
    <xf numFmtId="0" fontId="44" fillId="6" borderId="37" xfId="0" applyFont="1" applyFill="1" applyBorder="1" applyAlignment="1">
      <alignment horizontal="left"/>
    </xf>
    <xf numFmtId="0" fontId="58" fillId="0" borderId="15" xfId="0" applyFont="1" applyBorder="1"/>
    <xf numFmtId="0" fontId="58" fillId="0" borderId="15" xfId="0" applyFont="1" applyBorder="1" applyAlignment="1">
      <alignment horizontal="left"/>
    </xf>
    <xf numFmtId="0" fontId="44" fillId="12" borderId="16" xfId="0" applyFont="1" applyFill="1" applyBorder="1"/>
    <xf numFmtId="0" fontId="26" fillId="12" borderId="16" xfId="0" applyFont="1" applyFill="1" applyBorder="1"/>
    <xf numFmtId="0" fontId="44" fillId="12" borderId="20" xfId="0" applyFont="1" applyFill="1" applyBorder="1"/>
    <xf numFmtId="0" fontId="44" fillId="11" borderId="16" xfId="0" applyFont="1" applyFill="1" applyBorder="1"/>
    <xf numFmtId="0" fontId="44" fillId="11" borderId="20" xfId="0" applyFont="1" applyFill="1" applyBorder="1"/>
    <xf numFmtId="0" fontId="44" fillId="9" borderId="16" xfId="0" applyFont="1" applyFill="1" applyBorder="1"/>
    <xf numFmtId="0" fontId="44" fillId="9" borderId="20" xfId="0" applyFont="1" applyFill="1" applyBorder="1"/>
    <xf numFmtId="0" fontId="44" fillId="9" borderId="37" xfId="0" applyFont="1" applyFill="1" applyBorder="1" applyAlignment="1">
      <alignment horizontal="left"/>
    </xf>
    <xf numFmtId="0" fontId="44" fillId="11" borderId="37" xfId="0" applyFont="1" applyFill="1" applyBorder="1" applyAlignment="1">
      <alignment horizontal="left"/>
    </xf>
    <xf numFmtId="0" fontId="44" fillId="12" borderId="37" xfId="0" applyFont="1" applyFill="1" applyBorder="1" applyAlignment="1">
      <alignment horizontal="left"/>
    </xf>
    <xf numFmtId="0" fontId="44" fillId="18" borderId="16" xfId="0" applyFont="1" applyFill="1" applyBorder="1"/>
    <xf numFmtId="0" fontId="44" fillId="18" borderId="20" xfId="0" applyFont="1" applyFill="1" applyBorder="1"/>
    <xf numFmtId="0" fontId="44" fillId="3" borderId="16" xfId="0" applyFont="1" applyFill="1" applyBorder="1"/>
    <xf numFmtId="0" fontId="44" fillId="3" borderId="20" xfId="0" applyFont="1" applyFill="1" applyBorder="1"/>
    <xf numFmtId="0" fontId="44" fillId="15" borderId="16" xfId="0" applyFont="1" applyFill="1" applyBorder="1"/>
    <xf numFmtId="0" fontId="44" fillId="15" borderId="20" xfId="0" applyFont="1" applyFill="1" applyBorder="1"/>
    <xf numFmtId="0" fontId="44" fillId="7" borderId="16" xfId="0" applyFont="1" applyFill="1" applyBorder="1"/>
    <xf numFmtId="0" fontId="44" fillId="7" borderId="20" xfId="0" applyFont="1" applyFill="1" applyBorder="1"/>
    <xf numFmtId="0" fontId="44" fillId="37" borderId="16" xfId="0" applyFont="1" applyFill="1" applyBorder="1"/>
    <xf numFmtId="0" fontId="44" fillId="37" borderId="20" xfId="0" applyFont="1" applyFill="1" applyBorder="1"/>
    <xf numFmtId="0" fontId="44" fillId="18" borderId="37" xfId="0" applyFont="1" applyFill="1" applyBorder="1" applyAlignment="1">
      <alignment horizontal="left"/>
    </xf>
    <xf numFmtId="0" fontId="44" fillId="3" borderId="37" xfId="0" applyFont="1" applyFill="1" applyBorder="1" applyAlignment="1">
      <alignment horizontal="left"/>
    </xf>
    <xf numFmtId="0" fontId="44" fillId="15" borderId="37" xfId="0" applyFont="1" applyFill="1" applyBorder="1" applyAlignment="1">
      <alignment horizontal="left"/>
    </xf>
    <xf numFmtId="0" fontId="44" fillId="37" borderId="37" xfId="0" applyFont="1" applyFill="1" applyBorder="1" applyAlignment="1">
      <alignment horizontal="left"/>
    </xf>
    <xf numFmtId="0" fontId="44" fillId="7" borderId="37" xfId="0" applyFont="1" applyFill="1" applyBorder="1" applyAlignment="1">
      <alignment horizontal="left"/>
    </xf>
    <xf numFmtId="0" fontId="0" fillId="8" borderId="5" xfId="0" applyFill="1" applyBorder="1" applyAlignment="1">
      <alignment horizontal="left"/>
    </xf>
    <xf numFmtId="0" fontId="0" fillId="8" borderId="20" xfId="0" applyFill="1" applyBorder="1"/>
    <xf numFmtId="0" fontId="0" fillId="8" borderId="21" xfId="0" applyFill="1" applyBorder="1"/>
    <xf numFmtId="0" fontId="0" fillId="0" borderId="31" xfId="0" applyBorder="1"/>
    <xf numFmtId="0" fontId="0" fillId="0" borderId="69" xfId="0" applyBorder="1"/>
    <xf numFmtId="164" fontId="0" fillId="8" borderId="3" xfId="0" applyNumberFormat="1" applyFill="1" applyBorder="1"/>
    <xf numFmtId="164" fontId="0" fillId="6" borderId="3" xfId="0" applyNumberFormat="1" applyFill="1" applyBorder="1"/>
    <xf numFmtId="164" fontId="0" fillId="12" borderId="3" xfId="0" applyNumberFormat="1" applyFill="1" applyBorder="1"/>
    <xf numFmtId="164" fontId="0" fillId="11" borderId="3" xfId="0" applyNumberFormat="1" applyFill="1" applyBorder="1"/>
    <xf numFmtId="164" fontId="0" fillId="9" borderId="3" xfId="0" applyNumberFormat="1" applyFill="1" applyBorder="1"/>
    <xf numFmtId="164" fontId="0" fillId="18" borderId="3" xfId="0" applyNumberFormat="1" applyFill="1" applyBorder="1"/>
    <xf numFmtId="164" fontId="0" fillId="4" borderId="3" xfId="0" applyNumberFormat="1" applyFill="1" applyBorder="1"/>
    <xf numFmtId="164" fontId="0" fillId="15" borderId="3" xfId="0" applyNumberFormat="1" applyFill="1" applyBorder="1"/>
    <xf numFmtId="164" fontId="0" fillId="7" borderId="3" xfId="0" applyNumberFormat="1" applyFill="1" applyBorder="1"/>
    <xf numFmtId="0" fontId="0" fillId="6" borderId="5" xfId="0" applyFill="1" applyBorder="1" applyAlignment="1">
      <alignment horizontal="left"/>
    </xf>
    <xf numFmtId="0" fontId="0" fillId="6" borderId="20" xfId="0" applyFill="1" applyBorder="1"/>
    <xf numFmtId="0" fontId="0" fillId="6" borderId="21" xfId="0" applyFill="1" applyBorder="1"/>
    <xf numFmtId="164" fontId="0" fillId="37" borderId="3" xfId="0" applyNumberFormat="1" applyFill="1" applyBorder="1"/>
    <xf numFmtId="0" fontId="0" fillId="12" borderId="5" xfId="0" applyFill="1" applyBorder="1" applyAlignment="1">
      <alignment horizontal="left"/>
    </xf>
    <xf numFmtId="0" fontId="0" fillId="12" borderId="20" xfId="0" applyFill="1" applyBorder="1"/>
    <xf numFmtId="0" fontId="0" fillId="12" borderId="21" xfId="0" applyFill="1" applyBorder="1"/>
    <xf numFmtId="0" fontId="0" fillId="11" borderId="20" xfId="0" applyFill="1" applyBorder="1"/>
    <xf numFmtId="0" fontId="0" fillId="11" borderId="21" xfId="0" applyFill="1" applyBorder="1"/>
    <xf numFmtId="0" fontId="0" fillId="9" borderId="5" xfId="0" applyFill="1" applyBorder="1" applyAlignment="1">
      <alignment horizontal="left"/>
    </xf>
    <xf numFmtId="0" fontId="0" fillId="9" borderId="20" xfId="0" applyFill="1" applyBorder="1"/>
    <xf numFmtId="0" fontId="0" fillId="9" borderId="21" xfId="0" applyFill="1" applyBorder="1"/>
    <xf numFmtId="0" fontId="0" fillId="18" borderId="5" xfId="0" applyFill="1" applyBorder="1" applyAlignment="1">
      <alignment horizontal="left"/>
    </xf>
    <xf numFmtId="0" fontId="0" fillId="18" borderId="21" xfId="0" applyFill="1" applyBorder="1"/>
    <xf numFmtId="0" fontId="0" fillId="3" borderId="5" xfId="0" applyFill="1" applyBorder="1" applyAlignment="1">
      <alignment horizontal="left"/>
    </xf>
    <xf numFmtId="0" fontId="0" fillId="3" borderId="21" xfId="0" applyFill="1" applyBorder="1"/>
    <xf numFmtId="0" fontId="0" fillId="15" borderId="5" xfId="0" applyFill="1" applyBorder="1" applyAlignment="1">
      <alignment horizontal="left"/>
    </xf>
    <xf numFmtId="0" fontId="0" fillId="15" borderId="21" xfId="0" applyFill="1" applyBorder="1"/>
    <xf numFmtId="0" fontId="0" fillId="7" borderId="5" xfId="0" applyFill="1" applyBorder="1" applyAlignment="1">
      <alignment horizontal="left"/>
    </xf>
    <xf numFmtId="0" fontId="0" fillId="7" borderId="21" xfId="0" applyFill="1" applyBorder="1"/>
    <xf numFmtId="0" fontId="0" fillId="37" borderId="21" xfId="0" applyFill="1" applyBorder="1"/>
    <xf numFmtId="0" fontId="0" fillId="0" borderId="87" xfId="0" applyBorder="1"/>
    <xf numFmtId="0" fontId="26" fillId="0" borderId="31" xfId="0" applyFont="1" applyBorder="1"/>
    <xf numFmtId="0" fontId="26" fillId="0" borderId="69" xfId="0" applyFont="1" applyBorder="1"/>
    <xf numFmtId="0" fontId="26" fillId="36" borderId="69" xfId="0" applyFont="1" applyFill="1" applyBorder="1"/>
    <xf numFmtId="0" fontId="26" fillId="0" borderId="33" xfId="0" applyFont="1" applyBorder="1"/>
    <xf numFmtId="0" fontId="26" fillId="0" borderId="4" xfId="0" applyFont="1" applyBorder="1"/>
    <xf numFmtId="0" fontId="0" fillId="4" borderId="56" xfId="0" applyFill="1" applyBorder="1" applyAlignment="1">
      <alignment horizontal="left" vertical="center"/>
    </xf>
    <xf numFmtId="0" fontId="26" fillId="4" borderId="56" xfId="0" applyFont="1" applyFill="1" applyBorder="1" applyAlignment="1">
      <alignment horizontal="left" vertical="center"/>
    </xf>
    <xf numFmtId="0" fontId="26" fillId="3" borderId="57" xfId="0" applyFont="1" applyFill="1" applyBorder="1" applyAlignment="1">
      <alignment horizontal="left" vertical="center"/>
    </xf>
    <xf numFmtId="0" fontId="26" fillId="0" borderId="55" xfId="0" applyFont="1" applyBorder="1"/>
    <xf numFmtId="0" fontId="26" fillId="0" borderId="56" xfId="0" applyFont="1" applyBorder="1"/>
    <xf numFmtId="0" fontId="11" fillId="0" borderId="0" xfId="3" applyBorder="1" applyAlignment="1"/>
    <xf numFmtId="0" fontId="24" fillId="3" borderId="16" xfId="0" applyFont="1" applyFill="1" applyBorder="1"/>
    <xf numFmtId="0" fontId="23" fillId="3" borderId="16" xfId="0" applyFont="1" applyFill="1" applyBorder="1"/>
    <xf numFmtId="0" fontId="0" fillId="0" borderId="59" xfId="0" applyBorder="1" applyAlignment="1" applyProtection="1">
      <alignment horizontal="center"/>
      <protection locked="0"/>
    </xf>
    <xf numFmtId="0" fontId="0" fillId="0" borderId="58" xfId="0" applyBorder="1" applyAlignment="1" applyProtection="1">
      <alignment horizontal="center"/>
      <protection locked="0"/>
    </xf>
    <xf numFmtId="0" fontId="26" fillId="0" borderId="20" xfId="0" applyFont="1" applyBorder="1" applyAlignment="1">
      <alignment horizontal="right"/>
    </xf>
    <xf numFmtId="0" fontId="68" fillId="3" borderId="4" xfId="0" applyFont="1" applyFill="1" applyBorder="1"/>
    <xf numFmtId="9" fontId="0" fillId="11" borderId="3" xfId="0" applyNumberFormat="1" applyFill="1" applyBorder="1" applyProtection="1">
      <protection locked="0"/>
    </xf>
    <xf numFmtId="9" fontId="0" fillId="12" borderId="3" xfId="1" applyFont="1" applyFill="1" applyBorder="1" applyAlignment="1" applyProtection="1">
      <alignment horizontal="center"/>
      <protection locked="0"/>
    </xf>
    <xf numFmtId="0" fontId="26" fillId="0" borderId="80" xfId="0" applyFont="1" applyBorder="1" applyAlignment="1">
      <alignment horizontal="center" vertical="center"/>
    </xf>
    <xf numFmtId="9" fontId="0" fillId="6" borderId="3" xfId="1" applyFont="1" applyFill="1" applyBorder="1" applyAlignment="1" applyProtection="1">
      <alignment horizontal="center"/>
      <protection locked="0"/>
    </xf>
    <xf numFmtId="9" fontId="0" fillId="4" borderId="3" xfId="1" applyFont="1" applyFill="1" applyBorder="1" applyAlignment="1" applyProtection="1">
      <alignment horizontal="center"/>
      <protection locked="0"/>
    </xf>
    <xf numFmtId="9" fontId="0" fillId="8" borderId="3" xfId="1" applyFont="1" applyFill="1" applyBorder="1" applyAlignment="1" applyProtection="1">
      <alignment horizontal="center"/>
      <protection locked="0"/>
    </xf>
    <xf numFmtId="9" fontId="0" fillId="9" borderId="3" xfId="1" applyFont="1" applyFill="1" applyBorder="1" applyAlignment="1" applyProtection="1">
      <alignment horizontal="center"/>
      <protection locked="0"/>
    </xf>
    <xf numFmtId="9" fontId="0" fillId="18" borderId="3" xfId="1" applyFont="1" applyFill="1" applyBorder="1" applyAlignment="1" applyProtection="1">
      <alignment horizontal="center"/>
      <protection locked="0"/>
    </xf>
    <xf numFmtId="2" fontId="0" fillId="0" borderId="0" xfId="0" applyNumberFormat="1"/>
    <xf numFmtId="0" fontId="0" fillId="0" borderId="0" xfId="0" applyAlignment="1">
      <alignment vertical="center"/>
    </xf>
    <xf numFmtId="165" fontId="50" fillId="0" borderId="3" xfId="0" applyNumberFormat="1" applyFont="1" applyBorder="1" applyAlignment="1">
      <alignment horizontal="center" vertical="center"/>
    </xf>
    <xf numFmtId="0" fontId="0" fillId="6" borderId="62" xfId="0" applyFill="1" applyBorder="1" applyAlignment="1">
      <alignment horizontal="center" wrapText="1"/>
    </xf>
    <xf numFmtId="0" fontId="0" fillId="6" borderId="52" xfId="0" applyFill="1" applyBorder="1" applyAlignment="1">
      <alignment horizontal="center" vertical="center"/>
    </xf>
    <xf numFmtId="0" fontId="26" fillId="6" borderId="42" xfId="0" applyFont="1" applyFill="1" applyBorder="1" applyAlignment="1">
      <alignment horizontal="right" vertical="center"/>
    </xf>
    <xf numFmtId="0" fontId="26" fillId="6" borderId="3" xfId="0" applyFont="1" applyFill="1" applyBorder="1" applyAlignment="1">
      <alignment horizontal="center" vertical="center"/>
    </xf>
    <xf numFmtId="0" fontId="26" fillId="6" borderId="39" xfId="0" applyFont="1" applyFill="1" applyBorder="1" applyAlignment="1">
      <alignment horizontal="center" vertical="center"/>
    </xf>
    <xf numFmtId="0" fontId="0" fillId="0" borderId="38" xfId="0" applyBorder="1" applyAlignment="1">
      <alignment vertical="center"/>
    </xf>
    <xf numFmtId="6" fontId="0" fillId="0" borderId="3" xfId="0" applyNumberFormat="1" applyBorder="1" applyAlignment="1">
      <alignment horizontal="center" vertical="center"/>
    </xf>
    <xf numFmtId="0" fontId="0" fillId="0" borderId="40" xfId="0" applyBorder="1" applyAlignment="1">
      <alignment vertical="center"/>
    </xf>
    <xf numFmtId="0" fontId="0" fillId="4" borderId="3" xfId="0" applyFill="1" applyBorder="1"/>
    <xf numFmtId="0" fontId="26" fillId="0" borderId="62" xfId="0" applyFont="1" applyBorder="1" applyAlignment="1">
      <alignment horizontal="center"/>
    </xf>
    <xf numFmtId="0" fontId="26" fillId="0" borderId="52" xfId="0" applyFont="1" applyBorder="1" applyAlignment="1">
      <alignment horizontal="center"/>
    </xf>
    <xf numFmtId="0" fontId="0" fillId="11" borderId="13" xfId="0" applyFill="1" applyBorder="1" applyProtection="1">
      <protection locked="0"/>
    </xf>
    <xf numFmtId="0" fontId="0" fillId="11" borderId="7" xfId="0" applyFill="1" applyBorder="1" applyProtection="1">
      <protection locked="0"/>
    </xf>
    <xf numFmtId="0" fontId="0" fillId="11" borderId="6" xfId="0" applyFill="1" applyBorder="1" applyAlignment="1">
      <alignment horizontal="center"/>
    </xf>
    <xf numFmtId="0" fontId="30" fillId="21" borderId="6" xfId="0" applyFont="1" applyFill="1" applyBorder="1" applyAlignment="1">
      <alignment horizontal="right"/>
    </xf>
    <xf numFmtId="9" fontId="0" fillId="11" borderId="6" xfId="1" applyFont="1" applyFill="1" applyBorder="1" applyAlignment="1" applyProtection="1">
      <alignment horizontal="center"/>
      <protection locked="0"/>
    </xf>
    <xf numFmtId="0" fontId="0" fillId="0" borderId="12" xfId="0" applyBorder="1" applyProtection="1">
      <protection locked="0"/>
    </xf>
    <xf numFmtId="0" fontId="30" fillId="44" borderId="3" xfId="0" applyFont="1" applyFill="1" applyBorder="1" applyAlignment="1">
      <alignment horizontal="right"/>
    </xf>
    <xf numFmtId="0" fontId="30" fillId="44" borderId="6" xfId="0" applyFont="1" applyFill="1" applyBorder="1" applyAlignment="1">
      <alignment horizontal="right"/>
    </xf>
    <xf numFmtId="0" fontId="0" fillId="18" borderId="13" xfId="0" applyFill="1" applyBorder="1" applyProtection="1">
      <protection locked="0"/>
    </xf>
    <xf numFmtId="0" fontId="0" fillId="18" borderId="7" xfId="0" applyFill="1" applyBorder="1" applyProtection="1">
      <protection locked="0"/>
    </xf>
    <xf numFmtId="0" fontId="0" fillId="18" borderId="6" xfId="0" applyFill="1" applyBorder="1" applyAlignment="1">
      <alignment horizontal="center"/>
    </xf>
    <xf numFmtId="9" fontId="0" fillId="18" borderId="6" xfId="1" applyFont="1" applyFill="1" applyBorder="1" applyAlignment="1" applyProtection="1">
      <alignment horizontal="center"/>
      <protection locked="0"/>
    </xf>
    <xf numFmtId="0" fontId="30" fillId="14" borderId="7" xfId="0" applyFont="1" applyFill="1" applyBorder="1" applyAlignment="1">
      <alignment horizontal="right"/>
    </xf>
    <xf numFmtId="0" fontId="0" fillId="12" borderId="3" xfId="0" applyFill="1" applyBorder="1"/>
    <xf numFmtId="0" fontId="0" fillId="12" borderId="7" xfId="1" applyNumberFormat="1" applyFont="1" applyFill="1" applyBorder="1" applyAlignment="1" applyProtection="1">
      <alignment horizontal="center"/>
      <protection locked="0"/>
    </xf>
    <xf numFmtId="9" fontId="0" fillId="12" borderId="3" xfId="1" applyFont="1" applyFill="1" applyBorder="1"/>
    <xf numFmtId="0" fontId="0" fillId="6" borderId="3" xfId="0" applyFill="1" applyBorder="1"/>
    <xf numFmtId="0" fontId="0" fillId="12" borderId="13" xfId="1" applyNumberFormat="1" applyFont="1" applyFill="1" applyBorder="1" applyAlignment="1" applyProtection="1">
      <alignment horizontal="center"/>
      <protection locked="0"/>
    </xf>
    <xf numFmtId="0" fontId="0" fillId="6" borderId="7" xfId="1" applyNumberFormat="1" applyFont="1" applyFill="1" applyBorder="1" applyAlignment="1" applyProtection="1">
      <alignment horizontal="center"/>
      <protection locked="0"/>
    </xf>
    <xf numFmtId="0" fontId="0" fillId="6" borderId="13" xfId="1" applyNumberFormat="1" applyFont="1" applyFill="1" applyBorder="1" applyAlignment="1" applyProtection="1">
      <alignment horizontal="center"/>
      <protection locked="0"/>
    </xf>
    <xf numFmtId="9" fontId="0" fillId="6" borderId="3" xfId="1" applyFont="1" applyFill="1" applyBorder="1"/>
    <xf numFmtId="9" fontId="0" fillId="4" borderId="3" xfId="1" applyFont="1" applyFill="1" applyBorder="1"/>
    <xf numFmtId="0" fontId="30" fillId="22" borderId="3" xfId="0" applyFont="1" applyFill="1" applyBorder="1" applyAlignment="1">
      <alignment horizontal="left"/>
    </xf>
    <xf numFmtId="0" fontId="0" fillId="8" borderId="3" xfId="0" applyFill="1" applyBorder="1"/>
    <xf numFmtId="9" fontId="0" fillId="8" borderId="3" xfId="1" applyFont="1" applyFill="1" applyBorder="1"/>
    <xf numFmtId="0" fontId="0" fillId="8" borderId="7" xfId="1" applyNumberFormat="1" applyFont="1" applyFill="1" applyBorder="1" applyAlignment="1" applyProtection="1">
      <alignment horizontal="center"/>
      <protection locked="0"/>
    </xf>
    <xf numFmtId="0" fontId="0" fillId="9" borderId="3" xfId="0" applyFill="1" applyBorder="1"/>
    <xf numFmtId="0" fontId="0" fillId="18" borderId="3" xfId="0" applyFill="1" applyBorder="1"/>
    <xf numFmtId="9" fontId="0" fillId="9" borderId="3" xfId="1" applyFont="1" applyFill="1" applyBorder="1"/>
    <xf numFmtId="9" fontId="0" fillId="18" borderId="3" xfId="1" applyFont="1" applyFill="1" applyBorder="1"/>
    <xf numFmtId="0" fontId="0" fillId="18" borderId="7" xfId="1" applyNumberFormat="1" applyFont="1" applyFill="1" applyBorder="1" applyAlignment="1" applyProtection="1">
      <alignment horizontal="center"/>
      <protection locked="0"/>
    </xf>
    <xf numFmtId="0" fontId="0" fillId="9" borderId="13" xfId="1" applyNumberFormat="1" applyFont="1" applyFill="1" applyBorder="1" applyAlignment="1" applyProtection="1">
      <alignment horizontal="center"/>
      <protection locked="0"/>
    </xf>
    <xf numFmtId="0" fontId="0" fillId="9" borderId="7" xfId="1" applyNumberFormat="1" applyFont="1" applyFill="1" applyBorder="1" applyAlignment="1" applyProtection="1">
      <alignment horizontal="center"/>
      <protection locked="0"/>
    </xf>
    <xf numFmtId="0" fontId="0" fillId="18" borderId="13" xfId="1" applyNumberFormat="1" applyFont="1" applyFill="1" applyBorder="1" applyAlignment="1" applyProtection="1">
      <alignment horizontal="center"/>
      <protection locked="0"/>
    </xf>
    <xf numFmtId="0" fontId="24" fillId="0" borderId="0" xfId="0" applyFont="1"/>
    <xf numFmtId="0" fontId="4" fillId="0" borderId="14" xfId="0" applyFont="1" applyBorder="1" applyAlignment="1">
      <alignment horizontal="center" vertical="center" wrapText="1"/>
    </xf>
    <xf numFmtId="0" fontId="4" fillId="0" borderId="14" xfId="0" applyFont="1" applyBorder="1" applyAlignment="1">
      <alignment horizontal="center" vertical="center"/>
    </xf>
    <xf numFmtId="0" fontId="5" fillId="7" borderId="75" xfId="0" applyFont="1" applyFill="1" applyBorder="1" applyAlignment="1">
      <alignment horizontal="center" vertical="center"/>
    </xf>
    <xf numFmtId="0" fontId="5" fillId="7" borderId="75" xfId="0" applyFont="1" applyFill="1" applyBorder="1" applyAlignment="1">
      <alignment horizontal="left" vertical="center"/>
    </xf>
    <xf numFmtId="0" fontId="5" fillId="7" borderId="74" xfId="0" applyFont="1" applyFill="1" applyBorder="1" applyAlignment="1">
      <alignment horizontal="center" vertical="center"/>
    </xf>
    <xf numFmtId="0" fontId="5" fillId="7" borderId="74" xfId="0" applyFont="1" applyFill="1" applyBorder="1" applyAlignment="1">
      <alignment horizontal="left" vertical="center"/>
    </xf>
    <xf numFmtId="0" fontId="5" fillId="0" borderId="23" xfId="0" applyFont="1" applyBorder="1" applyAlignment="1">
      <alignment horizontal="center"/>
    </xf>
    <xf numFmtId="0" fontId="12" fillId="3" borderId="11" xfId="0" applyFont="1" applyFill="1" applyBorder="1" applyAlignment="1">
      <alignment horizontal="center"/>
    </xf>
    <xf numFmtId="0" fontId="3" fillId="4" borderId="55" xfId="0" applyFont="1" applyFill="1" applyBorder="1" applyAlignment="1">
      <alignment horizontal="left" vertical="center"/>
    </xf>
    <xf numFmtId="0" fontId="3" fillId="4" borderId="56" xfId="0" applyFont="1" applyFill="1" applyBorder="1" applyAlignment="1">
      <alignment horizontal="left" vertical="center"/>
    </xf>
    <xf numFmtId="164" fontId="3" fillId="0" borderId="51" xfId="0" applyNumberFormat="1" applyFont="1" applyBorder="1" applyAlignment="1">
      <alignment vertical="center"/>
    </xf>
    <xf numFmtId="164" fontId="3" fillId="0" borderId="38" xfId="0" applyNumberFormat="1" applyFont="1" applyBorder="1" applyAlignment="1">
      <alignment vertical="center"/>
    </xf>
    <xf numFmtId="0" fontId="5" fillId="36" borderId="25" xfId="0" applyFont="1" applyFill="1" applyBorder="1" applyAlignment="1">
      <alignment horizontal="center"/>
    </xf>
    <xf numFmtId="164" fontId="3" fillId="36" borderId="52" xfId="0" applyNumberFormat="1" applyFont="1" applyFill="1" applyBorder="1" applyAlignment="1">
      <alignment horizontal="right" vertical="center"/>
    </xf>
    <xf numFmtId="164" fontId="3" fillId="36" borderId="39" xfId="0" applyNumberFormat="1" applyFont="1" applyFill="1" applyBorder="1" applyAlignment="1">
      <alignment horizontal="right" vertical="center"/>
    </xf>
    <xf numFmtId="164" fontId="5" fillId="0" borderId="95" xfId="0" applyNumberFormat="1" applyFont="1" applyBorder="1" applyAlignment="1">
      <alignment vertical="center"/>
    </xf>
    <xf numFmtId="164" fontId="5" fillId="36" borderId="96" xfId="0" applyNumberFormat="1" applyFont="1" applyFill="1" applyBorder="1" applyAlignment="1">
      <alignment horizontal="right" vertical="center"/>
    </xf>
    <xf numFmtId="0" fontId="7" fillId="4" borderId="71" xfId="0" applyFont="1" applyFill="1" applyBorder="1" applyAlignment="1">
      <alignment horizontal="center"/>
    </xf>
    <xf numFmtId="0" fontId="26" fillId="36" borderId="49" xfId="0" applyFont="1" applyFill="1" applyBorder="1" applyAlignment="1">
      <alignment horizontal="center"/>
    </xf>
    <xf numFmtId="164" fontId="5" fillId="0" borderId="72" xfId="0" applyNumberFormat="1" applyFont="1" applyBorder="1" applyAlignment="1">
      <alignment horizontal="center"/>
    </xf>
    <xf numFmtId="0" fontId="5" fillId="36" borderId="74" xfId="0" applyFont="1" applyFill="1" applyBorder="1"/>
    <xf numFmtId="164" fontId="7" fillId="4" borderId="94" xfId="0" applyNumberFormat="1" applyFont="1" applyFill="1" applyBorder="1" applyAlignment="1">
      <alignment horizontal="center"/>
    </xf>
    <xf numFmtId="0" fontId="3" fillId="4" borderId="84" xfId="0" applyFont="1" applyFill="1" applyBorder="1" applyAlignment="1">
      <alignment horizontal="left" vertical="center"/>
    </xf>
    <xf numFmtId="164" fontId="3" fillId="0" borderId="59" xfId="0" applyNumberFormat="1" applyFont="1" applyBorder="1" applyAlignment="1">
      <alignment vertical="center"/>
    </xf>
    <xf numFmtId="164" fontId="3" fillId="36" borderId="80" xfId="0" applyNumberFormat="1" applyFont="1" applyFill="1" applyBorder="1" applyAlignment="1">
      <alignment horizontal="right" vertical="center"/>
    </xf>
    <xf numFmtId="0" fontId="5" fillId="4" borderId="55" xfId="0" applyFont="1" applyFill="1" applyBorder="1" applyAlignment="1">
      <alignment horizontal="left" vertical="center"/>
    </xf>
    <xf numFmtId="164" fontId="5" fillId="0" borderId="51" xfId="0" applyNumberFormat="1" applyFont="1" applyBorder="1" applyAlignment="1">
      <alignment vertical="center"/>
    </xf>
    <xf numFmtId="164" fontId="5" fillId="36" borderId="52" xfId="0" applyNumberFormat="1" applyFont="1" applyFill="1" applyBorder="1" applyAlignment="1">
      <alignment horizontal="right" vertical="center"/>
    </xf>
    <xf numFmtId="164" fontId="70" fillId="0" borderId="0" xfId="0" applyNumberFormat="1" applyFont="1"/>
    <xf numFmtId="0" fontId="54" fillId="0" borderId="0" xfId="0" applyFont="1"/>
    <xf numFmtId="0" fontId="30" fillId="14" borderId="6" xfId="0" applyFont="1" applyFill="1" applyBorder="1"/>
    <xf numFmtId="0" fontId="30" fillId="17" borderId="6" xfId="0" applyFont="1" applyFill="1" applyBorder="1" applyAlignment="1">
      <alignment horizontal="right"/>
    </xf>
    <xf numFmtId="0" fontId="30" fillId="17" borderId="7" xfId="0" applyFont="1" applyFill="1" applyBorder="1" applyAlignment="1">
      <alignment horizontal="right"/>
    </xf>
    <xf numFmtId="7" fontId="26" fillId="11" borderId="3" xfId="2" applyNumberFormat="1" applyFont="1" applyFill="1" applyBorder="1" applyAlignment="1">
      <alignment horizontal="center"/>
    </xf>
    <xf numFmtId="7" fontId="26" fillId="18" borderId="3" xfId="2" applyNumberFormat="1" applyFont="1" applyFill="1" applyBorder="1" applyAlignment="1">
      <alignment horizontal="center"/>
    </xf>
    <xf numFmtId="7" fontId="26" fillId="12" borderId="3" xfId="2" applyNumberFormat="1" applyFont="1" applyFill="1" applyBorder="1" applyAlignment="1">
      <alignment horizontal="center"/>
    </xf>
    <xf numFmtId="7" fontId="26" fillId="6" borderId="3" xfId="2" applyNumberFormat="1" applyFont="1" applyFill="1" applyBorder="1" applyAlignment="1">
      <alignment horizontal="center"/>
    </xf>
    <xf numFmtId="7" fontId="26" fillId="4" borderId="3" xfId="2" applyNumberFormat="1" applyFont="1" applyFill="1" applyBorder="1" applyAlignment="1">
      <alignment horizontal="center"/>
    </xf>
    <xf numFmtId="7" fontId="26" fillId="8" borderId="3" xfId="2" applyNumberFormat="1" applyFont="1" applyFill="1" applyBorder="1" applyAlignment="1">
      <alignment horizontal="center"/>
    </xf>
    <xf numFmtId="7" fontId="26" fillId="9" borderId="3" xfId="2" applyNumberFormat="1" applyFont="1" applyFill="1" applyBorder="1" applyAlignment="1">
      <alignment horizontal="center"/>
    </xf>
    <xf numFmtId="0" fontId="26" fillId="0" borderId="76" xfId="0" applyFont="1" applyBorder="1" applyAlignment="1">
      <alignment horizontal="center" vertical="center"/>
    </xf>
    <xf numFmtId="0" fontId="26" fillId="0" borderId="20" xfId="0" applyFont="1" applyBorder="1"/>
    <xf numFmtId="0" fontId="26" fillId="6" borderId="4" xfId="0" applyFont="1" applyFill="1" applyBorder="1" applyAlignment="1">
      <alignment horizontal="center"/>
    </xf>
    <xf numFmtId="0" fontId="26" fillId="6" borderId="16" xfId="0" applyFont="1" applyFill="1" applyBorder="1" applyAlignment="1">
      <alignment horizontal="center"/>
    </xf>
    <xf numFmtId="0" fontId="5" fillId="11" borderId="31" xfId="0" applyFont="1" applyFill="1" applyBorder="1"/>
    <xf numFmtId="0" fontId="5" fillId="11" borderId="32" xfId="0" applyFont="1" applyFill="1" applyBorder="1"/>
    <xf numFmtId="0" fontId="6" fillId="40" borderId="37" xfId="0" applyFont="1" applyFill="1" applyBorder="1"/>
    <xf numFmtId="0" fontId="6" fillId="0" borderId="20" xfId="0" applyFont="1" applyBorder="1"/>
    <xf numFmtId="0" fontId="6" fillId="0" borderId="21" xfId="0" applyFont="1" applyBorder="1"/>
    <xf numFmtId="0" fontId="5" fillId="0" borderId="18" xfId="0" applyFont="1" applyBorder="1" applyAlignment="1">
      <alignment vertical="center"/>
    </xf>
    <xf numFmtId="0" fontId="5" fillId="0" borderId="15" xfId="0" applyFont="1" applyBorder="1" applyAlignment="1">
      <alignment vertical="center"/>
    </xf>
    <xf numFmtId="0" fontId="5" fillId="0" borderId="19" xfId="0" applyFont="1" applyBorder="1" applyAlignment="1">
      <alignment vertical="center"/>
    </xf>
    <xf numFmtId="0" fontId="26" fillId="6" borderId="4" xfId="0" applyFont="1" applyFill="1" applyBorder="1" applyAlignment="1">
      <alignment horizontal="left"/>
    </xf>
    <xf numFmtId="0" fontId="3" fillId="0" borderId="3" xfId="0" applyFont="1" applyBorder="1"/>
    <xf numFmtId="0" fontId="14" fillId="0" borderId="3" xfId="0" applyFont="1" applyBorder="1"/>
    <xf numFmtId="165" fontId="14" fillId="35" borderId="0" xfId="1" applyNumberFormat="1" applyFont="1" applyFill="1" applyBorder="1"/>
    <xf numFmtId="165" fontId="14" fillId="5" borderId="0" xfId="1" applyNumberFormat="1" applyFont="1" applyFill="1" applyBorder="1"/>
    <xf numFmtId="165" fontId="7" fillId="35" borderId="0" xfId="1" applyNumberFormat="1" applyFont="1" applyFill="1" applyBorder="1"/>
    <xf numFmtId="165" fontId="7" fillId="5" borderId="0" xfId="1" applyNumberFormat="1" applyFont="1" applyFill="1" applyBorder="1"/>
    <xf numFmtId="0" fontId="72" fillId="0" borderId="0" xfId="0" applyFont="1"/>
    <xf numFmtId="0" fontId="50" fillId="0" borderId="0" xfId="0" applyFont="1" applyAlignment="1">
      <alignment horizontal="right"/>
    </xf>
    <xf numFmtId="0" fontId="24" fillId="0" borderId="0" xfId="0" applyFont="1" applyAlignment="1">
      <alignment horizontal="left"/>
    </xf>
    <xf numFmtId="167" fontId="24" fillId="0" borderId="0" xfId="0" applyNumberFormat="1" applyFont="1" applyAlignment="1">
      <alignment horizontal="left"/>
    </xf>
    <xf numFmtId="0" fontId="24" fillId="0" borderId="0" xfId="0" applyFont="1" applyAlignment="1">
      <alignment horizontal="right"/>
    </xf>
    <xf numFmtId="165" fontId="24" fillId="0" borderId="0" xfId="1" applyNumberFormat="1" applyFont="1" applyBorder="1" applyAlignment="1">
      <alignment horizontal="right"/>
    </xf>
    <xf numFmtId="0" fontId="50" fillId="0" borderId="0" xfId="0" applyFont="1" applyAlignment="1">
      <alignment horizontal="left"/>
    </xf>
    <xf numFmtId="164" fontId="50" fillId="0" borderId="0" xfId="0" applyNumberFormat="1" applyFont="1"/>
    <xf numFmtId="9" fontId="50" fillId="0" borderId="0" xfId="1" applyFont="1" applyBorder="1" applyAlignment="1">
      <alignment horizontal="right"/>
    </xf>
    <xf numFmtId="9" fontId="24" fillId="0" borderId="0" xfId="1" applyFont="1" applyBorder="1" applyAlignment="1">
      <alignment horizontal="right"/>
    </xf>
    <xf numFmtId="164" fontId="24" fillId="0" borderId="0" xfId="0" applyNumberFormat="1" applyFont="1" applyAlignment="1">
      <alignment horizontal="right"/>
    </xf>
    <xf numFmtId="165" fontId="50" fillId="0" borderId="0" xfId="1" applyNumberFormat="1" applyFont="1" applyFill="1" applyBorder="1" applyAlignment="1">
      <alignment horizontal="right"/>
    </xf>
    <xf numFmtId="164" fontId="50" fillId="0" borderId="0" xfId="0" applyNumberFormat="1" applyFont="1" applyAlignment="1">
      <alignment horizontal="right"/>
    </xf>
    <xf numFmtId="10" fontId="24" fillId="0" borderId="0" xfId="1" applyNumberFormat="1" applyFont="1" applyFill="1" applyBorder="1" applyAlignment="1">
      <alignment horizontal="right"/>
    </xf>
    <xf numFmtId="0" fontId="34" fillId="17" borderId="0" xfId="0" applyFont="1" applyFill="1"/>
    <xf numFmtId="0" fontId="27" fillId="17" borderId="0" xfId="0" applyFont="1" applyFill="1"/>
    <xf numFmtId="0" fontId="0" fillId="0" borderId="0" xfId="0" applyAlignment="1">
      <alignment vertical="center" wrapText="1"/>
    </xf>
    <xf numFmtId="165" fontId="0" fillId="0" borderId="0" xfId="1" applyNumberFormat="1" applyFont="1" applyFill="1" applyBorder="1" applyAlignment="1">
      <alignment vertical="center"/>
    </xf>
    <xf numFmtId="164" fontId="0" fillId="0" borderId="0" xfId="0" applyNumberFormat="1" applyAlignment="1">
      <alignment vertical="center"/>
    </xf>
    <xf numFmtId="164" fontId="26" fillId="0" borderId="0" xfId="0" applyNumberFormat="1" applyFont="1" applyAlignment="1">
      <alignment vertical="center"/>
    </xf>
    <xf numFmtId="0" fontId="50" fillId="0" borderId="0" xfId="0" applyFont="1" applyAlignment="1">
      <alignment wrapText="1"/>
    </xf>
    <xf numFmtId="10" fontId="50" fillId="0" borderId="0" xfId="0" applyNumberFormat="1" applyFont="1"/>
    <xf numFmtId="164" fontId="24" fillId="0" borderId="0" xfId="0" applyNumberFormat="1" applyFont="1"/>
    <xf numFmtId="0" fontId="74" fillId="0" borderId="0" xfId="0" applyFont="1" applyAlignment="1">
      <alignment horizontal="center"/>
    </xf>
    <xf numFmtId="0" fontId="26" fillId="0" borderId="6" xfId="0" applyFont="1" applyBorder="1"/>
    <xf numFmtId="0" fontId="26" fillId="0" borderId="13" xfId="0" applyFont="1" applyBorder="1"/>
    <xf numFmtId="0" fontId="26" fillId="0" borderId="7" xfId="0" applyFont="1" applyBorder="1"/>
    <xf numFmtId="0" fontId="26" fillId="0" borderId="3" xfId="0" applyFont="1" applyBorder="1" applyAlignment="1">
      <alignment horizontal="left"/>
    </xf>
    <xf numFmtId="10" fontId="26" fillId="3" borderId="3" xfId="1" applyNumberFormat="1" applyFont="1" applyFill="1" applyBorder="1"/>
    <xf numFmtId="0" fontId="6" fillId="0" borderId="37" xfId="0" applyFont="1" applyBorder="1"/>
    <xf numFmtId="0" fontId="74" fillId="0" borderId="0" xfId="0" applyFont="1" applyAlignment="1">
      <alignment horizontal="left"/>
    </xf>
    <xf numFmtId="0" fontId="64" fillId="0" borderId="0" xfId="0" applyFont="1" applyAlignment="1">
      <alignment horizontal="center"/>
    </xf>
    <xf numFmtId="0" fontId="74" fillId="35" borderId="0" xfId="0" applyFont="1" applyFill="1" applyAlignment="1">
      <alignment horizontal="left"/>
    </xf>
    <xf numFmtId="0" fontId="64" fillId="35" borderId="0" xfId="0" applyFont="1" applyFill="1" applyAlignment="1">
      <alignment horizontal="center"/>
    </xf>
    <xf numFmtId="0" fontId="65" fillId="0" borderId="0" xfId="0" applyFont="1" applyAlignment="1">
      <alignment horizontal="right"/>
    </xf>
    <xf numFmtId="0" fontId="65" fillId="0" borderId="0" xfId="0" applyFont="1" applyAlignment="1">
      <alignment horizontal="left"/>
    </xf>
    <xf numFmtId="0" fontId="27" fillId="17" borderId="0" xfId="0" applyFont="1" applyFill="1" applyAlignment="1">
      <alignment vertical="center"/>
    </xf>
    <xf numFmtId="0" fontId="64" fillId="17" borderId="0" xfId="0" applyFont="1" applyFill="1"/>
    <xf numFmtId="0" fontId="23" fillId="0" borderId="0" xfId="0" applyFont="1"/>
    <xf numFmtId="0" fontId="50" fillId="36" borderId="0" xfId="0" applyFont="1" applyFill="1" applyAlignment="1">
      <alignment horizontal="right"/>
    </xf>
    <xf numFmtId="0" fontId="24" fillId="36" borderId="0" xfId="0" applyFont="1" applyFill="1" applyAlignment="1">
      <alignment horizontal="left"/>
    </xf>
    <xf numFmtId="0" fontId="50" fillId="36" borderId="0" xfId="0" applyFont="1" applyFill="1"/>
    <xf numFmtId="0" fontId="64" fillId="17" borderId="0" xfId="0" applyFont="1" applyFill="1" applyAlignment="1">
      <alignment vertical="center"/>
    </xf>
    <xf numFmtId="0" fontId="75" fillId="17" borderId="0" xfId="0" applyFont="1" applyFill="1" applyAlignment="1">
      <alignment vertical="center"/>
    </xf>
    <xf numFmtId="0" fontId="27" fillId="17" borderId="0" xfId="0" applyFont="1" applyFill="1" applyAlignment="1">
      <alignment horizontal="right" vertical="center"/>
    </xf>
    <xf numFmtId="0" fontId="40" fillId="0" borderId="0" xfId="0" applyFont="1" applyAlignment="1">
      <alignment vertical="center"/>
    </xf>
    <xf numFmtId="164" fontId="54" fillId="0" borderId="0" xfId="0" applyNumberFormat="1" applyFont="1"/>
    <xf numFmtId="0" fontId="0" fillId="0" borderId="9" xfId="0" applyBorder="1"/>
    <xf numFmtId="0" fontId="40" fillId="0" borderId="0" xfId="0" applyFont="1" applyAlignment="1">
      <alignment horizontal="left" indent="2"/>
    </xf>
    <xf numFmtId="164" fontId="40" fillId="0" borderId="0" xfId="0" applyNumberFormat="1" applyFont="1"/>
    <xf numFmtId="164" fontId="65" fillId="0" borderId="0" xfId="0" applyNumberFormat="1" applyFont="1"/>
    <xf numFmtId="0" fontId="64" fillId="29" borderId="0" xfId="0" applyFont="1" applyFill="1" applyAlignment="1">
      <alignment vertical="center"/>
    </xf>
    <xf numFmtId="0" fontId="24" fillId="29" borderId="0" xfId="0" applyFont="1" applyFill="1" applyAlignment="1">
      <alignment horizontal="right" vertical="center"/>
    </xf>
    <xf numFmtId="0" fontId="24" fillId="0" borderId="78" xfId="0" applyFont="1" applyBorder="1"/>
    <xf numFmtId="164" fontId="24" fillId="0" borderId="78" xfId="0" applyNumberFormat="1" applyFont="1" applyBorder="1"/>
    <xf numFmtId="164" fontId="24" fillId="29" borderId="78" xfId="0" applyNumberFormat="1" applyFont="1" applyFill="1" applyBorder="1"/>
    <xf numFmtId="164" fontId="18" fillId="0" borderId="0" xfId="0" applyNumberFormat="1" applyFont="1" applyAlignment="1">
      <alignment horizontal="right"/>
    </xf>
    <xf numFmtId="0" fontId="28" fillId="0" borderId="0" xfId="0" applyFont="1" applyAlignment="1">
      <alignment horizontal="right" vertical="center"/>
    </xf>
    <xf numFmtId="164" fontId="18" fillId="0" borderId="0" xfId="0" applyNumberFormat="1" applyFont="1"/>
    <xf numFmtId="0" fontId="0" fillId="0" borderId="78" xfId="0" applyBorder="1"/>
    <xf numFmtId="2" fontId="26" fillId="0" borderId="78" xfId="0" applyNumberFormat="1" applyFont="1" applyBorder="1" applyAlignment="1">
      <alignment horizontal="right"/>
    </xf>
    <xf numFmtId="2" fontId="26" fillId="0" borderId="78" xfId="0" applyNumberFormat="1" applyFont="1" applyBorder="1"/>
    <xf numFmtId="2" fontId="26" fillId="29" borderId="78" xfId="0" applyNumberFormat="1" applyFont="1" applyFill="1" applyBorder="1"/>
    <xf numFmtId="2" fontId="26" fillId="0" borderId="0" xfId="0" applyNumberFormat="1" applyFont="1" applyAlignment="1">
      <alignment horizontal="right"/>
    </xf>
    <xf numFmtId="2" fontId="26" fillId="0" borderId="0" xfId="0" applyNumberFormat="1" applyFont="1"/>
    <xf numFmtId="0" fontId="34" fillId="17" borderId="37" xfId="0" applyFont="1" applyFill="1" applyBorder="1"/>
    <xf numFmtId="0" fontId="34" fillId="17" borderId="20" xfId="0" applyFont="1" applyFill="1" applyBorder="1"/>
    <xf numFmtId="0" fontId="76" fillId="17" borderId="20" xfId="0" applyFont="1" applyFill="1" applyBorder="1"/>
    <xf numFmtId="0" fontId="34" fillId="17" borderId="21" xfId="0" applyFont="1" applyFill="1" applyBorder="1"/>
    <xf numFmtId="0" fontId="77" fillId="0" borderId="0" xfId="0" applyFont="1"/>
    <xf numFmtId="0" fontId="24" fillId="40" borderId="68" xfId="0" applyFont="1" applyFill="1" applyBorder="1"/>
    <xf numFmtId="0" fontId="24" fillId="40" borderId="9" xfId="0" applyFont="1" applyFill="1" applyBorder="1"/>
    <xf numFmtId="0" fontId="24" fillId="40" borderId="81" xfId="0" applyFont="1" applyFill="1" applyBorder="1" applyAlignment="1">
      <alignment horizontal="left"/>
    </xf>
    <xf numFmtId="0" fontId="26" fillId="0" borderId="15" xfId="0" applyFont="1" applyBorder="1" applyAlignment="1">
      <alignment vertical="center"/>
    </xf>
    <xf numFmtId="0" fontId="0" fillId="0" borderId="15" xfId="0" applyBorder="1" applyAlignment="1">
      <alignment vertical="center"/>
    </xf>
    <xf numFmtId="0" fontId="0" fillId="0" borderId="19" xfId="0" applyBorder="1" applyAlignment="1">
      <alignment vertical="center"/>
    </xf>
    <xf numFmtId="164" fontId="24" fillId="0" borderId="0" xfId="0" applyNumberFormat="1" applyFont="1" applyAlignment="1">
      <alignment vertical="center"/>
    </xf>
    <xf numFmtId="0" fontId="0" fillId="0" borderId="0" xfId="0" applyAlignment="1">
      <alignment horizontal="left" wrapText="1"/>
    </xf>
    <xf numFmtId="0" fontId="0" fillId="0" borderId="0" xfId="0" applyAlignment="1">
      <alignment horizontal="left" vertical="top"/>
    </xf>
    <xf numFmtId="0" fontId="0" fillId="0" borderId="0" xfId="0" applyAlignment="1">
      <alignment horizontal="left" indent="3"/>
    </xf>
    <xf numFmtId="0" fontId="77" fillId="0" borderId="18" xfId="0" applyFont="1" applyBorder="1" applyAlignment="1">
      <alignment horizontal="left" vertical="center"/>
    </xf>
    <xf numFmtId="0" fontId="5" fillId="11" borderId="37" xfId="0" applyFont="1" applyFill="1" applyBorder="1"/>
    <xf numFmtId="0" fontId="5" fillId="11" borderId="20" xfId="0" applyFont="1" applyFill="1" applyBorder="1"/>
    <xf numFmtId="0" fontId="5" fillId="11" borderId="21" xfId="0" applyFont="1" applyFill="1" applyBorder="1"/>
    <xf numFmtId="164" fontId="79" fillId="0" borderId="3" xfId="0" applyNumberFormat="1" applyFont="1" applyBorder="1"/>
    <xf numFmtId="164" fontId="7" fillId="0" borderId="3" xfId="0" applyNumberFormat="1" applyFont="1" applyBorder="1"/>
    <xf numFmtId="164" fontId="20" fillId="0" borderId="3" xfId="0" applyNumberFormat="1" applyFont="1" applyBorder="1"/>
    <xf numFmtId="164" fontId="7" fillId="0" borderId="6" xfId="0" applyNumberFormat="1" applyFont="1" applyBorder="1"/>
    <xf numFmtId="164" fontId="20" fillId="0" borderId="58" xfId="0" applyNumberFormat="1" applyFont="1" applyBorder="1"/>
    <xf numFmtId="164" fontId="7" fillId="0" borderId="74" xfId="0" applyNumberFormat="1" applyFont="1" applyBorder="1"/>
    <xf numFmtId="0" fontId="18" fillId="0" borderId="15" xfId="0" applyFont="1" applyBorder="1" applyAlignment="1">
      <alignment vertical="center"/>
    </xf>
    <xf numFmtId="164" fontId="50" fillId="0" borderId="0" xfId="0" applyNumberFormat="1" applyFont="1" applyAlignment="1">
      <alignment horizontal="right" vertical="center"/>
    </xf>
    <xf numFmtId="0" fontId="50" fillId="0" borderId="0" xfId="0" applyFont="1" applyAlignment="1">
      <alignment vertical="center"/>
    </xf>
    <xf numFmtId="164" fontId="5" fillId="0" borderId="74" xfId="0" applyNumberFormat="1" applyFont="1" applyBorder="1"/>
    <xf numFmtId="164" fontId="8" fillId="0" borderId="58" xfId="0" applyNumberFormat="1" applyFont="1" applyBorder="1"/>
    <xf numFmtId="164" fontId="5" fillId="0" borderId="62" xfId="0" applyNumberFormat="1" applyFont="1" applyBorder="1"/>
    <xf numFmtId="164" fontId="8" fillId="0" borderId="62" xfId="0" applyNumberFormat="1" applyFont="1" applyBorder="1"/>
    <xf numFmtId="164" fontId="8" fillId="0" borderId="52" xfId="0" applyNumberFormat="1" applyFont="1" applyBorder="1"/>
    <xf numFmtId="165" fontId="79" fillId="0" borderId="0" xfId="1" applyNumberFormat="1" applyFont="1" applyFill="1" applyBorder="1" applyAlignment="1">
      <alignment horizontal="right"/>
    </xf>
    <xf numFmtId="165" fontId="8" fillId="0" borderId="0" xfId="1" applyNumberFormat="1" applyFont="1" applyFill="1" applyBorder="1" applyAlignment="1">
      <alignment horizontal="right"/>
    </xf>
    <xf numFmtId="165" fontId="14" fillId="0" borderId="0" xfId="0" applyNumberFormat="1" applyFont="1" applyAlignment="1">
      <alignment horizontal="right"/>
    </xf>
    <xf numFmtId="165" fontId="3" fillId="0" borderId="0" xfId="0" applyNumberFormat="1" applyFont="1" applyAlignment="1">
      <alignment horizontal="right"/>
    </xf>
    <xf numFmtId="165" fontId="5" fillId="0" borderId="0" xfId="0" applyNumberFormat="1" applyFont="1" applyAlignment="1">
      <alignment horizontal="right"/>
    </xf>
    <xf numFmtId="165" fontId="20" fillId="0" borderId="0" xfId="1" applyNumberFormat="1" applyFont="1" applyFill="1" applyBorder="1" applyAlignment="1">
      <alignment horizontal="right"/>
    </xf>
    <xf numFmtId="164" fontId="5" fillId="0" borderId="3" xfId="0" applyNumberFormat="1" applyFont="1" applyBorder="1"/>
    <xf numFmtId="164" fontId="16" fillId="0" borderId="3" xfId="0" applyNumberFormat="1" applyFont="1" applyBorder="1"/>
    <xf numFmtId="165" fontId="17" fillId="0" borderId="2" xfId="1" applyNumberFormat="1" applyFont="1" applyFill="1" applyBorder="1"/>
    <xf numFmtId="0" fontId="14" fillId="0" borderId="0" xfId="0" applyFont="1" applyAlignment="1">
      <alignment horizontal="right"/>
    </xf>
    <xf numFmtId="0" fontId="6" fillId="45" borderId="37" xfId="0" applyFont="1" applyFill="1" applyBorder="1" applyAlignment="1">
      <alignment vertical="top"/>
    </xf>
    <xf numFmtId="0" fontId="5" fillId="45" borderId="20" xfId="0" applyFont="1" applyFill="1" applyBorder="1" applyAlignment="1">
      <alignment vertical="top" wrapText="1"/>
    </xf>
    <xf numFmtId="0" fontId="5" fillId="45" borderId="21" xfId="0" applyFont="1" applyFill="1" applyBorder="1" applyAlignment="1">
      <alignment vertical="top" wrapText="1"/>
    </xf>
    <xf numFmtId="0" fontId="5" fillId="45" borderId="75" xfId="0" applyFont="1" applyFill="1" applyBorder="1" applyAlignment="1">
      <alignment horizontal="center" vertical="top" wrapText="1"/>
    </xf>
    <xf numFmtId="164" fontId="5" fillId="45" borderId="56" xfId="0" applyNumberFormat="1" applyFont="1" applyFill="1" applyBorder="1"/>
    <xf numFmtId="164" fontId="5" fillId="45" borderId="51" xfId="0" applyNumberFormat="1" applyFont="1" applyFill="1" applyBorder="1"/>
    <xf numFmtId="164" fontId="5" fillId="45" borderId="38" xfId="0" applyNumberFormat="1" applyFont="1" applyFill="1" applyBorder="1"/>
    <xf numFmtId="164" fontId="4" fillId="45" borderId="38" xfId="0" applyNumberFormat="1" applyFont="1" applyFill="1" applyBorder="1"/>
    <xf numFmtId="164" fontId="5" fillId="45" borderId="40" xfId="0" applyNumberFormat="1" applyFont="1" applyFill="1" applyBorder="1"/>
    <xf numFmtId="164" fontId="5" fillId="45" borderId="84" xfId="0" applyNumberFormat="1" applyFont="1" applyFill="1" applyBorder="1"/>
    <xf numFmtId="164" fontId="15" fillId="45" borderId="40" xfId="0" applyNumberFormat="1" applyFont="1" applyFill="1" applyBorder="1"/>
    <xf numFmtId="164" fontId="4" fillId="45" borderId="40" xfId="0" applyNumberFormat="1" applyFont="1" applyFill="1" applyBorder="1"/>
    <xf numFmtId="164" fontId="15" fillId="45" borderId="38" xfId="0" applyNumberFormat="1" applyFont="1" applyFill="1" applyBorder="1" applyAlignment="1">
      <alignment horizontal="right"/>
    </xf>
    <xf numFmtId="164" fontId="8" fillId="45" borderId="38" xfId="0" applyNumberFormat="1" applyFont="1" applyFill="1" applyBorder="1" applyAlignment="1">
      <alignment horizontal="right"/>
    </xf>
    <xf numFmtId="164" fontId="16" fillId="45" borderId="38" xfId="0" applyNumberFormat="1" applyFont="1" applyFill="1" applyBorder="1"/>
    <xf numFmtId="164" fontId="20" fillId="45" borderId="38" xfId="0" applyNumberFormat="1" applyFont="1" applyFill="1" applyBorder="1"/>
    <xf numFmtId="164" fontId="17" fillId="45" borderId="38" xfId="0" applyNumberFormat="1" applyFont="1" applyFill="1" applyBorder="1"/>
    <xf numFmtId="164" fontId="12" fillId="45" borderId="40" xfId="0" applyNumberFormat="1" applyFont="1" applyFill="1" applyBorder="1"/>
    <xf numFmtId="165" fontId="2" fillId="36" borderId="0" xfId="1" applyNumberFormat="1" applyFont="1" applyFill="1" applyBorder="1" applyAlignment="1">
      <alignment horizontal="right"/>
    </xf>
    <xf numFmtId="164" fontId="2" fillId="36" borderId="58" xfId="0" applyNumberFormat="1" applyFont="1" applyFill="1" applyBorder="1"/>
    <xf numFmtId="164" fontId="8" fillId="36" borderId="58" xfId="0" applyNumberFormat="1" applyFont="1" applyFill="1" applyBorder="1"/>
    <xf numFmtId="0" fontId="80" fillId="0" borderId="0" xfId="0" applyFont="1" applyAlignment="1">
      <alignment horizontal="right" vertical="center"/>
    </xf>
    <xf numFmtId="0" fontId="24" fillId="0" borderId="78" xfId="0" applyFont="1" applyBorder="1" applyAlignment="1">
      <alignment horizontal="right"/>
    </xf>
    <xf numFmtId="0" fontId="7" fillId="0" borderId="0" xfId="0" applyFont="1" applyAlignment="1">
      <alignment horizontal="left" vertical="center"/>
    </xf>
    <xf numFmtId="0" fontId="4" fillId="13" borderId="74" xfId="0" applyFont="1" applyFill="1" applyBorder="1" applyAlignment="1">
      <alignment horizontal="right" vertical="center"/>
    </xf>
    <xf numFmtId="0" fontId="5" fillId="6" borderId="4" xfId="0" applyFont="1" applyFill="1" applyBorder="1" applyAlignment="1">
      <alignment vertical="top"/>
    </xf>
    <xf numFmtId="0" fontId="5" fillId="6" borderId="16" xfId="0" applyFont="1" applyFill="1" applyBorder="1" applyAlignment="1">
      <alignment vertical="top" wrapText="1"/>
    </xf>
    <xf numFmtId="0" fontId="5" fillId="6" borderId="5" xfId="0" applyFont="1" applyFill="1" applyBorder="1" applyAlignment="1">
      <alignment vertical="top" wrapText="1"/>
    </xf>
    <xf numFmtId="0" fontId="5" fillId="0" borderId="0" xfId="0" applyFont="1" applyAlignment="1">
      <alignment vertical="center"/>
    </xf>
    <xf numFmtId="0" fontId="8" fillId="0" borderId="0" xfId="0" applyFont="1" applyAlignment="1">
      <alignment horizontal="left" vertical="center"/>
    </xf>
    <xf numFmtId="0" fontId="38" fillId="0" borderId="0" xfId="0" applyFont="1" applyAlignment="1">
      <alignment horizontal="left" vertical="center"/>
    </xf>
    <xf numFmtId="167" fontId="38" fillId="0" borderId="0" xfId="0" applyNumberFormat="1" applyFont="1" applyAlignment="1">
      <alignment horizontal="left" vertical="center"/>
    </xf>
    <xf numFmtId="0" fontId="5" fillId="36" borderId="14" xfId="0" applyFont="1" applyFill="1" applyBorder="1" applyAlignment="1">
      <alignment horizontal="left" vertical="center"/>
    </xf>
    <xf numFmtId="0" fontId="5" fillId="36" borderId="40" xfId="0" applyFont="1" applyFill="1" applyBorder="1" applyAlignment="1">
      <alignment horizontal="center" vertical="center"/>
    </xf>
    <xf numFmtId="0" fontId="5" fillId="0" borderId="2" xfId="0" applyFont="1" applyBorder="1" applyAlignment="1">
      <alignment horizontal="left" vertical="center"/>
    </xf>
    <xf numFmtId="164" fontId="3" fillId="0" borderId="2" xfId="0" applyNumberFormat="1" applyFont="1" applyBorder="1" applyAlignment="1">
      <alignment horizontal="right" vertical="center"/>
    </xf>
    <xf numFmtId="164" fontId="3" fillId="36" borderId="42" xfId="0" applyNumberFormat="1" applyFont="1" applyFill="1" applyBorder="1" applyAlignment="1">
      <alignment horizontal="right" vertical="center"/>
    </xf>
    <xf numFmtId="0" fontId="5" fillId="0" borderId="3" xfId="0" applyFont="1" applyBorder="1" applyAlignment="1">
      <alignment horizontal="left" vertical="center"/>
    </xf>
    <xf numFmtId="164" fontId="3" fillId="0" borderId="3" xfId="0" applyNumberFormat="1" applyFont="1" applyBorder="1" applyAlignment="1">
      <alignment horizontal="right" vertical="center"/>
    </xf>
    <xf numFmtId="164" fontId="3" fillId="36" borderId="38" xfId="0" applyNumberFormat="1" applyFont="1" applyFill="1" applyBorder="1" applyAlignment="1">
      <alignment horizontal="right" vertical="center"/>
    </xf>
    <xf numFmtId="164" fontId="5" fillId="36" borderId="59" xfId="0" applyNumberFormat="1" applyFont="1" applyFill="1" applyBorder="1" applyAlignment="1">
      <alignment horizontal="right" vertical="center"/>
    </xf>
    <xf numFmtId="0" fontId="5" fillId="36" borderId="62" xfId="0" applyFont="1" applyFill="1" applyBorder="1" applyAlignment="1">
      <alignment horizontal="left" vertical="center"/>
    </xf>
    <xf numFmtId="164" fontId="5" fillId="36" borderId="62" xfId="0" applyNumberFormat="1" applyFont="1" applyFill="1" applyBorder="1" applyAlignment="1">
      <alignment horizontal="right" vertical="center"/>
    </xf>
    <xf numFmtId="164" fontId="5" fillId="36" borderId="51" xfId="0" applyNumberFormat="1" applyFont="1" applyFill="1" applyBorder="1" applyAlignment="1">
      <alignment horizontal="right" vertical="center"/>
    </xf>
    <xf numFmtId="0" fontId="5" fillId="29" borderId="6" xfId="0" applyFont="1" applyFill="1" applyBorder="1"/>
    <xf numFmtId="0" fontId="5" fillId="29" borderId="7" xfId="0" applyFont="1" applyFill="1" applyBorder="1" applyAlignment="1">
      <alignment horizontal="center"/>
    </xf>
    <xf numFmtId="164" fontId="5" fillId="29" borderId="3" xfId="0" applyNumberFormat="1" applyFont="1" applyFill="1" applyBorder="1"/>
    <xf numFmtId="9" fontId="3" fillId="0" borderId="0" xfId="0" applyNumberFormat="1" applyFont="1"/>
    <xf numFmtId="0" fontId="3" fillId="0" borderId="57" xfId="0" applyFont="1" applyBorder="1"/>
    <xf numFmtId="164" fontId="3" fillId="0" borderId="59" xfId="0" applyNumberFormat="1" applyFont="1" applyBorder="1"/>
    <xf numFmtId="0" fontId="5" fillId="6" borderId="74" xfId="0" applyFont="1" applyFill="1" applyBorder="1"/>
    <xf numFmtId="164" fontId="5" fillId="6" borderId="23" xfId="0" applyNumberFormat="1" applyFont="1" applyFill="1" applyBorder="1"/>
    <xf numFmtId="164" fontId="5" fillId="6" borderId="24" xfId="0" applyNumberFormat="1" applyFont="1" applyFill="1" applyBorder="1"/>
    <xf numFmtId="10" fontId="3" fillId="9" borderId="3" xfId="1" applyNumberFormat="1" applyFont="1" applyFill="1" applyBorder="1"/>
    <xf numFmtId="10" fontId="3" fillId="8" borderId="3" xfId="1" applyNumberFormat="1" applyFont="1" applyFill="1" applyBorder="1"/>
    <xf numFmtId="10" fontId="3" fillId="7" borderId="3" xfId="1" applyNumberFormat="1" applyFont="1" applyFill="1" applyBorder="1"/>
    <xf numFmtId="10" fontId="3" fillId="11" borderId="3" xfId="1" applyNumberFormat="1" applyFont="1" applyFill="1" applyBorder="1"/>
    <xf numFmtId="10" fontId="3" fillId="18" borderId="3" xfId="1" applyNumberFormat="1" applyFont="1" applyFill="1" applyBorder="1"/>
    <xf numFmtId="10" fontId="3" fillId="12" borderId="3" xfId="1" applyNumberFormat="1" applyFont="1" applyFill="1" applyBorder="1"/>
    <xf numFmtId="0" fontId="5" fillId="3" borderId="3" xfId="0" applyFont="1" applyFill="1" applyBorder="1" applyAlignment="1">
      <alignment vertical="top"/>
    </xf>
    <xf numFmtId="10" fontId="3" fillId="3" borderId="3" xfId="1" applyNumberFormat="1" applyFont="1" applyFill="1" applyBorder="1"/>
    <xf numFmtId="0" fontId="5" fillId="45" borderId="14" xfId="0" applyFont="1" applyFill="1" applyBorder="1" applyAlignment="1">
      <alignment horizontal="center" vertical="top" wrapText="1"/>
    </xf>
    <xf numFmtId="0" fontId="5" fillId="45" borderId="41" xfId="0" applyFont="1" applyFill="1" applyBorder="1" applyAlignment="1">
      <alignment horizontal="center" vertical="top" wrapText="1"/>
    </xf>
    <xf numFmtId="164" fontId="3" fillId="36" borderId="68" xfId="0" applyNumberFormat="1" applyFont="1" applyFill="1" applyBorder="1" applyAlignment="1">
      <alignment horizontal="right" vertical="center"/>
    </xf>
    <xf numFmtId="164" fontId="3" fillId="36" borderId="69" xfId="0" applyNumberFormat="1" applyFont="1" applyFill="1" applyBorder="1" applyAlignment="1">
      <alignment horizontal="right" vertical="center"/>
    </xf>
    <xf numFmtId="164" fontId="5" fillId="36" borderId="87" xfId="0" applyNumberFormat="1" applyFont="1" applyFill="1" applyBorder="1" applyAlignment="1">
      <alignment horizontal="right" vertical="center"/>
    </xf>
    <xf numFmtId="164" fontId="5" fillId="36" borderId="31" xfId="0" applyNumberFormat="1" applyFont="1" applyFill="1" applyBorder="1" applyAlignment="1">
      <alignment horizontal="right" vertical="center"/>
    </xf>
    <xf numFmtId="164" fontId="3" fillId="3" borderId="55" xfId="0" applyNumberFormat="1" applyFont="1" applyFill="1" applyBorder="1"/>
    <xf numFmtId="164" fontId="3" fillId="3" borderId="56" xfId="0" applyNumberFormat="1" applyFont="1" applyFill="1" applyBorder="1"/>
    <xf numFmtId="164" fontId="5" fillId="3" borderId="55" xfId="0" applyNumberFormat="1" applyFont="1" applyFill="1" applyBorder="1" applyAlignment="1">
      <alignment horizontal="right" vertical="center"/>
    </xf>
    <xf numFmtId="164" fontId="3" fillId="36" borderId="87" xfId="0" applyNumberFormat="1" applyFont="1" applyFill="1" applyBorder="1" applyAlignment="1">
      <alignment horizontal="right" vertical="center"/>
    </xf>
    <xf numFmtId="164" fontId="3" fillId="3" borderId="84" xfId="0" applyNumberFormat="1" applyFont="1" applyFill="1" applyBorder="1"/>
    <xf numFmtId="0" fontId="7" fillId="0" borderId="3" xfId="0" applyFont="1" applyBorder="1" applyAlignment="1">
      <alignment horizontal="left" vertical="center"/>
    </xf>
    <xf numFmtId="164" fontId="14" fillId="0" borderId="3" xfId="0" applyNumberFormat="1" applyFont="1" applyBorder="1" applyAlignment="1">
      <alignment horizontal="right" vertical="center"/>
    </xf>
    <xf numFmtId="164" fontId="14" fillId="36" borderId="38" xfId="0" applyNumberFormat="1" applyFont="1" applyFill="1" applyBorder="1" applyAlignment="1">
      <alignment horizontal="right" vertical="center"/>
    </xf>
    <xf numFmtId="164" fontId="14" fillId="36" borderId="68" xfId="0" applyNumberFormat="1" applyFont="1" applyFill="1" applyBorder="1" applyAlignment="1">
      <alignment horizontal="right" vertical="center"/>
    </xf>
    <xf numFmtId="164" fontId="14" fillId="3" borderId="64" xfId="0" applyNumberFormat="1" applyFont="1" applyFill="1" applyBorder="1"/>
    <xf numFmtId="164" fontId="5" fillId="3" borderId="57" xfId="0" applyNumberFormat="1" applyFont="1" applyFill="1" applyBorder="1"/>
    <xf numFmtId="0" fontId="5" fillId="0" borderId="58" xfId="0" applyFont="1" applyBorder="1" applyAlignment="1">
      <alignment horizontal="left" vertical="center"/>
    </xf>
    <xf numFmtId="164" fontId="3" fillId="0" borderId="58" xfId="0" applyNumberFormat="1" applyFont="1" applyBorder="1" applyAlignment="1">
      <alignment horizontal="right" vertical="center"/>
    </xf>
    <xf numFmtId="164" fontId="5" fillId="3" borderId="55" xfId="0" applyNumberFormat="1" applyFont="1" applyFill="1" applyBorder="1"/>
    <xf numFmtId="164" fontId="3" fillId="36" borderId="59" xfId="0" applyNumberFormat="1" applyFont="1" applyFill="1" applyBorder="1" applyAlignment="1">
      <alignment horizontal="right" vertical="center"/>
    </xf>
    <xf numFmtId="164" fontId="5" fillId="36" borderId="55" xfId="0" applyNumberFormat="1" applyFont="1" applyFill="1" applyBorder="1" applyAlignment="1">
      <alignment horizontal="right" vertical="center"/>
    </xf>
    <xf numFmtId="164" fontId="5" fillId="0" borderId="58" xfId="0" applyNumberFormat="1" applyFont="1" applyBorder="1" applyAlignment="1">
      <alignment horizontal="right" vertical="center"/>
    </xf>
    <xf numFmtId="0" fontId="25" fillId="0" borderId="0" xfId="0" applyFont="1"/>
    <xf numFmtId="0" fontId="3" fillId="0" borderId="84" xfId="0" applyFont="1" applyBorder="1"/>
    <xf numFmtId="164" fontId="5" fillId="9" borderId="59" xfId="0" applyNumberFormat="1" applyFont="1" applyFill="1" applyBorder="1"/>
    <xf numFmtId="164" fontId="5" fillId="9" borderId="80" xfId="0" applyNumberFormat="1" applyFont="1" applyFill="1" applyBorder="1"/>
    <xf numFmtId="0" fontId="5" fillId="0" borderId="55" xfId="0" applyFont="1" applyBorder="1"/>
    <xf numFmtId="164" fontId="5" fillId="0" borderId="51" xfId="0" applyNumberFormat="1" applyFont="1" applyBorder="1"/>
    <xf numFmtId="164" fontId="5" fillId="3" borderId="77" xfId="0" applyNumberFormat="1" applyFont="1" applyFill="1" applyBorder="1"/>
    <xf numFmtId="164" fontId="5" fillId="9" borderId="51" xfId="0" applyNumberFormat="1" applyFont="1" applyFill="1" applyBorder="1"/>
    <xf numFmtId="164" fontId="5" fillId="9" borderId="52" xfId="0" applyNumberFormat="1" applyFont="1" applyFill="1" applyBorder="1"/>
    <xf numFmtId="164" fontId="5" fillId="36" borderId="3" xfId="0" applyNumberFormat="1" applyFont="1" applyFill="1" applyBorder="1"/>
    <xf numFmtId="164" fontId="5" fillId="36" borderId="58" xfId="0" applyNumberFormat="1" applyFont="1" applyFill="1" applyBorder="1"/>
    <xf numFmtId="164" fontId="5" fillId="36" borderId="62" xfId="0" applyNumberFormat="1" applyFont="1" applyFill="1" applyBorder="1"/>
    <xf numFmtId="0" fontId="14" fillId="0" borderId="56" xfId="0" applyFont="1" applyBorder="1"/>
    <xf numFmtId="164" fontId="14" fillId="0" borderId="38" xfId="0" applyNumberFormat="1" applyFont="1" applyBorder="1"/>
    <xf numFmtId="164" fontId="14" fillId="0" borderId="3" xfId="0" applyNumberFormat="1" applyFont="1" applyBorder="1"/>
    <xf numFmtId="164" fontId="5" fillId="9" borderId="23" xfId="0" applyNumberFormat="1" applyFont="1" applyFill="1" applyBorder="1"/>
    <xf numFmtId="164" fontId="5" fillId="36" borderId="24" xfId="0" applyNumberFormat="1" applyFont="1" applyFill="1" applyBorder="1"/>
    <xf numFmtId="164" fontId="5" fillId="9" borderId="25" xfId="0" applyNumberFormat="1" applyFont="1" applyFill="1" applyBorder="1"/>
    <xf numFmtId="164" fontId="7" fillId="3" borderId="6" xfId="0" applyNumberFormat="1" applyFont="1" applyFill="1" applyBorder="1"/>
    <xf numFmtId="164" fontId="7" fillId="9" borderId="38" xfId="0" applyNumberFormat="1" applyFont="1" applyFill="1" applyBorder="1"/>
    <xf numFmtId="164" fontId="7" fillId="36" borderId="3" xfId="0" applyNumberFormat="1" applyFont="1" applyFill="1" applyBorder="1"/>
    <xf numFmtId="164" fontId="3" fillId="9" borderId="3" xfId="0" applyNumberFormat="1" applyFont="1" applyFill="1" applyBorder="1"/>
    <xf numFmtId="164" fontId="3" fillId="8" borderId="3" xfId="0" applyNumberFormat="1" applyFont="1" applyFill="1" applyBorder="1"/>
    <xf numFmtId="164" fontId="3" fillId="7" borderId="3" xfId="0" applyNumberFormat="1" applyFont="1" applyFill="1" applyBorder="1"/>
    <xf numFmtId="164" fontId="3" fillId="3" borderId="3" xfId="0" applyNumberFormat="1" applyFont="1" applyFill="1" applyBorder="1"/>
    <xf numFmtId="0" fontId="5" fillId="0" borderId="0" xfId="0" applyFont="1" applyAlignment="1">
      <alignment horizontal="right"/>
    </xf>
    <xf numFmtId="0" fontId="4" fillId="0" borderId="0" xfId="0" applyFont="1" applyAlignment="1">
      <alignment horizontal="right" vertical="center"/>
    </xf>
    <xf numFmtId="0" fontId="5" fillId="0" borderId="3" xfId="0" applyFont="1" applyBorder="1" applyAlignment="1">
      <alignment horizontal="center" vertical="center" wrapText="1"/>
    </xf>
    <xf numFmtId="0" fontId="26" fillId="6" borderId="5" xfId="0" applyFont="1" applyFill="1" applyBorder="1"/>
    <xf numFmtId="0" fontId="26" fillId="6" borderId="16" xfId="0" applyFont="1" applyFill="1" applyBorder="1" applyAlignment="1">
      <alignment horizontal="left"/>
    </xf>
    <xf numFmtId="0" fontId="26" fillId="6" borderId="5" xfId="0" applyFont="1" applyFill="1" applyBorder="1" applyAlignment="1">
      <alignment horizontal="left"/>
    </xf>
    <xf numFmtId="0" fontId="12" fillId="46" borderId="63" xfId="0" applyFont="1" applyFill="1" applyBorder="1" applyAlignment="1">
      <alignment horizontal="center"/>
    </xf>
    <xf numFmtId="164" fontId="7" fillId="46" borderId="43" xfId="0" applyNumberFormat="1" applyFont="1" applyFill="1" applyBorder="1"/>
    <xf numFmtId="164" fontId="7" fillId="46" borderId="39" xfId="0" applyNumberFormat="1" applyFont="1" applyFill="1" applyBorder="1"/>
    <xf numFmtId="164" fontId="7" fillId="46" borderId="41" xfId="0" applyNumberFormat="1" applyFont="1" applyFill="1" applyBorder="1"/>
    <xf numFmtId="164" fontId="7" fillId="46" borderId="52" xfId="0" applyNumberFormat="1" applyFont="1" applyFill="1" applyBorder="1"/>
    <xf numFmtId="164" fontId="7" fillId="46" borderId="3" xfId="0" applyNumberFormat="1" applyFont="1" applyFill="1" applyBorder="1"/>
    <xf numFmtId="164" fontId="4" fillId="46" borderId="3" xfId="0" applyNumberFormat="1" applyFont="1" applyFill="1" applyBorder="1"/>
    <xf numFmtId="164" fontId="7" fillId="46" borderId="80" xfId="0" applyNumberFormat="1" applyFont="1" applyFill="1" applyBorder="1"/>
    <xf numFmtId="164" fontId="5" fillId="46" borderId="3" xfId="0" applyNumberFormat="1" applyFont="1" applyFill="1" applyBorder="1"/>
    <xf numFmtId="164" fontId="15" fillId="46" borderId="3" xfId="0" applyNumberFormat="1" applyFont="1" applyFill="1" applyBorder="1"/>
    <xf numFmtId="164" fontId="7" fillId="46" borderId="58" xfId="0" applyNumberFormat="1" applyFont="1" applyFill="1" applyBorder="1"/>
    <xf numFmtId="164" fontId="5" fillId="46" borderId="25" xfId="0" applyNumberFormat="1" applyFont="1" applyFill="1" applyBorder="1"/>
    <xf numFmtId="164" fontId="7" fillId="46" borderId="2" xfId="0" applyNumberFormat="1" applyFont="1" applyFill="1" applyBorder="1"/>
    <xf numFmtId="164" fontId="8" fillId="46" borderId="3" xfId="0" applyNumberFormat="1" applyFont="1" applyFill="1" applyBorder="1" applyAlignment="1">
      <alignment horizontal="right"/>
    </xf>
    <xf numFmtId="164" fontId="16" fillId="46" borderId="3" xfId="0" applyNumberFormat="1" applyFont="1" applyFill="1" applyBorder="1"/>
    <xf numFmtId="164" fontId="20" fillId="46" borderId="58" xfId="0" applyNumberFormat="1" applyFont="1" applyFill="1" applyBorder="1"/>
    <xf numFmtId="165" fontId="20" fillId="46" borderId="23" xfId="1" applyNumberFormat="1" applyFont="1" applyFill="1" applyBorder="1" applyAlignment="1">
      <alignment horizontal="right"/>
    </xf>
    <xf numFmtId="164" fontId="4" fillId="46" borderId="97" xfId="0" applyNumberFormat="1" applyFont="1" applyFill="1" applyBorder="1"/>
    <xf numFmtId="164" fontId="4" fillId="46" borderId="98" xfId="0" applyNumberFormat="1" applyFont="1" applyFill="1" applyBorder="1"/>
    <xf numFmtId="164" fontId="12" fillId="46" borderId="99" xfId="0" applyNumberFormat="1" applyFont="1" applyFill="1" applyBorder="1"/>
    <xf numFmtId="164" fontId="5" fillId="46" borderId="24" xfId="0" applyNumberFormat="1" applyFont="1" applyFill="1" applyBorder="1"/>
    <xf numFmtId="164" fontId="5" fillId="46" borderId="74" xfId="0" applyNumberFormat="1" applyFont="1" applyFill="1" applyBorder="1"/>
    <xf numFmtId="0" fontId="26" fillId="46" borderId="3" xfId="0" applyFont="1" applyFill="1" applyBorder="1" applyAlignment="1">
      <alignment vertical="top"/>
    </xf>
    <xf numFmtId="10" fontId="1" fillId="46" borderId="3" xfId="1" applyNumberFormat="1" applyFont="1" applyFill="1" applyBorder="1"/>
    <xf numFmtId="10" fontId="0" fillId="46" borderId="3" xfId="1" applyNumberFormat="1" applyFont="1" applyFill="1" applyBorder="1"/>
    <xf numFmtId="0" fontId="28" fillId="6" borderId="5" xfId="0" applyFont="1" applyFill="1" applyBorder="1" applyAlignment="1">
      <alignment horizontal="center"/>
    </xf>
    <xf numFmtId="164" fontId="12" fillId="46" borderId="3" xfId="0" applyNumberFormat="1" applyFont="1" applyFill="1" applyBorder="1"/>
    <xf numFmtId="164" fontId="7" fillId="46" borderId="25" xfId="0" applyNumberFormat="1" applyFont="1" applyFill="1" applyBorder="1"/>
    <xf numFmtId="0" fontId="24" fillId="3" borderId="4" xfId="0" applyFont="1" applyFill="1" applyBorder="1" applyAlignment="1">
      <alignment horizontal="left"/>
    </xf>
    <xf numFmtId="0" fontId="24" fillId="4" borderId="4" xfId="0" applyFont="1" applyFill="1" applyBorder="1" applyAlignment="1">
      <alignment horizontal="left"/>
    </xf>
    <xf numFmtId="0" fontId="24" fillId="4" borderId="16" xfId="0" applyFont="1" applyFill="1" applyBorder="1"/>
    <xf numFmtId="164" fontId="50" fillId="4" borderId="16" xfId="2" applyNumberFormat="1" applyFont="1" applyFill="1" applyBorder="1" applyAlignment="1">
      <alignment horizontal="center"/>
    </xf>
    <xf numFmtId="164" fontId="24" fillId="4" borderId="74" xfId="2" applyNumberFormat="1" applyFont="1" applyFill="1" applyBorder="1" applyAlignment="1">
      <alignment horizontal="center"/>
    </xf>
    <xf numFmtId="0" fontId="68" fillId="3" borderId="4" xfId="0" applyFont="1" applyFill="1" applyBorder="1" applyAlignment="1">
      <alignment horizontal="left"/>
    </xf>
    <xf numFmtId="0" fontId="68" fillId="3" borderId="16" xfId="0" applyFont="1" applyFill="1" applyBorder="1" applyAlignment="1">
      <alignment horizontal="left"/>
    </xf>
    <xf numFmtId="0" fontId="24" fillId="3" borderId="16" xfId="0" applyFont="1" applyFill="1" applyBorder="1" applyAlignment="1">
      <alignment horizontal="left"/>
    </xf>
    <xf numFmtId="0" fontId="24" fillId="47" borderId="0" xfId="0" applyFont="1" applyFill="1" applyAlignment="1">
      <alignment horizontal="center"/>
    </xf>
    <xf numFmtId="0" fontId="11" fillId="0" borderId="0" xfId="3"/>
    <xf numFmtId="6" fontId="0" fillId="0" borderId="0" xfId="0" applyNumberFormat="1"/>
    <xf numFmtId="0" fontId="0" fillId="0" borderId="0" xfId="0" applyAlignment="1">
      <alignment vertical="top"/>
    </xf>
    <xf numFmtId="0" fontId="44" fillId="0" borderId="0" xfId="0" applyFont="1"/>
    <xf numFmtId="0" fontId="43" fillId="0" borderId="0" xfId="0" applyFont="1" applyAlignment="1">
      <alignment horizontal="center"/>
    </xf>
    <xf numFmtId="9" fontId="0" fillId="18" borderId="3" xfId="1" applyFont="1" applyFill="1" applyBorder="1" applyAlignment="1" applyProtection="1">
      <alignment horizontal="right"/>
      <protection locked="0"/>
    </xf>
    <xf numFmtId="164" fontId="0" fillId="18" borderId="3" xfId="0" applyNumberFormat="1" applyFill="1" applyBorder="1" applyAlignment="1" applyProtection="1">
      <alignment horizontal="right"/>
      <protection locked="0"/>
    </xf>
    <xf numFmtId="0" fontId="5" fillId="18" borderId="37" xfId="0" applyFont="1" applyFill="1" applyBorder="1"/>
    <xf numFmtId="0" fontId="5" fillId="18" borderId="20" xfId="0" applyFont="1" applyFill="1" applyBorder="1"/>
    <xf numFmtId="0" fontId="5" fillId="18" borderId="21" xfId="0" applyFont="1" applyFill="1" applyBorder="1"/>
    <xf numFmtId="0" fontId="5" fillId="18" borderId="31" xfId="0" applyFont="1" applyFill="1" applyBorder="1"/>
    <xf numFmtId="0" fontId="5" fillId="18" borderId="32" xfId="0" applyFont="1" applyFill="1" applyBorder="1"/>
    <xf numFmtId="9" fontId="0" fillId="0" borderId="51" xfId="1" applyFont="1" applyFill="1" applyBorder="1" applyAlignment="1">
      <alignment horizontal="center"/>
    </xf>
    <xf numFmtId="0" fontId="84" fillId="0" borderId="0" xfId="0" applyFont="1"/>
    <xf numFmtId="0" fontId="26" fillId="0" borderId="13" xfId="0" applyFont="1" applyBorder="1" applyAlignment="1">
      <alignment horizontal="center"/>
    </xf>
    <xf numFmtId="0" fontId="26" fillId="0" borderId="7" xfId="0" applyFont="1" applyBorder="1" applyAlignment="1">
      <alignment horizontal="center"/>
    </xf>
    <xf numFmtId="0" fontId="85" fillId="0" borderId="0" xfId="3" applyFont="1"/>
    <xf numFmtId="8" fontId="0" fillId="0" borderId="3" xfId="0" applyNumberFormat="1" applyBorder="1" applyAlignment="1">
      <alignment horizontal="center" vertical="center"/>
    </xf>
    <xf numFmtId="8" fontId="0" fillId="0" borderId="14" xfId="2" applyNumberFormat="1" applyFont="1" applyBorder="1" applyAlignment="1">
      <alignment horizontal="center" vertical="center"/>
    </xf>
    <xf numFmtId="164" fontId="71" fillId="0" borderId="0" xfId="0" applyNumberFormat="1" applyFont="1"/>
    <xf numFmtId="0" fontId="26" fillId="0" borderId="6" xfId="0" applyFont="1" applyBorder="1" applyAlignment="1">
      <alignment horizontal="left"/>
    </xf>
    <xf numFmtId="0" fontId="26" fillId="48" borderId="3" xfId="0" applyFont="1" applyFill="1" applyBorder="1" applyAlignment="1">
      <alignment vertical="top"/>
    </xf>
    <xf numFmtId="10" fontId="0" fillId="48" borderId="3" xfId="1" applyNumberFormat="1" applyFont="1" applyFill="1" applyBorder="1"/>
    <xf numFmtId="164" fontId="2" fillId="12" borderId="31" xfId="0" applyNumberFormat="1" applyFont="1" applyFill="1" applyBorder="1"/>
    <xf numFmtId="164" fontId="3" fillId="11" borderId="52" xfId="0" applyNumberFormat="1" applyFont="1" applyFill="1" applyBorder="1"/>
    <xf numFmtId="164" fontId="2" fillId="6" borderId="51" xfId="0" applyNumberFormat="1" applyFont="1" applyFill="1" applyBorder="1"/>
    <xf numFmtId="164" fontId="3" fillId="6" borderId="62" xfId="0" applyNumberFormat="1" applyFont="1" applyFill="1" applyBorder="1"/>
    <xf numFmtId="164" fontId="3" fillId="6" borderId="77" xfId="0" applyNumberFormat="1" applyFont="1" applyFill="1" applyBorder="1"/>
    <xf numFmtId="164" fontId="3" fillId="8" borderId="51" xfId="0" applyNumberFormat="1" applyFont="1" applyFill="1" applyBorder="1"/>
    <xf numFmtId="164" fontId="2" fillId="8" borderId="62" xfId="0" applyNumberFormat="1" applyFont="1" applyFill="1" applyBorder="1"/>
    <xf numFmtId="164" fontId="3" fillId="8" borderId="52" xfId="0" applyNumberFormat="1" applyFont="1" applyFill="1" applyBorder="1"/>
    <xf numFmtId="164" fontId="7" fillId="3" borderId="55" xfId="0" applyNumberFormat="1" applyFont="1" applyFill="1" applyBorder="1"/>
    <xf numFmtId="164" fontId="3" fillId="0" borderId="52" xfId="0" applyNumberFormat="1" applyFont="1" applyBorder="1"/>
    <xf numFmtId="164" fontId="3" fillId="11" borderId="42" xfId="0" applyNumberFormat="1" applyFont="1" applyFill="1" applyBorder="1"/>
    <xf numFmtId="164" fontId="3" fillId="11" borderId="2" xfId="0" applyNumberFormat="1" applyFont="1" applyFill="1" applyBorder="1"/>
    <xf numFmtId="164" fontId="3" fillId="11" borderId="43" xfId="0" applyNumberFormat="1" applyFont="1" applyFill="1" applyBorder="1"/>
    <xf numFmtId="164" fontId="2" fillId="6" borderId="42" xfId="0" applyNumberFormat="1" applyFont="1" applyFill="1" applyBorder="1"/>
    <xf numFmtId="164" fontId="3" fillId="6" borderId="2" xfId="0" applyNumberFormat="1" applyFont="1" applyFill="1" applyBorder="1"/>
    <xf numFmtId="164" fontId="3" fillId="6" borderId="12" xfId="0" applyNumberFormat="1" applyFont="1" applyFill="1" applyBorder="1"/>
    <xf numFmtId="164" fontId="3" fillId="8" borderId="42" xfId="0" applyNumberFormat="1" applyFont="1" applyFill="1" applyBorder="1"/>
    <xf numFmtId="164" fontId="2" fillId="8" borderId="2" xfId="0" applyNumberFormat="1" applyFont="1" applyFill="1" applyBorder="1"/>
    <xf numFmtId="164" fontId="3" fillId="8" borderId="43" xfId="0" applyNumberFormat="1" applyFont="1" applyFill="1" applyBorder="1"/>
    <xf numFmtId="164" fontId="7" fillId="3" borderId="64" xfId="0" applyNumberFormat="1" applyFont="1" applyFill="1" applyBorder="1"/>
    <xf numFmtId="164" fontId="3" fillId="0" borderId="39" xfId="0" applyNumberFormat="1" applyFont="1" applyBorder="1"/>
    <xf numFmtId="164" fontId="5" fillId="3" borderId="56" xfId="0" applyNumberFormat="1" applyFont="1" applyFill="1" applyBorder="1"/>
    <xf numFmtId="164" fontId="2" fillId="12" borderId="69" xfId="0" applyNumberFormat="1" applyFont="1" applyFill="1" applyBorder="1"/>
    <xf numFmtId="164" fontId="3" fillId="11" borderId="39" xfId="0" applyNumberFormat="1" applyFont="1" applyFill="1" applyBorder="1"/>
    <xf numFmtId="164" fontId="2" fillId="6" borderId="38" xfId="0" applyNumberFormat="1" applyFont="1" applyFill="1" applyBorder="1"/>
    <xf numFmtId="164" fontId="3" fillId="6" borderId="3" xfId="0" applyNumberFormat="1" applyFont="1" applyFill="1" applyBorder="1"/>
    <xf numFmtId="164" fontId="3" fillId="6" borderId="6" xfId="0" applyNumberFormat="1" applyFont="1" applyFill="1" applyBorder="1"/>
    <xf numFmtId="164" fontId="3" fillId="8" borderId="38" xfId="0" applyNumberFormat="1" applyFont="1" applyFill="1" applyBorder="1"/>
    <xf numFmtId="164" fontId="2" fillId="8" borderId="3" xfId="0" applyNumberFormat="1" applyFont="1" applyFill="1" applyBorder="1"/>
    <xf numFmtId="164" fontId="3" fillId="8" borderId="39" xfId="0" applyNumberFormat="1" applyFont="1" applyFill="1" applyBorder="1"/>
    <xf numFmtId="164" fontId="2" fillId="11" borderId="38" xfId="0" applyNumberFormat="1" applyFont="1" applyFill="1" applyBorder="1"/>
    <xf numFmtId="164" fontId="2" fillId="11" borderId="3" xfId="0" applyNumberFormat="1" applyFont="1" applyFill="1" applyBorder="1"/>
    <xf numFmtId="164" fontId="2" fillId="11" borderId="39" xfId="0" applyNumberFormat="1" applyFont="1" applyFill="1" applyBorder="1"/>
    <xf numFmtId="164" fontId="2" fillId="6" borderId="3" xfId="0" applyNumberFormat="1" applyFont="1" applyFill="1" applyBorder="1"/>
    <xf numFmtId="164" fontId="2" fillId="6" borderId="6" xfId="0" applyNumberFormat="1" applyFont="1" applyFill="1" applyBorder="1"/>
    <xf numFmtId="164" fontId="2" fillId="8" borderId="38" xfId="0" applyNumberFormat="1" applyFont="1" applyFill="1" applyBorder="1"/>
    <xf numFmtId="164" fontId="2" fillId="8" borderId="39" xfId="0" applyNumberFormat="1" applyFont="1" applyFill="1" applyBorder="1"/>
    <xf numFmtId="164" fontId="3" fillId="11" borderId="69" xfId="0" applyNumberFormat="1" applyFont="1" applyFill="1" applyBorder="1"/>
    <xf numFmtId="164" fontId="3" fillId="11" borderId="85" xfId="0" applyNumberFormat="1" applyFont="1" applyFill="1" applyBorder="1"/>
    <xf numFmtId="164" fontId="3" fillId="11" borderId="7" xfId="0" applyNumberFormat="1" applyFont="1" applyFill="1" applyBorder="1"/>
    <xf numFmtId="164" fontId="2" fillId="12" borderId="33" xfId="0" applyNumberFormat="1" applyFont="1" applyFill="1" applyBorder="1"/>
    <xf numFmtId="164" fontId="3" fillId="11" borderId="40" xfId="0" applyNumberFormat="1" applyFont="1" applyFill="1" applyBorder="1"/>
    <xf numFmtId="164" fontId="3" fillId="11" borderId="14" xfId="0" applyNumberFormat="1" applyFont="1" applyFill="1" applyBorder="1"/>
    <xf numFmtId="164" fontId="3" fillId="11" borderId="41" xfId="0" applyNumberFormat="1" applyFont="1" applyFill="1" applyBorder="1"/>
    <xf numFmtId="164" fontId="2" fillId="6" borderId="40" xfId="0" applyNumberFormat="1" applyFont="1" applyFill="1" applyBorder="1"/>
    <xf numFmtId="164" fontId="3" fillId="6" borderId="14" xfId="0" applyNumberFormat="1" applyFont="1" applyFill="1" applyBorder="1"/>
    <xf numFmtId="164" fontId="3" fillId="6" borderId="47" xfId="0" applyNumberFormat="1" applyFont="1" applyFill="1" applyBorder="1"/>
    <xf numFmtId="164" fontId="3" fillId="8" borderId="40" xfId="0" applyNumberFormat="1" applyFont="1" applyFill="1" applyBorder="1"/>
    <xf numFmtId="164" fontId="2" fillId="8" borderId="14" xfId="0" applyNumberFormat="1" applyFont="1" applyFill="1" applyBorder="1"/>
    <xf numFmtId="164" fontId="3" fillId="8" borderId="41" xfId="0" applyNumberFormat="1" applyFont="1" applyFill="1" applyBorder="1"/>
    <xf numFmtId="164" fontId="7" fillId="3" borderId="71" xfId="0" applyNumberFormat="1" applyFont="1" applyFill="1" applyBorder="1"/>
    <xf numFmtId="164" fontId="4" fillId="3" borderId="74" xfId="0" applyNumberFormat="1" applyFont="1" applyFill="1" applyBorder="1"/>
    <xf numFmtId="164" fontId="4" fillId="3" borderId="67" xfId="0" applyNumberFormat="1" applyFont="1" applyFill="1" applyBorder="1"/>
    <xf numFmtId="164" fontId="4" fillId="3" borderId="4" xfId="0" applyNumberFormat="1" applyFont="1" applyFill="1" applyBorder="1"/>
    <xf numFmtId="164" fontId="7" fillId="3" borderId="19" xfId="0" applyNumberFormat="1" applyFont="1" applyFill="1" applyBorder="1"/>
    <xf numFmtId="164" fontId="5" fillId="3" borderId="40" xfId="0" applyNumberFormat="1" applyFont="1" applyFill="1" applyBorder="1"/>
    <xf numFmtId="164" fontId="5" fillId="3" borderId="14" xfId="0" applyNumberFormat="1" applyFont="1" applyFill="1" applyBorder="1"/>
    <xf numFmtId="164" fontId="3" fillId="0" borderId="0" xfId="0" applyNumberFormat="1" applyFont="1"/>
    <xf numFmtId="164" fontId="3" fillId="11" borderId="62" xfId="2" applyNumberFormat="1" applyFont="1" applyFill="1" applyBorder="1"/>
    <xf numFmtId="164" fontId="3" fillId="6" borderId="62" xfId="2" applyNumberFormat="1" applyFont="1" applyFill="1" applyBorder="1"/>
    <xf numFmtId="164" fontId="3" fillId="8" borderId="62" xfId="2" applyNumberFormat="1" applyFont="1" applyFill="1" applyBorder="1"/>
    <xf numFmtId="164" fontId="3" fillId="11" borderId="3" xfId="2" applyNumberFormat="1" applyFont="1" applyFill="1" applyBorder="1"/>
    <xf numFmtId="164" fontId="3" fillId="6" borderId="3" xfId="2" applyNumberFormat="1" applyFont="1" applyFill="1" applyBorder="1"/>
    <xf numFmtId="164" fontId="3" fillId="8" borderId="3" xfId="2" applyNumberFormat="1" applyFont="1" applyFill="1" applyBorder="1"/>
    <xf numFmtId="164" fontId="7" fillId="3" borderId="56" xfId="0" applyNumberFormat="1" applyFont="1" applyFill="1" applyBorder="1"/>
    <xf numFmtId="164" fontId="3" fillId="11" borderId="14" xfId="2" applyNumberFormat="1" applyFont="1" applyFill="1" applyBorder="1"/>
    <xf numFmtId="164" fontId="3" fillId="6" borderId="14" xfId="2" applyNumberFormat="1" applyFont="1" applyFill="1" applyBorder="1"/>
    <xf numFmtId="164" fontId="3" fillId="8" borderId="14" xfId="2" applyNumberFormat="1" applyFont="1" applyFill="1" applyBorder="1"/>
    <xf numFmtId="164" fontId="7" fillId="3" borderId="84" xfId="0" applyNumberFormat="1" applyFont="1" applyFill="1" applyBorder="1"/>
    <xf numFmtId="164" fontId="4" fillId="3" borderId="18" xfId="0" applyNumberFormat="1" applyFont="1" applyFill="1" applyBorder="1"/>
    <xf numFmtId="164" fontId="7" fillId="3" borderId="74" xfId="0" applyNumberFormat="1" applyFont="1" applyFill="1" applyBorder="1"/>
    <xf numFmtId="164" fontId="5" fillId="3" borderId="38" xfId="0" applyNumberFormat="1" applyFont="1" applyFill="1" applyBorder="1"/>
    <xf numFmtId="164" fontId="3" fillId="6" borderId="52" xfId="0" applyNumberFormat="1" applyFont="1" applyFill="1" applyBorder="1"/>
    <xf numFmtId="164" fontId="7" fillId="3" borderId="81" xfId="0" applyNumberFormat="1" applyFont="1" applyFill="1" applyBorder="1"/>
    <xf numFmtId="164" fontId="7" fillId="3" borderId="85" xfId="0" applyNumberFormat="1" applyFont="1" applyFill="1" applyBorder="1"/>
    <xf numFmtId="164" fontId="2" fillId="6" borderId="39" xfId="0" applyNumberFormat="1" applyFont="1" applyFill="1" applyBorder="1"/>
    <xf numFmtId="164" fontId="3" fillId="6" borderId="41" xfId="0" applyNumberFormat="1" applyFont="1" applyFill="1" applyBorder="1"/>
    <xf numFmtId="164" fontId="7" fillId="3" borderId="34" xfId="0" applyNumberFormat="1" applyFont="1" applyFill="1" applyBorder="1"/>
    <xf numFmtId="164" fontId="4" fillId="3" borderId="72" xfId="0" applyNumberFormat="1" applyFont="1" applyFill="1" applyBorder="1"/>
    <xf numFmtId="164" fontId="4" fillId="3" borderId="49" xfId="0" applyNumberFormat="1" applyFont="1" applyFill="1" applyBorder="1"/>
    <xf numFmtId="164" fontId="4" fillId="3" borderId="70" xfId="0" applyNumberFormat="1" applyFont="1" applyFill="1" applyBorder="1"/>
    <xf numFmtId="164" fontId="3" fillId="6" borderId="51" xfId="0" applyNumberFormat="1" applyFont="1" applyFill="1" applyBorder="1"/>
    <xf numFmtId="164" fontId="3" fillId="8" borderId="62" xfId="0" applyNumberFormat="1" applyFont="1" applyFill="1" applyBorder="1"/>
    <xf numFmtId="164" fontId="7" fillId="3" borderId="32" xfId="0" applyNumberFormat="1" applyFont="1" applyFill="1" applyBorder="1"/>
    <xf numFmtId="164" fontId="3" fillId="0" borderId="42" xfId="0" applyNumberFormat="1" applyFont="1" applyBorder="1"/>
    <xf numFmtId="164" fontId="3" fillId="0" borderId="43" xfId="0" applyNumberFormat="1" applyFont="1" applyBorder="1"/>
    <xf numFmtId="164" fontId="3" fillId="0" borderId="12" xfId="0" applyNumberFormat="1" applyFont="1" applyBorder="1"/>
    <xf numFmtId="164" fontId="3" fillId="12" borderId="69" xfId="0" applyNumberFormat="1" applyFont="1" applyFill="1" applyBorder="1"/>
    <xf numFmtId="164" fontId="3" fillId="6" borderId="38" xfId="0" applyNumberFormat="1" applyFont="1" applyFill="1" applyBorder="1"/>
    <xf numFmtId="164" fontId="3" fillId="0" borderId="6" xfId="0" applyNumberFormat="1" applyFont="1" applyBorder="1"/>
    <xf numFmtId="164" fontId="3" fillId="12" borderId="33" xfId="0" applyNumberFormat="1" applyFont="1" applyFill="1" applyBorder="1"/>
    <xf numFmtId="164" fontId="3" fillId="6" borderId="40" xfId="0" applyNumberFormat="1" applyFont="1" applyFill="1" applyBorder="1"/>
    <xf numFmtId="164" fontId="3" fillId="8" borderId="14" xfId="0" applyNumberFormat="1" applyFont="1" applyFill="1" applyBorder="1"/>
    <xf numFmtId="164" fontId="3" fillId="0" borderId="80" xfId="0" applyNumberFormat="1" applyFont="1" applyBorder="1"/>
    <xf numFmtId="164" fontId="3" fillId="0" borderId="11" xfId="0" applyNumberFormat="1" applyFont="1" applyBorder="1"/>
    <xf numFmtId="164" fontId="5" fillId="3" borderId="84" xfId="0" applyNumberFormat="1" applyFont="1" applyFill="1" applyBorder="1"/>
    <xf numFmtId="164" fontId="8" fillId="3" borderId="17" xfId="0" applyNumberFormat="1" applyFont="1" applyFill="1" applyBorder="1"/>
    <xf numFmtId="164" fontId="8" fillId="3" borderId="53" xfId="0" applyNumberFormat="1" applyFont="1" applyFill="1" applyBorder="1"/>
    <xf numFmtId="164" fontId="8" fillId="3" borderId="60" xfId="0" applyNumberFormat="1" applyFont="1" applyFill="1" applyBorder="1"/>
    <xf numFmtId="164" fontId="8" fillId="3" borderId="63" xfId="0" applyNumberFormat="1" applyFont="1" applyFill="1" applyBorder="1"/>
    <xf numFmtId="164" fontId="8" fillId="3" borderId="1" xfId="0" applyNumberFormat="1" applyFont="1" applyFill="1" applyBorder="1"/>
    <xf numFmtId="164" fontId="8" fillId="3" borderId="74" xfId="0" applyNumberFormat="1" applyFont="1" applyFill="1" applyBorder="1"/>
    <xf numFmtId="164" fontId="8" fillId="3" borderId="25" xfId="0" applyNumberFormat="1" applyFont="1" applyFill="1" applyBorder="1"/>
    <xf numFmtId="164" fontId="3" fillId="11" borderId="62" xfId="0" applyNumberFormat="1" applyFont="1" applyFill="1" applyBorder="1" applyAlignment="1">
      <alignment horizontal="right"/>
    </xf>
    <xf numFmtId="164" fontId="3" fillId="6" borderId="62" xfId="0" applyNumberFormat="1" applyFont="1" applyFill="1" applyBorder="1" applyAlignment="1">
      <alignment horizontal="right"/>
    </xf>
    <xf numFmtId="164" fontId="3" fillId="8" borderId="62" xfId="0" applyNumberFormat="1" applyFont="1" applyFill="1" applyBorder="1" applyAlignment="1">
      <alignment horizontal="right"/>
    </xf>
    <xf numFmtId="164" fontId="5" fillId="3" borderId="64" xfId="0" applyNumberFormat="1" applyFont="1" applyFill="1" applyBorder="1"/>
    <xf numFmtId="164" fontId="3" fillId="12" borderId="69" xfId="0" applyNumberFormat="1" applyFont="1" applyFill="1" applyBorder="1" applyAlignment="1">
      <alignment horizontal="right"/>
    </xf>
    <xf numFmtId="164" fontId="3" fillId="11" borderId="38" xfId="0" applyNumberFormat="1" applyFont="1" applyFill="1" applyBorder="1" applyAlignment="1">
      <alignment horizontal="right"/>
    </xf>
    <xf numFmtId="164" fontId="3" fillId="11" borderId="3" xfId="0" applyNumberFormat="1" applyFont="1" applyFill="1" applyBorder="1" applyAlignment="1">
      <alignment horizontal="right"/>
    </xf>
    <xf numFmtId="164" fontId="3" fillId="11" borderId="39" xfId="0" applyNumberFormat="1" applyFont="1" applyFill="1" applyBorder="1" applyAlignment="1">
      <alignment horizontal="right"/>
    </xf>
    <xf numFmtId="164" fontId="3" fillId="6" borderId="38" xfId="0" applyNumberFormat="1" applyFont="1" applyFill="1" applyBorder="1" applyAlignment="1">
      <alignment horizontal="right"/>
    </xf>
    <xf numFmtId="164" fontId="3" fillId="6" borderId="3" xfId="0" applyNumberFormat="1" applyFont="1" applyFill="1" applyBorder="1" applyAlignment="1">
      <alignment horizontal="right"/>
    </xf>
    <xf numFmtId="164" fontId="3" fillId="6" borderId="6" xfId="0" applyNumberFormat="1" applyFont="1" applyFill="1" applyBorder="1" applyAlignment="1">
      <alignment horizontal="right"/>
    </xf>
    <xf numFmtId="164" fontId="3" fillId="8" borderId="38" xfId="0" applyNumberFormat="1" applyFont="1" applyFill="1" applyBorder="1" applyAlignment="1">
      <alignment horizontal="right"/>
    </xf>
    <xf numFmtId="164" fontId="3" fillId="8" borderId="3" xfId="0" applyNumberFormat="1" applyFont="1" applyFill="1" applyBorder="1" applyAlignment="1">
      <alignment horizontal="right"/>
    </xf>
    <xf numFmtId="164" fontId="3" fillId="8" borderId="39" xfId="0" applyNumberFormat="1" applyFont="1" applyFill="1" applyBorder="1" applyAlignment="1">
      <alignment horizontal="right"/>
    </xf>
    <xf numFmtId="164" fontId="5" fillId="3" borderId="24" xfId="0" applyNumberFormat="1" applyFont="1" applyFill="1" applyBorder="1" applyAlignment="1">
      <alignment horizontal="right"/>
    </xf>
    <xf numFmtId="164" fontId="3" fillId="12" borderId="68" xfId="0" applyNumberFormat="1" applyFont="1" applyFill="1" applyBorder="1" applyAlignment="1">
      <alignment horizontal="right"/>
    </xf>
    <xf numFmtId="164" fontId="3" fillId="11" borderId="42" xfId="0" applyNumberFormat="1" applyFont="1" applyFill="1" applyBorder="1" applyAlignment="1">
      <alignment horizontal="right"/>
    </xf>
    <xf numFmtId="164" fontId="3" fillId="11" borderId="2" xfId="0" applyNumberFormat="1" applyFont="1" applyFill="1" applyBorder="1" applyAlignment="1">
      <alignment horizontal="right"/>
    </xf>
    <xf numFmtId="164" fontId="3" fillId="11" borderId="43" xfId="0" applyNumberFormat="1" applyFont="1" applyFill="1" applyBorder="1" applyAlignment="1">
      <alignment horizontal="right"/>
    </xf>
    <xf numFmtId="164" fontId="3" fillId="6" borderId="42" xfId="0" applyNumberFormat="1" applyFont="1" applyFill="1" applyBorder="1" applyAlignment="1">
      <alignment horizontal="right"/>
    </xf>
    <xf numFmtId="164" fontId="3" fillId="6" borderId="2" xfId="0" applyNumberFormat="1" applyFont="1" applyFill="1" applyBorder="1" applyAlignment="1">
      <alignment horizontal="right"/>
    </xf>
    <xf numFmtId="164" fontId="3" fillId="6" borderId="12" xfId="0" applyNumberFormat="1" applyFont="1" applyFill="1" applyBorder="1" applyAlignment="1">
      <alignment horizontal="right"/>
    </xf>
    <xf numFmtId="164" fontId="3" fillId="8" borderId="42" xfId="0" applyNumberFormat="1" applyFont="1" applyFill="1" applyBorder="1" applyAlignment="1">
      <alignment horizontal="right"/>
    </xf>
    <xf numFmtId="164" fontId="3" fillId="8" borderId="2" xfId="0" applyNumberFormat="1" applyFont="1" applyFill="1" applyBorder="1" applyAlignment="1">
      <alignment horizontal="right"/>
    </xf>
    <xf numFmtId="164" fontId="3" fillId="8" borderId="43" xfId="0" applyNumberFormat="1" applyFont="1" applyFill="1" applyBorder="1" applyAlignment="1">
      <alignment horizontal="right"/>
    </xf>
    <xf numFmtId="164" fontId="3" fillId="12" borderId="68" xfId="0" applyNumberFormat="1" applyFont="1" applyFill="1" applyBorder="1"/>
    <xf numFmtId="164" fontId="3" fillId="6" borderId="42" xfId="0" applyNumberFormat="1" applyFont="1" applyFill="1" applyBorder="1"/>
    <xf numFmtId="164" fontId="3" fillId="8" borderId="2" xfId="0" applyNumberFormat="1" applyFont="1" applyFill="1" applyBorder="1"/>
    <xf numFmtId="164" fontId="8" fillId="3" borderId="18" xfId="0" applyNumberFormat="1" applyFont="1" applyFill="1" applyBorder="1"/>
    <xf numFmtId="164" fontId="8" fillId="3" borderId="72" xfId="0" applyNumberFormat="1" applyFont="1" applyFill="1" applyBorder="1"/>
    <xf numFmtId="164" fontId="8" fillId="3" borderId="48" xfId="0" applyNumberFormat="1" applyFont="1" applyFill="1" applyBorder="1"/>
    <xf numFmtId="164" fontId="8" fillId="3" borderId="49" xfId="0" applyNumberFormat="1" applyFont="1" applyFill="1" applyBorder="1"/>
    <xf numFmtId="164" fontId="8" fillId="3" borderId="70" xfId="0" applyNumberFormat="1" applyFont="1" applyFill="1" applyBorder="1"/>
    <xf numFmtId="164" fontId="8" fillId="3" borderId="75" xfId="0" applyNumberFormat="1" applyFont="1" applyFill="1" applyBorder="1"/>
    <xf numFmtId="164" fontId="8" fillId="3" borderId="46" xfId="0" applyNumberFormat="1" applyFont="1" applyFill="1" applyBorder="1"/>
    <xf numFmtId="164" fontId="5" fillId="3" borderId="23" xfId="0" applyNumberFormat="1" applyFont="1" applyFill="1" applyBorder="1"/>
    <xf numFmtId="164" fontId="5" fillId="3" borderId="74" xfId="0" applyNumberFormat="1" applyFont="1" applyFill="1" applyBorder="1"/>
    <xf numFmtId="164" fontId="4" fillId="3" borderId="71" xfId="0" applyNumberFormat="1" applyFont="1" applyFill="1" applyBorder="1"/>
    <xf numFmtId="164" fontId="2" fillId="12" borderId="55" xfId="0" applyNumberFormat="1" applyFont="1" applyFill="1" applyBorder="1"/>
    <xf numFmtId="164" fontId="2" fillId="11" borderId="51" xfId="0" applyNumberFormat="1" applyFont="1" applyFill="1" applyBorder="1"/>
    <xf numFmtId="164" fontId="2" fillId="11" borderId="62" xfId="0" applyNumberFormat="1" applyFont="1" applyFill="1" applyBorder="1"/>
    <xf numFmtId="164" fontId="2" fillId="11" borderId="52" xfId="0" applyNumberFormat="1" applyFont="1" applyFill="1" applyBorder="1"/>
    <xf numFmtId="164" fontId="2" fillId="6" borderId="62" xfId="0" applyNumberFormat="1" applyFont="1" applyFill="1" applyBorder="1"/>
    <xf numFmtId="164" fontId="2" fillId="6" borderId="77" xfId="0" applyNumberFormat="1" applyFont="1" applyFill="1" applyBorder="1"/>
    <xf numFmtId="164" fontId="2" fillId="8" borderId="52" xfId="0" applyNumberFormat="1" applyFont="1" applyFill="1" applyBorder="1"/>
    <xf numFmtId="164" fontId="2" fillId="12" borderId="56" xfId="0" applyNumberFormat="1" applyFont="1" applyFill="1" applyBorder="1"/>
    <xf numFmtId="164" fontId="2" fillId="12" borderId="84" xfId="0" applyNumberFormat="1" applyFont="1" applyFill="1" applyBorder="1"/>
    <xf numFmtId="164" fontId="2" fillId="11" borderId="40" xfId="0" applyNumberFormat="1" applyFont="1" applyFill="1" applyBorder="1"/>
    <xf numFmtId="164" fontId="2" fillId="11" borderId="14" xfId="0" applyNumberFormat="1" applyFont="1" applyFill="1" applyBorder="1"/>
    <xf numFmtId="164" fontId="2" fillId="11" borderId="41" xfId="0" applyNumberFormat="1" applyFont="1" applyFill="1" applyBorder="1"/>
    <xf numFmtId="164" fontId="2" fillId="6" borderId="14" xfId="0" applyNumberFormat="1" applyFont="1" applyFill="1" applyBorder="1"/>
    <xf numFmtId="164" fontId="2" fillId="6" borderId="47" xfId="0" applyNumberFormat="1" applyFont="1" applyFill="1" applyBorder="1"/>
    <xf numFmtId="164" fontId="2" fillId="8" borderId="41" xfId="0" applyNumberFormat="1" applyFont="1" applyFill="1" applyBorder="1"/>
    <xf numFmtId="164" fontId="7" fillId="3" borderId="57" xfId="0" applyNumberFormat="1" applyFont="1" applyFill="1" applyBorder="1"/>
    <xf numFmtId="164" fontId="15" fillId="3" borderId="74" xfId="0" applyNumberFormat="1" applyFont="1" applyFill="1" applyBorder="1"/>
    <xf numFmtId="164" fontId="15" fillId="3" borderId="23" xfId="0" applyNumberFormat="1" applyFont="1" applyFill="1" applyBorder="1"/>
    <xf numFmtId="164" fontId="15" fillId="3" borderId="24" xfId="0" applyNumberFormat="1" applyFont="1" applyFill="1" applyBorder="1"/>
    <xf numFmtId="164" fontId="15" fillId="3" borderId="25" xfId="0" applyNumberFormat="1" applyFont="1" applyFill="1" applyBorder="1"/>
    <xf numFmtId="164" fontId="15" fillId="3" borderId="67" xfId="0" applyNumberFormat="1" applyFont="1" applyFill="1" applyBorder="1"/>
    <xf numFmtId="164" fontId="3" fillId="12" borderId="55" xfId="0" applyNumberFormat="1" applyFont="1" applyFill="1" applyBorder="1"/>
    <xf numFmtId="164" fontId="3" fillId="12" borderId="84" xfId="0" applyNumberFormat="1" applyFont="1" applyFill="1" applyBorder="1"/>
    <xf numFmtId="164" fontId="3" fillId="11" borderId="59" xfId="0" applyNumberFormat="1" applyFont="1" applyFill="1" applyBorder="1"/>
    <xf numFmtId="164" fontId="3" fillId="11" borderId="58" xfId="0" applyNumberFormat="1" applyFont="1" applyFill="1" applyBorder="1"/>
    <xf numFmtId="164" fontId="3" fillId="11" borderId="80" xfId="0" applyNumberFormat="1" applyFont="1" applyFill="1" applyBorder="1"/>
    <xf numFmtId="164" fontId="12" fillId="3" borderId="74" xfId="0" applyNumberFormat="1" applyFont="1" applyFill="1" applyBorder="1"/>
    <xf numFmtId="164" fontId="3" fillId="12" borderId="56" xfId="0" applyNumberFormat="1" applyFont="1" applyFill="1" applyBorder="1"/>
    <xf numFmtId="164" fontId="16" fillId="3" borderId="74" xfId="0" applyNumberFormat="1" applyFont="1" applyFill="1" applyBorder="1"/>
    <xf numFmtId="164" fontId="3" fillId="12" borderId="57" xfId="0" applyNumberFormat="1" applyFont="1" applyFill="1" applyBorder="1"/>
    <xf numFmtId="164" fontId="3" fillId="6" borderId="59" xfId="0" applyNumberFormat="1" applyFont="1" applyFill="1" applyBorder="1"/>
    <xf numFmtId="164" fontId="3" fillId="6" borderId="58" xfId="0" applyNumberFormat="1" applyFont="1" applyFill="1" applyBorder="1"/>
    <xf numFmtId="164" fontId="3" fillId="6" borderId="11" xfId="0" applyNumberFormat="1" applyFont="1" applyFill="1" applyBorder="1"/>
    <xf numFmtId="164" fontId="3" fillId="8" borderId="59" xfId="0" applyNumberFormat="1" applyFont="1" applyFill="1" applyBorder="1"/>
    <xf numFmtId="164" fontId="3" fillId="8" borderId="58" xfId="0" applyNumberFormat="1" applyFont="1" applyFill="1" applyBorder="1"/>
    <xf numFmtId="164" fontId="3" fillId="8" borderId="80" xfId="0" applyNumberFormat="1" applyFont="1" applyFill="1" applyBorder="1"/>
    <xf numFmtId="164" fontId="5" fillId="28" borderId="24" xfId="0" applyNumberFormat="1" applyFont="1" applyFill="1" applyBorder="1"/>
    <xf numFmtId="164" fontId="5" fillId="28" borderId="25" xfId="0" applyNumberFormat="1" applyFont="1" applyFill="1" applyBorder="1"/>
    <xf numFmtId="164" fontId="3" fillId="12" borderId="64" xfId="0" applyNumberFormat="1" applyFont="1" applyFill="1" applyBorder="1"/>
    <xf numFmtId="164" fontId="5" fillId="5" borderId="74" xfId="0" applyNumberFormat="1" applyFont="1" applyFill="1" applyBorder="1"/>
    <xf numFmtId="164" fontId="5" fillId="5" borderId="23" xfId="0" applyNumberFormat="1" applyFont="1" applyFill="1" applyBorder="1"/>
    <xf numFmtId="164" fontId="5" fillId="5" borderId="24" xfId="0" applyNumberFormat="1" applyFont="1" applyFill="1" applyBorder="1"/>
    <xf numFmtId="164" fontId="5" fillId="5" borderId="25" xfId="0" applyNumberFormat="1" applyFont="1" applyFill="1" applyBorder="1"/>
    <xf numFmtId="164" fontId="5" fillId="5" borderId="67" xfId="0" applyNumberFormat="1" applyFont="1" applyFill="1" applyBorder="1"/>
    <xf numFmtId="164" fontId="7" fillId="5" borderId="74" xfId="0" applyNumberFormat="1" applyFont="1" applyFill="1" applyBorder="1"/>
    <xf numFmtId="164" fontId="3" fillId="18" borderId="52" xfId="0" applyNumberFormat="1" applyFont="1" applyFill="1" applyBorder="1"/>
    <xf numFmtId="164" fontId="3" fillId="18" borderId="39" xfId="0" applyNumberFormat="1" applyFont="1" applyFill="1" applyBorder="1"/>
    <xf numFmtId="164" fontId="5" fillId="38" borderId="74" xfId="0" applyNumberFormat="1" applyFont="1" applyFill="1" applyBorder="1"/>
    <xf numFmtId="164" fontId="5" fillId="8" borderId="71" xfId="0" applyNumberFormat="1" applyFont="1" applyFill="1" applyBorder="1"/>
    <xf numFmtId="164" fontId="3" fillId="12" borderId="56" xfId="0" applyNumberFormat="1" applyFont="1" applyFill="1" applyBorder="1" applyAlignment="1">
      <alignment horizontal="right"/>
    </xf>
    <xf numFmtId="164" fontId="7" fillId="3" borderId="76" xfId="0" applyNumberFormat="1" applyFont="1" applyFill="1" applyBorder="1"/>
    <xf numFmtId="164" fontId="15" fillId="3" borderId="71" xfId="0" applyNumberFormat="1" applyFont="1" applyFill="1" applyBorder="1" applyAlignment="1">
      <alignment horizontal="right"/>
    </xf>
    <xf numFmtId="164" fontId="15" fillId="3" borderId="72" xfId="0" applyNumberFormat="1" applyFont="1" applyFill="1" applyBorder="1" applyAlignment="1">
      <alignment horizontal="right"/>
    </xf>
    <xf numFmtId="164" fontId="15" fillId="3" borderId="48" xfId="0" applyNumberFormat="1" applyFont="1" applyFill="1" applyBorder="1" applyAlignment="1">
      <alignment horizontal="right"/>
    </xf>
    <xf numFmtId="164" fontId="15" fillId="3" borderId="49" xfId="0" applyNumberFormat="1" applyFont="1" applyFill="1" applyBorder="1" applyAlignment="1">
      <alignment horizontal="right"/>
    </xf>
    <xf numFmtId="164" fontId="15" fillId="3" borderId="70" xfId="0" applyNumberFormat="1" applyFont="1" applyFill="1" applyBorder="1" applyAlignment="1">
      <alignment horizontal="right"/>
    </xf>
    <xf numFmtId="164" fontId="8" fillId="8" borderId="64" xfId="0" applyNumberFormat="1" applyFont="1" applyFill="1" applyBorder="1" applyAlignment="1">
      <alignment horizontal="right"/>
    </xf>
    <xf numFmtId="164" fontId="8" fillId="8" borderId="42" xfId="0" applyNumberFormat="1" applyFont="1" applyFill="1" applyBorder="1" applyAlignment="1">
      <alignment horizontal="right"/>
    </xf>
    <xf numFmtId="164" fontId="8" fillId="8" borderId="2" xfId="0" applyNumberFormat="1" applyFont="1" applyFill="1" applyBorder="1" applyAlignment="1">
      <alignment horizontal="right"/>
    </xf>
    <xf numFmtId="164" fontId="8" fillId="8" borderId="43" xfId="0" applyNumberFormat="1" applyFont="1" applyFill="1" applyBorder="1" applyAlignment="1">
      <alignment horizontal="right"/>
    </xf>
    <xf numFmtId="164" fontId="8" fillId="8" borderId="12" xfId="0" applyNumberFormat="1" applyFont="1" applyFill="1" applyBorder="1" applyAlignment="1">
      <alignment horizontal="right"/>
    </xf>
    <xf numFmtId="164" fontId="5" fillId="8" borderId="38" xfId="0" applyNumberFormat="1" applyFont="1" applyFill="1" applyBorder="1"/>
    <xf numFmtId="164" fontId="5" fillId="8" borderId="39" xfId="0" applyNumberFormat="1" applyFont="1" applyFill="1" applyBorder="1"/>
    <xf numFmtId="164" fontId="5" fillId="8" borderId="56" xfId="0" applyNumberFormat="1" applyFont="1" applyFill="1" applyBorder="1"/>
    <xf numFmtId="164" fontId="5" fillId="3" borderId="47" xfId="0" applyNumberFormat="1" applyFont="1" applyFill="1" applyBorder="1"/>
    <xf numFmtId="164" fontId="5" fillId="3" borderId="51" xfId="0" applyNumberFormat="1" applyFont="1" applyFill="1" applyBorder="1"/>
    <xf numFmtId="164" fontId="5" fillId="3" borderId="62" xfId="0" applyNumberFormat="1" applyFont="1" applyFill="1" applyBorder="1"/>
    <xf numFmtId="164" fontId="15" fillId="3" borderId="56" xfId="0" applyNumberFormat="1" applyFont="1" applyFill="1" applyBorder="1"/>
    <xf numFmtId="164" fontId="15" fillId="3" borderId="38" xfId="0" applyNumberFormat="1" applyFont="1" applyFill="1" applyBorder="1"/>
    <xf numFmtId="164" fontId="15" fillId="3" borderId="39" xfId="0" applyNumberFormat="1" applyFont="1" applyFill="1" applyBorder="1"/>
    <xf numFmtId="164" fontId="15" fillId="3" borderId="6" xfId="0" applyNumberFormat="1" applyFont="1" applyFill="1" applyBorder="1"/>
    <xf numFmtId="164" fontId="16" fillId="3" borderId="56" xfId="0" applyNumberFormat="1" applyFont="1" applyFill="1" applyBorder="1"/>
    <xf numFmtId="164" fontId="16" fillId="3" borderId="38" xfId="0" applyNumberFormat="1" applyFont="1" applyFill="1" applyBorder="1"/>
    <xf numFmtId="164" fontId="20" fillId="10" borderId="56" xfId="0" applyNumberFormat="1" applyFont="1" applyFill="1" applyBorder="1"/>
    <xf numFmtId="164" fontId="20" fillId="10" borderId="38" xfId="0" applyNumberFormat="1" applyFont="1" applyFill="1" applyBorder="1"/>
    <xf numFmtId="164" fontId="20" fillId="10" borderId="6" xfId="0" applyNumberFormat="1" applyFont="1" applyFill="1" applyBorder="1"/>
    <xf numFmtId="164" fontId="5" fillId="10" borderId="38" xfId="0" applyNumberFormat="1" applyFont="1" applyFill="1" applyBorder="1"/>
    <xf numFmtId="164" fontId="5" fillId="10" borderId="3" xfId="0" applyNumberFormat="1" applyFont="1" applyFill="1" applyBorder="1"/>
    <xf numFmtId="164" fontId="5" fillId="10" borderId="39" xfId="0" applyNumberFormat="1" applyFont="1" applyFill="1" applyBorder="1"/>
    <xf numFmtId="164" fontId="5" fillId="10" borderId="56" xfId="0" applyNumberFormat="1" applyFont="1" applyFill="1" applyBorder="1"/>
    <xf numFmtId="164" fontId="17" fillId="9" borderId="3" xfId="1" applyNumberFormat="1" applyFont="1" applyFill="1" applyBorder="1"/>
    <xf numFmtId="164" fontId="17" fillId="8" borderId="3" xfId="1" applyNumberFormat="1" applyFont="1" applyFill="1" applyBorder="1"/>
    <xf numFmtId="164" fontId="17" fillId="7" borderId="3" xfId="1" applyNumberFormat="1" applyFont="1" applyFill="1" applyBorder="1"/>
    <xf numFmtId="164" fontId="17" fillId="11" borderId="3" xfId="1" applyNumberFormat="1" applyFont="1" applyFill="1" applyBorder="1"/>
    <xf numFmtId="164" fontId="17" fillId="18" borderId="3" xfId="1" applyNumberFormat="1" applyFont="1" applyFill="1" applyBorder="1"/>
    <xf numFmtId="164" fontId="17" fillId="12" borderId="3" xfId="1" applyNumberFormat="1" applyFont="1" applyFill="1" applyBorder="1"/>
    <xf numFmtId="164" fontId="17" fillId="3" borderId="56" xfId="0" applyNumberFormat="1" applyFont="1" applyFill="1" applyBorder="1"/>
    <xf numFmtId="164" fontId="39" fillId="3" borderId="38" xfId="0" applyNumberFormat="1" applyFont="1" applyFill="1" applyBorder="1"/>
    <xf numFmtId="164" fontId="6" fillId="0" borderId="0" xfId="0" applyNumberFormat="1" applyFont="1"/>
    <xf numFmtId="164" fontId="4" fillId="3" borderId="57" xfId="0" applyNumberFormat="1" applyFont="1" applyFill="1" applyBorder="1"/>
    <xf numFmtId="164" fontId="4" fillId="3" borderId="40" xfId="0" applyNumberFormat="1" applyFont="1" applyFill="1" applyBorder="1"/>
    <xf numFmtId="164" fontId="4" fillId="3" borderId="14" xfId="0" applyNumberFormat="1" applyFont="1" applyFill="1" applyBorder="1"/>
    <xf numFmtId="164" fontId="4" fillId="3" borderId="47" xfId="0" applyNumberFormat="1" applyFont="1" applyFill="1" applyBorder="1"/>
    <xf numFmtId="164" fontId="12" fillId="3" borderId="57" xfId="0" applyNumberFormat="1" applyFont="1" applyFill="1" applyBorder="1"/>
    <xf numFmtId="164" fontId="3" fillId="11" borderId="3" xfId="0" applyNumberFormat="1" applyFont="1" applyFill="1" applyBorder="1" applyAlignment="1">
      <alignment horizontal="center"/>
    </xf>
    <xf numFmtId="164" fontId="5" fillId="11" borderId="3" xfId="0" applyNumberFormat="1" applyFont="1" applyFill="1" applyBorder="1" applyAlignment="1">
      <alignment horizontal="center"/>
    </xf>
    <xf numFmtId="164" fontId="3" fillId="8" borderId="3" xfId="0" applyNumberFormat="1" applyFont="1" applyFill="1" applyBorder="1" applyAlignment="1">
      <alignment horizontal="center"/>
    </xf>
    <xf numFmtId="164" fontId="5" fillId="8" borderId="3" xfId="0" applyNumberFormat="1" applyFont="1" applyFill="1" applyBorder="1" applyAlignment="1">
      <alignment horizontal="center"/>
    </xf>
    <xf numFmtId="164" fontId="3" fillId="11" borderId="74" xfId="1" applyNumberFormat="1" applyFont="1" applyFill="1" applyBorder="1"/>
    <xf numFmtId="164" fontId="5" fillId="11" borderId="33" xfId="1" applyNumberFormat="1" applyFont="1" applyFill="1" applyBorder="1" applyAlignment="1"/>
    <xf numFmtId="164" fontId="5" fillId="11" borderId="34" xfId="1" applyNumberFormat="1" applyFont="1" applyFill="1" applyBorder="1" applyAlignment="1"/>
    <xf numFmtId="164" fontId="3" fillId="18" borderId="74" xfId="1" applyNumberFormat="1" applyFont="1" applyFill="1" applyBorder="1"/>
    <xf numFmtId="164" fontId="5" fillId="18" borderId="33" xfId="1" applyNumberFormat="1" applyFont="1" applyFill="1" applyBorder="1" applyAlignment="1"/>
    <xf numFmtId="164" fontId="5" fillId="18" borderId="34" xfId="1" applyNumberFormat="1" applyFont="1" applyFill="1" applyBorder="1" applyAlignment="1"/>
    <xf numFmtId="164" fontId="0" fillId="12" borderId="74" xfId="0" applyNumberFormat="1" applyFill="1" applyBorder="1" applyAlignment="1">
      <alignment horizontal="center"/>
    </xf>
    <xf numFmtId="164" fontId="0" fillId="11" borderId="74" xfId="0" applyNumberFormat="1" applyFill="1" applyBorder="1" applyAlignment="1">
      <alignment horizontal="center"/>
    </xf>
    <xf numFmtId="164" fontId="0" fillId="6" borderId="74" xfId="0" applyNumberFormat="1" applyFill="1" applyBorder="1" applyAlignment="1">
      <alignment horizontal="center"/>
    </xf>
    <xf numFmtId="164" fontId="0" fillId="8" borderId="74" xfId="0" applyNumberFormat="1" applyFill="1" applyBorder="1" applyAlignment="1">
      <alignment horizontal="center"/>
    </xf>
    <xf numFmtId="164" fontId="26" fillId="28" borderId="74" xfId="0" applyNumberFormat="1" applyFont="1" applyFill="1" applyBorder="1"/>
    <xf numFmtId="164" fontId="26" fillId="12" borderId="74" xfId="0" applyNumberFormat="1" applyFont="1" applyFill="1" applyBorder="1"/>
    <xf numFmtId="164" fontId="0" fillId="46" borderId="3" xfId="0" applyNumberFormat="1" applyFill="1" applyBorder="1"/>
    <xf numFmtId="164" fontId="26" fillId="3" borderId="3" xfId="0" applyNumberFormat="1" applyFont="1" applyFill="1" applyBorder="1"/>
    <xf numFmtId="164" fontId="5" fillId="12" borderId="50" xfId="0" applyNumberFormat="1" applyFont="1" applyFill="1" applyBorder="1" applyAlignment="1">
      <alignment horizontal="center"/>
    </xf>
    <xf numFmtId="164" fontId="5" fillId="11" borderId="50" xfId="0" applyNumberFormat="1" applyFont="1" applyFill="1" applyBorder="1" applyAlignment="1">
      <alignment horizontal="center"/>
    </xf>
    <xf numFmtId="164" fontId="5" fillId="11" borderId="44" xfId="0" applyNumberFormat="1" applyFont="1" applyFill="1" applyBorder="1" applyAlignment="1">
      <alignment horizontal="center"/>
    </xf>
    <xf numFmtId="164" fontId="5" fillId="11" borderId="46" xfId="0" applyNumberFormat="1" applyFont="1" applyFill="1" applyBorder="1" applyAlignment="1">
      <alignment horizontal="center"/>
    </xf>
    <xf numFmtId="164" fontId="5" fillId="6" borderId="50" xfId="0" applyNumberFormat="1" applyFont="1" applyFill="1" applyBorder="1" applyAlignment="1">
      <alignment horizontal="center"/>
    </xf>
    <xf numFmtId="164" fontId="5" fillId="6" borderId="44" xfId="0" applyNumberFormat="1" applyFont="1" applyFill="1" applyBorder="1" applyAlignment="1">
      <alignment horizontal="center"/>
    </xf>
    <xf numFmtId="164" fontId="5" fillId="6" borderId="46" xfId="0" applyNumberFormat="1" applyFont="1" applyFill="1" applyBorder="1" applyAlignment="1">
      <alignment horizontal="center"/>
    </xf>
    <xf numFmtId="164" fontId="5" fillId="8" borderId="50" xfId="0" applyNumberFormat="1" applyFont="1" applyFill="1" applyBorder="1" applyAlignment="1">
      <alignment horizontal="center"/>
    </xf>
    <xf numFmtId="164" fontId="5" fillId="8" borderId="44" xfId="0" applyNumberFormat="1" applyFont="1" applyFill="1" applyBorder="1" applyAlignment="1">
      <alignment horizontal="center"/>
    </xf>
    <xf numFmtId="164" fontId="5" fillId="8" borderId="46" xfId="0" applyNumberFormat="1" applyFont="1" applyFill="1" applyBorder="1" applyAlignment="1">
      <alignment horizontal="center"/>
    </xf>
    <xf numFmtId="164" fontId="0" fillId="12" borderId="38" xfId="0" applyNumberFormat="1" applyFill="1" applyBorder="1"/>
    <xf numFmtId="164" fontId="0" fillId="12" borderId="39" xfId="0" applyNumberFormat="1" applyFill="1" applyBorder="1"/>
    <xf numFmtId="164" fontId="0" fillId="11" borderId="38" xfId="0" applyNumberFormat="1" applyFill="1" applyBorder="1"/>
    <xf numFmtId="164" fontId="0" fillId="11" borderId="39" xfId="0" applyNumberFormat="1" applyFill="1" applyBorder="1"/>
    <xf numFmtId="164" fontId="0" fillId="9" borderId="38" xfId="0" applyNumberFormat="1" applyFill="1" applyBorder="1"/>
    <xf numFmtId="164" fontId="8" fillId="31" borderId="66" xfId="0" applyNumberFormat="1" applyFont="1" applyFill="1" applyBorder="1" applyAlignment="1">
      <alignment horizontal="center"/>
    </xf>
    <xf numFmtId="164" fontId="8" fillId="31" borderId="21" xfId="0" applyNumberFormat="1" applyFont="1" applyFill="1" applyBorder="1" applyAlignment="1">
      <alignment horizontal="center"/>
    </xf>
    <xf numFmtId="164" fontId="2" fillId="0" borderId="61" xfId="0" applyNumberFormat="1" applyFont="1" applyBorder="1" applyAlignment="1">
      <alignment horizontal="center"/>
    </xf>
    <xf numFmtId="164" fontId="2" fillId="0" borderId="62" xfId="0" applyNumberFormat="1" applyFont="1" applyBorder="1" applyAlignment="1">
      <alignment horizontal="center"/>
    </xf>
    <xf numFmtId="164" fontId="2" fillId="0" borderId="52" xfId="0" applyNumberFormat="1" applyFont="1" applyBorder="1" applyAlignment="1">
      <alignment horizontal="center"/>
    </xf>
    <xf numFmtId="164" fontId="2" fillId="0" borderId="7" xfId="0" applyNumberFormat="1" applyFont="1" applyBorder="1" applyAlignment="1">
      <alignment horizontal="center"/>
    </xf>
    <xf numFmtId="164" fontId="2" fillId="0" borderId="3" xfId="0" applyNumberFormat="1" applyFont="1" applyBorder="1" applyAlignment="1">
      <alignment horizontal="center"/>
    </xf>
    <xf numFmtId="164" fontId="2" fillId="0" borderId="39" xfId="0" applyNumberFormat="1" applyFont="1" applyBorder="1" applyAlignment="1">
      <alignment horizontal="center"/>
    </xf>
    <xf numFmtId="164" fontId="8" fillId="32" borderId="8" xfId="0" applyNumberFormat="1" applyFont="1" applyFill="1" applyBorder="1"/>
    <xf numFmtId="164" fontId="8" fillId="32" borderId="81" xfId="0" applyNumberFormat="1" applyFont="1" applyFill="1" applyBorder="1"/>
    <xf numFmtId="164" fontId="2" fillId="0" borderId="0" xfId="0" applyNumberFormat="1" applyFont="1"/>
    <xf numFmtId="164" fontId="2" fillId="0" borderId="7" xfId="0" applyNumberFormat="1" applyFont="1" applyBorder="1"/>
    <xf numFmtId="164" fontId="26" fillId="0" borderId="0" xfId="5" applyNumberFormat="1" applyFont="1" applyAlignment="1">
      <alignment vertical="center" wrapText="1"/>
    </xf>
    <xf numFmtId="164" fontId="26" fillId="0" borderId="0" xfId="5" applyNumberFormat="1" applyFont="1" applyAlignment="1">
      <alignment horizontal="right" vertical="center" wrapText="1"/>
    </xf>
    <xf numFmtId="164" fontId="8" fillId="34" borderId="7" xfId="0" applyNumberFormat="1" applyFont="1" applyFill="1" applyBorder="1"/>
    <xf numFmtId="164" fontId="8" fillId="34" borderId="3" xfId="0" applyNumberFormat="1" applyFont="1" applyFill="1" applyBorder="1"/>
    <xf numFmtId="164" fontId="8" fillId="34" borderId="3" xfId="0" applyNumberFormat="1" applyFont="1" applyFill="1" applyBorder="1" applyAlignment="1">
      <alignment horizontal="center"/>
    </xf>
    <xf numFmtId="164" fontId="8" fillId="34" borderId="39" xfId="0" applyNumberFormat="1" applyFont="1" applyFill="1" applyBorder="1" applyAlignment="1">
      <alignment horizontal="center"/>
    </xf>
    <xf numFmtId="164" fontId="26" fillId="0" borderId="0" xfId="5" applyNumberFormat="1" applyFont="1" applyAlignment="1">
      <alignment vertical="center"/>
    </xf>
    <xf numFmtId="164" fontId="26" fillId="0" borderId="0" xfId="5" applyNumberFormat="1" applyFont="1"/>
    <xf numFmtId="164" fontId="8" fillId="30" borderId="7" xfId="0" applyNumberFormat="1" applyFont="1" applyFill="1" applyBorder="1"/>
    <xf numFmtId="164" fontId="8" fillId="30" borderId="85" xfId="0" applyNumberFormat="1" applyFont="1" applyFill="1" applyBorder="1"/>
    <xf numFmtId="164" fontId="8" fillId="33" borderId="7" xfId="0" applyNumberFormat="1" applyFont="1" applyFill="1" applyBorder="1"/>
    <xf numFmtId="164" fontId="8" fillId="33" borderId="85" xfId="0" applyNumberFormat="1" applyFont="1" applyFill="1" applyBorder="1"/>
    <xf numFmtId="164" fontId="2" fillId="0" borderId="54" xfId="0" applyNumberFormat="1" applyFont="1" applyBorder="1"/>
    <xf numFmtId="164" fontId="2" fillId="0" borderId="14" xfId="0" applyNumberFormat="1" applyFont="1" applyBorder="1" applyAlignment="1">
      <alignment horizontal="center"/>
    </xf>
    <xf numFmtId="164" fontId="2" fillId="0" borderId="41" xfId="0" applyNumberFormat="1" applyFont="1" applyBorder="1" applyAlignment="1">
      <alignment horizontal="center"/>
    </xf>
    <xf numFmtId="164" fontId="5" fillId="12" borderId="72" xfId="0" applyNumberFormat="1" applyFont="1" applyFill="1" applyBorder="1" applyAlignment="1">
      <alignment horizontal="center"/>
    </xf>
    <xf numFmtId="164" fontId="5" fillId="12" borderId="49" xfId="0" applyNumberFormat="1" applyFont="1" applyFill="1" applyBorder="1" applyAlignment="1">
      <alignment horizontal="center"/>
    </xf>
    <xf numFmtId="164" fontId="5" fillId="11" borderId="72" xfId="0" applyNumberFormat="1" applyFont="1" applyFill="1" applyBorder="1" applyAlignment="1">
      <alignment horizontal="center"/>
    </xf>
    <xf numFmtId="164" fontId="5" fillId="11" borderId="48" xfId="0" applyNumberFormat="1" applyFont="1" applyFill="1" applyBorder="1" applyAlignment="1">
      <alignment horizontal="center"/>
    </xf>
    <xf numFmtId="164" fontId="5" fillId="11" borderId="49" xfId="0" applyNumberFormat="1" applyFont="1" applyFill="1" applyBorder="1" applyAlignment="1">
      <alignment horizontal="center"/>
    </xf>
    <xf numFmtId="164" fontId="5" fillId="6" borderId="72" xfId="0" applyNumberFormat="1" applyFont="1" applyFill="1" applyBorder="1" applyAlignment="1">
      <alignment horizontal="center"/>
    </xf>
    <xf numFmtId="164" fontId="5" fillId="6" borderId="48" xfId="0" applyNumberFormat="1" applyFont="1" applyFill="1" applyBorder="1" applyAlignment="1">
      <alignment horizontal="center"/>
    </xf>
    <xf numFmtId="164" fontId="5" fillId="6" borderId="49" xfId="0" applyNumberFormat="1" applyFont="1" applyFill="1" applyBorder="1" applyAlignment="1">
      <alignment horizontal="center"/>
    </xf>
    <xf numFmtId="164" fontId="5" fillId="8" borderId="72" xfId="0" applyNumberFormat="1" applyFont="1" applyFill="1" applyBorder="1" applyAlignment="1">
      <alignment horizontal="center"/>
    </xf>
    <xf numFmtId="164" fontId="5" fillId="8" borderId="48" xfId="0" applyNumberFormat="1" applyFont="1" applyFill="1" applyBorder="1" applyAlignment="1">
      <alignment horizontal="center"/>
    </xf>
    <xf numFmtId="164" fontId="5" fillId="8" borderId="49" xfId="0" applyNumberFormat="1" applyFont="1" applyFill="1" applyBorder="1" applyAlignment="1">
      <alignment horizontal="center"/>
    </xf>
    <xf numFmtId="164" fontId="26" fillId="7" borderId="71" xfId="0" applyNumberFormat="1" applyFont="1" applyFill="1" applyBorder="1"/>
    <xf numFmtId="164" fontId="26" fillId="3" borderId="71" xfId="0" applyNumberFormat="1" applyFont="1" applyFill="1" applyBorder="1"/>
    <xf numFmtId="164" fontId="3" fillId="0" borderId="76" xfId="0" applyNumberFormat="1" applyFont="1" applyBorder="1"/>
    <xf numFmtId="164" fontId="5" fillId="11" borderId="76" xfId="0" applyNumberFormat="1" applyFont="1" applyFill="1" applyBorder="1"/>
    <xf numFmtId="164" fontId="5" fillId="11" borderId="75" xfId="0" applyNumberFormat="1" applyFont="1" applyFill="1" applyBorder="1"/>
    <xf numFmtId="164" fontId="5" fillId="11" borderId="74" xfId="0" applyNumberFormat="1" applyFont="1" applyFill="1" applyBorder="1"/>
    <xf numFmtId="164" fontId="3" fillId="0" borderId="75" xfId="0" applyNumberFormat="1" applyFont="1" applyBorder="1"/>
    <xf numFmtId="164" fontId="5" fillId="6" borderId="21" xfId="0" applyNumberFormat="1" applyFont="1" applyFill="1" applyBorder="1"/>
    <xf numFmtId="164" fontId="5" fillId="6" borderId="22" xfId="0" applyNumberFormat="1" applyFont="1" applyFill="1" applyBorder="1"/>
    <xf numFmtId="164" fontId="5" fillId="6" borderId="74" xfId="0" applyNumberFormat="1" applyFont="1" applyFill="1" applyBorder="1"/>
    <xf numFmtId="164" fontId="3" fillId="0" borderId="22" xfId="0" applyNumberFormat="1" applyFont="1" applyBorder="1"/>
    <xf numFmtId="164" fontId="5" fillId="6" borderId="75" xfId="0" applyNumberFormat="1" applyFont="1" applyFill="1" applyBorder="1"/>
    <xf numFmtId="164" fontId="5" fillId="6" borderId="76" xfId="0" applyNumberFormat="1" applyFont="1" applyFill="1" applyBorder="1"/>
    <xf numFmtId="164" fontId="3" fillId="36" borderId="14" xfId="0" applyNumberFormat="1" applyFont="1" applyFill="1" applyBorder="1" applyAlignment="1">
      <alignment horizontal="center" vertical="center"/>
    </xf>
    <xf numFmtId="164" fontId="3" fillId="0" borderId="0" xfId="0" applyNumberFormat="1" applyFont="1" applyAlignment="1">
      <alignment horizontal="center"/>
    </xf>
    <xf numFmtId="164" fontId="0" fillId="0" borderId="51" xfId="0" applyNumberFormat="1" applyBorder="1"/>
    <xf numFmtId="164" fontId="26" fillId="0" borderId="55" xfId="0" applyNumberFormat="1" applyFont="1" applyBorder="1"/>
    <xf numFmtId="164" fontId="0" fillId="0" borderId="64" xfId="0" applyNumberFormat="1" applyBorder="1"/>
    <xf numFmtId="164" fontId="0" fillId="0" borderId="43" xfId="0" applyNumberFormat="1" applyBorder="1"/>
    <xf numFmtId="164" fontId="26" fillId="0" borderId="42" xfId="0" applyNumberFormat="1" applyFont="1" applyBorder="1"/>
    <xf numFmtId="164" fontId="26" fillId="0" borderId="64" xfId="0" applyNumberFormat="1" applyFont="1" applyBorder="1"/>
    <xf numFmtId="164" fontId="0" fillId="0" borderId="38" xfId="0" applyNumberFormat="1" applyBorder="1"/>
    <xf numFmtId="164" fontId="26" fillId="0" borderId="56" xfId="0" applyNumberFormat="1" applyFont="1" applyBorder="1"/>
    <xf numFmtId="164" fontId="0" fillId="0" borderId="56" xfId="0" applyNumberFormat="1" applyBorder="1"/>
    <xf numFmtId="164" fontId="0" fillId="0" borderId="39" xfId="0" applyNumberFormat="1" applyBorder="1"/>
    <xf numFmtId="164" fontId="26" fillId="0" borderId="38" xfId="0" applyNumberFormat="1" applyFont="1" applyBorder="1"/>
    <xf numFmtId="164" fontId="0" fillId="48" borderId="3" xfId="0" applyNumberFormat="1" applyFill="1" applyBorder="1"/>
    <xf numFmtId="164" fontId="0" fillId="3" borderId="3" xfId="0" applyNumberFormat="1" applyFill="1" applyBorder="1"/>
    <xf numFmtId="164" fontId="0" fillId="0" borderId="59" xfId="0" applyNumberFormat="1" applyBorder="1"/>
    <xf numFmtId="164" fontId="26" fillId="0" borderId="84" xfId="0" applyNumberFormat="1" applyFont="1" applyBorder="1"/>
    <xf numFmtId="164" fontId="0" fillId="0" borderId="84" xfId="0" applyNumberFormat="1" applyBorder="1"/>
    <xf numFmtId="164" fontId="0" fillId="0" borderId="80" xfId="0" applyNumberFormat="1" applyBorder="1"/>
    <xf numFmtId="164" fontId="26" fillId="0" borderId="59" xfId="0" applyNumberFormat="1" applyFont="1" applyBorder="1"/>
    <xf numFmtId="164" fontId="26" fillId="0" borderId="51" xfId="0" applyNumberFormat="1" applyFont="1" applyBorder="1"/>
    <xf numFmtId="164" fontId="26" fillId="0" borderId="52" xfId="0" applyNumberFormat="1" applyFont="1" applyBorder="1"/>
    <xf numFmtId="164" fontId="45" fillId="0" borderId="38" xfId="0" applyNumberFormat="1" applyFont="1" applyBorder="1"/>
    <xf numFmtId="164" fontId="45" fillId="0" borderId="56" xfId="0" applyNumberFormat="1" applyFont="1" applyBorder="1"/>
    <xf numFmtId="164" fontId="45" fillId="0" borderId="39" xfId="0" applyNumberFormat="1" applyFont="1" applyBorder="1"/>
    <xf numFmtId="164" fontId="24" fillId="36" borderId="59" xfId="0" applyNumberFormat="1" applyFont="1" applyFill="1" applyBorder="1"/>
    <xf numFmtId="164" fontId="24" fillId="36" borderId="84" xfId="0" applyNumberFormat="1" applyFont="1" applyFill="1" applyBorder="1"/>
    <xf numFmtId="164" fontId="42" fillId="0" borderId="40" xfId="1" applyNumberFormat="1" applyFont="1" applyBorder="1"/>
    <xf numFmtId="164" fontId="26" fillId="0" borderId="23" xfId="0" applyNumberFormat="1" applyFont="1" applyBorder="1"/>
    <xf numFmtId="164" fontId="26" fillId="0" borderId="74" xfId="0" applyNumberFormat="1" applyFont="1" applyBorder="1"/>
    <xf numFmtId="164" fontId="26" fillId="0" borderId="25" xfId="0" applyNumberFormat="1" applyFont="1" applyBorder="1"/>
    <xf numFmtId="164" fontId="0" fillId="12" borderId="56" xfId="0" applyNumberFormat="1" applyFill="1" applyBorder="1" applyAlignment="1">
      <alignment vertical="center"/>
    </xf>
    <xf numFmtId="164" fontId="0" fillId="8" borderId="56" xfId="0" applyNumberFormat="1" applyFill="1" applyBorder="1"/>
    <xf numFmtId="164" fontId="0" fillId="6" borderId="56" xfId="0" applyNumberFormat="1" applyFill="1" applyBorder="1"/>
    <xf numFmtId="164" fontId="0" fillId="0" borderId="57" xfId="0" applyNumberFormat="1" applyBorder="1"/>
    <xf numFmtId="164" fontId="26" fillId="12" borderId="56" xfId="0" applyNumberFormat="1" applyFont="1" applyFill="1" applyBorder="1" applyAlignment="1">
      <alignment vertical="center"/>
    </xf>
    <xf numFmtId="164" fontId="26" fillId="8" borderId="56" xfId="0" applyNumberFormat="1" applyFont="1" applyFill="1" applyBorder="1"/>
    <xf numFmtId="164" fontId="26" fillId="6" borderId="56" xfId="0" applyNumberFormat="1" applyFont="1" applyFill="1" applyBorder="1"/>
    <xf numFmtId="164" fontId="26" fillId="0" borderId="32" xfId="0" applyNumberFormat="1" applyFont="1" applyBorder="1"/>
    <xf numFmtId="164" fontId="60" fillId="12" borderId="56" xfId="0" applyNumberFormat="1" applyFont="1" applyFill="1" applyBorder="1" applyAlignment="1">
      <alignment vertical="center"/>
    </xf>
    <xf numFmtId="164" fontId="60" fillId="8" borderId="56" xfId="0" applyNumberFormat="1" applyFont="1" applyFill="1" applyBorder="1"/>
    <xf numFmtId="164" fontId="60" fillId="6" borderId="56" xfId="0" applyNumberFormat="1" applyFont="1" applyFill="1" applyBorder="1"/>
    <xf numFmtId="164" fontId="45" fillId="0" borderId="85" xfId="0" applyNumberFormat="1" applyFont="1" applyBorder="1"/>
    <xf numFmtId="164" fontId="61" fillId="12" borderId="56" xfId="0" applyNumberFormat="1" applyFont="1" applyFill="1" applyBorder="1" applyAlignment="1">
      <alignment vertical="center"/>
    </xf>
    <xf numFmtId="164" fontId="61" fillId="8" borderId="56" xfId="0" applyNumberFormat="1" applyFont="1" applyFill="1" applyBorder="1"/>
    <xf numFmtId="164" fontId="61" fillId="6" borderId="56" xfId="0" applyNumberFormat="1" applyFont="1" applyFill="1" applyBorder="1"/>
    <xf numFmtId="164" fontId="26" fillId="28" borderId="57" xfId="0" applyNumberFormat="1" applyFont="1" applyFill="1" applyBorder="1" applyAlignment="1">
      <alignment vertical="center"/>
    </xf>
    <xf numFmtId="164" fontId="26" fillId="2" borderId="57" xfId="0" applyNumberFormat="1" applyFont="1" applyFill="1" applyBorder="1"/>
    <xf numFmtId="164" fontId="26" fillId="29" borderId="57" xfId="0" applyNumberFormat="1" applyFont="1" applyFill="1" applyBorder="1"/>
    <xf numFmtId="164" fontId="26" fillId="9" borderId="74" xfId="0" applyNumberFormat="1" applyFont="1" applyFill="1" applyBorder="1"/>
    <xf numFmtId="164" fontId="0" fillId="0" borderId="0" xfId="0" applyNumberFormat="1" applyAlignment="1">
      <alignment horizontal="right"/>
    </xf>
    <xf numFmtId="164" fontId="81" fillId="0" borderId="0" xfId="0" applyNumberFormat="1" applyFont="1" applyAlignment="1">
      <alignment horizontal="right" vertical="top"/>
    </xf>
    <xf numFmtId="164" fontId="0" fillId="0" borderId="3" xfId="2" applyNumberFormat="1" applyFont="1" applyFill="1" applyBorder="1"/>
    <xf numFmtId="164" fontId="0" fillId="0" borderId="39" xfId="2" applyNumberFormat="1" applyFont="1" applyFill="1" applyBorder="1"/>
    <xf numFmtId="164" fontId="0" fillId="0" borderId="14" xfId="2" applyNumberFormat="1" applyFont="1" applyFill="1" applyBorder="1"/>
    <xf numFmtId="164" fontId="0" fillId="0" borderId="41" xfId="2" applyNumberFormat="1" applyFont="1" applyFill="1" applyBorder="1"/>
    <xf numFmtId="164" fontId="0" fillId="11" borderId="3" xfId="0" applyNumberFormat="1" applyFill="1" applyBorder="1" applyAlignment="1" applyProtection="1">
      <alignment horizontal="center"/>
      <protection locked="0"/>
    </xf>
    <xf numFmtId="164" fontId="26" fillId="13" borderId="3" xfId="0" applyNumberFormat="1" applyFont="1" applyFill="1" applyBorder="1" applyAlignment="1">
      <alignment horizontal="right"/>
    </xf>
    <xf numFmtId="164" fontId="26" fillId="0" borderId="3" xfId="0" applyNumberFormat="1" applyFont="1" applyBorder="1" applyAlignment="1">
      <alignment horizontal="right"/>
    </xf>
    <xf numFmtId="164" fontId="26" fillId="13" borderId="3" xfId="0" applyNumberFormat="1" applyFont="1" applyFill="1" applyBorder="1"/>
    <xf numFmtId="164" fontId="26" fillId="0" borderId="62" xfId="0" applyNumberFormat="1" applyFont="1" applyBorder="1"/>
    <xf numFmtId="164" fontId="26" fillId="0" borderId="3" xfId="0" applyNumberFormat="1" applyFont="1" applyBorder="1"/>
    <xf numFmtId="164" fontId="26" fillId="0" borderId="39" xfId="0" applyNumberFormat="1" applyFont="1" applyBorder="1"/>
    <xf numFmtId="164" fontId="26" fillId="11" borderId="3" xfId="0" applyNumberFormat="1" applyFont="1" applyFill="1" applyBorder="1" applyAlignment="1">
      <alignment horizontal="right"/>
    </xf>
    <xf numFmtId="164" fontId="26" fillId="18" borderId="3" xfId="0" applyNumberFormat="1" applyFont="1" applyFill="1" applyBorder="1" applyAlignment="1">
      <alignment horizontal="right"/>
    </xf>
    <xf numFmtId="164" fontId="26" fillId="12" borderId="3" xfId="0" applyNumberFormat="1" applyFont="1" applyFill="1" applyBorder="1" applyAlignment="1">
      <alignment horizontal="right"/>
    </xf>
    <xf numFmtId="164" fontId="26" fillId="6" borderId="3" xfId="0" applyNumberFormat="1" applyFont="1" applyFill="1" applyBorder="1" applyAlignment="1">
      <alignment horizontal="right"/>
    </xf>
    <xf numFmtId="164" fontId="26" fillId="4" borderId="3" xfId="0" applyNumberFormat="1" applyFont="1" applyFill="1" applyBorder="1" applyAlignment="1">
      <alignment horizontal="right"/>
    </xf>
    <xf numFmtId="164" fontId="26" fillId="8" borderId="3" xfId="2" applyNumberFormat="1" applyFont="1" applyFill="1" applyBorder="1" applyAlignment="1">
      <alignment horizontal="right"/>
    </xf>
    <xf numFmtId="164" fontId="26" fillId="9" borderId="3" xfId="2" applyNumberFormat="1" applyFont="1" applyFill="1" applyBorder="1" applyAlignment="1">
      <alignment horizontal="right"/>
    </xf>
    <xf numFmtId="164" fontId="26" fillId="18" borderId="3" xfId="2" applyNumberFormat="1" applyFont="1" applyFill="1" applyBorder="1" applyAlignment="1">
      <alignment horizontal="right"/>
    </xf>
    <xf numFmtId="164" fontId="26" fillId="0" borderId="14" xfId="0" applyNumberFormat="1" applyFont="1" applyBorder="1"/>
    <xf numFmtId="164" fontId="26" fillId="0" borderId="41" xfId="0" applyNumberFormat="1" applyFont="1" applyBorder="1"/>
    <xf numFmtId="164" fontId="26" fillId="0" borderId="20" xfId="0" applyNumberFormat="1" applyFont="1" applyBorder="1"/>
    <xf numFmtId="164" fontId="0" fillId="18" borderId="3" xfId="0" applyNumberFormat="1" applyFill="1" applyBorder="1" applyAlignment="1" applyProtection="1">
      <alignment horizontal="center"/>
      <protection locked="0"/>
    </xf>
    <xf numFmtId="164" fontId="0" fillId="12" borderId="3" xfId="0" applyNumberFormat="1" applyFill="1" applyBorder="1" applyAlignment="1" applyProtection="1">
      <alignment horizontal="center"/>
      <protection locked="0"/>
    </xf>
    <xf numFmtId="164" fontId="0" fillId="6" borderId="3" xfId="0" applyNumberFormat="1" applyFill="1" applyBorder="1" applyAlignment="1" applyProtection="1">
      <alignment horizontal="center"/>
      <protection locked="0"/>
    </xf>
    <xf numFmtId="164" fontId="0" fillId="4" borderId="3" xfId="0" applyNumberFormat="1" applyFill="1" applyBorder="1" applyAlignment="1" applyProtection="1">
      <alignment horizontal="center"/>
      <protection locked="0"/>
    </xf>
    <xf numFmtId="164" fontId="0" fillId="8" borderId="3" xfId="0" applyNumberFormat="1" applyFill="1" applyBorder="1" applyAlignment="1" applyProtection="1">
      <alignment horizontal="center"/>
      <protection locked="0"/>
    </xf>
    <xf numFmtId="164" fontId="0" fillId="9" borderId="3" xfId="0" applyNumberFormat="1" applyFill="1" applyBorder="1" applyAlignment="1" applyProtection="1">
      <alignment horizontal="center"/>
      <protection locked="0"/>
    </xf>
    <xf numFmtId="168" fontId="86" fillId="0" borderId="0" xfId="0" applyNumberFormat="1" applyFont="1" applyAlignment="1">
      <alignment vertical="center"/>
    </xf>
    <xf numFmtId="0" fontId="86" fillId="0" borderId="0" xfId="0" applyFont="1" applyAlignment="1">
      <alignment horizontal="left" vertical="center"/>
    </xf>
    <xf numFmtId="168" fontId="86" fillId="0" borderId="0" xfId="0" applyNumberFormat="1" applyFont="1" applyAlignment="1">
      <alignment vertical="top"/>
    </xf>
    <xf numFmtId="168" fontId="87" fillId="0" borderId="0" xfId="0" applyNumberFormat="1" applyFont="1" applyAlignment="1">
      <alignment vertical="top"/>
    </xf>
    <xf numFmtId="164" fontId="71" fillId="0" borderId="0" xfId="0" applyNumberFormat="1" applyFont="1" applyAlignment="1">
      <alignment horizontal="left"/>
    </xf>
    <xf numFmtId="164" fontId="88" fillId="0" borderId="0" xfId="0" applyNumberFormat="1" applyFont="1"/>
    <xf numFmtId="164" fontId="89" fillId="0" borderId="0" xfId="0" applyNumberFormat="1" applyFont="1"/>
    <xf numFmtId="0" fontId="89" fillId="0" borderId="0" xfId="0" applyFont="1" applyAlignment="1">
      <alignment horizontal="left"/>
    </xf>
    <xf numFmtId="164" fontId="5" fillId="0" borderId="3" xfId="0" applyNumberFormat="1" applyFont="1" applyBorder="1" applyAlignment="1">
      <alignment horizontal="center"/>
    </xf>
    <xf numFmtId="164" fontId="3" fillId="46" borderId="3" xfId="0" applyNumberFormat="1" applyFont="1" applyFill="1" applyBorder="1"/>
    <xf numFmtId="10" fontId="3" fillId="46" borderId="3" xfId="1" applyNumberFormat="1" applyFont="1" applyFill="1" applyBorder="1"/>
    <xf numFmtId="0" fontId="5" fillId="46" borderId="3" xfId="0" applyFont="1" applyFill="1" applyBorder="1" applyAlignment="1">
      <alignment horizontal="right" vertical="top"/>
    </xf>
    <xf numFmtId="0" fontId="5" fillId="0" borderId="3" xfId="0" applyFont="1" applyBorder="1" applyAlignment="1">
      <alignment horizontal="right" vertical="center"/>
    </xf>
    <xf numFmtId="0" fontId="5" fillId="9" borderId="3" xfId="0" applyFont="1" applyFill="1" applyBorder="1" applyAlignment="1">
      <alignment horizontal="left" vertical="top"/>
    </xf>
    <xf numFmtId="0" fontId="5" fillId="8" borderId="3" xfId="0" applyFont="1" applyFill="1" applyBorder="1" applyAlignment="1">
      <alignment horizontal="left" vertical="top"/>
    </xf>
    <xf numFmtId="0" fontId="5" fillId="7" borderId="3" xfId="0" applyFont="1" applyFill="1" applyBorder="1" applyAlignment="1">
      <alignment horizontal="left" vertical="top"/>
    </xf>
    <xf numFmtId="0" fontId="5" fillId="11" borderId="3" xfId="0" applyFont="1" applyFill="1" applyBorder="1" applyAlignment="1">
      <alignment horizontal="left" vertical="top"/>
    </xf>
    <xf numFmtId="0" fontId="5" fillId="18" borderId="3" xfId="0" applyFont="1" applyFill="1" applyBorder="1" applyAlignment="1">
      <alignment horizontal="left" vertical="top"/>
    </xf>
    <xf numFmtId="0" fontId="5" fillId="12" borderId="3" xfId="0" applyFont="1" applyFill="1" applyBorder="1" applyAlignment="1">
      <alignment horizontal="left" vertical="top"/>
    </xf>
    <xf numFmtId="0" fontId="57" fillId="0" borderId="0" xfId="0" applyFont="1" applyAlignment="1">
      <alignment horizontal="left"/>
    </xf>
    <xf numFmtId="0" fontId="67" fillId="0" borderId="0" xfId="0" applyFont="1" applyAlignment="1">
      <alignment horizontal="left"/>
    </xf>
    <xf numFmtId="0" fontId="0" fillId="0" borderId="55" xfId="0" applyBorder="1" applyAlignment="1">
      <alignment horizontal="left"/>
    </xf>
    <xf numFmtId="0" fontId="0" fillId="0" borderId="68" xfId="0" applyBorder="1" applyAlignment="1">
      <alignment horizontal="left"/>
    </xf>
    <xf numFmtId="0" fontId="0" fillId="0" borderId="69" xfId="0" applyBorder="1" applyAlignment="1">
      <alignment horizontal="left"/>
    </xf>
    <xf numFmtId="0" fontId="0" fillId="0" borderId="87" xfId="0" applyBorder="1" applyAlignment="1">
      <alignment horizontal="left"/>
    </xf>
    <xf numFmtId="0" fontId="26" fillId="0" borderId="31" xfId="0" applyFont="1" applyBorder="1" applyAlignment="1">
      <alignment horizontal="left"/>
    </xf>
    <xf numFmtId="0" fontId="26" fillId="0" borderId="69" xfId="0" applyFont="1" applyBorder="1" applyAlignment="1">
      <alignment horizontal="left"/>
    </xf>
    <xf numFmtId="0" fontId="26" fillId="36" borderId="69" xfId="0" applyFont="1" applyFill="1" applyBorder="1" applyAlignment="1">
      <alignment horizontal="left"/>
    </xf>
    <xf numFmtId="0" fontId="26" fillId="0" borderId="33" xfId="0" applyFont="1" applyBorder="1" applyAlignment="1">
      <alignment horizontal="left"/>
    </xf>
    <xf numFmtId="0" fontId="26" fillId="0" borderId="74" xfId="0" applyFont="1" applyBorder="1" applyAlignment="1">
      <alignment horizontal="left"/>
    </xf>
    <xf numFmtId="164" fontId="0" fillId="0" borderId="77" xfId="0" applyNumberFormat="1" applyBorder="1"/>
    <xf numFmtId="0" fontId="26" fillId="5" borderId="3" xfId="0" applyFont="1" applyFill="1" applyBorder="1" applyAlignment="1">
      <alignment horizontal="center" vertical="center" wrapText="1"/>
    </xf>
    <xf numFmtId="0" fontId="26" fillId="0" borderId="41" xfId="0" applyFont="1" applyBorder="1" applyAlignment="1">
      <alignment horizontal="center"/>
    </xf>
    <xf numFmtId="164" fontId="26" fillId="6" borderId="71" xfId="0" applyNumberFormat="1" applyFont="1" applyFill="1" applyBorder="1"/>
    <xf numFmtId="164" fontId="26" fillId="8" borderId="71" xfId="0" applyNumberFormat="1" applyFont="1" applyFill="1" applyBorder="1"/>
    <xf numFmtId="164" fontId="26" fillId="12" borderId="18" xfId="0" applyNumberFormat="1" applyFont="1" applyFill="1" applyBorder="1" applyAlignment="1">
      <alignment horizontal="center" vertical="center"/>
    </xf>
    <xf numFmtId="164" fontId="26" fillId="12" borderId="37" xfId="0" applyNumberFormat="1" applyFont="1" applyFill="1" applyBorder="1" applyAlignment="1">
      <alignment horizontal="center" vertical="center"/>
    </xf>
    <xf numFmtId="0" fontId="30" fillId="23" borderId="4" xfId="0" applyFont="1" applyFill="1" applyBorder="1"/>
    <xf numFmtId="0" fontId="30" fillId="23" borderId="16" xfId="0" applyFont="1" applyFill="1" applyBorder="1"/>
    <xf numFmtId="0" fontId="0" fillId="23" borderId="5" xfId="0" applyFill="1" applyBorder="1"/>
    <xf numFmtId="0" fontId="91" fillId="0" borderId="0" xfId="0" applyFont="1" applyAlignment="1">
      <alignment horizontal="center"/>
    </xf>
    <xf numFmtId="0" fontId="3" fillId="0" borderId="51" xfId="0" applyFont="1" applyBorder="1" applyAlignment="1">
      <alignment horizontal="center"/>
    </xf>
    <xf numFmtId="164" fontId="3" fillId="0" borderId="62" xfId="2" applyNumberFormat="1" applyFont="1" applyFill="1" applyBorder="1"/>
    <xf numFmtId="0" fontId="3" fillId="0" borderId="40" xfId="0" applyFont="1" applyBorder="1" applyAlignment="1">
      <alignment horizontal="center"/>
    </xf>
    <xf numFmtId="164" fontId="3" fillId="0" borderId="14" xfId="2" applyNumberFormat="1" applyFont="1" applyFill="1" applyBorder="1"/>
    <xf numFmtId="2" fontId="0" fillId="0" borderId="3" xfId="0" applyNumberFormat="1" applyBorder="1" applyAlignment="1">
      <alignment horizontal="center"/>
    </xf>
    <xf numFmtId="0" fontId="0" fillId="4" borderId="3" xfId="0" applyFill="1" applyBorder="1" applyAlignment="1">
      <alignment horizontal="center"/>
    </xf>
    <xf numFmtId="0" fontId="5" fillId="11" borderId="4" xfId="0" applyFont="1" applyFill="1" applyBorder="1"/>
    <xf numFmtId="164" fontId="5" fillId="11" borderId="24" xfId="0" applyNumberFormat="1" applyFont="1" applyFill="1" applyBorder="1"/>
    <xf numFmtId="164" fontId="5" fillId="11" borderId="25" xfId="0" applyNumberFormat="1" applyFont="1" applyFill="1" applyBorder="1"/>
    <xf numFmtId="164" fontId="5" fillId="6" borderId="25" xfId="0" applyNumberFormat="1" applyFont="1" applyFill="1" applyBorder="1"/>
    <xf numFmtId="0" fontId="5" fillId="8" borderId="4" xfId="0" applyFont="1" applyFill="1" applyBorder="1"/>
    <xf numFmtId="0" fontId="5" fillId="9" borderId="4" xfId="0" applyFont="1" applyFill="1" applyBorder="1"/>
    <xf numFmtId="164" fontId="5" fillId="9" borderId="24" xfId="0" applyNumberFormat="1" applyFont="1" applyFill="1" applyBorder="1"/>
    <xf numFmtId="0" fontId="5" fillId="12" borderId="4" xfId="0" applyFont="1" applyFill="1" applyBorder="1"/>
    <xf numFmtId="164" fontId="5" fillId="12" borderId="24" xfId="0" applyNumberFormat="1" applyFont="1" applyFill="1" applyBorder="1"/>
    <xf numFmtId="164" fontId="5" fillId="12" borderId="25" xfId="0" applyNumberFormat="1" applyFont="1" applyFill="1" applyBorder="1"/>
    <xf numFmtId="0" fontId="5" fillId="15" borderId="4" xfId="0" applyFont="1" applyFill="1" applyBorder="1"/>
    <xf numFmtId="164" fontId="5" fillId="15" borderId="24" xfId="0" applyNumberFormat="1" applyFont="1" applyFill="1" applyBorder="1"/>
    <xf numFmtId="164" fontId="5" fillId="15" borderId="25" xfId="0" applyNumberFormat="1" applyFont="1" applyFill="1" applyBorder="1"/>
    <xf numFmtId="0" fontId="5" fillId="18" borderId="4" xfId="0" applyFont="1" applyFill="1" applyBorder="1"/>
    <xf numFmtId="164" fontId="5" fillId="18" borderId="24" xfId="0" applyNumberFormat="1" applyFont="1" applyFill="1" applyBorder="1"/>
    <xf numFmtId="164" fontId="5" fillId="18" borderId="25" xfId="0" applyNumberFormat="1" applyFont="1" applyFill="1" applyBorder="1"/>
    <xf numFmtId="0" fontId="5" fillId="2" borderId="4" xfId="0" applyFont="1" applyFill="1" applyBorder="1"/>
    <xf numFmtId="164" fontId="5" fillId="2" borderId="24" xfId="0" applyNumberFormat="1" applyFont="1" applyFill="1" applyBorder="1"/>
    <xf numFmtId="164" fontId="5" fillId="2" borderId="25" xfId="0" applyNumberFormat="1" applyFont="1" applyFill="1" applyBorder="1"/>
    <xf numFmtId="0" fontId="5" fillId="31" borderId="4" xfId="0" applyFont="1" applyFill="1" applyBorder="1"/>
    <xf numFmtId="164" fontId="5" fillId="31" borderId="24" xfId="0" applyNumberFormat="1" applyFont="1" applyFill="1" applyBorder="1"/>
    <xf numFmtId="164" fontId="5" fillId="31" borderId="25" xfId="0" applyNumberFormat="1" applyFont="1" applyFill="1" applyBorder="1"/>
    <xf numFmtId="164" fontId="7" fillId="4" borderId="3" xfId="0" applyNumberFormat="1" applyFont="1" applyFill="1" applyBorder="1"/>
    <xf numFmtId="164" fontId="5" fillId="4" borderId="3" xfId="0" applyNumberFormat="1" applyFont="1" applyFill="1" applyBorder="1"/>
    <xf numFmtId="164" fontId="7" fillId="48" borderId="3" xfId="0" applyNumberFormat="1" applyFont="1" applyFill="1" applyBorder="1"/>
    <xf numFmtId="164" fontId="15" fillId="48" borderId="3" xfId="0" applyNumberFormat="1" applyFont="1" applyFill="1" applyBorder="1" applyAlignment="1">
      <alignment horizontal="right"/>
    </xf>
    <xf numFmtId="164" fontId="8" fillId="48" borderId="3" xfId="0" applyNumberFormat="1" applyFont="1" applyFill="1" applyBorder="1" applyAlignment="1">
      <alignment horizontal="right"/>
    </xf>
    <xf numFmtId="164" fontId="5" fillId="3" borderId="76" xfId="0" applyNumberFormat="1" applyFont="1" applyFill="1" applyBorder="1"/>
    <xf numFmtId="164" fontId="5" fillId="3" borderId="53" xfId="0" applyNumberFormat="1" applyFont="1" applyFill="1" applyBorder="1"/>
    <xf numFmtId="164" fontId="5" fillId="3" borderId="60" xfId="0" applyNumberFormat="1" applyFont="1" applyFill="1" applyBorder="1"/>
    <xf numFmtId="164" fontId="5" fillId="3" borderId="63" xfId="0" applyNumberFormat="1" applyFont="1" applyFill="1" applyBorder="1"/>
    <xf numFmtId="164" fontId="5" fillId="3" borderId="1" xfId="0" applyNumberFormat="1" applyFont="1" applyFill="1" applyBorder="1"/>
    <xf numFmtId="164" fontId="3" fillId="12" borderId="51" xfId="2" applyNumberFormat="1" applyFont="1" applyFill="1" applyBorder="1"/>
    <xf numFmtId="164" fontId="3" fillId="12" borderId="38" xfId="2" applyNumberFormat="1" applyFont="1" applyFill="1" applyBorder="1"/>
    <xf numFmtId="164" fontId="5" fillId="3" borderId="32" xfId="0" applyNumberFormat="1" applyFont="1" applyFill="1" applyBorder="1"/>
    <xf numFmtId="164" fontId="5" fillId="3" borderId="85" xfId="0" applyNumberFormat="1" applyFont="1" applyFill="1" applyBorder="1"/>
    <xf numFmtId="164" fontId="5" fillId="3" borderId="72" xfId="0" applyNumberFormat="1" applyFont="1" applyFill="1" applyBorder="1" applyAlignment="1">
      <alignment horizontal="right"/>
    </xf>
    <xf numFmtId="164" fontId="5" fillId="3" borderId="48" xfId="0" applyNumberFormat="1" applyFont="1" applyFill="1" applyBorder="1" applyAlignment="1">
      <alignment horizontal="right"/>
    </xf>
    <xf numFmtId="164" fontId="5" fillId="3" borderId="49" xfId="0" applyNumberFormat="1" applyFont="1" applyFill="1" applyBorder="1" applyAlignment="1">
      <alignment horizontal="right"/>
    </xf>
    <xf numFmtId="164" fontId="3" fillId="12" borderId="51" xfId="0" applyNumberFormat="1" applyFont="1" applyFill="1" applyBorder="1" applyAlignment="1">
      <alignment horizontal="right"/>
    </xf>
    <xf numFmtId="164" fontId="3" fillId="12" borderId="38" xfId="0" applyNumberFormat="1" applyFont="1" applyFill="1" applyBorder="1" applyAlignment="1">
      <alignment horizontal="right"/>
    </xf>
    <xf numFmtId="164" fontId="3" fillId="12" borderId="40" xfId="0" applyNumberFormat="1" applyFont="1" applyFill="1" applyBorder="1" applyAlignment="1">
      <alignment horizontal="right"/>
    </xf>
    <xf numFmtId="164" fontId="3" fillId="11" borderId="14" xfId="0" applyNumberFormat="1" applyFont="1" applyFill="1" applyBorder="1" applyAlignment="1">
      <alignment horizontal="right"/>
    </xf>
    <xf numFmtId="164" fontId="3" fillId="6" borderId="14" xfId="0" applyNumberFormat="1" applyFont="1" applyFill="1" applyBorder="1" applyAlignment="1">
      <alignment horizontal="right"/>
    </xf>
    <xf numFmtId="164" fontId="3" fillId="8" borderId="14" xfId="0" applyNumberFormat="1" applyFont="1" applyFill="1" applyBorder="1" applyAlignment="1">
      <alignment horizontal="right"/>
    </xf>
    <xf numFmtId="164" fontId="5" fillId="3" borderId="88" xfId="0" applyNumberFormat="1" applyFont="1" applyFill="1" applyBorder="1"/>
    <xf numFmtId="0" fontId="26" fillId="0" borderId="59" xfId="0" applyFont="1" applyBorder="1" applyAlignment="1">
      <alignment horizontal="center" vertical="center"/>
    </xf>
    <xf numFmtId="0" fontId="0" fillId="4" borderId="13" xfId="0" applyFill="1" applyBorder="1" applyAlignment="1" applyProtection="1">
      <alignment horizontal="left"/>
      <protection locked="0"/>
    </xf>
    <xf numFmtId="0" fontId="0" fillId="4" borderId="7" xfId="0" applyFill="1" applyBorder="1" applyAlignment="1" applyProtection="1">
      <alignment horizontal="left"/>
      <protection locked="0"/>
    </xf>
    <xf numFmtId="0" fontId="0" fillId="8" borderId="13" xfId="0" applyFill="1" applyBorder="1" applyAlignment="1" applyProtection="1">
      <alignment horizontal="left"/>
      <protection locked="0"/>
    </xf>
    <xf numFmtId="0" fontId="11" fillId="0" borderId="0" xfId="3" applyBorder="1" applyAlignment="1">
      <alignment horizontal="left"/>
    </xf>
    <xf numFmtId="164" fontId="0" fillId="0" borderId="55" xfId="0" applyNumberFormat="1" applyBorder="1"/>
    <xf numFmtId="0" fontId="44" fillId="0" borderId="0" xfId="0" applyFont="1" applyAlignment="1">
      <alignment horizontal="left"/>
    </xf>
    <xf numFmtId="168" fontId="26" fillId="12" borderId="3" xfId="0" applyNumberFormat="1" applyFont="1" applyFill="1" applyBorder="1" applyAlignment="1">
      <alignment horizontal="right"/>
    </xf>
    <xf numFmtId="0" fontId="0" fillId="8" borderId="5" xfId="0" applyFill="1" applyBorder="1"/>
    <xf numFmtId="0" fontId="0" fillId="0" borderId="13" xfId="0" applyBorder="1"/>
    <xf numFmtId="0" fontId="0" fillId="11" borderId="25" xfId="0" quotePrefix="1" applyFill="1" applyBorder="1"/>
    <xf numFmtId="0" fontId="0" fillId="18" borderId="25" xfId="0" quotePrefix="1" applyFill="1" applyBorder="1"/>
    <xf numFmtId="0" fontId="0" fillId="12" borderId="25" xfId="0" quotePrefix="1" applyFill="1" applyBorder="1"/>
    <xf numFmtId="1" fontId="0" fillId="0" borderId="62" xfId="0" applyNumberFormat="1" applyBorder="1" applyAlignment="1" applyProtection="1">
      <alignment horizontal="center"/>
      <protection locked="0"/>
    </xf>
    <xf numFmtId="1" fontId="0" fillId="0" borderId="3" xfId="0" applyNumberFormat="1" applyBorder="1" applyAlignment="1" applyProtection="1">
      <alignment horizontal="center"/>
      <protection locked="0"/>
    </xf>
    <xf numFmtId="1" fontId="0" fillId="0" borderId="14" xfId="0" applyNumberFormat="1" applyBorder="1" applyAlignment="1" applyProtection="1">
      <alignment horizontal="center"/>
      <protection locked="0"/>
    </xf>
    <xf numFmtId="164" fontId="0" fillId="0" borderId="0" xfId="0" applyNumberFormat="1" applyAlignment="1">
      <alignment horizontal="right" vertical="center"/>
    </xf>
    <xf numFmtId="0" fontId="0" fillId="6" borderId="25" xfId="0" quotePrefix="1" applyFill="1" applyBorder="1"/>
    <xf numFmtId="0" fontId="0" fillId="4" borderId="25" xfId="0" quotePrefix="1" applyFill="1" applyBorder="1"/>
    <xf numFmtId="0" fontId="0" fillId="8" borderId="25" xfId="0" quotePrefix="1" applyFill="1" applyBorder="1"/>
    <xf numFmtId="0" fontId="0" fillId="18" borderId="3" xfId="0" quotePrefix="1" applyFill="1" applyBorder="1"/>
    <xf numFmtId="0" fontId="0" fillId="9" borderId="3" xfId="0" quotePrefix="1" applyFill="1" applyBorder="1"/>
    <xf numFmtId="0" fontId="26" fillId="0" borderId="71" xfId="0" applyFont="1" applyBorder="1" applyAlignment="1">
      <alignment horizontal="center"/>
    </xf>
    <xf numFmtId="0" fontId="0" fillId="0" borderId="22" xfId="0" applyBorder="1"/>
    <xf numFmtId="0" fontId="0" fillId="0" borderId="15" xfId="0" applyBorder="1"/>
    <xf numFmtId="0" fontId="5" fillId="32" borderId="4" xfId="0" applyFont="1" applyFill="1" applyBorder="1"/>
    <xf numFmtId="164" fontId="5" fillId="32" borderId="24" xfId="0" applyNumberFormat="1" applyFont="1" applyFill="1" applyBorder="1"/>
    <xf numFmtId="164" fontId="5" fillId="32" borderId="25" xfId="0" applyNumberFormat="1" applyFont="1" applyFill="1" applyBorder="1"/>
    <xf numFmtId="164" fontId="7" fillId="31" borderId="25" xfId="0" applyNumberFormat="1" applyFont="1" applyFill="1" applyBorder="1"/>
    <xf numFmtId="0" fontId="5" fillId="5" borderId="4" xfId="0" applyFont="1" applyFill="1" applyBorder="1"/>
    <xf numFmtId="0" fontId="5" fillId="28" borderId="4" xfId="0" applyFont="1" applyFill="1" applyBorder="1"/>
    <xf numFmtId="0" fontId="26" fillId="0" borderId="49" xfId="0" applyFont="1" applyBorder="1" applyAlignment="1">
      <alignment horizontal="center" wrapText="1"/>
    </xf>
    <xf numFmtId="2" fontId="0" fillId="0" borderId="55" xfId="0" applyNumberFormat="1" applyBorder="1" applyAlignment="1">
      <alignment horizontal="center"/>
    </xf>
    <xf numFmtId="0" fontId="0" fillId="0" borderId="55" xfId="0" applyBorder="1" applyAlignment="1">
      <alignment horizontal="center"/>
    </xf>
    <xf numFmtId="2" fontId="0" fillId="0" borderId="64" xfId="0" applyNumberFormat="1" applyBorder="1" applyAlignment="1">
      <alignment horizontal="center"/>
    </xf>
    <xf numFmtId="0" fontId="0" fillId="0" borderId="56" xfId="0" applyBorder="1" applyAlignment="1">
      <alignment horizontal="center"/>
    </xf>
    <xf numFmtId="2" fontId="0" fillId="0" borderId="71" xfId="0" applyNumberFormat="1" applyBorder="1" applyAlignment="1">
      <alignment horizontal="center"/>
    </xf>
    <xf numFmtId="0" fontId="0" fillId="0" borderId="57" xfId="0" applyBorder="1" applyAlignment="1">
      <alignment horizontal="center"/>
    </xf>
    <xf numFmtId="164" fontId="26" fillId="0" borderId="49" xfId="0" applyNumberFormat="1" applyFont="1" applyBorder="1"/>
    <xf numFmtId="0" fontId="0" fillId="0" borderId="71" xfId="0" applyBorder="1" applyAlignment="1">
      <alignment horizontal="center"/>
    </xf>
    <xf numFmtId="2" fontId="26" fillId="0" borderId="71" xfId="0" applyNumberFormat="1" applyFont="1" applyBorder="1" applyAlignment="1">
      <alignment horizontal="center"/>
    </xf>
    <xf numFmtId="2" fontId="0" fillId="0" borderId="81" xfId="0" applyNumberFormat="1" applyBorder="1" applyAlignment="1">
      <alignment horizontal="center"/>
    </xf>
    <xf numFmtId="2" fontId="0" fillId="0" borderId="19" xfId="0" applyNumberFormat="1" applyBorder="1" applyAlignment="1">
      <alignment horizontal="center"/>
    </xf>
    <xf numFmtId="2" fontId="26" fillId="0" borderId="74" xfId="0" applyNumberFormat="1" applyFont="1" applyBorder="1" applyAlignment="1">
      <alignment horizontal="center"/>
    </xf>
    <xf numFmtId="0" fontId="0" fillId="23" borderId="0" xfId="0" applyFill="1"/>
    <xf numFmtId="0" fontId="0" fillId="0" borderId="18" xfId="0" applyBorder="1"/>
    <xf numFmtId="0" fontId="0" fillId="0" borderId="19" xfId="0" applyBorder="1"/>
    <xf numFmtId="0" fontId="26" fillId="0" borderId="71" xfId="0" applyFont="1" applyBorder="1" applyAlignment="1">
      <alignment vertical="center" wrapText="1"/>
    </xf>
    <xf numFmtId="0" fontId="50" fillId="40" borderId="0" xfId="0" applyFont="1" applyFill="1"/>
    <xf numFmtId="0" fontId="0" fillId="0" borderId="21" xfId="0" applyBorder="1"/>
    <xf numFmtId="0" fontId="0" fillId="0" borderId="15" xfId="0" applyBorder="1" applyAlignment="1">
      <alignment horizontal="right"/>
    </xf>
    <xf numFmtId="0" fontId="94" fillId="50" borderId="74" xfId="0" applyFont="1" applyFill="1" applyBorder="1"/>
    <xf numFmtId="0" fontId="30" fillId="23" borderId="37" xfId="0" applyFont="1" applyFill="1" applyBorder="1"/>
    <xf numFmtId="0" fontId="30" fillId="23" borderId="50" xfId="0" applyFont="1" applyFill="1" applyBorder="1" applyAlignment="1">
      <alignment horizontal="right"/>
    </xf>
    <xf numFmtId="0" fontId="26" fillId="0" borderId="21" xfId="0" applyFont="1" applyBorder="1" applyAlignment="1">
      <alignment horizontal="center" wrapText="1"/>
    </xf>
    <xf numFmtId="0" fontId="26" fillId="0" borderId="19" xfId="0" applyFont="1" applyBorder="1" applyAlignment="1">
      <alignment horizontal="center" wrapText="1"/>
    </xf>
    <xf numFmtId="0" fontId="26" fillId="0" borderId="22" xfId="0" applyFont="1" applyBorder="1" applyAlignment="1">
      <alignment horizontal="center" wrapText="1"/>
    </xf>
    <xf numFmtId="0" fontId="30" fillId="19" borderId="16" xfId="0" applyFont="1" applyFill="1" applyBorder="1"/>
    <xf numFmtId="0" fontId="30" fillId="20" borderId="37" xfId="0" applyFont="1" applyFill="1" applyBorder="1" applyAlignment="1">
      <alignment horizontal="left"/>
    </xf>
    <xf numFmtId="0" fontId="30" fillId="20" borderId="20" xfId="0" applyFont="1" applyFill="1" applyBorder="1" applyAlignment="1">
      <alignment horizontal="left"/>
    </xf>
    <xf numFmtId="0" fontId="30" fillId="19" borderId="16" xfId="0" applyFont="1" applyFill="1" applyBorder="1" applyAlignment="1">
      <alignment horizontal="center"/>
    </xf>
    <xf numFmtId="164" fontId="30" fillId="19" borderId="16" xfId="0" applyNumberFormat="1" applyFont="1" applyFill="1" applyBorder="1" applyAlignment="1">
      <alignment horizontal="center"/>
    </xf>
    <xf numFmtId="0" fontId="24" fillId="0" borderId="4" xfId="0" applyFont="1" applyBorder="1" applyAlignment="1">
      <alignment horizontal="left"/>
    </xf>
    <xf numFmtId="0" fontId="0" fillId="19" borderId="16" xfId="0" applyFill="1" applyBorder="1"/>
    <xf numFmtId="0" fontId="26" fillId="0" borderId="76" xfId="0" applyFont="1" applyBorder="1" applyAlignment="1">
      <alignment horizontal="left" wrapText="1"/>
    </xf>
    <xf numFmtId="0" fontId="30" fillId="23" borderId="4" xfId="0" applyFont="1" applyFill="1" applyBorder="1" applyAlignment="1">
      <alignment horizontal="left"/>
    </xf>
    <xf numFmtId="0" fontId="0" fillId="23" borderId="4" xfId="0" applyFill="1" applyBorder="1"/>
    <xf numFmtId="0" fontId="0" fillId="23" borderId="16" xfId="0" applyFill="1" applyBorder="1"/>
    <xf numFmtId="0" fontId="26" fillId="40" borderId="3" xfId="0" applyFont="1" applyFill="1" applyBorder="1" applyAlignment="1">
      <alignment horizontal="center"/>
    </xf>
    <xf numFmtId="2" fontId="0" fillId="40" borderId="3" xfId="0" applyNumberFormat="1" applyFill="1" applyBorder="1" applyAlignment="1">
      <alignment horizontal="center"/>
    </xf>
    <xf numFmtId="0" fontId="26" fillId="40" borderId="14" xfId="0" applyFont="1" applyFill="1" applyBorder="1" applyAlignment="1">
      <alignment horizontal="center"/>
    </xf>
    <xf numFmtId="2" fontId="0" fillId="40" borderId="14" xfId="0" applyNumberFormat="1" applyFill="1" applyBorder="1" applyAlignment="1">
      <alignment horizontal="center"/>
    </xf>
    <xf numFmtId="0" fontId="26" fillId="40" borderId="74" xfId="0" applyFont="1" applyFill="1" applyBorder="1" applyAlignment="1">
      <alignment horizontal="center"/>
    </xf>
    <xf numFmtId="0" fontId="26" fillId="40" borderId="62" xfId="0" applyFont="1" applyFill="1" applyBorder="1" applyAlignment="1">
      <alignment horizontal="center"/>
    </xf>
    <xf numFmtId="2" fontId="0" fillId="40" borderId="62" xfId="0" applyNumberFormat="1" applyFill="1" applyBorder="1" applyAlignment="1">
      <alignment horizontal="center"/>
    </xf>
    <xf numFmtId="2" fontId="26" fillId="40" borderId="74" xfId="0" applyNumberFormat="1" applyFont="1" applyFill="1" applyBorder="1" applyAlignment="1">
      <alignment horizontal="center"/>
    </xf>
    <xf numFmtId="164" fontId="26" fillId="18" borderId="74" xfId="0" applyNumberFormat="1" applyFont="1" applyFill="1" applyBorder="1"/>
    <xf numFmtId="14" fontId="0" fillId="0" borderId="0" xfId="0" applyNumberFormat="1"/>
    <xf numFmtId="0" fontId="26" fillId="40" borderId="0" xfId="0" applyFont="1" applyFill="1"/>
    <xf numFmtId="0" fontId="24" fillId="36" borderId="4" xfId="0" applyFont="1" applyFill="1" applyBorder="1" applyAlignment="1">
      <alignment horizontal="left"/>
    </xf>
    <xf numFmtId="0" fontId="26" fillId="40" borderId="15" xfId="0" applyFont="1" applyFill="1" applyBorder="1" applyAlignment="1">
      <alignment horizontal="center"/>
    </xf>
    <xf numFmtId="2" fontId="0" fillId="40" borderId="19" xfId="0" applyNumberFormat="1" applyFill="1" applyBorder="1" applyAlignment="1">
      <alignment horizontal="center"/>
    </xf>
    <xf numFmtId="0" fontId="30" fillId="19" borderId="5" xfId="0" applyFont="1" applyFill="1" applyBorder="1" applyAlignment="1">
      <alignment horizontal="center"/>
    </xf>
    <xf numFmtId="0" fontId="30" fillId="40" borderId="0" xfId="0" applyFont="1" applyFill="1"/>
    <xf numFmtId="0" fontId="47" fillId="23" borderId="75" xfId="0" applyFont="1" applyFill="1" applyBorder="1"/>
    <xf numFmtId="0" fontId="30" fillId="19" borderId="4" xfId="0" applyFont="1" applyFill="1" applyBorder="1" applyAlignment="1">
      <alignment horizontal="left"/>
    </xf>
    <xf numFmtId="0" fontId="30" fillId="20" borderId="37" xfId="0" applyFont="1" applyFill="1" applyBorder="1"/>
    <xf numFmtId="0" fontId="30" fillId="23" borderId="21" xfId="0" applyFont="1" applyFill="1" applyBorder="1" applyAlignment="1">
      <alignment horizontal="center"/>
    </xf>
    <xf numFmtId="164" fontId="30" fillId="23" borderId="21" xfId="0" applyNumberFormat="1" applyFont="1" applyFill="1" applyBorder="1" applyAlignment="1">
      <alignment horizontal="center"/>
    </xf>
    <xf numFmtId="0" fontId="0" fillId="19" borderId="4" xfId="0" applyFill="1" applyBorder="1"/>
    <xf numFmtId="164" fontId="30" fillId="23" borderId="5" xfId="0" applyNumberFormat="1" applyFont="1" applyFill="1" applyBorder="1" applyAlignment="1">
      <alignment horizontal="center"/>
    </xf>
    <xf numFmtId="0" fontId="30" fillId="19" borderId="37" xfId="0" applyFont="1" applyFill="1" applyBorder="1"/>
    <xf numFmtId="0" fontId="0" fillId="19" borderId="37" xfId="0" applyFill="1" applyBorder="1"/>
    <xf numFmtId="164" fontId="30" fillId="19" borderId="21" xfId="0" applyNumberFormat="1" applyFont="1" applyFill="1" applyBorder="1" applyAlignment="1">
      <alignment horizontal="center"/>
    </xf>
    <xf numFmtId="164" fontId="30" fillId="19" borderId="5" xfId="0" applyNumberFormat="1" applyFont="1" applyFill="1" applyBorder="1"/>
    <xf numFmtId="0" fontId="5" fillId="5" borderId="3" xfId="0" applyFont="1" applyFill="1" applyBorder="1" applyAlignment="1">
      <alignment horizontal="center" wrapText="1"/>
    </xf>
    <xf numFmtId="0" fontId="26" fillId="0" borderId="0" xfId="0" applyFont="1" applyAlignment="1">
      <alignment horizontal="center"/>
    </xf>
    <xf numFmtId="0" fontId="0" fillId="5" borderId="58" xfId="0" applyFill="1" applyBorder="1" applyAlignment="1">
      <alignment vertical="center" wrapText="1"/>
    </xf>
    <xf numFmtId="0" fontId="0" fillId="5" borderId="60" xfId="0" applyFill="1" applyBorder="1" applyAlignment="1">
      <alignment vertical="center"/>
    </xf>
    <xf numFmtId="14" fontId="0" fillId="5" borderId="2" xfId="0" applyNumberFormat="1" applyFill="1" applyBorder="1"/>
    <xf numFmtId="9" fontId="0" fillId="36" borderId="5" xfId="1" applyFont="1" applyFill="1" applyBorder="1" applyAlignment="1">
      <alignment horizontal="right"/>
    </xf>
    <xf numFmtId="0" fontId="26" fillId="0" borderId="0" xfId="0" applyFont="1" applyAlignment="1">
      <alignment horizontal="center" vertical="center"/>
    </xf>
    <xf numFmtId="14" fontId="30" fillId="19" borderId="20" xfId="0" applyNumberFormat="1" applyFont="1" applyFill="1" applyBorder="1"/>
    <xf numFmtId="14" fontId="30" fillId="23" borderId="5" xfId="0" applyNumberFormat="1" applyFont="1" applyFill="1" applyBorder="1"/>
    <xf numFmtId="0" fontId="26" fillId="0" borderId="0" xfId="0" applyFont="1" applyAlignment="1">
      <alignment horizontal="center" wrapText="1"/>
    </xf>
    <xf numFmtId="0" fontId="26" fillId="40" borderId="0" xfId="0" applyFont="1" applyFill="1" applyAlignment="1">
      <alignment horizontal="center" wrapText="1"/>
    </xf>
    <xf numFmtId="10" fontId="0" fillId="8" borderId="38" xfId="1" applyNumberFormat="1" applyFont="1" applyFill="1" applyBorder="1" applyAlignment="1">
      <alignment horizontal="center"/>
    </xf>
    <xf numFmtId="10" fontId="0" fillId="8" borderId="40" xfId="1" applyNumberFormat="1" applyFont="1" applyFill="1" applyBorder="1" applyAlignment="1">
      <alignment horizontal="center"/>
    </xf>
    <xf numFmtId="0" fontId="30" fillId="19" borderId="4" xfId="0" applyFont="1" applyFill="1" applyBorder="1" applyAlignment="1">
      <alignment horizontal="right"/>
    </xf>
    <xf numFmtId="0" fontId="30" fillId="19" borderId="5" xfId="0" applyFont="1" applyFill="1" applyBorder="1"/>
    <xf numFmtId="6" fontId="30" fillId="19" borderId="5" xfId="0" applyNumberFormat="1" applyFont="1" applyFill="1" applyBorder="1"/>
    <xf numFmtId="0" fontId="26" fillId="0" borderId="0" xfId="0" applyFont="1" applyAlignment="1">
      <alignment horizontal="center" vertical="center" wrapText="1"/>
    </xf>
    <xf numFmtId="0" fontId="0" fillId="0" borderId="0" xfId="5" applyFont="1"/>
    <xf numFmtId="9" fontId="0" fillId="0" borderId="0" xfId="0" applyNumberFormat="1" applyAlignment="1">
      <alignment horizontal="center"/>
    </xf>
    <xf numFmtId="164" fontId="26" fillId="0" borderId="77" xfId="0" applyNumberFormat="1" applyFont="1" applyBorder="1"/>
    <xf numFmtId="164" fontId="26" fillId="0" borderId="6" xfId="0" applyNumberFormat="1" applyFont="1" applyBorder="1"/>
    <xf numFmtId="164" fontId="26" fillId="0" borderId="70" xfId="0" applyNumberFormat="1" applyFont="1" applyBorder="1"/>
    <xf numFmtId="0" fontId="26" fillId="0" borderId="10" xfId="0" applyFont="1" applyBorder="1" applyAlignment="1">
      <alignment horizontal="center" wrapText="1"/>
    </xf>
    <xf numFmtId="0" fontId="50" fillId="0" borderId="31" xfId="11" applyFont="1" applyFill="1" applyBorder="1" applyAlignment="1">
      <alignment horizontal="center"/>
    </xf>
    <xf numFmtId="0" fontId="50" fillId="0" borderId="68" xfId="11" applyFont="1" applyFill="1" applyBorder="1" applyAlignment="1">
      <alignment horizontal="center"/>
    </xf>
    <xf numFmtId="0" fontId="50" fillId="0" borderId="18" xfId="11" applyFont="1" applyFill="1" applyBorder="1" applyAlignment="1">
      <alignment horizontal="center"/>
    </xf>
    <xf numFmtId="2" fontId="0" fillId="40" borderId="32" xfId="0" applyNumberFormat="1" applyFill="1" applyBorder="1" applyAlignment="1">
      <alignment horizontal="center"/>
    </xf>
    <xf numFmtId="2" fontId="0" fillId="40" borderId="81" xfId="0" applyNumberFormat="1" applyFill="1" applyBorder="1" applyAlignment="1">
      <alignment horizontal="center"/>
    </xf>
    <xf numFmtId="165" fontId="0" fillId="0" borderId="39" xfId="0" applyNumberFormat="1" applyBorder="1" applyAlignment="1">
      <alignment horizontal="center" vertical="center"/>
    </xf>
    <xf numFmtId="165" fontId="0" fillId="0" borderId="39" xfId="1" applyNumberFormat="1" applyFont="1" applyBorder="1" applyAlignment="1">
      <alignment horizontal="center" vertical="center"/>
    </xf>
    <xf numFmtId="165" fontId="0" fillId="0" borderId="41" xfId="1" applyNumberFormat="1" applyFont="1" applyBorder="1" applyAlignment="1">
      <alignment horizontal="center" vertical="center"/>
    </xf>
    <xf numFmtId="164" fontId="0" fillId="0" borderId="3" xfId="0" applyNumberFormat="1" applyBorder="1" applyAlignment="1">
      <alignment horizontal="center" vertical="center"/>
    </xf>
    <xf numFmtId="0" fontId="26" fillId="6" borderId="42" xfId="0" applyFont="1" applyFill="1" applyBorder="1" applyAlignment="1">
      <alignment horizontal="center" vertical="center"/>
    </xf>
    <xf numFmtId="0" fontId="54" fillId="0" borderId="0" xfId="0" applyFont="1" applyAlignment="1">
      <alignment vertical="center"/>
    </xf>
    <xf numFmtId="0" fontId="26" fillId="6" borderId="14" xfId="0" applyFont="1" applyFill="1" applyBorder="1" applyAlignment="1">
      <alignment horizontal="center"/>
    </xf>
    <xf numFmtId="168" fontId="86" fillId="0" borderId="0" xfId="0" applyNumberFormat="1" applyFont="1" applyAlignment="1">
      <alignment horizontal="right" vertical="top"/>
    </xf>
    <xf numFmtId="168" fontId="87" fillId="0" borderId="0" xfId="0" applyNumberFormat="1" applyFont="1" applyAlignment="1">
      <alignment vertical="center"/>
    </xf>
    <xf numFmtId="0" fontId="96" fillId="0" borderId="0" xfId="0" applyFont="1" applyAlignment="1">
      <alignment horizontal="center" vertical="center"/>
    </xf>
    <xf numFmtId="0" fontId="0" fillId="0" borderId="15" xfId="0" applyBorder="1" applyAlignment="1">
      <alignment vertical="center" wrapText="1"/>
    </xf>
    <xf numFmtId="0" fontId="0" fillId="0" borderId="19" xfId="0" applyBorder="1" applyAlignment="1">
      <alignment vertical="center" wrapText="1"/>
    </xf>
    <xf numFmtId="0" fontId="44" fillId="13" borderId="33" xfId="0" applyFont="1" applyFill="1" applyBorder="1" applyAlignment="1">
      <alignment horizontal="centerContinuous" vertical="center" wrapText="1"/>
    </xf>
    <xf numFmtId="0" fontId="26" fillId="13" borderId="79" xfId="0" applyFont="1" applyFill="1" applyBorder="1" applyAlignment="1">
      <alignment horizontal="centerContinuous" vertical="center" wrapText="1"/>
    </xf>
    <xf numFmtId="0" fontId="0" fillId="13" borderId="79" xfId="0" applyFill="1" applyBorder="1" applyAlignment="1">
      <alignment horizontal="centerContinuous" vertical="center" wrapText="1"/>
    </xf>
    <xf numFmtId="169" fontId="0" fillId="0" borderId="3" xfId="0" applyNumberFormat="1" applyBorder="1" applyAlignment="1">
      <alignment horizontal="center"/>
    </xf>
    <xf numFmtId="168" fontId="0" fillId="0" borderId="0" xfId="0" applyNumberFormat="1"/>
    <xf numFmtId="165" fontId="50" fillId="40" borderId="5" xfId="1" applyNumberFormat="1" applyFont="1" applyFill="1" applyBorder="1" applyAlignment="1">
      <alignment horizontal="right"/>
    </xf>
    <xf numFmtId="0" fontId="0" fillId="35" borderId="0" xfId="0" applyFill="1"/>
    <xf numFmtId="0" fontId="64" fillId="0" borderId="0" xfId="0" quotePrefix="1" applyFont="1" applyAlignment="1">
      <alignment vertical="center"/>
    </xf>
    <xf numFmtId="0" fontId="65" fillId="0" borderId="0" xfId="0" applyFont="1"/>
    <xf numFmtId="0" fontId="64" fillId="0" borderId="3" xfId="0" quotePrefix="1" applyFont="1" applyBorder="1" applyAlignment="1">
      <alignment horizontal="right" vertical="center"/>
    </xf>
    <xf numFmtId="0" fontId="64" fillId="0" borderId="3" xfId="0" applyFont="1" applyBorder="1" applyAlignment="1">
      <alignment horizontal="right"/>
    </xf>
    <xf numFmtId="0" fontId="63" fillId="0" borderId="51" xfId="7" applyFont="1" applyBorder="1" applyProtection="1"/>
    <xf numFmtId="0" fontId="63" fillId="0" borderId="62" xfId="7" applyFont="1" applyBorder="1" applyProtection="1"/>
    <xf numFmtId="0" fontId="55" fillId="0" borderId="0" xfId="7" applyFont="1" applyBorder="1" applyProtection="1"/>
    <xf numFmtId="10" fontId="57" fillId="6" borderId="42" xfId="0" applyNumberFormat="1" applyFont="1" applyFill="1" applyBorder="1"/>
    <xf numFmtId="0" fontId="40" fillId="6" borderId="52" xfId="0" applyFont="1" applyFill="1" applyBorder="1"/>
    <xf numFmtId="0" fontId="63" fillId="0" borderId="39" xfId="7" applyFont="1" applyBorder="1" applyProtection="1"/>
    <xf numFmtId="10" fontId="57" fillId="6" borderId="40" xfId="0" applyNumberFormat="1" applyFont="1" applyFill="1" applyBorder="1"/>
    <xf numFmtId="0" fontId="40" fillId="6" borderId="41" xfId="0" applyFont="1" applyFill="1" applyBorder="1"/>
    <xf numFmtId="164" fontId="40" fillId="0" borderId="0" xfId="2" applyNumberFormat="1" applyFont="1" applyBorder="1" applyProtection="1"/>
    <xf numFmtId="0" fontId="40" fillId="0" borderId="0" xfId="0" applyFont="1" applyAlignment="1">
      <alignment horizontal="left"/>
    </xf>
    <xf numFmtId="0" fontId="63" fillId="0" borderId="0" xfId="7" applyFont="1" applyBorder="1" applyAlignment="1" applyProtection="1">
      <alignment horizontal="right" vertical="center"/>
    </xf>
    <xf numFmtId="0" fontId="63" fillId="0" borderId="0" xfId="7" applyFont="1" applyBorder="1" applyAlignment="1" applyProtection="1">
      <alignment horizontal="right"/>
    </xf>
    <xf numFmtId="0" fontId="63" fillId="0" borderId="0" xfId="7" applyFont="1" applyBorder="1" applyAlignment="1" applyProtection="1">
      <alignment horizontal="left"/>
    </xf>
    <xf numFmtId="0" fontId="64" fillId="0" borderId="0" xfId="0" applyFont="1"/>
    <xf numFmtId="164" fontId="64" fillId="0" borderId="0" xfId="2" applyNumberFormat="1" applyFont="1" applyBorder="1" applyProtection="1"/>
    <xf numFmtId="0" fontId="63" fillId="0" borderId="0" xfId="7" applyFont="1" applyBorder="1" applyAlignment="1" applyProtection="1">
      <alignment horizontal="left" vertical="center"/>
    </xf>
    <xf numFmtId="164" fontId="50" fillId="0" borderId="38" xfId="2" applyNumberFormat="1" applyFont="1" applyBorder="1" applyProtection="1"/>
    <xf numFmtId="2" fontId="50" fillId="0" borderId="3" xfId="0" applyNumberFormat="1" applyFont="1" applyBorder="1" applyAlignment="1">
      <alignment horizontal="center"/>
    </xf>
    <xf numFmtId="164" fontId="50" fillId="0" borderId="40" xfId="2" applyNumberFormat="1" applyFont="1" applyBorder="1" applyProtection="1"/>
    <xf numFmtId="2" fontId="50" fillId="0" borderId="14" xfId="0" applyNumberFormat="1" applyFont="1" applyBorder="1" applyAlignment="1">
      <alignment horizontal="center"/>
    </xf>
    <xf numFmtId="0" fontId="50" fillId="0" borderId="14" xfId="0" applyFont="1" applyBorder="1"/>
    <xf numFmtId="0" fontId="50" fillId="0" borderId="41" xfId="0" applyFont="1" applyBorder="1"/>
    <xf numFmtId="164" fontId="50" fillId="0" borderId="38" xfId="2" applyNumberFormat="1" applyFont="1" applyBorder="1" applyAlignment="1" applyProtection="1">
      <alignment horizontal="right"/>
    </xf>
    <xf numFmtId="164" fontId="50" fillId="0" borderId="38" xfId="2" applyNumberFormat="1" applyFont="1" applyFill="1" applyBorder="1" applyAlignment="1" applyProtection="1">
      <alignment horizontal="right"/>
    </xf>
    <xf numFmtId="0" fontId="26" fillId="0" borderId="62" xfId="0" applyFont="1" applyBorder="1" applyAlignment="1">
      <alignment horizontal="center" vertical="center" wrapText="1"/>
    </xf>
    <xf numFmtId="0" fontId="82" fillId="12" borderId="0" xfId="0" applyFont="1" applyFill="1" applyAlignment="1" applyProtection="1">
      <alignment horizontal="left"/>
      <protection locked="0"/>
    </xf>
    <xf numFmtId="0" fontId="65" fillId="12" borderId="93" xfId="6" applyFont="1" applyFill="1" applyBorder="1" applyProtection="1">
      <protection locked="0"/>
    </xf>
    <xf numFmtId="2" fontId="50" fillId="12" borderId="3" xfId="6" applyNumberFormat="1" applyFont="1" applyFill="1" applyBorder="1" applyAlignment="1" applyProtection="1">
      <alignment horizontal="center"/>
      <protection locked="0"/>
    </xf>
    <xf numFmtId="2" fontId="50" fillId="12" borderId="39" xfId="6" applyNumberFormat="1" applyFont="1" applyFill="1" applyBorder="1" applyAlignment="1" applyProtection="1">
      <alignment horizontal="center"/>
      <protection locked="0"/>
    </xf>
    <xf numFmtId="168" fontId="50" fillId="12" borderId="6" xfId="6" applyNumberFormat="1" applyFont="1" applyFill="1" applyBorder="1" applyAlignment="1" applyProtection="1">
      <alignment horizontal="right"/>
      <protection locked="0"/>
    </xf>
    <xf numFmtId="164" fontId="50" fillId="12" borderId="3" xfId="6" applyNumberFormat="1" applyFont="1" applyFill="1" applyBorder="1" applyAlignment="1" applyProtection="1">
      <alignment horizontal="right"/>
      <protection locked="0"/>
    </xf>
    <xf numFmtId="164" fontId="50" fillId="12" borderId="39" xfId="6" applyNumberFormat="1" applyFont="1" applyFill="1" applyBorder="1" applyAlignment="1" applyProtection="1">
      <alignment horizontal="right"/>
      <protection locked="0"/>
    </xf>
    <xf numFmtId="0" fontId="0" fillId="0" borderId="22" xfId="0" applyBorder="1" applyProtection="1">
      <protection locked="0"/>
    </xf>
    <xf numFmtId="0" fontId="65" fillId="12" borderId="24" xfId="7" applyNumberFormat="1" applyFont="1" applyFill="1" applyBorder="1" applyAlignment="1" applyProtection="1">
      <alignment horizontal="center" vertical="center"/>
      <protection locked="0"/>
    </xf>
    <xf numFmtId="0" fontId="64" fillId="0" borderId="25" xfId="7" applyNumberFormat="1" applyFont="1" applyBorder="1" applyAlignment="1" applyProtection="1">
      <alignment horizontal="center"/>
    </xf>
    <xf numFmtId="0" fontId="50" fillId="12" borderId="7" xfId="6" applyFont="1" applyFill="1" applyBorder="1" applyAlignment="1" applyProtection="1">
      <protection locked="0"/>
    </xf>
    <xf numFmtId="0" fontId="26" fillId="0" borderId="20" xfId="0" applyFont="1" applyBorder="1" applyAlignment="1">
      <alignment horizontal="left"/>
    </xf>
    <xf numFmtId="0" fontId="26" fillId="0" borderId="66" xfId="0" applyFont="1" applyBorder="1" applyAlignment="1">
      <alignment horizontal="right" vertical="center"/>
    </xf>
    <xf numFmtId="14" fontId="20" fillId="0" borderId="0" xfId="0" applyNumberFormat="1" applyFont="1" applyAlignment="1">
      <alignment horizontal="right" vertical="top"/>
    </xf>
    <xf numFmtId="0" fontId="20" fillId="0" borderId="0" xfId="0" applyFont="1" applyAlignment="1">
      <alignment horizontal="center"/>
    </xf>
    <xf numFmtId="0" fontId="38" fillId="0" borderId="74" xfId="0" applyFont="1" applyBorder="1" applyAlignment="1">
      <alignment horizontal="left" vertical="center"/>
    </xf>
    <xf numFmtId="0" fontId="7" fillId="32" borderId="76" xfId="0" applyFont="1" applyFill="1" applyBorder="1" applyAlignment="1">
      <alignment horizontal="center" vertical="center"/>
    </xf>
    <xf numFmtId="0" fontId="7" fillId="32" borderId="71" xfId="0" applyFont="1" applyFill="1" applyBorder="1" applyAlignment="1">
      <alignment horizontal="center" vertical="center"/>
    </xf>
    <xf numFmtId="0" fontId="7" fillId="31" borderId="76" xfId="0" applyFont="1" applyFill="1" applyBorder="1" applyAlignment="1">
      <alignment horizontal="center" vertical="center"/>
    </xf>
    <xf numFmtId="0" fontId="7" fillId="31" borderId="71" xfId="0" applyFont="1" applyFill="1" applyBorder="1" applyAlignment="1">
      <alignment horizontal="center" vertical="center"/>
    </xf>
    <xf numFmtId="0" fontId="7" fillId="5" borderId="76" xfId="0" applyFont="1" applyFill="1" applyBorder="1" applyAlignment="1">
      <alignment horizontal="center" vertical="center"/>
    </xf>
    <xf numFmtId="0" fontId="7" fillId="5" borderId="71" xfId="0" applyFont="1" applyFill="1" applyBorder="1" applyAlignment="1">
      <alignment horizontal="center" vertical="center"/>
    </xf>
    <xf numFmtId="0" fontId="7" fillId="28" borderId="76" xfId="0" applyFont="1" applyFill="1" applyBorder="1" applyAlignment="1">
      <alignment horizontal="center" vertical="center"/>
    </xf>
    <xf numFmtId="0" fontId="7" fillId="28" borderId="71" xfId="0" applyFont="1" applyFill="1" applyBorder="1" applyAlignment="1">
      <alignment horizontal="center" vertical="center"/>
    </xf>
    <xf numFmtId="0" fontId="7" fillId="29" borderId="76" xfId="0" applyFont="1" applyFill="1" applyBorder="1" applyAlignment="1">
      <alignment horizontal="center" vertical="center"/>
    </xf>
    <xf numFmtId="0" fontId="7" fillId="29" borderId="71" xfId="0" applyFont="1" applyFill="1" applyBorder="1" applyAlignment="1">
      <alignment horizontal="center" vertical="center"/>
    </xf>
    <xf numFmtId="0" fontId="7" fillId="8" borderId="76" xfId="0" applyFont="1" applyFill="1" applyBorder="1" applyAlignment="1">
      <alignment horizontal="center" vertical="center"/>
    </xf>
    <xf numFmtId="0" fontId="7" fillId="8" borderId="71" xfId="0" applyFont="1" applyFill="1" applyBorder="1" applyAlignment="1">
      <alignment horizontal="center" vertical="center"/>
    </xf>
    <xf numFmtId="0" fontId="7" fillId="6" borderId="76" xfId="0" applyFont="1" applyFill="1" applyBorder="1" applyAlignment="1">
      <alignment horizontal="center" vertical="center"/>
    </xf>
    <xf numFmtId="0" fontId="7" fillId="6" borderId="71" xfId="0" applyFont="1" applyFill="1" applyBorder="1" applyAlignment="1">
      <alignment horizontal="center" vertical="center"/>
    </xf>
    <xf numFmtId="0" fontId="7" fillId="12" borderId="76" xfId="0" applyFont="1" applyFill="1" applyBorder="1" applyAlignment="1">
      <alignment horizontal="center" vertical="center"/>
    </xf>
    <xf numFmtId="0" fontId="7" fillId="12" borderId="71" xfId="0" applyFont="1" applyFill="1" applyBorder="1" applyAlignment="1">
      <alignment horizontal="center" vertical="center"/>
    </xf>
    <xf numFmtId="0" fontId="7" fillId="11" borderId="76" xfId="0" applyFont="1" applyFill="1" applyBorder="1" applyAlignment="1">
      <alignment horizontal="center" vertical="center"/>
    </xf>
    <xf numFmtId="0" fontId="7" fillId="11" borderId="71" xfId="0" applyFont="1" applyFill="1" applyBorder="1" applyAlignment="1">
      <alignment horizontal="center" vertical="center"/>
    </xf>
    <xf numFmtId="0" fontId="7" fillId="9" borderId="76" xfId="0" applyFont="1" applyFill="1" applyBorder="1" applyAlignment="1">
      <alignment horizontal="center" vertical="center"/>
    </xf>
    <xf numFmtId="0" fontId="7" fillId="9" borderId="71" xfId="0" applyFont="1" applyFill="1" applyBorder="1" applyAlignment="1">
      <alignment horizontal="center" vertical="center"/>
    </xf>
    <xf numFmtId="0" fontId="7" fillId="18" borderId="76" xfId="0" applyFont="1" applyFill="1" applyBorder="1" applyAlignment="1">
      <alignment horizontal="center" vertical="center"/>
    </xf>
    <xf numFmtId="0" fontId="7" fillId="18" borderId="71" xfId="0" applyFont="1" applyFill="1" applyBorder="1" applyAlignment="1">
      <alignment horizontal="center" vertical="center"/>
    </xf>
    <xf numFmtId="0" fontId="7" fillId="15" borderId="76" xfId="0" applyFont="1" applyFill="1" applyBorder="1" applyAlignment="1">
      <alignment horizontal="center" vertical="center"/>
    </xf>
    <xf numFmtId="0" fontId="7" fillId="15" borderId="71" xfId="0" applyFont="1" applyFill="1" applyBorder="1" applyAlignment="1">
      <alignment horizontal="center" vertical="center"/>
    </xf>
    <xf numFmtId="0" fontId="7" fillId="2" borderId="76" xfId="0" applyFont="1" applyFill="1" applyBorder="1" applyAlignment="1">
      <alignment horizontal="center" vertical="center"/>
    </xf>
    <xf numFmtId="0" fontId="7" fillId="2" borderId="71" xfId="0" applyFont="1" applyFill="1" applyBorder="1" applyAlignment="1">
      <alignment horizontal="center" vertical="center"/>
    </xf>
    <xf numFmtId="0" fontId="63" fillId="0" borderId="38" xfId="7" applyFont="1" applyBorder="1" applyAlignment="1" applyProtection="1">
      <alignment horizontal="center" vertical="center" wrapText="1"/>
    </xf>
    <xf numFmtId="0" fontId="63" fillId="0" borderId="3" xfId="7" applyFont="1" applyBorder="1" applyAlignment="1" applyProtection="1">
      <alignment horizontal="center" vertical="center"/>
    </xf>
    <xf numFmtId="0" fontId="26" fillId="0" borderId="9" xfId="0" applyFont="1" applyBorder="1"/>
    <xf numFmtId="0" fontId="0" fillId="0" borderId="7" xfId="0" applyBorder="1"/>
    <xf numFmtId="0" fontId="0" fillId="0" borderId="0" xfId="0" applyAlignment="1">
      <alignment horizontal="center" wrapText="1"/>
    </xf>
    <xf numFmtId="167" fontId="0" fillId="0" borderId="0" xfId="0" applyNumberFormat="1"/>
    <xf numFmtId="0" fontId="0" fillId="0" borderId="62" xfId="0" applyBorder="1" applyAlignment="1">
      <alignment horizontal="right"/>
    </xf>
    <xf numFmtId="9" fontId="0" fillId="0" borderId="52" xfId="0" applyNumberFormat="1" applyBorder="1" applyAlignment="1">
      <alignment horizontal="center"/>
    </xf>
    <xf numFmtId="0" fontId="0" fillId="0" borderId="12" xfId="0" applyBorder="1"/>
    <xf numFmtId="0" fontId="0" fillId="0" borderId="26" xfId="0" applyBorder="1"/>
    <xf numFmtId="0" fontId="49" fillId="0" borderId="0" xfId="0" applyFont="1" applyAlignment="1">
      <alignment vertical="center"/>
    </xf>
    <xf numFmtId="0" fontId="24" fillId="0" borderId="31" xfId="0" applyFont="1" applyBorder="1" applyAlignment="1">
      <alignment horizontal="left"/>
    </xf>
    <xf numFmtId="9" fontId="0" fillId="0" borderId="32" xfId="1" applyFont="1" applyBorder="1" applyAlignment="1">
      <alignment horizontal="right"/>
    </xf>
    <xf numFmtId="9" fontId="0" fillId="0" borderId="34" xfId="1" applyFont="1" applyBorder="1" applyAlignment="1">
      <alignment horizontal="right"/>
    </xf>
    <xf numFmtId="0" fontId="26" fillId="0" borderId="52" xfId="0" applyFont="1" applyBorder="1" applyAlignment="1">
      <alignment horizontal="center" vertical="center" wrapText="1"/>
    </xf>
    <xf numFmtId="0" fontId="0" fillId="0" borderId="0" xfId="5" applyFont="1" applyAlignment="1">
      <alignment vertical="center"/>
    </xf>
    <xf numFmtId="167" fontId="64" fillId="12" borderId="3" xfId="0" applyNumberFormat="1" applyFont="1" applyFill="1" applyBorder="1" applyAlignment="1" applyProtection="1">
      <alignment horizontal="left" vertical="center"/>
      <protection locked="0"/>
    </xf>
    <xf numFmtId="14" fontId="57" fillId="12" borderId="3" xfId="0" applyNumberFormat="1" applyFont="1" applyFill="1" applyBorder="1" applyAlignment="1" applyProtection="1">
      <alignment horizontal="center" vertical="center"/>
      <protection locked="0"/>
    </xf>
    <xf numFmtId="0" fontId="50" fillId="0" borderId="3" xfId="0" applyFont="1" applyBorder="1"/>
    <xf numFmtId="0" fontId="26" fillId="0" borderId="20" xfId="0" applyFont="1" applyBorder="1" applyAlignment="1">
      <alignment horizontal="right" vertical="center"/>
    </xf>
    <xf numFmtId="0" fontId="26" fillId="0" borderId="74" xfId="0" applyFont="1" applyBorder="1" applyAlignment="1">
      <alignment horizontal="center" wrapText="1"/>
    </xf>
    <xf numFmtId="0" fontId="30" fillId="23" borderId="4" xfId="0" applyFont="1" applyFill="1" applyBorder="1" applyAlignment="1">
      <alignment horizontal="right"/>
    </xf>
    <xf numFmtId="0" fontId="30" fillId="23" borderId="46" xfId="0" applyFont="1" applyFill="1" applyBorder="1" applyAlignment="1">
      <alignment horizontal="left"/>
    </xf>
    <xf numFmtId="0" fontId="30" fillId="23" borderId="45" xfId="0" applyFont="1" applyFill="1" applyBorder="1" applyAlignment="1">
      <alignment horizontal="left"/>
    </xf>
    <xf numFmtId="14" fontId="30" fillId="23" borderId="5" xfId="0" applyNumberFormat="1" applyFont="1" applyFill="1" applyBorder="1" applyAlignment="1">
      <alignment horizontal="left"/>
    </xf>
    <xf numFmtId="0" fontId="56" fillId="19" borderId="5" xfId="0" applyFont="1" applyFill="1" applyBorder="1"/>
    <xf numFmtId="9" fontId="0" fillId="0" borderId="5" xfId="1" applyFont="1" applyBorder="1" applyAlignment="1">
      <alignment horizontal="center"/>
    </xf>
    <xf numFmtId="0" fontId="26" fillId="0" borderId="71" xfId="0" applyFont="1" applyBorder="1"/>
    <xf numFmtId="0" fontId="26" fillId="40" borderId="71" xfId="0" applyFont="1" applyFill="1" applyBorder="1" applyAlignment="1">
      <alignment horizontal="center"/>
    </xf>
    <xf numFmtId="2" fontId="0" fillId="40" borderId="71" xfId="0" applyNumberFormat="1" applyFill="1" applyBorder="1" applyAlignment="1">
      <alignment horizontal="center"/>
    </xf>
    <xf numFmtId="164" fontId="26" fillId="18" borderId="71" xfId="0" applyNumberFormat="1" applyFont="1" applyFill="1" applyBorder="1"/>
    <xf numFmtId="0" fontId="26" fillId="40" borderId="71" xfId="0" applyFont="1" applyFill="1" applyBorder="1"/>
    <xf numFmtId="0" fontId="26" fillId="40" borderId="51" xfId="0" applyFont="1" applyFill="1" applyBorder="1" applyAlignment="1">
      <alignment horizontal="center"/>
    </xf>
    <xf numFmtId="170" fontId="30" fillId="23" borderId="5" xfId="0" applyNumberFormat="1" applyFont="1" applyFill="1" applyBorder="1" applyAlignment="1">
      <alignment horizontal="left"/>
    </xf>
    <xf numFmtId="170" fontId="56" fillId="23" borderId="5" xfId="0" applyNumberFormat="1" applyFont="1" applyFill="1" applyBorder="1" applyAlignment="1">
      <alignment horizontal="left"/>
    </xf>
    <xf numFmtId="0" fontId="94" fillId="50" borderId="71" xfId="0" applyFont="1" applyFill="1" applyBorder="1" applyAlignment="1">
      <alignment horizontal="right"/>
    </xf>
    <xf numFmtId="0" fontId="94" fillId="50" borderId="74" xfId="0" applyFont="1" applyFill="1" applyBorder="1" applyAlignment="1">
      <alignment horizontal="right"/>
    </xf>
    <xf numFmtId="0" fontId="30" fillId="19" borderId="15" xfId="0" applyFont="1" applyFill="1" applyBorder="1"/>
    <xf numFmtId="0" fontId="30" fillId="19" borderId="19" xfId="0" applyFont="1" applyFill="1" applyBorder="1"/>
    <xf numFmtId="2" fontId="0" fillId="0" borderId="62" xfId="0" applyNumberFormat="1" applyBorder="1" applyAlignment="1">
      <alignment horizontal="center"/>
    </xf>
    <xf numFmtId="0" fontId="26" fillId="0" borderId="14" xfId="0" applyFont="1" applyBorder="1" applyAlignment="1">
      <alignment horizontal="center"/>
    </xf>
    <xf numFmtId="2" fontId="0" fillId="0" borderId="14" xfId="0" applyNumberFormat="1" applyBorder="1" applyAlignment="1">
      <alignment horizontal="center"/>
    </xf>
    <xf numFmtId="0" fontId="26" fillId="0" borderId="73" xfId="0" applyFont="1" applyBorder="1" applyAlignment="1">
      <alignment horizontal="center"/>
    </xf>
    <xf numFmtId="0" fontId="26" fillId="0" borderId="72" xfId="0" applyFont="1" applyBorder="1" applyAlignment="1">
      <alignment horizontal="center"/>
    </xf>
    <xf numFmtId="2" fontId="26" fillId="0" borderId="49" xfId="0" applyNumberFormat="1" applyFont="1" applyBorder="1" applyAlignment="1">
      <alignment horizontal="center"/>
    </xf>
    <xf numFmtId="2" fontId="26" fillId="0" borderId="19" xfId="0" applyNumberFormat="1" applyFont="1" applyBorder="1" applyAlignment="1">
      <alignment horizontal="center"/>
    </xf>
    <xf numFmtId="10" fontId="0" fillId="7" borderId="51" xfId="1" applyNumberFormat="1" applyFont="1" applyFill="1" applyBorder="1" applyAlignment="1">
      <alignment horizontal="center"/>
    </xf>
    <xf numFmtId="10" fontId="0" fillId="7" borderId="38" xfId="1" applyNumberFormat="1" applyFont="1" applyFill="1" applyBorder="1" applyAlignment="1">
      <alignment horizontal="center"/>
    </xf>
    <xf numFmtId="10" fontId="0" fillId="7" borderId="40" xfId="1" applyNumberFormat="1" applyFont="1" applyFill="1" applyBorder="1" applyAlignment="1">
      <alignment horizontal="center"/>
    </xf>
    <xf numFmtId="164" fontId="0" fillId="7" borderId="41" xfId="0" applyNumberFormat="1" applyFill="1" applyBorder="1"/>
    <xf numFmtId="0" fontId="30" fillId="19" borderId="18" xfId="0" applyFont="1" applyFill="1" applyBorder="1" applyAlignment="1">
      <alignment horizontal="left"/>
    </xf>
    <xf numFmtId="164" fontId="0" fillId="0" borderId="6" xfId="0" applyNumberFormat="1" applyBorder="1"/>
    <xf numFmtId="164" fontId="0" fillId="0" borderId="47" xfId="0" applyNumberFormat="1" applyBorder="1"/>
    <xf numFmtId="164" fontId="0" fillId="9" borderId="55" xfId="0" applyNumberFormat="1" applyFill="1" applyBorder="1"/>
    <xf numFmtId="164" fontId="0" fillId="9" borderId="56" xfId="0" applyNumberFormat="1" applyFill="1" applyBorder="1"/>
    <xf numFmtId="164" fontId="0" fillId="9" borderId="57" xfId="0" applyNumberFormat="1" applyFill="1" applyBorder="1"/>
    <xf numFmtId="164" fontId="0" fillId="18" borderId="55" xfId="0" applyNumberFormat="1" applyFill="1" applyBorder="1"/>
    <xf numFmtId="164" fontId="0" fillId="18" borderId="56" xfId="0" applyNumberFormat="1" applyFill="1" applyBorder="1"/>
    <xf numFmtId="164" fontId="0" fillId="18" borderId="57" xfId="0" applyNumberFormat="1" applyFill="1" applyBorder="1"/>
    <xf numFmtId="0" fontId="50" fillId="12" borderId="14" xfId="6" applyFont="1" applyFill="1" applyBorder="1" applyAlignment="1" applyProtection="1">
      <alignment horizontal="center"/>
      <protection locked="0"/>
    </xf>
    <xf numFmtId="0" fontId="50" fillId="12" borderId="41" xfId="6" applyFont="1" applyFill="1" applyBorder="1" applyAlignment="1" applyProtection="1">
      <alignment horizontal="center"/>
      <protection locked="0"/>
    </xf>
    <xf numFmtId="164" fontId="50" fillId="12" borderId="2" xfId="6" applyNumberFormat="1" applyFont="1" applyFill="1" applyBorder="1" applyAlignment="1" applyProtection="1">
      <alignment horizontal="center"/>
      <protection locked="0"/>
    </xf>
    <xf numFmtId="0" fontId="26" fillId="0" borderId="24" xfId="0" applyFont="1" applyBorder="1" applyAlignment="1">
      <alignment horizontal="center" wrapText="1"/>
    </xf>
    <xf numFmtId="0" fontId="24" fillId="0" borderId="24" xfId="0" applyFont="1" applyBorder="1" applyAlignment="1">
      <alignment horizontal="center" wrapText="1"/>
    </xf>
    <xf numFmtId="0" fontId="24" fillId="0" borderId="24" xfId="0" applyFont="1" applyBorder="1" applyAlignment="1">
      <alignment horizontal="center"/>
    </xf>
    <xf numFmtId="0" fontId="26" fillId="0" borderId="4" xfId="0" applyFont="1" applyBorder="1" applyAlignment="1">
      <alignment horizontal="center" wrapText="1"/>
    </xf>
    <xf numFmtId="0" fontId="26" fillId="0" borderId="5" xfId="0" applyFont="1" applyBorder="1" applyAlignment="1">
      <alignment horizontal="center" wrapText="1"/>
    </xf>
    <xf numFmtId="0" fontId="26" fillId="0" borderId="48" xfId="0" applyFont="1" applyBorder="1" applyAlignment="1">
      <alignment horizontal="center" wrapText="1"/>
    </xf>
    <xf numFmtId="0" fontId="24" fillId="0" borderId="48" xfId="0" applyFont="1" applyBorder="1" applyAlignment="1">
      <alignment horizontal="center" wrapText="1"/>
    </xf>
    <xf numFmtId="164" fontId="50" fillId="12" borderId="8" xfId="6" applyNumberFormat="1" applyFont="1" applyFill="1" applyBorder="1" applyAlignment="1" applyProtection="1">
      <alignment horizontal="right"/>
      <protection locked="0"/>
    </xf>
    <xf numFmtId="0" fontId="26" fillId="0" borderId="16" xfId="0" applyFont="1" applyBorder="1" applyAlignment="1">
      <alignment horizontal="left"/>
    </xf>
    <xf numFmtId="0" fontId="0" fillId="0" borderId="16" xfId="0" applyBorder="1"/>
    <xf numFmtId="0" fontId="26" fillId="0" borderId="16" xfId="0" applyFont="1" applyBorder="1" applyAlignment="1">
      <alignment horizontal="right" vertical="center"/>
    </xf>
    <xf numFmtId="0" fontId="26" fillId="0" borderId="65" xfId="0" applyFont="1" applyBorder="1" applyAlignment="1">
      <alignment horizontal="right" vertical="center"/>
    </xf>
    <xf numFmtId="0" fontId="24" fillId="0" borderId="24" xfId="0" applyFont="1" applyBorder="1" applyAlignment="1">
      <alignment horizontal="center" vertical="center" wrapText="1"/>
    </xf>
    <xf numFmtId="0" fontId="24" fillId="0" borderId="24" xfId="0" applyFont="1" applyBorder="1" applyAlignment="1">
      <alignment horizontal="center" vertical="center"/>
    </xf>
    <xf numFmtId="0" fontId="24" fillId="0" borderId="25" xfId="0" applyFont="1" applyBorder="1" applyAlignment="1">
      <alignment horizontal="center" vertical="center"/>
    </xf>
    <xf numFmtId="164" fontId="50" fillId="0" borderId="0" xfId="6" applyNumberFormat="1" applyFont="1" applyFill="1" applyBorder="1" applyAlignment="1" applyProtection="1">
      <alignment horizontal="right"/>
      <protection locked="0"/>
    </xf>
    <xf numFmtId="164" fontId="50" fillId="0" borderId="0" xfId="2" applyNumberFormat="1" applyFont="1" applyBorder="1" applyProtection="1"/>
    <xf numFmtId="0" fontId="24" fillId="0" borderId="44" xfId="0" applyFont="1" applyBorder="1" applyAlignment="1">
      <alignment horizontal="center" vertical="center" wrapText="1"/>
    </xf>
    <xf numFmtId="0" fontId="24" fillId="0" borderId="44" xfId="0" applyFont="1" applyBorder="1" applyAlignment="1">
      <alignment horizontal="center" vertical="center"/>
    </xf>
    <xf numFmtId="0" fontId="24" fillId="0" borderId="46" xfId="0" applyFont="1" applyBorder="1" applyAlignment="1">
      <alignment horizontal="center" vertical="center"/>
    </xf>
    <xf numFmtId="164" fontId="50" fillId="12" borderId="61" xfId="6" applyNumberFormat="1" applyFont="1" applyFill="1" applyBorder="1" applyAlignment="1" applyProtection="1">
      <alignment horizontal="right"/>
      <protection locked="0"/>
    </xf>
    <xf numFmtId="164" fontId="50" fillId="12" borderId="14" xfId="6" applyNumberFormat="1" applyFont="1" applyFill="1" applyBorder="1" applyAlignment="1" applyProtection="1">
      <alignment horizontal="right"/>
      <protection locked="0"/>
    </xf>
    <xf numFmtId="164" fontId="50" fillId="12" borderId="41" xfId="6" applyNumberFormat="1" applyFont="1" applyFill="1" applyBorder="1" applyAlignment="1" applyProtection="1">
      <alignment horizontal="right"/>
      <protection locked="0"/>
    </xf>
    <xf numFmtId="0" fontId="24" fillId="0" borderId="0" xfId="0" applyFont="1" applyAlignment="1">
      <alignment horizontal="center" vertical="top" wrapText="1"/>
    </xf>
    <xf numFmtId="0" fontId="0" fillId="0" borderId="0" xfId="5" applyFont="1" applyProtection="1">
      <protection locked="0"/>
    </xf>
    <xf numFmtId="0" fontId="50" fillId="0" borderId="15" xfId="0" applyFont="1" applyBorder="1"/>
    <xf numFmtId="0" fontId="50" fillId="0" borderId="15" xfId="0" applyFont="1" applyBorder="1" applyAlignment="1">
      <alignment horizontal="left"/>
    </xf>
    <xf numFmtId="0" fontId="50" fillId="12" borderId="54" xfId="6" applyFont="1" applyFill="1" applyBorder="1" applyAlignment="1" applyProtection="1">
      <protection locked="0"/>
    </xf>
    <xf numFmtId="167" fontId="50" fillId="0" borderId="0" xfId="0" applyNumberFormat="1" applyFont="1"/>
    <xf numFmtId="166" fontId="50" fillId="0" borderId="0" xfId="2" applyNumberFormat="1" applyFont="1" applyBorder="1" applyProtection="1"/>
    <xf numFmtId="10" fontId="50" fillId="0" borderId="0" xfId="1" applyNumberFormat="1" applyFont="1" applyBorder="1" applyProtection="1"/>
    <xf numFmtId="0" fontId="50" fillId="0" borderId="0" xfId="5" applyFont="1" applyAlignment="1">
      <alignment horizontal="center"/>
    </xf>
    <xf numFmtId="0" fontId="0" fillId="0" borderId="1" xfId="0" applyBorder="1" applyAlignment="1">
      <alignment vertical="center"/>
    </xf>
    <xf numFmtId="0" fontId="0" fillId="0" borderId="20" xfId="0" applyBorder="1" applyAlignment="1">
      <alignment vertical="center"/>
    </xf>
    <xf numFmtId="164" fontId="50" fillId="0" borderId="40" xfId="2" applyNumberFormat="1" applyFont="1" applyFill="1" applyBorder="1" applyAlignment="1" applyProtection="1">
      <alignment horizontal="right"/>
    </xf>
    <xf numFmtId="164" fontId="50" fillId="0" borderId="42" xfId="2" applyNumberFormat="1" applyFont="1" applyBorder="1" applyAlignment="1" applyProtection="1">
      <alignment horizontal="right"/>
    </xf>
    <xf numFmtId="0" fontId="26" fillId="40" borderId="24" xfId="0" applyFont="1" applyFill="1" applyBorder="1" applyAlignment="1">
      <alignment horizontal="center" wrapText="1"/>
    </xf>
    <xf numFmtId="0" fontId="26" fillId="0" borderId="74" xfId="0" applyFont="1" applyBorder="1" applyAlignment="1">
      <alignment horizontal="center" vertical="center" wrapText="1"/>
    </xf>
    <xf numFmtId="0" fontId="26" fillId="0" borderId="23" xfId="0" applyFont="1" applyBorder="1" applyAlignment="1">
      <alignment horizontal="center" vertical="center" wrapText="1"/>
    </xf>
    <xf numFmtId="0" fontId="26" fillId="0" borderId="25" xfId="0" applyFont="1" applyBorder="1" applyAlignment="1">
      <alignment horizontal="center" vertical="center" wrapText="1"/>
    </xf>
    <xf numFmtId="2" fontId="50" fillId="12" borderId="14" xfId="6" applyNumberFormat="1" applyFont="1" applyFill="1" applyBorder="1" applyAlignment="1" applyProtection="1">
      <alignment horizontal="center"/>
      <protection locked="0"/>
    </xf>
    <xf numFmtId="0" fontId="26" fillId="0" borderId="24" xfId="0" applyFont="1" applyBorder="1" applyAlignment="1">
      <alignment horizontal="center" vertical="center" wrapText="1"/>
    </xf>
    <xf numFmtId="0" fontId="26" fillId="0" borderId="23" xfId="0" applyFont="1" applyBorder="1" applyAlignment="1">
      <alignment vertical="center" wrapText="1"/>
    </xf>
    <xf numFmtId="9" fontId="40" fillId="12" borderId="51" xfId="1" applyFont="1" applyFill="1" applyBorder="1" applyProtection="1">
      <protection locked="0"/>
    </xf>
    <xf numFmtId="0" fontId="40" fillId="0" borderId="21" xfId="0" applyFont="1" applyBorder="1"/>
    <xf numFmtId="0" fontId="40" fillId="0" borderId="22" xfId="0" applyFont="1" applyBorder="1"/>
    <xf numFmtId="0" fontId="26" fillId="0" borderId="67" xfId="0" applyFont="1" applyBorder="1" applyAlignment="1">
      <alignment horizontal="center" vertical="center"/>
    </xf>
    <xf numFmtId="0" fontId="26" fillId="0" borderId="37" xfId="0" applyFont="1" applyBorder="1" applyAlignment="1">
      <alignment horizontal="center"/>
    </xf>
    <xf numFmtId="0" fontId="26" fillId="0" borderId="4" xfId="0" applyFont="1" applyBorder="1" applyAlignment="1">
      <alignment horizontal="center"/>
    </xf>
    <xf numFmtId="0" fontId="24" fillId="0" borderId="51" xfId="0" applyFont="1" applyBorder="1" applyAlignment="1">
      <alignment horizontal="center" vertical="center" wrapText="1"/>
    </xf>
    <xf numFmtId="0" fontId="50" fillId="12" borderId="38" xfId="6" applyFont="1" applyFill="1" applyBorder="1" applyAlignment="1" applyProtection="1">
      <alignment horizontal="center"/>
      <protection locked="0"/>
    </xf>
    <xf numFmtId="167" fontId="50" fillId="0" borderId="40" xfId="0" applyNumberFormat="1" applyFont="1" applyBorder="1"/>
    <xf numFmtId="0" fontId="26" fillId="12" borderId="23" xfId="0" applyFont="1" applyFill="1" applyBorder="1" applyAlignment="1">
      <alignment horizontal="center" vertical="center" wrapText="1"/>
    </xf>
    <xf numFmtId="0" fontId="26" fillId="12" borderId="24" xfId="0" applyFont="1" applyFill="1" applyBorder="1" applyAlignment="1">
      <alignment horizontal="center" vertical="center" wrapText="1"/>
    </xf>
    <xf numFmtId="0" fontId="26" fillId="12" borderId="25" xfId="0" applyFont="1" applyFill="1" applyBorder="1" applyAlignment="1">
      <alignment horizontal="center" vertical="center" wrapText="1"/>
    </xf>
    <xf numFmtId="0" fontId="97" fillId="0" borderId="0" xfId="0" applyFont="1"/>
    <xf numFmtId="0" fontId="26" fillId="0" borderId="0" xfId="0" applyFont="1" applyAlignment="1">
      <alignment vertical="center"/>
    </xf>
    <xf numFmtId="0" fontId="26" fillId="40" borderId="25" xfId="0" applyFont="1" applyFill="1" applyBorder="1" applyAlignment="1">
      <alignment horizontal="center" wrapText="1"/>
    </xf>
    <xf numFmtId="165" fontId="44" fillId="12" borderId="74" xfId="1" applyNumberFormat="1" applyFont="1" applyFill="1" applyBorder="1" applyAlignment="1" applyProtection="1">
      <alignment horizontal="center" vertical="center"/>
      <protection locked="0"/>
    </xf>
    <xf numFmtId="0" fontId="44" fillId="12" borderId="4" xfId="0" applyFont="1" applyFill="1" applyBorder="1" applyAlignment="1" applyProtection="1">
      <alignment vertical="center"/>
      <protection locked="0"/>
    </xf>
    <xf numFmtId="164" fontId="26" fillId="12" borderId="17" xfId="0" applyNumberFormat="1" applyFont="1" applyFill="1" applyBorder="1" applyAlignment="1">
      <alignment horizontal="center" vertical="center"/>
    </xf>
    <xf numFmtId="0" fontId="0" fillId="0" borderId="2" xfId="0" applyBorder="1" applyAlignment="1">
      <alignment horizontal="center"/>
    </xf>
    <xf numFmtId="164" fontId="26" fillId="6" borderId="76" xfId="0" applyNumberFormat="1" applyFont="1" applyFill="1" applyBorder="1" applyAlignment="1">
      <alignment horizontal="center"/>
    </xf>
    <xf numFmtId="0" fontId="26" fillId="0" borderId="4" xfId="0" applyFont="1" applyBorder="1" applyAlignment="1">
      <alignment horizontal="center" vertical="center" wrapText="1"/>
    </xf>
    <xf numFmtId="0" fontId="26" fillId="6" borderId="23" xfId="0" applyFont="1" applyFill="1" applyBorder="1" applyAlignment="1">
      <alignment horizontal="center" vertical="center" wrapText="1"/>
    </xf>
    <xf numFmtId="0" fontId="26" fillId="6" borderId="24" xfId="0" applyFont="1" applyFill="1" applyBorder="1" applyAlignment="1">
      <alignment horizontal="center" vertical="center" wrapText="1"/>
    </xf>
    <xf numFmtId="0" fontId="26" fillId="6" borderId="25" xfId="0" applyFont="1" applyFill="1" applyBorder="1" applyAlignment="1">
      <alignment horizontal="center" vertical="center" wrapText="1"/>
    </xf>
    <xf numFmtId="0" fontId="26" fillId="4" borderId="25" xfId="0" applyFont="1" applyFill="1" applyBorder="1" applyAlignment="1">
      <alignment horizontal="center" vertical="center" wrapText="1"/>
    </xf>
    <xf numFmtId="164" fontId="0" fillId="0" borderId="3" xfId="0" applyNumberFormat="1" applyBorder="1" applyAlignment="1">
      <alignment horizontal="center"/>
    </xf>
    <xf numFmtId="0" fontId="26" fillId="0" borderId="37" xfId="0" applyFont="1" applyBorder="1" applyAlignment="1">
      <alignment horizontal="centerContinuous" wrapText="1"/>
    </xf>
    <xf numFmtId="0" fontId="26" fillId="0" borderId="21" xfId="0" applyFont="1" applyBorder="1" applyAlignment="1">
      <alignment horizontal="centerContinuous" wrapText="1"/>
    </xf>
    <xf numFmtId="10" fontId="26" fillId="0" borderId="4" xfId="0" applyNumberFormat="1" applyFont="1" applyBorder="1" applyAlignment="1">
      <alignment horizontal="center" wrapText="1"/>
    </xf>
    <xf numFmtId="10" fontId="26" fillId="0" borderId="5" xfId="0" applyNumberFormat="1" applyFont="1" applyBorder="1" applyAlignment="1">
      <alignment horizontal="center" wrapText="1"/>
    </xf>
    <xf numFmtId="0" fontId="0" fillId="0" borderId="8" xfId="0" applyBorder="1" applyAlignment="1">
      <alignment horizontal="center"/>
    </xf>
    <xf numFmtId="0" fontId="0" fillId="0" borderId="54" xfId="0" applyBorder="1" applyAlignment="1">
      <alignment horizontal="center"/>
    </xf>
    <xf numFmtId="0" fontId="0" fillId="0" borderId="61" xfId="0" applyBorder="1" applyAlignment="1">
      <alignment horizontal="center"/>
    </xf>
    <xf numFmtId="0" fontId="0" fillId="0" borderId="26" xfId="0" applyBorder="1" applyAlignment="1">
      <alignment horizontal="center"/>
    </xf>
    <xf numFmtId="0" fontId="0" fillId="0" borderId="73" xfId="0" applyBorder="1" applyAlignment="1">
      <alignment horizontal="center"/>
    </xf>
    <xf numFmtId="0" fontId="0" fillId="0" borderId="55" xfId="0" applyBorder="1" applyAlignment="1">
      <alignment horizontal="center" vertical="center"/>
    </xf>
    <xf numFmtId="0" fontId="0" fillId="0" borderId="57" xfId="0" applyBorder="1" applyAlignment="1">
      <alignment horizontal="center" vertical="center"/>
    </xf>
    <xf numFmtId="0" fontId="0" fillId="0" borderId="84" xfId="0" applyBorder="1" applyAlignment="1">
      <alignment horizontal="center" vertical="center"/>
    </xf>
    <xf numFmtId="0" fontId="0" fillId="0" borderId="64" xfId="0" applyBorder="1" applyAlignment="1">
      <alignment horizontal="center" vertical="center"/>
    </xf>
    <xf numFmtId="10" fontId="0" fillId="8" borderId="42" xfId="1" applyNumberFormat="1" applyFont="1" applyFill="1" applyBorder="1" applyAlignment="1">
      <alignment horizontal="center"/>
    </xf>
    <xf numFmtId="0" fontId="26" fillId="6" borderId="40" xfId="0" applyFont="1" applyFill="1" applyBorder="1" applyAlignment="1">
      <alignment horizontal="center"/>
    </xf>
    <xf numFmtId="0" fontId="26" fillId="8" borderId="14" xfId="0" applyFont="1" applyFill="1" applyBorder="1" applyAlignment="1">
      <alignment horizontal="center"/>
    </xf>
    <xf numFmtId="0" fontId="26" fillId="8" borderId="41" xfId="0" applyFont="1" applyFill="1" applyBorder="1" applyAlignment="1">
      <alignment horizontal="center"/>
    </xf>
    <xf numFmtId="164" fontId="30" fillId="19" borderId="20" xfId="0" applyNumberFormat="1" applyFont="1" applyFill="1" applyBorder="1" applyAlignment="1">
      <alignment horizontal="center"/>
    </xf>
    <xf numFmtId="0" fontId="26" fillId="6" borderId="42" xfId="0" applyFont="1" applyFill="1" applyBorder="1"/>
    <xf numFmtId="10" fontId="26" fillId="6" borderId="2" xfId="0" applyNumberFormat="1" applyFont="1" applyFill="1" applyBorder="1" applyAlignment="1">
      <alignment horizontal="center"/>
    </xf>
    <xf numFmtId="10" fontId="26" fillId="8" borderId="43" xfId="0" applyNumberFormat="1" applyFont="1" applyFill="1" applyBorder="1" applyAlignment="1">
      <alignment horizontal="center"/>
    </xf>
    <xf numFmtId="164" fontId="30" fillId="19" borderId="21" xfId="0" applyNumberFormat="1" applyFont="1" applyFill="1" applyBorder="1"/>
    <xf numFmtId="0" fontId="26" fillId="8" borderId="2" xfId="0" applyFont="1" applyFill="1" applyBorder="1" applyAlignment="1">
      <alignment horizontal="center"/>
    </xf>
    <xf numFmtId="9" fontId="0" fillId="0" borderId="42" xfId="1" applyFont="1" applyFill="1" applyBorder="1" applyAlignment="1">
      <alignment horizontal="center"/>
    </xf>
    <xf numFmtId="0" fontId="0" fillId="19" borderId="20" xfId="0" applyFill="1" applyBorder="1"/>
    <xf numFmtId="2" fontId="0" fillId="6" borderId="51" xfId="0" applyNumberFormat="1" applyFill="1" applyBorder="1" applyAlignment="1">
      <alignment horizontal="center"/>
    </xf>
    <xf numFmtId="2" fontId="0" fillId="8" borderId="62" xfId="0" applyNumberFormat="1" applyFill="1" applyBorder="1" applyAlignment="1">
      <alignment horizontal="center"/>
    </xf>
    <xf numFmtId="2" fontId="0" fillId="6" borderId="51" xfId="0" applyNumberFormat="1" applyFill="1" applyBorder="1" applyAlignment="1">
      <alignment horizontal="center" wrapText="1"/>
    </xf>
    <xf numFmtId="2" fontId="0" fillId="8" borderId="77" xfId="0" applyNumberFormat="1" applyFill="1" applyBorder="1" applyAlignment="1">
      <alignment horizontal="center" wrapText="1"/>
    </xf>
    <xf numFmtId="164" fontId="0" fillId="6" borderId="61" xfId="0" applyNumberFormat="1" applyFill="1" applyBorder="1"/>
    <xf numFmtId="164" fontId="0" fillId="8" borderId="52" xfId="0" applyNumberFormat="1" applyFill="1" applyBorder="1"/>
    <xf numFmtId="10" fontId="0" fillId="6" borderId="42" xfId="0" applyNumberFormat="1" applyFill="1" applyBorder="1" applyAlignment="1">
      <alignment horizontal="center"/>
    </xf>
    <xf numFmtId="164" fontId="0" fillId="6" borderId="43" xfId="0" applyNumberFormat="1" applyFill="1" applyBorder="1"/>
    <xf numFmtId="164" fontId="0" fillId="8" borderId="12" xfId="0" applyNumberFormat="1" applyFill="1" applyBorder="1"/>
    <xf numFmtId="2" fontId="0" fillId="6" borderId="38" xfId="0" applyNumberFormat="1" applyFill="1" applyBorder="1" applyAlignment="1">
      <alignment horizontal="center"/>
    </xf>
    <xf numFmtId="2" fontId="0" fillId="8" borderId="3" xfId="0" applyNumberFormat="1" applyFill="1" applyBorder="1" applyAlignment="1">
      <alignment horizontal="center"/>
    </xf>
    <xf numFmtId="2" fontId="0" fillId="6" borderId="38" xfId="0" applyNumberFormat="1" applyFill="1" applyBorder="1" applyAlignment="1">
      <alignment horizontal="center" wrapText="1"/>
    </xf>
    <xf numFmtId="2" fontId="0" fillId="8" borderId="6" xfId="0" applyNumberFormat="1" applyFill="1" applyBorder="1" applyAlignment="1">
      <alignment horizontal="center" wrapText="1"/>
    </xf>
    <xf numFmtId="164" fontId="0" fillId="6" borderId="7" xfId="0" applyNumberFormat="1" applyFill="1" applyBorder="1"/>
    <xf numFmtId="164" fontId="0" fillId="8" borderId="39" xfId="0" applyNumberFormat="1" applyFill="1" applyBorder="1"/>
    <xf numFmtId="10" fontId="0" fillId="6" borderId="38" xfId="0" applyNumberFormat="1" applyFill="1" applyBorder="1" applyAlignment="1">
      <alignment horizontal="center"/>
    </xf>
    <xf numFmtId="164" fontId="0" fillId="6" borderId="39" xfId="0" applyNumberFormat="1" applyFill="1" applyBorder="1"/>
    <xf numFmtId="164" fontId="0" fillId="8" borderId="6" xfId="0" applyNumberFormat="1" applyFill="1" applyBorder="1"/>
    <xf numFmtId="2" fontId="0" fillId="6" borderId="40" xfId="0" applyNumberFormat="1" applyFill="1" applyBorder="1" applyAlignment="1">
      <alignment horizontal="center"/>
    </xf>
    <xf numFmtId="2" fontId="0" fillId="8" borderId="14" xfId="0" applyNumberFormat="1" applyFill="1" applyBorder="1" applyAlignment="1">
      <alignment horizontal="center"/>
    </xf>
    <xf numFmtId="2" fontId="0" fillId="6" borderId="40" xfId="0" applyNumberFormat="1" applyFill="1" applyBorder="1" applyAlignment="1">
      <alignment horizontal="center" wrapText="1"/>
    </xf>
    <xf numFmtId="2" fontId="0" fillId="8" borderId="47" xfId="0" applyNumberFormat="1" applyFill="1" applyBorder="1" applyAlignment="1">
      <alignment horizontal="center" wrapText="1"/>
    </xf>
    <xf numFmtId="164" fontId="0" fillId="0" borderId="41" xfId="0" applyNumberFormat="1" applyBorder="1"/>
    <xf numFmtId="164" fontId="0" fillId="6" borderId="54" xfId="0" applyNumberFormat="1" applyFill="1" applyBorder="1"/>
    <xf numFmtId="164" fontId="0" fillId="8" borderId="41" xfId="0" applyNumberFormat="1" applyFill="1" applyBorder="1"/>
    <xf numFmtId="10" fontId="0" fillId="6" borderId="40" xfId="0" applyNumberFormat="1" applyFill="1" applyBorder="1" applyAlignment="1">
      <alignment horizontal="center"/>
    </xf>
    <xf numFmtId="164" fontId="0" fillId="6" borderId="41" xfId="0" applyNumberFormat="1" applyFill="1" applyBorder="1"/>
    <xf numFmtId="164" fontId="0" fillId="8" borderId="47" xfId="0" applyNumberFormat="1" applyFill="1" applyBorder="1"/>
    <xf numFmtId="0" fontId="30" fillId="23" borderId="75" xfId="0" applyFont="1" applyFill="1" applyBorder="1"/>
    <xf numFmtId="10" fontId="26" fillId="0" borderId="18" xfId="1" applyNumberFormat="1" applyFont="1" applyBorder="1" applyAlignment="1">
      <alignment horizontal="center"/>
    </xf>
    <xf numFmtId="168" fontId="26" fillId="0" borderId="71" xfId="0" applyNumberFormat="1" applyFont="1" applyBorder="1"/>
    <xf numFmtId="0" fontId="26" fillId="0" borderId="51" xfId="0" applyFont="1" applyBorder="1" applyAlignment="1">
      <alignment horizontal="centerContinuous" wrapText="1"/>
    </xf>
    <xf numFmtId="0" fontId="0" fillId="0" borderId="52" xfId="0" applyBorder="1" applyAlignment="1">
      <alignment horizontal="centerContinuous"/>
    </xf>
    <xf numFmtId="2" fontId="0" fillId="0" borderId="38" xfId="0" applyNumberFormat="1" applyBorder="1" applyAlignment="1">
      <alignment horizontal="center"/>
    </xf>
    <xf numFmtId="10" fontId="0" fillId="0" borderId="6" xfId="0" applyNumberFormat="1" applyBorder="1" applyAlignment="1">
      <alignment horizontal="center"/>
    </xf>
    <xf numFmtId="10" fontId="0" fillId="0" borderId="38" xfId="0" applyNumberFormat="1" applyBorder="1" applyAlignment="1">
      <alignment horizontal="center"/>
    </xf>
    <xf numFmtId="164" fontId="0" fillId="0" borderId="85" xfId="0" applyNumberFormat="1" applyBorder="1"/>
    <xf numFmtId="10" fontId="1" fillId="0" borderId="6" xfId="1" applyNumberFormat="1" applyFont="1" applyFill="1" applyBorder="1" applyAlignment="1">
      <alignment horizontal="center"/>
    </xf>
    <xf numFmtId="10" fontId="50" fillId="0" borderId="38" xfId="0" applyNumberFormat="1" applyFont="1" applyBorder="1" applyAlignment="1">
      <alignment horizontal="center"/>
    </xf>
    <xf numFmtId="2" fontId="0" fillId="0" borderId="40" xfId="0" applyNumberFormat="1" applyBorder="1" applyAlignment="1">
      <alignment horizontal="center"/>
    </xf>
    <xf numFmtId="10" fontId="1" fillId="0" borderId="47" xfId="1" applyNumberFormat="1" applyFont="1" applyFill="1" applyBorder="1" applyAlignment="1">
      <alignment horizontal="center"/>
    </xf>
    <xf numFmtId="10" fontId="0" fillId="0" borderId="40" xfId="0" applyNumberFormat="1" applyBorder="1" applyAlignment="1">
      <alignment horizontal="center"/>
    </xf>
    <xf numFmtId="164" fontId="50" fillId="0" borderId="85" xfId="0" applyNumberFormat="1" applyFont="1" applyBorder="1"/>
    <xf numFmtId="164" fontId="0" fillId="0" borderId="34" xfId="0" applyNumberFormat="1" applyBorder="1"/>
    <xf numFmtId="2" fontId="26" fillId="26" borderId="0" xfId="0" applyNumberFormat="1" applyFont="1" applyFill="1"/>
    <xf numFmtId="164" fontId="44" fillId="0" borderId="0" xfId="2" applyNumberFormat="1" applyFont="1" applyBorder="1" applyAlignment="1" applyProtection="1">
      <alignment vertical="center"/>
    </xf>
    <xf numFmtId="0" fontId="0" fillId="51" borderId="40" xfId="0" applyFill="1" applyBorder="1" applyAlignment="1">
      <alignment horizontal="center"/>
    </xf>
    <xf numFmtId="0" fontId="0" fillId="51" borderId="14" xfId="0" applyFill="1" applyBorder="1" applyAlignment="1">
      <alignment horizontal="center"/>
    </xf>
    <xf numFmtId="168" fontId="26" fillId="51" borderId="41" xfId="0" applyNumberFormat="1" applyFont="1" applyFill="1" applyBorder="1" applyAlignment="1">
      <alignment horizontal="center"/>
    </xf>
    <xf numFmtId="164" fontId="98" fillId="0" borderId="0" xfId="0" applyNumberFormat="1" applyFont="1" applyAlignment="1">
      <alignment horizontal="left"/>
    </xf>
    <xf numFmtId="0" fontId="99" fillId="0" borderId="0" xfId="0" applyFont="1"/>
    <xf numFmtId="0" fontId="6" fillId="0" borderId="0" xfId="0" applyFont="1" applyAlignment="1">
      <alignment horizontal="left"/>
    </xf>
    <xf numFmtId="0" fontId="24" fillId="0" borderId="20" xfId="0" applyFont="1" applyBorder="1" applyAlignment="1">
      <alignment vertical="center" wrapText="1"/>
    </xf>
    <xf numFmtId="0" fontId="24" fillId="0" borderId="20" xfId="0" applyFont="1" applyBorder="1" applyAlignment="1">
      <alignment horizontal="right" vertical="center"/>
    </xf>
    <xf numFmtId="0" fontId="24" fillId="0" borderId="15" xfId="0" applyFont="1" applyBorder="1" applyAlignment="1">
      <alignment horizontal="right" vertical="center"/>
    </xf>
    <xf numFmtId="0" fontId="63" fillId="0" borderId="52" xfId="7" applyFont="1" applyBorder="1" applyAlignment="1" applyProtection="1">
      <alignment horizontal="right"/>
    </xf>
    <xf numFmtId="0" fontId="50" fillId="0" borderId="2" xfId="6" applyFont="1" applyFill="1" applyBorder="1" applyAlignment="1" applyProtection="1">
      <alignment horizontal="center"/>
      <protection locked="0"/>
    </xf>
    <xf numFmtId="0" fontId="50" fillId="0" borderId="24" xfId="0" applyFont="1" applyBorder="1" applyAlignment="1">
      <alignment horizontal="center" wrapText="1"/>
    </xf>
    <xf numFmtId="6" fontId="50" fillId="12" borderId="2" xfId="6" applyNumberFormat="1" applyFont="1" applyFill="1" applyBorder="1" applyAlignment="1" applyProtection="1">
      <alignment horizontal="right"/>
      <protection locked="0"/>
    </xf>
    <xf numFmtId="6" fontId="50" fillId="12" borderId="14" xfId="6" applyNumberFormat="1" applyFont="1" applyFill="1" applyBorder="1" applyAlignment="1" applyProtection="1">
      <alignment horizontal="right"/>
      <protection locked="0"/>
    </xf>
    <xf numFmtId="164" fontId="0" fillId="0" borderId="68" xfId="2" applyNumberFormat="1" applyFont="1" applyBorder="1" applyProtection="1"/>
    <xf numFmtId="164" fontId="0" fillId="0" borderId="9" xfId="2" applyNumberFormat="1" applyFont="1" applyBorder="1" applyProtection="1"/>
    <xf numFmtId="164" fontId="0" fillId="0" borderId="69" xfId="2" applyNumberFormat="1" applyFont="1" applyBorder="1" applyProtection="1"/>
    <xf numFmtId="164" fontId="0" fillId="0" borderId="13" xfId="2" applyNumberFormat="1" applyFont="1" applyBorder="1" applyProtection="1"/>
    <xf numFmtId="164" fontId="50" fillId="0" borderId="69" xfId="6" applyNumberFormat="1" applyFont="1" applyFill="1" applyBorder="1" applyProtection="1"/>
    <xf numFmtId="164" fontId="50" fillId="0" borderId="85" xfId="6" applyNumberFormat="1" applyFont="1" applyFill="1" applyBorder="1" applyProtection="1"/>
    <xf numFmtId="164" fontId="50" fillId="0" borderId="33" xfId="6" applyNumberFormat="1" applyFont="1" applyFill="1" applyBorder="1" applyProtection="1"/>
    <xf numFmtId="164" fontId="50" fillId="0" borderId="34" xfId="6" applyNumberFormat="1" applyFont="1" applyFill="1" applyBorder="1" applyProtection="1"/>
    <xf numFmtId="0" fontId="18" fillId="0" borderId="20" xfId="0" applyFont="1" applyBorder="1" applyAlignment="1">
      <alignment horizontal="left" vertical="top"/>
    </xf>
    <xf numFmtId="0" fontId="18" fillId="0" borderId="20" xfId="0" applyFont="1" applyBorder="1" applyAlignment="1">
      <alignment horizontal="left"/>
    </xf>
    <xf numFmtId="0" fontId="26" fillId="9" borderId="0" xfId="0" applyFont="1" applyFill="1" applyAlignment="1">
      <alignment horizontal="center"/>
    </xf>
    <xf numFmtId="0" fontId="26" fillId="6" borderId="51" xfId="0" applyFont="1" applyFill="1" applyBorder="1" applyAlignment="1">
      <alignment horizontal="center"/>
    </xf>
    <xf numFmtId="0" fontId="26" fillId="6" borderId="62" xfId="0" applyFont="1" applyFill="1" applyBorder="1" applyAlignment="1">
      <alignment horizontal="center" vertical="center" wrapText="1"/>
    </xf>
    <xf numFmtId="0" fontId="26" fillId="6" borderId="52" xfId="0" applyFont="1" applyFill="1" applyBorder="1" applyAlignment="1">
      <alignment horizontal="center" vertical="center"/>
    </xf>
    <xf numFmtId="0" fontId="26" fillId="6" borderId="38" xfId="0" applyFont="1" applyFill="1" applyBorder="1" applyAlignment="1">
      <alignment horizontal="right"/>
    </xf>
    <xf numFmtId="6" fontId="0" fillId="0" borderId="38" xfId="0" applyNumberFormat="1" applyBorder="1" applyAlignment="1">
      <alignment horizontal="left"/>
    </xf>
    <xf numFmtId="164" fontId="0" fillId="0" borderId="38" xfId="0" applyNumberFormat="1" applyBorder="1" applyAlignment="1">
      <alignment horizontal="left"/>
    </xf>
    <xf numFmtId="0" fontId="18" fillId="0" borderId="78" xfId="0" applyFont="1" applyBorder="1" applyAlignment="1">
      <alignment horizontal="left" vertical="top"/>
    </xf>
    <xf numFmtId="0" fontId="18" fillId="0" borderId="78" xfId="0" applyFont="1" applyBorder="1" applyAlignment="1">
      <alignment horizontal="left"/>
    </xf>
    <xf numFmtId="0" fontId="26" fillId="9" borderId="14" xfId="0" applyFont="1" applyFill="1" applyBorder="1" applyAlignment="1">
      <alignment horizontal="center" vertical="center" wrapText="1"/>
    </xf>
    <xf numFmtId="0" fontId="56" fillId="43" borderId="31" xfId="10" applyBorder="1"/>
    <xf numFmtId="0" fontId="0" fillId="42" borderId="51" xfId="9" applyFont="1" applyBorder="1"/>
    <xf numFmtId="14" fontId="0" fillId="42" borderId="62" xfId="9" applyNumberFormat="1" applyFont="1" applyBorder="1" applyAlignment="1">
      <alignment horizontal="center"/>
    </xf>
    <xf numFmtId="14" fontId="0" fillId="42" borderId="52" xfId="9" applyNumberFormat="1" applyFont="1" applyBorder="1" applyAlignment="1">
      <alignment horizontal="center"/>
    </xf>
    <xf numFmtId="0" fontId="0" fillId="42" borderId="69" xfId="9" applyFont="1" applyBorder="1"/>
    <xf numFmtId="0" fontId="0" fillId="42" borderId="38" xfId="9" applyFont="1" applyBorder="1"/>
    <xf numFmtId="14" fontId="0" fillId="42" borderId="3" xfId="9" applyNumberFormat="1" applyFont="1" applyBorder="1" applyAlignment="1">
      <alignment horizontal="center"/>
    </xf>
    <xf numFmtId="14" fontId="0" fillId="42" borderId="39" xfId="9" applyNumberFormat="1" applyFont="1" applyBorder="1" applyAlignment="1">
      <alignment horizontal="center"/>
    </xf>
    <xf numFmtId="0" fontId="0" fillId="42" borderId="59" xfId="9" applyFont="1" applyBorder="1"/>
    <xf numFmtId="14" fontId="0" fillId="42" borderId="58" xfId="9" applyNumberFormat="1" applyFont="1" applyBorder="1" applyAlignment="1">
      <alignment horizontal="center"/>
    </xf>
    <xf numFmtId="14" fontId="0" fillId="42" borderId="80" xfId="9" applyNumberFormat="1" applyFont="1" applyBorder="1" applyAlignment="1">
      <alignment horizontal="center"/>
    </xf>
    <xf numFmtId="0" fontId="0" fillId="41" borderId="31" xfId="8" applyFont="1" applyBorder="1"/>
    <xf numFmtId="0" fontId="0" fillId="41" borderId="51" xfId="8" applyFont="1" applyBorder="1"/>
    <xf numFmtId="14" fontId="0" fillId="41" borderId="62" xfId="8" applyNumberFormat="1" applyFont="1" applyBorder="1" applyAlignment="1">
      <alignment horizontal="center"/>
    </xf>
    <xf numFmtId="14" fontId="0" fillId="41" borderId="52" xfId="8" applyNumberFormat="1" applyFont="1" applyBorder="1" applyAlignment="1">
      <alignment horizontal="center"/>
    </xf>
    <xf numFmtId="0" fontId="0" fillId="41" borderId="38" xfId="8" applyFont="1" applyBorder="1"/>
    <xf numFmtId="14" fontId="0" fillId="41" borderId="3" xfId="8" applyNumberFormat="1" applyFont="1" applyBorder="1" applyAlignment="1">
      <alignment horizontal="center"/>
    </xf>
    <xf numFmtId="14" fontId="0" fillId="41" borderId="39" xfId="8" applyNumberFormat="1" applyFont="1" applyBorder="1" applyAlignment="1">
      <alignment horizontal="center"/>
    </xf>
    <xf numFmtId="0" fontId="0" fillId="0" borderId="33" xfId="0" applyBorder="1"/>
    <xf numFmtId="0" fontId="0" fillId="41" borderId="40" xfId="8" applyFont="1" applyBorder="1"/>
    <xf numFmtId="14" fontId="0" fillId="41" borderId="14" xfId="8" applyNumberFormat="1" applyFont="1" applyBorder="1" applyAlignment="1">
      <alignment horizontal="center"/>
    </xf>
    <xf numFmtId="14" fontId="0" fillId="41" borderId="41" xfId="8" applyNumberFormat="1" applyFont="1" applyBorder="1" applyAlignment="1">
      <alignment horizontal="center"/>
    </xf>
    <xf numFmtId="0" fontId="0" fillId="52" borderId="61" xfId="0" applyFill="1" applyBorder="1" applyAlignment="1">
      <alignment horizontal="center"/>
    </xf>
    <xf numFmtId="0" fontId="26" fillId="0" borderId="38" xfId="0" applyFont="1" applyBorder="1" applyAlignment="1">
      <alignment horizontal="center" wrapText="1"/>
    </xf>
    <xf numFmtId="0" fontId="26" fillId="0" borderId="59" xfId="0" applyFont="1" applyBorder="1" applyAlignment="1">
      <alignment horizontal="center" wrapText="1"/>
    </xf>
    <xf numFmtId="0" fontId="26" fillId="0" borderId="80" xfId="0" applyFont="1" applyBorder="1" applyAlignment="1">
      <alignment horizontal="center"/>
    </xf>
    <xf numFmtId="0" fontId="0" fillId="0" borderId="20" xfId="0" applyBorder="1" applyAlignment="1">
      <alignment horizontal="centerContinuous"/>
    </xf>
    <xf numFmtId="0" fontId="43" fillId="0" borderId="20" xfId="0" applyFont="1" applyBorder="1" applyAlignment="1">
      <alignment horizontal="centerContinuous" vertical="top" wrapText="1"/>
    </xf>
    <xf numFmtId="0" fontId="43" fillId="0" borderId="21" xfId="0" applyFont="1" applyBorder="1" applyAlignment="1">
      <alignment horizontal="centerContinuous" vertical="top" wrapText="1"/>
    </xf>
    <xf numFmtId="2" fontId="0" fillId="0" borderId="51" xfId="0" applyNumberFormat="1" applyBorder="1" applyAlignment="1">
      <alignment horizontal="center"/>
    </xf>
    <xf numFmtId="10" fontId="0" fillId="0" borderId="77" xfId="0" applyNumberFormat="1" applyBorder="1" applyAlignment="1">
      <alignment horizontal="center"/>
    </xf>
    <xf numFmtId="10" fontId="0" fillId="0" borderId="51" xfId="0" applyNumberFormat="1" applyBorder="1" applyAlignment="1">
      <alignment horizontal="center"/>
    </xf>
    <xf numFmtId="164" fontId="0" fillId="0" borderId="52" xfId="0" applyNumberFormat="1" applyBorder="1"/>
    <xf numFmtId="164" fontId="0" fillId="0" borderId="32" xfId="0" applyNumberFormat="1" applyBorder="1"/>
    <xf numFmtId="0" fontId="50" fillId="12" borderId="3" xfId="2" applyNumberFormat="1" applyFont="1" applyFill="1" applyBorder="1" applyAlignment="1" applyProtection="1">
      <alignment horizontal="center"/>
      <protection locked="0"/>
    </xf>
    <xf numFmtId="0" fontId="50" fillId="12" borderId="14" xfId="2" applyNumberFormat="1" applyFont="1" applyFill="1" applyBorder="1" applyAlignment="1" applyProtection="1">
      <alignment horizontal="center"/>
      <protection locked="0"/>
    </xf>
    <xf numFmtId="164" fontId="50" fillId="0" borderId="59" xfId="2" applyNumberFormat="1" applyFont="1" applyBorder="1" applyProtection="1"/>
    <xf numFmtId="2" fontId="50" fillId="0" borderId="58" xfId="0" applyNumberFormat="1" applyFont="1" applyBorder="1" applyAlignment="1">
      <alignment horizontal="center"/>
    </xf>
    <xf numFmtId="0" fontId="2" fillId="0" borderId="61" xfId="0" applyFont="1" applyBorder="1" applyAlignment="1">
      <alignment horizontal="left"/>
    </xf>
    <xf numFmtId="0" fontId="2" fillId="0" borderId="7" xfId="0" applyFont="1" applyBorder="1" applyAlignment="1">
      <alignment horizontal="left"/>
    </xf>
    <xf numFmtId="0" fontId="2" fillId="0" borderId="26" xfId="0" applyFont="1" applyBorder="1" applyAlignment="1">
      <alignment horizontal="left"/>
    </xf>
    <xf numFmtId="0" fontId="3" fillId="0" borderId="61" xfId="0" applyFont="1" applyBorder="1" applyAlignment="1">
      <alignment horizontal="left"/>
    </xf>
    <xf numFmtId="0" fontId="3" fillId="0" borderId="40" xfId="0" applyFont="1" applyBorder="1" applyAlignment="1">
      <alignment horizontal="left"/>
    </xf>
    <xf numFmtId="0" fontId="26" fillId="6" borderId="37" xfId="0" applyFont="1" applyFill="1" applyBorder="1" applyAlignment="1">
      <alignment horizontal="left"/>
    </xf>
    <xf numFmtId="0" fontId="26" fillId="6" borderId="20" xfId="0" applyFont="1" applyFill="1" applyBorder="1" applyAlignment="1">
      <alignment horizontal="left"/>
    </xf>
    <xf numFmtId="0" fontId="26" fillId="6" borderId="21" xfId="0" applyFont="1" applyFill="1" applyBorder="1" applyAlignment="1">
      <alignment horizontal="left"/>
    </xf>
    <xf numFmtId="164" fontId="3" fillId="0" borderId="40" xfId="0" applyNumberFormat="1" applyFont="1" applyBorder="1"/>
    <xf numFmtId="0" fontId="26" fillId="6" borderId="37" xfId="0" applyFont="1" applyFill="1" applyBorder="1"/>
    <xf numFmtId="0" fontId="26" fillId="6" borderId="20" xfId="0" applyFont="1" applyFill="1" applyBorder="1"/>
    <xf numFmtId="0" fontId="26" fillId="6" borderId="21" xfId="0" applyFont="1" applyFill="1" applyBorder="1"/>
    <xf numFmtId="164" fontId="2" fillId="0" borderId="59" xfId="0" applyNumberFormat="1" applyFont="1" applyBorder="1"/>
    <xf numFmtId="164" fontId="7" fillId="8" borderId="80" xfId="0" applyNumberFormat="1" applyFont="1" applyFill="1" applyBorder="1"/>
    <xf numFmtId="164" fontId="4" fillId="9" borderId="72" xfId="0" applyNumberFormat="1" applyFont="1" applyFill="1" applyBorder="1"/>
    <xf numFmtId="164" fontId="4" fillId="9" borderId="48" xfId="0" applyNumberFormat="1" applyFont="1" applyFill="1" applyBorder="1"/>
    <xf numFmtId="164" fontId="4" fillId="9" borderId="49" xfId="0" applyNumberFormat="1" applyFont="1" applyFill="1" applyBorder="1"/>
    <xf numFmtId="164" fontId="4" fillId="8" borderId="72" xfId="0" applyNumberFormat="1" applyFont="1" applyFill="1" applyBorder="1"/>
    <xf numFmtId="164" fontId="4" fillId="8" borderId="48" xfId="0" applyNumberFormat="1" applyFont="1" applyFill="1" applyBorder="1"/>
    <xf numFmtId="164" fontId="4" fillId="8" borderId="49" xfId="0" applyNumberFormat="1" applyFont="1" applyFill="1" applyBorder="1"/>
    <xf numFmtId="164" fontId="4" fillId="7" borderId="72" xfId="0" applyNumberFormat="1" applyFont="1" applyFill="1" applyBorder="1"/>
    <xf numFmtId="164" fontId="4" fillId="7" borderId="48" xfId="0" applyNumberFormat="1" applyFont="1" applyFill="1" applyBorder="1"/>
    <xf numFmtId="164" fontId="4" fillId="7" borderId="49" xfId="0" applyNumberFormat="1" applyFont="1" applyFill="1" applyBorder="1"/>
    <xf numFmtId="164" fontId="4" fillId="11" borderId="72" xfId="0" applyNumberFormat="1" applyFont="1" applyFill="1" applyBorder="1"/>
    <xf numFmtId="164" fontId="4" fillId="11" borderId="48" xfId="0" applyNumberFormat="1" applyFont="1" applyFill="1" applyBorder="1"/>
    <xf numFmtId="164" fontId="4" fillId="11" borderId="49" xfId="0" applyNumberFormat="1" applyFont="1" applyFill="1" applyBorder="1"/>
    <xf numFmtId="164" fontId="4" fillId="18" borderId="72" xfId="0" applyNumberFormat="1" applyFont="1" applyFill="1" applyBorder="1"/>
    <xf numFmtId="164" fontId="4" fillId="18" borderId="48" xfId="0" applyNumberFormat="1" applyFont="1" applyFill="1" applyBorder="1"/>
    <xf numFmtId="164" fontId="4" fillId="18" borderId="49" xfId="0" applyNumberFormat="1" applyFont="1" applyFill="1" applyBorder="1"/>
    <xf numFmtId="164" fontId="4" fillId="12" borderId="72" xfId="0" applyNumberFormat="1" applyFont="1" applyFill="1" applyBorder="1"/>
    <xf numFmtId="164" fontId="4" fillId="12" borderId="48" xfId="0" applyNumberFormat="1" applyFont="1" applyFill="1" applyBorder="1"/>
    <xf numFmtId="164" fontId="4" fillId="12" borderId="49" xfId="0" applyNumberFormat="1" applyFont="1" applyFill="1" applyBorder="1"/>
    <xf numFmtId="164" fontId="4" fillId="46" borderId="72" xfId="0" applyNumberFormat="1" applyFont="1" applyFill="1" applyBorder="1"/>
    <xf numFmtId="164" fontId="4" fillId="46" borderId="48" xfId="0" applyNumberFormat="1" applyFont="1" applyFill="1" applyBorder="1"/>
    <xf numFmtId="164" fontId="12" fillId="46" borderId="49" xfId="0" applyNumberFormat="1" applyFont="1" applyFill="1" applyBorder="1"/>
    <xf numFmtId="164" fontId="4" fillId="45" borderId="71" xfId="0" applyNumberFormat="1" applyFont="1" applyFill="1" applyBorder="1"/>
    <xf numFmtId="164" fontId="5" fillId="45" borderId="3" xfId="0" applyNumberFormat="1" applyFont="1" applyFill="1" applyBorder="1"/>
    <xf numFmtId="164" fontId="5" fillId="45" borderId="14" xfId="0" applyNumberFormat="1" applyFont="1" applyFill="1" applyBorder="1"/>
    <xf numFmtId="164" fontId="5" fillId="45" borderId="62" xfId="0" applyNumberFormat="1" applyFont="1" applyFill="1" applyBorder="1"/>
    <xf numFmtId="0" fontId="5" fillId="6" borderId="37" xfId="0" applyFont="1" applyFill="1" applyBorder="1" applyAlignment="1">
      <alignment vertical="top"/>
    </xf>
    <xf numFmtId="0" fontId="5" fillId="6" borderId="20" xfId="0" applyFont="1" applyFill="1" applyBorder="1" applyAlignment="1">
      <alignment vertical="top" wrapText="1"/>
    </xf>
    <xf numFmtId="0" fontId="5" fillId="6" borderId="21" xfId="0" applyFont="1" applyFill="1" applyBorder="1" applyAlignment="1">
      <alignment vertical="top" wrapText="1"/>
    </xf>
    <xf numFmtId="0" fontId="26" fillId="6" borderId="20" xfId="0" applyFont="1" applyFill="1" applyBorder="1" applyAlignment="1">
      <alignment horizontal="center"/>
    </xf>
    <xf numFmtId="0" fontId="28" fillId="6" borderId="21" xfId="0" applyFont="1" applyFill="1" applyBorder="1" applyAlignment="1">
      <alignment horizontal="center"/>
    </xf>
    <xf numFmtId="164" fontId="5" fillId="45" borderId="2" xfId="0" applyNumberFormat="1" applyFont="1" applyFill="1" applyBorder="1"/>
    <xf numFmtId="164" fontId="5" fillId="3" borderId="43" xfId="0" applyNumberFormat="1" applyFont="1" applyFill="1" applyBorder="1"/>
    <xf numFmtId="0" fontId="26" fillId="8" borderId="37" xfId="0" applyFont="1" applyFill="1" applyBorder="1" applyAlignment="1">
      <alignment horizontal="center" wrapText="1"/>
    </xf>
    <xf numFmtId="0" fontId="26" fillId="8" borderId="18" xfId="0" applyFont="1" applyFill="1" applyBorder="1" applyAlignment="1">
      <alignment horizontal="center" wrapText="1"/>
    </xf>
    <xf numFmtId="0" fontId="26" fillId="8" borderId="75" xfId="0" applyFont="1" applyFill="1" applyBorder="1" applyAlignment="1">
      <alignment horizontal="center" wrapText="1"/>
    </xf>
    <xf numFmtId="0" fontId="26" fillId="8" borderId="76" xfId="0" applyFont="1" applyFill="1" applyBorder="1" applyAlignment="1">
      <alignment horizontal="center" wrapText="1"/>
    </xf>
    <xf numFmtId="10" fontId="50" fillId="0" borderId="6" xfId="0" applyNumberFormat="1" applyFont="1" applyBorder="1" applyAlignment="1">
      <alignment horizontal="center"/>
    </xf>
    <xf numFmtId="10" fontId="50" fillId="0" borderId="11" xfId="0" applyNumberFormat="1" applyFont="1" applyBorder="1" applyAlignment="1">
      <alignment horizontal="center"/>
    </xf>
    <xf numFmtId="10" fontId="50" fillId="0" borderId="47" xfId="0" applyNumberFormat="1" applyFont="1" applyBorder="1" applyAlignment="1">
      <alignment horizontal="center"/>
    </xf>
    <xf numFmtId="0" fontId="26" fillId="0" borderId="24" xfId="0" applyFont="1" applyBorder="1" applyAlignment="1">
      <alignment horizontal="center"/>
    </xf>
    <xf numFmtId="0" fontId="0" fillId="12" borderId="3" xfId="0" applyFill="1" applyBorder="1" applyAlignment="1" applyProtection="1">
      <alignment horizontal="center"/>
      <protection locked="0"/>
    </xf>
    <xf numFmtId="2" fontId="50" fillId="12" borderId="2" xfId="6" applyNumberFormat="1" applyFont="1" applyFill="1" applyBorder="1" applyAlignment="1" applyProtection="1">
      <alignment horizontal="center"/>
      <protection locked="0"/>
    </xf>
    <xf numFmtId="164" fontId="50" fillId="0" borderId="42" xfId="2" applyNumberFormat="1" applyFont="1" applyBorder="1" applyProtection="1"/>
    <xf numFmtId="2" fontId="50" fillId="0" borderId="2" xfId="0" applyNumberFormat="1" applyFont="1" applyBorder="1" applyAlignment="1">
      <alignment horizontal="center"/>
    </xf>
    <xf numFmtId="10" fontId="50" fillId="0" borderId="12" xfId="0" applyNumberFormat="1" applyFont="1" applyBorder="1" applyAlignment="1">
      <alignment horizontal="center"/>
    </xf>
    <xf numFmtId="0" fontId="0" fillId="12" borderId="2" xfId="0" applyFill="1" applyBorder="1" applyAlignment="1" applyProtection="1">
      <alignment horizontal="center"/>
      <protection locked="0"/>
    </xf>
    <xf numFmtId="167" fontId="50" fillId="12" borderId="43" xfId="6" applyNumberFormat="1" applyFont="1" applyFill="1" applyBorder="1" applyAlignment="1" applyProtection="1">
      <alignment horizontal="center"/>
      <protection locked="0"/>
    </xf>
    <xf numFmtId="167" fontId="50" fillId="12" borderId="39" xfId="6" applyNumberFormat="1" applyFont="1" applyFill="1" applyBorder="1" applyAlignment="1" applyProtection="1">
      <alignment horizontal="center"/>
      <protection locked="0"/>
    </xf>
    <xf numFmtId="0" fontId="0" fillId="12" borderId="14" xfId="0" applyFill="1" applyBorder="1" applyAlignment="1" applyProtection="1">
      <alignment horizontal="center"/>
      <protection locked="0"/>
    </xf>
    <xf numFmtId="167" fontId="50" fillId="12" borderId="41" xfId="6" applyNumberFormat="1" applyFont="1" applyFill="1" applyBorder="1" applyAlignment="1" applyProtection="1">
      <alignment horizontal="center"/>
      <protection locked="0"/>
    </xf>
    <xf numFmtId="0" fontId="24" fillId="0" borderId="24" xfId="0" applyFont="1" applyBorder="1" applyAlignment="1" applyProtection="1">
      <alignment horizontal="center" wrapText="1"/>
      <protection locked="0"/>
    </xf>
    <xf numFmtId="0" fontId="24" fillId="0" borderId="25" xfId="0" applyFont="1" applyBorder="1" applyAlignment="1">
      <alignment horizontal="center" vertical="center" wrapText="1"/>
    </xf>
    <xf numFmtId="0" fontId="24" fillId="0" borderId="4" xfId="0" applyFont="1" applyBorder="1"/>
    <xf numFmtId="0" fontId="50" fillId="0" borderId="16" xfId="0" applyFont="1" applyBorder="1"/>
    <xf numFmtId="0" fontId="50" fillId="0" borderId="16" xfId="0" applyFont="1" applyBorder="1" applyAlignment="1">
      <alignment horizontal="left"/>
    </xf>
    <xf numFmtId="167" fontId="50" fillId="0" borderId="16" xfId="0" applyNumberFormat="1" applyFont="1" applyBorder="1"/>
    <xf numFmtId="164" fontId="50" fillId="0" borderId="16" xfId="2" applyNumberFormat="1" applyFont="1" applyBorder="1" applyProtection="1"/>
    <xf numFmtId="0" fontId="0" fillId="0" borderId="24" xfId="0" applyBorder="1" applyProtection="1">
      <protection locked="0"/>
    </xf>
    <xf numFmtId="167" fontId="0" fillId="0" borderId="25" xfId="0" applyNumberFormat="1" applyBorder="1"/>
    <xf numFmtId="0" fontId="26" fillId="7" borderId="38" xfId="0" applyFont="1" applyFill="1" applyBorder="1"/>
    <xf numFmtId="10" fontId="26" fillId="7" borderId="39" xfId="0" applyNumberFormat="1" applyFont="1" applyFill="1" applyBorder="1"/>
    <xf numFmtId="0" fontId="26" fillId="40" borderId="75" xfId="0" applyFont="1" applyFill="1" applyBorder="1" applyAlignment="1">
      <alignment horizontal="left" wrapText="1"/>
    </xf>
    <xf numFmtId="0" fontId="26" fillId="7" borderId="40" xfId="0" applyFont="1" applyFill="1" applyBorder="1" applyAlignment="1">
      <alignment horizontal="center"/>
    </xf>
    <xf numFmtId="0" fontId="26" fillId="7" borderId="41" xfId="0" applyFont="1" applyFill="1" applyBorder="1" applyAlignment="1">
      <alignment horizontal="center"/>
    </xf>
    <xf numFmtId="164" fontId="5" fillId="7" borderId="58" xfId="0" applyNumberFormat="1" applyFont="1" applyFill="1" applyBorder="1" applyAlignment="1">
      <alignment horizontal="right"/>
    </xf>
    <xf numFmtId="164" fontId="5" fillId="8" borderId="58" xfId="0" applyNumberFormat="1" applyFont="1" applyFill="1" applyBorder="1" applyAlignment="1">
      <alignment horizontal="right"/>
    </xf>
    <xf numFmtId="164" fontId="5" fillId="9" borderId="58" xfId="0" applyNumberFormat="1" applyFont="1" applyFill="1" applyBorder="1" applyAlignment="1">
      <alignment horizontal="right"/>
    </xf>
    <xf numFmtId="164" fontId="3" fillId="0" borderId="51" xfId="0" applyNumberFormat="1" applyFont="1" applyBorder="1" applyAlignment="1">
      <alignment horizontal="right"/>
    </xf>
    <xf numFmtId="164" fontId="3" fillId="0" borderId="38" xfId="0" applyNumberFormat="1" applyFont="1" applyBorder="1" applyAlignment="1">
      <alignment horizontal="right"/>
    </xf>
    <xf numFmtId="164" fontId="4" fillId="9" borderId="58" xfId="0" applyNumberFormat="1" applyFont="1" applyFill="1" applyBorder="1"/>
    <xf numFmtId="164" fontId="4" fillId="8" borderId="58" xfId="0" applyNumberFormat="1" applyFont="1" applyFill="1" applyBorder="1"/>
    <xf numFmtId="164" fontId="4" fillId="7" borderId="58" xfId="0" applyNumberFormat="1" applyFont="1" applyFill="1" applyBorder="1"/>
    <xf numFmtId="164" fontId="4" fillId="11" borderId="58" xfId="0" applyNumberFormat="1" applyFont="1" applyFill="1" applyBorder="1"/>
    <xf numFmtId="164" fontId="5" fillId="11" borderId="58" xfId="0" applyNumberFormat="1" applyFont="1" applyFill="1" applyBorder="1" applyAlignment="1">
      <alignment horizontal="right"/>
    </xf>
    <xf numFmtId="164" fontId="5" fillId="18" borderId="58" xfId="0" applyNumberFormat="1" applyFont="1" applyFill="1" applyBorder="1" applyAlignment="1">
      <alignment horizontal="right"/>
    </xf>
    <xf numFmtId="164" fontId="4" fillId="18" borderId="58" xfId="0" applyNumberFormat="1" applyFont="1" applyFill="1" applyBorder="1"/>
    <xf numFmtId="164" fontId="4" fillId="12" borderId="58" xfId="0" applyNumberFormat="1" applyFont="1" applyFill="1" applyBorder="1"/>
    <xf numFmtId="164" fontId="5" fillId="12" borderId="58" xfId="0" applyNumberFormat="1" applyFont="1" applyFill="1" applyBorder="1" applyAlignment="1">
      <alignment horizontal="right"/>
    </xf>
    <xf numFmtId="164" fontId="5" fillId="45" borderId="59" xfId="0" applyNumberFormat="1" applyFont="1" applyFill="1" applyBorder="1"/>
    <xf numFmtId="164" fontId="5" fillId="45" borderId="42" xfId="0" applyNumberFormat="1" applyFont="1" applyFill="1" applyBorder="1"/>
    <xf numFmtId="0" fontId="50" fillId="40" borderId="3" xfId="0" applyFont="1" applyFill="1" applyBorder="1"/>
    <xf numFmtId="0" fontId="50" fillId="40" borderId="14" xfId="0" applyFont="1" applyFill="1" applyBorder="1"/>
    <xf numFmtId="0" fontId="3" fillId="23" borderId="16" xfId="0" applyFont="1" applyFill="1" applyBorder="1"/>
    <xf numFmtId="0" fontId="3" fillId="23" borderId="5" xfId="0" applyFont="1" applyFill="1" applyBorder="1"/>
    <xf numFmtId="164" fontId="0" fillId="0" borderId="56" xfId="0" applyNumberFormat="1" applyBorder="1" applyAlignment="1">
      <alignment horizontal="right"/>
    </xf>
    <xf numFmtId="164" fontId="8" fillId="12" borderId="40" xfId="0" applyNumberFormat="1" applyFont="1" applyFill="1" applyBorder="1"/>
    <xf numFmtId="164" fontId="5" fillId="12" borderId="14" xfId="0" applyNumberFormat="1" applyFont="1" applyFill="1" applyBorder="1"/>
    <xf numFmtId="164" fontId="8" fillId="12" borderId="14" xfId="0" applyNumberFormat="1" applyFont="1" applyFill="1" applyBorder="1"/>
    <xf numFmtId="164" fontId="8" fillId="18" borderId="40" xfId="0" applyNumberFormat="1" applyFont="1" applyFill="1" applyBorder="1"/>
    <xf numFmtId="164" fontId="5" fillId="18" borderId="14" xfId="0" applyNumberFormat="1" applyFont="1" applyFill="1" applyBorder="1"/>
    <xf numFmtId="164" fontId="8" fillId="18" borderId="14" xfId="0" applyNumberFormat="1" applyFont="1" applyFill="1" applyBorder="1"/>
    <xf numFmtId="164" fontId="8" fillId="4" borderId="40" xfId="0" applyNumberFormat="1" applyFont="1" applyFill="1" applyBorder="1"/>
    <xf numFmtId="164" fontId="5" fillId="4" borderId="14" xfId="0" applyNumberFormat="1" applyFont="1" applyFill="1" applyBorder="1"/>
    <xf numFmtId="164" fontId="8" fillId="4" borderId="14" xfId="0" applyNumberFormat="1" applyFont="1" applyFill="1" applyBorder="1"/>
    <xf numFmtId="164" fontId="7" fillId="4" borderId="41" xfId="0" applyNumberFormat="1" applyFont="1" applyFill="1" applyBorder="1"/>
    <xf numFmtId="164" fontId="8" fillId="7" borderId="40" xfId="0" applyNumberFormat="1" applyFont="1" applyFill="1" applyBorder="1"/>
    <xf numFmtId="164" fontId="5" fillId="7" borderId="14" xfId="0" applyNumberFormat="1" applyFont="1" applyFill="1" applyBorder="1"/>
    <xf numFmtId="164" fontId="8" fillId="7" borderId="14" xfId="0" applyNumberFormat="1" applyFont="1" applyFill="1" applyBorder="1"/>
    <xf numFmtId="164" fontId="8" fillId="9" borderId="40" xfId="0" applyNumberFormat="1" applyFont="1" applyFill="1" applyBorder="1"/>
    <xf numFmtId="164" fontId="5" fillId="9" borderId="14" xfId="0" applyNumberFormat="1" applyFont="1" applyFill="1" applyBorder="1"/>
    <xf numFmtId="164" fontId="8" fillId="9" borderId="14" xfId="0" applyNumberFormat="1" applyFont="1" applyFill="1" applyBorder="1"/>
    <xf numFmtId="164" fontId="7" fillId="48" borderId="41" xfId="0" applyNumberFormat="1" applyFont="1" applyFill="1" applyBorder="1"/>
    <xf numFmtId="164" fontId="8" fillId="8" borderId="40" xfId="0" applyNumberFormat="1" applyFont="1" applyFill="1" applyBorder="1"/>
    <xf numFmtId="164" fontId="5" fillId="8" borderId="14" xfId="0" applyNumberFormat="1" applyFont="1" applyFill="1" applyBorder="1"/>
    <xf numFmtId="164" fontId="8" fillId="8" borderId="14" xfId="0" applyNumberFormat="1" applyFont="1" applyFill="1" applyBorder="1"/>
    <xf numFmtId="0" fontId="4" fillId="3" borderId="18" xfId="0" applyFont="1" applyFill="1" applyBorder="1" applyAlignment="1">
      <alignment horizontal="right"/>
    </xf>
    <xf numFmtId="164" fontId="4" fillId="3" borderId="73" xfId="0" applyNumberFormat="1" applyFont="1" applyFill="1" applyBorder="1" applyAlignment="1">
      <alignment horizontal="right"/>
    </xf>
    <xf numFmtId="164" fontId="4" fillId="45" borderId="59" xfId="0" applyNumberFormat="1" applyFont="1" applyFill="1" applyBorder="1"/>
    <xf numFmtId="164" fontId="4" fillId="3" borderId="80" xfId="0" applyNumberFormat="1" applyFont="1" applyFill="1" applyBorder="1"/>
    <xf numFmtId="164" fontId="5" fillId="3" borderId="59" xfId="0" applyNumberFormat="1" applyFont="1" applyFill="1" applyBorder="1"/>
    <xf numFmtId="164" fontId="5" fillId="3" borderId="58" xfId="0" applyNumberFormat="1" applyFont="1" applyFill="1" applyBorder="1"/>
    <xf numFmtId="164" fontId="8" fillId="48" borderId="3" xfId="0" applyNumberFormat="1" applyFont="1" applyFill="1" applyBorder="1"/>
    <xf numFmtId="164" fontId="5" fillId="48" borderId="3" xfId="0" applyNumberFormat="1" applyFont="1" applyFill="1" applyBorder="1"/>
    <xf numFmtId="164" fontId="8" fillId="3" borderId="37" xfId="0" applyNumberFormat="1" applyFont="1" applyFill="1" applyBorder="1"/>
    <xf numFmtId="164" fontId="8" fillId="3" borderId="45" xfId="0" applyNumberFormat="1" applyFont="1" applyFill="1" applyBorder="1"/>
    <xf numFmtId="164" fontId="8" fillId="3" borderId="20" xfId="0" applyNumberFormat="1" applyFont="1" applyFill="1" applyBorder="1"/>
    <xf numFmtId="164" fontId="8" fillId="3" borderId="21" xfId="0" applyNumberFormat="1" applyFont="1" applyFill="1" applyBorder="1"/>
    <xf numFmtId="0" fontId="100" fillId="3" borderId="5" xfId="0" applyFont="1" applyFill="1" applyBorder="1" applyAlignment="1">
      <alignment horizontal="right"/>
    </xf>
    <xf numFmtId="164" fontId="100" fillId="3" borderId="65" xfId="0" applyNumberFormat="1" applyFont="1" applyFill="1" applyBorder="1"/>
    <xf numFmtId="164" fontId="100" fillId="3" borderId="24" xfId="0" applyNumberFormat="1" applyFont="1" applyFill="1" applyBorder="1"/>
    <xf numFmtId="164" fontId="100" fillId="3" borderId="25" xfId="0" applyNumberFormat="1" applyFont="1" applyFill="1" applyBorder="1"/>
    <xf numFmtId="164" fontId="100" fillId="9" borderId="3" xfId="0" applyNumberFormat="1" applyFont="1" applyFill="1" applyBorder="1"/>
    <xf numFmtId="164" fontId="101" fillId="9" borderId="3" xfId="0" applyNumberFormat="1" applyFont="1" applyFill="1" applyBorder="1"/>
    <xf numFmtId="164" fontId="100" fillId="8" borderId="3" xfId="0" applyNumberFormat="1" applyFont="1" applyFill="1" applyBorder="1"/>
    <xf numFmtId="164" fontId="101" fillId="8" borderId="3" xfId="0" applyNumberFormat="1" applyFont="1" applyFill="1" applyBorder="1"/>
    <xf numFmtId="164" fontId="100" fillId="7" borderId="3" xfId="0" applyNumberFormat="1" applyFont="1" applyFill="1" applyBorder="1"/>
    <xf numFmtId="164" fontId="101" fillId="7" borderId="3" xfId="0" applyNumberFormat="1" applyFont="1" applyFill="1" applyBorder="1"/>
    <xf numFmtId="164" fontId="100" fillId="11" borderId="3" xfId="0" applyNumberFormat="1" applyFont="1" applyFill="1" applyBorder="1"/>
    <xf numFmtId="164" fontId="101" fillId="11" borderId="3" xfId="0" applyNumberFormat="1" applyFont="1" applyFill="1" applyBorder="1"/>
    <xf numFmtId="164" fontId="100" fillId="18" borderId="3" xfId="0" applyNumberFormat="1" applyFont="1" applyFill="1" applyBorder="1"/>
    <xf numFmtId="164" fontId="101" fillId="18" borderId="3" xfId="0" applyNumberFormat="1" applyFont="1" applyFill="1" applyBorder="1"/>
    <xf numFmtId="164" fontId="100" fillId="12" borderId="3" xfId="0" applyNumberFormat="1" applyFont="1" applyFill="1" applyBorder="1"/>
    <xf numFmtId="164" fontId="101" fillId="12" borderId="3" xfId="0" applyNumberFormat="1" applyFont="1" applyFill="1" applyBorder="1"/>
    <xf numFmtId="164" fontId="100" fillId="46" borderId="3" xfId="0" applyNumberFormat="1" applyFont="1" applyFill="1" applyBorder="1"/>
    <xf numFmtId="164" fontId="101" fillId="46" borderId="3" xfId="0" applyNumberFormat="1" applyFont="1" applyFill="1" applyBorder="1"/>
    <xf numFmtId="164" fontId="100" fillId="45" borderId="38" xfId="0" applyNumberFormat="1" applyFont="1" applyFill="1" applyBorder="1"/>
    <xf numFmtId="164" fontId="100" fillId="3" borderId="39" xfId="0" applyNumberFormat="1" applyFont="1" applyFill="1" applyBorder="1"/>
    <xf numFmtId="164" fontId="5" fillId="9" borderId="40" xfId="0" applyNumberFormat="1" applyFont="1" applyFill="1" applyBorder="1"/>
    <xf numFmtId="164" fontId="5" fillId="8" borderId="40" xfId="0" applyNumberFormat="1" applyFont="1" applyFill="1" applyBorder="1"/>
    <xf numFmtId="164" fontId="5" fillId="7" borderId="40" xfId="0" applyNumberFormat="1" applyFont="1" applyFill="1" applyBorder="1"/>
    <xf numFmtId="164" fontId="5" fillId="4" borderId="40" xfId="0" applyNumberFormat="1" applyFont="1" applyFill="1" applyBorder="1"/>
    <xf numFmtId="164" fontId="5" fillId="18" borderId="40" xfId="0" applyNumberFormat="1" applyFont="1" applyFill="1" applyBorder="1"/>
    <xf numFmtId="164" fontId="5" fillId="12" borderId="40" xfId="0" applyNumberFormat="1" applyFont="1" applyFill="1" applyBorder="1"/>
    <xf numFmtId="164" fontId="5" fillId="46" borderId="58" xfId="0" applyNumberFormat="1" applyFont="1" applyFill="1" applyBorder="1" applyAlignment="1">
      <alignment horizontal="right"/>
    </xf>
    <xf numFmtId="164" fontId="5" fillId="48" borderId="72" xfId="0" applyNumberFormat="1" applyFont="1" applyFill="1" applyBorder="1"/>
    <xf numFmtId="164" fontId="5" fillId="48" borderId="48" xfId="0" applyNumberFormat="1" applyFont="1" applyFill="1" applyBorder="1"/>
    <xf numFmtId="0" fontId="26" fillId="8" borderId="17" xfId="0" applyFont="1" applyFill="1" applyBorder="1" applyAlignment="1">
      <alignment horizontal="center" wrapText="1"/>
    </xf>
    <xf numFmtId="0" fontId="26" fillId="6" borderId="59" xfId="0" applyFont="1" applyFill="1" applyBorder="1" applyAlignment="1">
      <alignment horizontal="center"/>
    </xf>
    <xf numFmtId="0" fontId="26" fillId="6" borderId="58" xfId="0" applyFont="1" applyFill="1" applyBorder="1" applyAlignment="1">
      <alignment horizontal="center"/>
    </xf>
    <xf numFmtId="0" fontId="26" fillId="8" borderId="58" xfId="0" applyFont="1" applyFill="1" applyBorder="1" applyAlignment="1">
      <alignment horizontal="center"/>
    </xf>
    <xf numFmtId="0" fontId="26" fillId="8" borderId="80" xfId="0" applyFont="1" applyFill="1" applyBorder="1" applyAlignment="1">
      <alignment horizontal="center"/>
    </xf>
    <xf numFmtId="10" fontId="0" fillId="6" borderId="51" xfId="0" applyNumberFormat="1" applyFill="1" applyBorder="1" applyAlignment="1">
      <alignment horizontal="center"/>
    </xf>
    <xf numFmtId="164" fontId="0" fillId="6" borderId="52" xfId="0" applyNumberFormat="1" applyFill="1" applyBorder="1"/>
    <xf numFmtId="10" fontId="0" fillId="8" borderId="51" xfId="1" applyNumberFormat="1" applyFont="1" applyFill="1" applyBorder="1" applyAlignment="1">
      <alignment horizontal="center"/>
    </xf>
    <xf numFmtId="164" fontId="0" fillId="8" borderId="77" xfId="0" applyNumberFormat="1" applyFill="1" applyBorder="1"/>
    <xf numFmtId="0" fontId="0" fillId="0" borderId="3" xfId="0" applyBorder="1" applyAlignment="1">
      <alignment horizontal="right"/>
    </xf>
    <xf numFmtId="0" fontId="0" fillId="0" borderId="54" xfId="0" applyBorder="1" applyAlignment="1">
      <alignment horizontal="right"/>
    </xf>
    <xf numFmtId="0" fontId="0" fillId="0" borderId="3" xfId="0" applyBorder="1" applyAlignment="1">
      <alignment horizontal="right" vertical="center"/>
    </xf>
    <xf numFmtId="164" fontId="0" fillId="0" borderId="3" xfId="2" applyNumberFormat="1" applyFont="1" applyFill="1" applyBorder="1" applyAlignment="1">
      <alignment vertical="center"/>
    </xf>
    <xf numFmtId="164" fontId="0" fillId="0" borderId="39" xfId="2" applyNumberFormat="1" applyFont="1" applyFill="1" applyBorder="1" applyAlignment="1">
      <alignment vertical="center"/>
    </xf>
    <xf numFmtId="164" fontId="54" fillId="0" borderId="0" xfId="2" applyNumberFormat="1" applyFont="1" applyBorder="1" applyProtection="1"/>
    <xf numFmtId="168" fontId="3" fillId="0" borderId="0" xfId="0" applyNumberFormat="1" applyFont="1"/>
    <xf numFmtId="164" fontId="50" fillId="0" borderId="55" xfId="2" applyNumberFormat="1" applyFont="1" applyBorder="1" applyProtection="1"/>
    <xf numFmtId="164" fontId="50" fillId="0" borderId="56" xfId="2" applyNumberFormat="1" applyFont="1" applyBorder="1" applyProtection="1"/>
    <xf numFmtId="164" fontId="50" fillId="0" borderId="56" xfId="2" applyNumberFormat="1" applyFont="1" applyFill="1" applyBorder="1" applyProtection="1"/>
    <xf numFmtId="164" fontId="50" fillId="0" borderId="57" xfId="2" applyNumberFormat="1" applyFont="1" applyFill="1" applyBorder="1" applyProtection="1"/>
    <xf numFmtId="164" fontId="50" fillId="0" borderId="57" xfId="2" applyNumberFormat="1" applyFont="1" applyBorder="1" applyProtection="1"/>
    <xf numFmtId="5" fontId="24" fillId="0" borderId="16" xfId="2" applyNumberFormat="1" applyFont="1" applyBorder="1" applyProtection="1"/>
    <xf numFmtId="2" fontId="24" fillId="0" borderId="16" xfId="0" applyNumberFormat="1" applyFont="1" applyBorder="1" applyAlignment="1">
      <alignment horizontal="center"/>
    </xf>
    <xf numFmtId="10" fontId="24" fillId="0" borderId="16" xfId="1" applyNumberFormat="1" applyFont="1" applyBorder="1" applyProtection="1"/>
    <xf numFmtId="0" fontId="3" fillId="0" borderId="8" xfId="0" applyFont="1" applyBorder="1" applyAlignment="1">
      <alignment horizontal="right"/>
    </xf>
    <xf numFmtId="0" fontId="3" fillId="0" borderId="3" xfId="0" applyFont="1" applyBorder="1" applyAlignment="1">
      <alignment horizontal="right"/>
    </xf>
    <xf numFmtId="166" fontId="3" fillId="0" borderId="3" xfId="2" applyNumberFormat="1" applyFont="1" applyFill="1" applyBorder="1"/>
    <xf numFmtId="165" fontId="5" fillId="0" borderId="3" xfId="0" applyNumberFormat="1" applyFont="1" applyBorder="1"/>
    <xf numFmtId="165" fontId="3" fillId="0" borderId="3" xfId="0" applyNumberFormat="1" applyFont="1" applyBorder="1"/>
    <xf numFmtId="166" fontId="5" fillId="0" borderId="3" xfId="2" applyNumberFormat="1" applyFont="1" applyFill="1" applyBorder="1"/>
    <xf numFmtId="0" fontId="5" fillId="35" borderId="3" xfId="0" applyFont="1" applyFill="1" applyBorder="1" applyAlignment="1">
      <alignment horizontal="center"/>
    </xf>
    <xf numFmtId="0" fontId="50" fillId="12" borderId="2" xfId="6" applyFont="1" applyFill="1" applyBorder="1" applyAlignment="1" applyProtection="1">
      <alignment horizontal="center"/>
      <protection locked="0"/>
    </xf>
    <xf numFmtId="0" fontId="26" fillId="0" borderId="9" xfId="0" applyFont="1" applyBorder="1" applyAlignment="1">
      <alignment horizontal="left"/>
    </xf>
    <xf numFmtId="2" fontId="30" fillId="19" borderId="5" xfId="0" applyNumberFormat="1" applyFont="1" applyFill="1" applyBorder="1" applyAlignment="1">
      <alignment horizontal="center"/>
    </xf>
    <xf numFmtId="0" fontId="26" fillId="0" borderId="51" xfId="0" applyFont="1" applyBorder="1" applyAlignment="1">
      <alignment horizontal="center" wrapText="1"/>
    </xf>
    <xf numFmtId="2" fontId="0" fillId="12" borderId="2" xfId="0" applyNumberFormat="1" applyFill="1" applyBorder="1" applyAlignment="1" applyProtection="1">
      <alignment horizontal="center"/>
      <protection locked="0"/>
    </xf>
    <xf numFmtId="2" fontId="0" fillId="12" borderId="14" xfId="0" applyNumberFormat="1" applyFill="1" applyBorder="1" applyAlignment="1" applyProtection="1">
      <alignment horizontal="center"/>
      <protection locked="0"/>
    </xf>
    <xf numFmtId="0" fontId="0" fillId="0" borderId="52" xfId="0" applyBorder="1" applyAlignment="1">
      <alignment horizontal="center"/>
    </xf>
    <xf numFmtId="0" fontId="26" fillId="0" borderId="2" xfId="0" applyFont="1" applyBorder="1" applyAlignment="1">
      <alignment horizontal="center"/>
    </xf>
    <xf numFmtId="0" fontId="5" fillId="0" borderId="4" xfId="0" applyFont="1" applyBorder="1" applyAlignment="1">
      <alignment horizontal="center"/>
    </xf>
    <xf numFmtId="0" fontId="5" fillId="0" borderId="16" xfId="0" applyFont="1" applyBorder="1" applyAlignment="1">
      <alignment horizontal="center"/>
    </xf>
    <xf numFmtId="164" fontId="5" fillId="28" borderId="37" xfId="0" applyNumberFormat="1" applyFont="1" applyFill="1" applyBorder="1" applyAlignment="1">
      <alignment horizontal="center"/>
    </xf>
    <xf numFmtId="164" fontId="5" fillId="28" borderId="21" xfId="0" applyNumberFormat="1" applyFont="1" applyFill="1" applyBorder="1" applyAlignment="1">
      <alignment horizontal="center"/>
    </xf>
    <xf numFmtId="164" fontId="5" fillId="5" borderId="37" xfId="0" applyNumberFormat="1" applyFont="1" applyFill="1" applyBorder="1" applyAlignment="1">
      <alignment horizontal="center"/>
    </xf>
    <xf numFmtId="164" fontId="5" fillId="5" borderId="20" xfId="0" applyNumberFormat="1" applyFont="1" applyFill="1" applyBorder="1" applyAlignment="1">
      <alignment horizontal="center"/>
    </xf>
    <xf numFmtId="164" fontId="5" fillId="5" borderId="21" xfId="0" applyNumberFormat="1" applyFont="1" applyFill="1" applyBorder="1" applyAlignment="1">
      <alignment horizontal="center"/>
    </xf>
    <xf numFmtId="0" fontId="5" fillId="2" borderId="37" xfId="0" applyFont="1" applyFill="1" applyBorder="1" applyAlignment="1">
      <alignment horizontal="center"/>
    </xf>
    <xf numFmtId="0" fontId="5" fillId="2" borderId="20" xfId="0" applyFont="1" applyFill="1" applyBorder="1" applyAlignment="1">
      <alignment horizontal="center"/>
    </xf>
    <xf numFmtId="0" fontId="5" fillId="2" borderId="21" xfId="0" applyFont="1" applyFill="1" applyBorder="1" applyAlignment="1">
      <alignment horizontal="center"/>
    </xf>
    <xf numFmtId="0" fontId="5" fillId="11" borderId="3" xfId="0" applyFont="1" applyFill="1" applyBorder="1" applyAlignment="1">
      <alignment horizontal="center"/>
    </xf>
    <xf numFmtId="0" fontId="4" fillId="12" borderId="74" xfId="0" applyFont="1" applyFill="1" applyBorder="1" applyAlignment="1">
      <alignment horizontal="center" vertical="center" wrapText="1"/>
    </xf>
    <xf numFmtId="0" fontId="4" fillId="11" borderId="23" xfId="0" applyFont="1" applyFill="1" applyBorder="1" applyAlignment="1">
      <alignment horizontal="center" vertical="center" wrapText="1"/>
    </xf>
    <xf numFmtId="0" fontId="4" fillId="11" borderId="24" xfId="0" applyFont="1" applyFill="1" applyBorder="1" applyAlignment="1">
      <alignment horizontal="center" vertical="center"/>
    </xf>
    <xf numFmtId="0" fontId="4" fillId="11" borderId="25" xfId="0" applyFont="1" applyFill="1" applyBorder="1" applyAlignment="1">
      <alignment horizontal="center" vertical="center"/>
    </xf>
    <xf numFmtId="0" fontId="4" fillId="6" borderId="23" xfId="0" applyFont="1" applyFill="1" applyBorder="1" applyAlignment="1">
      <alignment horizontal="center" vertical="center"/>
    </xf>
    <xf numFmtId="0" fontId="4" fillId="6" borderId="24" xfId="0" applyFont="1" applyFill="1" applyBorder="1" applyAlignment="1">
      <alignment horizontal="center" vertical="center"/>
    </xf>
    <xf numFmtId="0" fontId="4" fillId="6" borderId="25" xfId="0" applyFont="1" applyFill="1" applyBorder="1" applyAlignment="1">
      <alignment horizontal="center" vertical="center"/>
    </xf>
    <xf numFmtId="0" fontId="4" fillId="8" borderId="23" xfId="0" applyFont="1" applyFill="1" applyBorder="1" applyAlignment="1">
      <alignment horizontal="center" vertical="center"/>
    </xf>
    <xf numFmtId="0" fontId="4" fillId="8" borderId="24" xfId="0" applyFont="1" applyFill="1" applyBorder="1" applyAlignment="1">
      <alignment horizontal="center" vertical="center"/>
    </xf>
    <xf numFmtId="0" fontId="4" fillId="8" borderId="67" xfId="0" applyFont="1" applyFill="1" applyBorder="1" applyAlignment="1">
      <alignment horizontal="center" vertical="center"/>
    </xf>
    <xf numFmtId="164" fontId="3" fillId="12" borderId="59" xfId="2" applyNumberFormat="1" applyFont="1" applyFill="1" applyBorder="1"/>
    <xf numFmtId="164" fontId="2" fillId="12" borderId="87" xfId="0" applyNumberFormat="1" applyFont="1" applyFill="1" applyBorder="1"/>
    <xf numFmtId="164" fontId="3" fillId="6" borderId="39" xfId="0" applyNumberFormat="1" applyFont="1" applyFill="1" applyBorder="1"/>
    <xf numFmtId="164" fontId="17" fillId="3" borderId="38" xfId="0" applyNumberFormat="1" applyFont="1" applyFill="1" applyBorder="1"/>
    <xf numFmtId="164" fontId="17" fillId="3" borderId="6" xfId="0" applyNumberFormat="1" applyFont="1" applyFill="1" applyBorder="1"/>
    <xf numFmtId="0" fontId="26" fillId="0" borderId="9" xfId="0" applyFont="1" applyBorder="1" applyAlignment="1">
      <alignment vertical="top" wrapText="1"/>
    </xf>
    <xf numFmtId="0" fontId="0" fillId="0" borderId="0" xfId="0" applyAlignment="1">
      <alignment horizontal="right" wrapText="1"/>
    </xf>
    <xf numFmtId="0" fontId="0" fillId="0" borderId="13" xfId="0" applyBorder="1" applyAlignment="1">
      <alignment vertical="top" wrapText="1"/>
    </xf>
    <xf numFmtId="0" fontId="0" fillId="0" borderId="13" xfId="0" applyBorder="1" applyAlignment="1">
      <alignment wrapText="1"/>
    </xf>
    <xf numFmtId="165" fontId="0" fillId="0" borderId="0" xfId="1" applyNumberFormat="1" applyFont="1"/>
    <xf numFmtId="165" fontId="26" fillId="0" borderId="0" xfId="1" applyNumberFormat="1" applyFont="1"/>
    <xf numFmtId="168" fontId="0" fillId="0" borderId="62" xfId="0" applyNumberFormat="1" applyBorder="1"/>
    <xf numFmtId="168" fontId="0" fillId="0" borderId="3" xfId="0" applyNumberFormat="1" applyBorder="1"/>
    <xf numFmtId="168" fontId="0" fillId="0" borderId="14" xfId="0" applyNumberFormat="1" applyBorder="1"/>
    <xf numFmtId="10" fontId="3" fillId="35" borderId="0" xfId="1" applyNumberFormat="1" applyFont="1" applyFill="1"/>
    <xf numFmtId="10" fontId="5" fillId="35" borderId="0" xfId="1" applyNumberFormat="1" applyFont="1" applyFill="1"/>
    <xf numFmtId="0" fontId="5" fillId="35" borderId="0" xfId="0" applyFont="1" applyFill="1"/>
    <xf numFmtId="165" fontId="17" fillId="3" borderId="80" xfId="1" applyNumberFormat="1" applyFont="1" applyFill="1" applyBorder="1"/>
    <xf numFmtId="0" fontId="26" fillId="35" borderId="3" xfId="0" applyFont="1" applyFill="1" applyBorder="1" applyAlignment="1">
      <alignment horizontal="center" vertical="center"/>
    </xf>
    <xf numFmtId="0" fontId="0" fillId="0" borderId="13" xfId="0" applyBorder="1" applyAlignment="1">
      <alignment vertical="top"/>
    </xf>
    <xf numFmtId="164" fontId="50" fillId="0" borderId="84" xfId="2" applyNumberFormat="1" applyFont="1" applyBorder="1" applyProtection="1"/>
    <xf numFmtId="164" fontId="50" fillId="0" borderId="64" xfId="2" applyNumberFormat="1" applyFont="1" applyBorder="1" applyProtection="1"/>
    <xf numFmtId="10" fontId="26" fillId="0" borderId="0" xfId="0" applyNumberFormat="1" applyFont="1"/>
    <xf numFmtId="2" fontId="30" fillId="23" borderId="45" xfId="0" applyNumberFormat="1" applyFont="1" applyFill="1" applyBorder="1" applyAlignment="1">
      <alignment horizontal="left"/>
    </xf>
    <xf numFmtId="2" fontId="30" fillId="23" borderId="46" xfId="0" applyNumberFormat="1" applyFont="1" applyFill="1" applyBorder="1" applyAlignment="1">
      <alignment horizontal="left"/>
    </xf>
    <xf numFmtId="164" fontId="2" fillId="0" borderId="39" xfId="0" applyNumberFormat="1" applyFont="1" applyBorder="1"/>
    <xf numFmtId="164" fontId="7" fillId="8" borderId="56" xfId="0" applyNumberFormat="1" applyFont="1" applyFill="1" applyBorder="1"/>
    <xf numFmtId="164" fontId="5" fillId="0" borderId="0" xfId="0" applyNumberFormat="1" applyFont="1" applyAlignment="1">
      <alignment horizontal="left"/>
    </xf>
    <xf numFmtId="164" fontId="3" fillId="0" borderId="58" xfId="0" applyNumberFormat="1" applyFont="1" applyBorder="1" applyAlignment="1">
      <alignment horizontal="right"/>
    </xf>
    <xf numFmtId="164" fontId="3" fillId="0" borderId="59" xfId="0" applyNumberFormat="1" applyFont="1" applyBorder="1" applyAlignment="1">
      <alignment horizontal="right"/>
    </xf>
    <xf numFmtId="164" fontId="9" fillId="0" borderId="0" xfId="0" applyNumberFormat="1" applyFont="1"/>
    <xf numFmtId="0" fontId="50" fillId="12" borderId="40" xfId="6" applyFont="1" applyFill="1" applyBorder="1" applyAlignment="1" applyProtection="1">
      <alignment horizontal="center"/>
      <protection locked="0"/>
    </xf>
    <xf numFmtId="164" fontId="2" fillId="0" borderId="51" xfId="0" applyNumberFormat="1" applyFont="1" applyBorder="1" applyAlignment="1">
      <alignment wrapText="1"/>
    </xf>
    <xf numFmtId="0" fontId="44" fillId="0" borderId="0" xfId="5" applyFont="1"/>
    <xf numFmtId="2" fontId="50" fillId="12" borderId="43" xfId="6" applyNumberFormat="1" applyFont="1" applyFill="1" applyBorder="1" applyAlignment="1" applyProtection="1">
      <alignment horizontal="center"/>
      <protection locked="0"/>
    </xf>
    <xf numFmtId="2" fontId="50" fillId="12" borderId="41" xfId="6" applyNumberFormat="1" applyFont="1" applyFill="1" applyBorder="1" applyAlignment="1" applyProtection="1">
      <alignment horizontal="center"/>
      <protection locked="0"/>
    </xf>
    <xf numFmtId="0" fontId="50" fillId="12" borderId="42" xfId="6" applyFont="1" applyFill="1" applyBorder="1" applyAlignment="1" applyProtection="1">
      <alignment horizontal="center"/>
      <protection locked="0"/>
    </xf>
    <xf numFmtId="168" fontId="50" fillId="0" borderId="0" xfId="0" applyNumberFormat="1" applyFont="1" applyAlignment="1">
      <alignment horizontal="center"/>
    </xf>
    <xf numFmtId="168" fontId="0" fillId="0" borderId="43" xfId="0" applyNumberFormat="1" applyBorder="1"/>
    <xf numFmtId="168" fontId="0" fillId="0" borderId="39" xfId="0" applyNumberFormat="1" applyBorder="1"/>
    <xf numFmtId="168" fontId="0" fillId="0" borderId="41" xfId="0" applyNumberFormat="1" applyBorder="1"/>
    <xf numFmtId="168" fontId="0" fillId="0" borderId="52" xfId="0" applyNumberFormat="1" applyBorder="1"/>
    <xf numFmtId="168" fontId="0" fillId="6" borderId="55" xfId="0" applyNumberFormat="1" applyFill="1" applyBorder="1"/>
    <xf numFmtId="168" fontId="0" fillId="8" borderId="55" xfId="0" applyNumberFormat="1" applyFill="1" applyBorder="1"/>
    <xf numFmtId="168" fontId="0" fillId="6" borderId="56" xfId="0" applyNumberFormat="1" applyFill="1" applyBorder="1"/>
    <xf numFmtId="168" fontId="0" fillId="8" borderId="56" xfId="0" applyNumberFormat="1" applyFill="1" applyBorder="1"/>
    <xf numFmtId="168" fontId="0" fillId="6" borderId="57" xfId="0" applyNumberFormat="1" applyFill="1" applyBorder="1"/>
    <xf numFmtId="168" fontId="0" fillId="8" borderId="57" xfId="0" applyNumberFormat="1" applyFill="1" applyBorder="1"/>
    <xf numFmtId="168" fontId="0" fillId="0" borderId="77" xfId="0" applyNumberFormat="1" applyBorder="1"/>
    <xf numFmtId="168" fontId="0" fillId="0" borderId="6" xfId="0" applyNumberFormat="1" applyBorder="1"/>
    <xf numFmtId="168" fontId="0" fillId="0" borderId="47" xfId="0" applyNumberFormat="1" applyBorder="1"/>
    <xf numFmtId="168" fontId="0" fillId="0" borderId="32" xfId="0" applyNumberFormat="1" applyBorder="1"/>
    <xf numFmtId="168" fontId="0" fillId="0" borderId="85" xfId="0" applyNumberFormat="1" applyBorder="1"/>
    <xf numFmtId="168" fontId="0" fillId="0" borderId="34" xfId="0" applyNumberFormat="1" applyBorder="1"/>
    <xf numFmtId="168" fontId="0" fillId="0" borderId="49" xfId="0" applyNumberFormat="1" applyBorder="1"/>
    <xf numFmtId="0" fontId="25" fillId="35" borderId="0" xfId="0" applyFont="1" applyFill="1"/>
    <xf numFmtId="0" fontId="5" fillId="6" borderId="0" xfId="0" applyFont="1" applyFill="1"/>
    <xf numFmtId="164" fontId="5" fillId="6" borderId="0" xfId="0" applyNumberFormat="1" applyFont="1" applyFill="1"/>
    <xf numFmtId="164" fontId="5" fillId="3" borderId="0" xfId="0" applyNumberFormat="1" applyFont="1" applyFill="1"/>
    <xf numFmtId="164" fontId="5" fillId="9" borderId="0" xfId="0" applyNumberFormat="1" applyFont="1" applyFill="1"/>
    <xf numFmtId="164" fontId="5" fillId="36" borderId="0" xfId="0" applyNumberFormat="1" applyFont="1" applyFill="1"/>
    <xf numFmtId="0" fontId="25" fillId="55" borderId="0" xfId="0" applyFont="1" applyFill="1"/>
    <xf numFmtId="0" fontId="5" fillId="55" borderId="0" xfId="0" applyFont="1" applyFill="1"/>
    <xf numFmtId="2" fontId="0" fillId="0" borderId="21" xfId="0" applyNumberFormat="1" applyBorder="1" applyAlignment="1">
      <alignment horizontal="right"/>
    </xf>
    <xf numFmtId="168" fontId="30" fillId="19" borderId="15" xfId="0" applyNumberFormat="1" applyFont="1" applyFill="1" applyBorder="1"/>
    <xf numFmtId="0" fontId="5" fillId="0" borderId="63" xfId="0" applyFont="1" applyBorder="1" applyAlignment="1">
      <alignment vertical="center"/>
    </xf>
    <xf numFmtId="0" fontId="5" fillId="0" borderId="101" xfId="0" applyFont="1" applyBorder="1" applyAlignment="1">
      <alignment vertical="center"/>
    </xf>
    <xf numFmtId="0" fontId="5" fillId="29" borderId="11" xfId="0" applyFont="1" applyFill="1" applyBorder="1"/>
    <xf numFmtId="164" fontId="5" fillId="29" borderId="58" xfId="0" applyNumberFormat="1" applyFont="1" applyFill="1" applyBorder="1"/>
    <xf numFmtId="0" fontId="5" fillId="29" borderId="103" xfId="0" applyFont="1" applyFill="1" applyBorder="1"/>
    <xf numFmtId="164" fontId="5" fillId="0" borderId="102" xfId="0" applyNumberFormat="1" applyFont="1" applyBorder="1"/>
    <xf numFmtId="164" fontId="5" fillId="29" borderId="102" xfId="0" applyNumberFormat="1" applyFont="1" applyFill="1" applyBorder="1"/>
    <xf numFmtId="165" fontId="3" fillId="0" borderId="0" xfId="1" applyNumberFormat="1" applyFont="1"/>
    <xf numFmtId="165" fontId="5" fillId="0" borderId="11" xfId="1" applyNumberFormat="1" applyFont="1" applyBorder="1"/>
    <xf numFmtId="0" fontId="111" fillId="32" borderId="0" xfId="0" applyFont="1" applyFill="1" applyAlignment="1">
      <alignment horizontal="left"/>
    </xf>
    <xf numFmtId="0" fontId="40" fillId="32" borderId="0" xfId="0" applyFont="1" applyFill="1"/>
    <xf numFmtId="0" fontId="0" fillId="0" borderId="9" xfId="0" applyBorder="1" applyAlignment="1">
      <alignment vertical="top" wrapText="1"/>
    </xf>
    <xf numFmtId="164" fontId="60" fillId="0" borderId="17" xfId="0" applyNumberFormat="1" applyFont="1" applyBorder="1" applyAlignment="1">
      <alignment vertical="center"/>
    </xf>
    <xf numFmtId="164" fontId="60" fillId="0" borderId="0" xfId="0" applyNumberFormat="1" applyFont="1" applyAlignment="1">
      <alignment vertical="center"/>
    </xf>
    <xf numFmtId="164" fontId="28" fillId="0" borderId="37" xfId="0" applyNumberFormat="1" applyFont="1" applyBorder="1" applyAlignment="1">
      <alignment vertical="center"/>
    </xf>
    <xf numFmtId="164" fontId="28" fillId="0" borderId="20" xfId="0" applyNumberFormat="1" applyFont="1" applyBorder="1" applyAlignment="1">
      <alignment vertical="center"/>
    </xf>
    <xf numFmtId="164" fontId="28" fillId="0" borderId="20" xfId="0" applyNumberFormat="1" applyFont="1" applyBorder="1"/>
    <xf numFmtId="164" fontId="60" fillId="0" borderId="0" xfId="2" applyNumberFormat="1" applyFont="1" applyBorder="1" applyAlignment="1" applyProtection="1">
      <alignment vertical="center"/>
    </xf>
    <xf numFmtId="0" fontId="0" fillId="0" borderId="22" xfId="0" applyBorder="1" applyAlignment="1" applyProtection="1">
      <alignment vertical="center"/>
      <protection locked="0"/>
    </xf>
    <xf numFmtId="0" fontId="50" fillId="0" borderId="20" xfId="0" applyFont="1" applyBorder="1"/>
    <xf numFmtId="0" fontId="0" fillId="0" borderId="21" xfId="0" applyBorder="1" applyProtection="1">
      <protection locked="0"/>
    </xf>
    <xf numFmtId="164" fontId="61" fillId="0" borderId="18" xfId="0" applyNumberFormat="1" applyFont="1" applyBorder="1" applyAlignment="1">
      <alignment vertical="center"/>
    </xf>
    <xf numFmtId="164" fontId="61" fillId="0" borderId="15" xfId="0" applyNumberFormat="1" applyFont="1" applyBorder="1" applyAlignment="1">
      <alignment vertical="center"/>
    </xf>
    <xf numFmtId="164" fontId="61" fillId="0" borderId="15" xfId="0" applyNumberFormat="1" applyFont="1" applyBorder="1"/>
    <xf numFmtId="0" fontId="61" fillId="0" borderId="15" xfId="0" applyFont="1" applyBorder="1"/>
    <xf numFmtId="164" fontId="28" fillId="0" borderId="0" xfId="0" applyNumberFormat="1" applyFont="1" applyAlignment="1">
      <alignment vertical="top"/>
    </xf>
    <xf numFmtId="0" fontId="28" fillId="0" borderId="0" xfId="0" applyFont="1" applyAlignment="1">
      <alignment horizontal="left" vertical="top"/>
    </xf>
    <xf numFmtId="165" fontId="112" fillId="0" borderId="3" xfId="0" applyNumberFormat="1" applyFont="1" applyBorder="1" applyAlignment="1">
      <alignment horizontal="center" vertical="center"/>
    </xf>
    <xf numFmtId="0" fontId="28" fillId="0" borderId="0" xfId="0" applyFont="1" applyAlignment="1">
      <alignment vertical="center"/>
    </xf>
    <xf numFmtId="14" fontId="0" fillId="8" borderId="3" xfId="0" applyNumberFormat="1" applyFill="1" applyBorder="1" applyAlignment="1">
      <alignment horizontal="center" vertical="center"/>
    </xf>
    <xf numFmtId="0" fontId="5" fillId="3" borderId="75" xfId="0" applyFont="1" applyFill="1" applyBorder="1" applyAlignment="1">
      <alignment horizontal="center" vertical="top" wrapText="1"/>
    </xf>
    <xf numFmtId="0" fontId="5" fillId="3" borderId="71" xfId="0" applyFont="1" applyFill="1" applyBorder="1" applyAlignment="1">
      <alignment horizontal="center" vertical="top" wrapText="1"/>
    </xf>
    <xf numFmtId="164" fontId="50" fillId="0" borderId="0" xfId="2" applyNumberFormat="1" applyFont="1" applyBorder="1" applyAlignment="1" applyProtection="1">
      <alignment vertical="center"/>
    </xf>
    <xf numFmtId="164" fontId="26" fillId="0" borderId="78" xfId="0" applyNumberFormat="1" applyFont="1" applyBorder="1"/>
    <xf numFmtId="0" fontId="26" fillId="0" borderId="78" xfId="0" applyFont="1" applyBorder="1"/>
    <xf numFmtId="164" fontId="26" fillId="0" borderId="71" xfId="0" applyNumberFormat="1" applyFont="1" applyBorder="1"/>
    <xf numFmtId="0" fontId="5" fillId="3" borderId="46" xfId="0" applyFont="1" applyFill="1" applyBorder="1" applyAlignment="1">
      <alignment wrapText="1"/>
    </xf>
    <xf numFmtId="0" fontId="5" fillId="3" borderId="43" xfId="0" applyFont="1" applyFill="1" applyBorder="1" applyAlignment="1">
      <alignment wrapText="1"/>
    </xf>
    <xf numFmtId="0" fontId="5" fillId="9" borderId="50" xfId="0" applyFont="1" applyFill="1" applyBorder="1" applyAlignment="1">
      <alignment wrapText="1"/>
    </xf>
    <xf numFmtId="0" fontId="5" fillId="9" borderId="42" xfId="0" applyFont="1" applyFill="1" applyBorder="1" applyAlignment="1">
      <alignment wrapText="1"/>
    </xf>
    <xf numFmtId="0" fontId="5" fillId="36" borderId="44" xfId="0" applyFont="1" applyFill="1" applyBorder="1" applyAlignment="1">
      <alignment wrapText="1"/>
    </xf>
    <xf numFmtId="0" fontId="5" fillId="36" borderId="2" xfId="0" applyFont="1" applyFill="1" applyBorder="1" applyAlignment="1">
      <alignment wrapText="1"/>
    </xf>
    <xf numFmtId="0" fontId="5" fillId="9" borderId="46" xfId="0" applyFont="1" applyFill="1" applyBorder="1" applyAlignment="1">
      <alignment wrapText="1"/>
    </xf>
    <xf numFmtId="0" fontId="5" fillId="9" borderId="43" xfId="0" applyFont="1" applyFill="1" applyBorder="1" applyAlignment="1">
      <alignment wrapText="1"/>
    </xf>
    <xf numFmtId="0" fontId="5" fillId="6" borderId="31" xfId="0" applyFont="1" applyFill="1" applyBorder="1"/>
    <xf numFmtId="0" fontId="5" fillId="6" borderId="61" xfId="0" applyFont="1" applyFill="1" applyBorder="1"/>
    <xf numFmtId="0" fontId="5" fillId="6" borderId="75" xfId="0" applyFont="1" applyFill="1" applyBorder="1" applyAlignment="1">
      <alignment vertical="center"/>
    </xf>
    <xf numFmtId="0" fontId="5" fillId="6" borderId="64" xfId="0" applyFont="1" applyFill="1" applyBorder="1" applyAlignment="1">
      <alignment vertical="center"/>
    </xf>
    <xf numFmtId="0" fontId="5" fillId="0" borderId="6" xfId="0" applyFont="1" applyBorder="1"/>
    <xf numFmtId="0" fontId="5" fillId="0" borderId="13" xfId="0" applyFont="1" applyBorder="1"/>
    <xf numFmtId="0" fontId="5" fillId="0" borderId="7" xfId="0" applyFont="1" applyBorder="1"/>
    <xf numFmtId="0" fontId="5" fillId="45" borderId="71" xfId="0" applyFont="1" applyFill="1" applyBorder="1" applyAlignment="1">
      <alignment horizontal="center" vertical="top" wrapText="1"/>
    </xf>
    <xf numFmtId="164" fontId="50" fillId="12" borderId="14" xfId="6" applyNumberFormat="1" applyFont="1" applyFill="1" applyBorder="1" applyAlignment="1" applyProtection="1">
      <alignment horizontal="center"/>
      <protection locked="0"/>
    </xf>
    <xf numFmtId="171" fontId="0" fillId="8" borderId="4" xfId="0" applyNumberFormat="1" applyFill="1" applyBorder="1"/>
    <xf numFmtId="0" fontId="8" fillId="47" borderId="3" xfId="0" applyFont="1" applyFill="1" applyBorder="1"/>
    <xf numFmtId="164" fontId="2" fillId="47" borderId="3" xfId="0" applyNumberFormat="1" applyFont="1" applyFill="1" applyBorder="1"/>
    <xf numFmtId="164" fontId="8" fillId="47" borderId="3" xfId="0" applyNumberFormat="1" applyFont="1" applyFill="1" applyBorder="1"/>
    <xf numFmtId="0" fontId="8" fillId="47" borderId="3" xfId="0" applyFont="1" applyFill="1" applyBorder="1" applyAlignment="1">
      <alignment vertical="top" wrapText="1"/>
    </xf>
    <xf numFmtId="164" fontId="2" fillId="47" borderId="3" xfId="0" applyNumberFormat="1" applyFont="1" applyFill="1" applyBorder="1" applyAlignment="1">
      <alignment vertical="top"/>
    </xf>
    <xf numFmtId="164" fontId="8" fillId="47" borderId="3" xfId="0" applyNumberFormat="1" applyFont="1" applyFill="1" applyBorder="1" applyAlignment="1">
      <alignment vertical="top"/>
    </xf>
    <xf numFmtId="0" fontId="3" fillId="0" borderId="0" xfId="0" applyFont="1" applyAlignment="1">
      <alignment vertical="top"/>
    </xf>
    <xf numFmtId="0" fontId="14" fillId="9" borderId="0" xfId="0" applyFont="1" applyFill="1"/>
    <xf numFmtId="164" fontId="14" fillId="9" borderId="0" xfId="0" applyNumberFormat="1" applyFont="1" applyFill="1"/>
    <xf numFmtId="165" fontId="5" fillId="0" borderId="6" xfId="1" applyNumberFormat="1" applyFont="1" applyBorder="1"/>
    <xf numFmtId="165" fontId="3" fillId="0" borderId="11" xfId="1" applyNumberFormat="1" applyFont="1" applyBorder="1" applyAlignment="1">
      <alignment vertical="top"/>
    </xf>
    <xf numFmtId="165" fontId="3" fillId="47" borderId="6" xfId="1" applyNumberFormat="1" applyFont="1" applyFill="1" applyBorder="1"/>
    <xf numFmtId="0" fontId="5" fillId="0" borderId="9" xfId="0" applyFont="1" applyBorder="1" applyAlignment="1">
      <alignment horizontal="left"/>
    </xf>
    <xf numFmtId="164" fontId="50" fillId="12" borderId="58" xfId="6" applyNumberFormat="1" applyFont="1" applyFill="1" applyBorder="1" applyAlignment="1" applyProtection="1">
      <alignment horizontal="right"/>
      <protection locked="0"/>
    </xf>
    <xf numFmtId="164" fontId="50" fillId="12" borderId="80" xfId="6" applyNumberFormat="1" applyFont="1" applyFill="1" applyBorder="1" applyAlignment="1" applyProtection="1">
      <alignment horizontal="right"/>
      <protection locked="0"/>
    </xf>
    <xf numFmtId="0" fontId="0" fillId="0" borderId="78" xfId="0" applyBorder="1" applyAlignment="1">
      <alignment horizontal="left"/>
    </xf>
    <xf numFmtId="0" fontId="50" fillId="0" borderId="78" xfId="0" applyFont="1" applyBorder="1"/>
    <xf numFmtId="0" fontId="0" fillId="0" borderId="88" xfId="0" applyBorder="1" applyProtection="1">
      <protection locked="0"/>
    </xf>
    <xf numFmtId="0" fontId="0" fillId="0" borderId="86" xfId="0" applyBorder="1" applyAlignment="1">
      <alignment horizontal="left"/>
    </xf>
    <xf numFmtId="0" fontId="0" fillId="0" borderId="86" xfId="0" applyBorder="1"/>
    <xf numFmtId="0" fontId="62" fillId="0" borderId="86" xfId="0" applyFont="1" applyBorder="1" applyAlignment="1">
      <alignment horizontal="right"/>
    </xf>
    <xf numFmtId="0" fontId="62" fillId="0" borderId="61" xfId="0" applyFont="1" applyBorder="1" applyAlignment="1">
      <alignment horizontal="right"/>
    </xf>
    <xf numFmtId="0" fontId="0" fillId="0" borderId="6" xfId="0" applyBorder="1"/>
    <xf numFmtId="0" fontId="0" fillId="0" borderId="13" xfId="0" applyBorder="1" applyAlignment="1">
      <alignment horizontal="left"/>
    </xf>
    <xf numFmtId="0" fontId="0" fillId="0" borderId="79" xfId="0" applyBorder="1" applyAlignment="1">
      <alignment horizontal="left"/>
    </xf>
    <xf numFmtId="0" fontId="0" fillId="0" borderId="79" xfId="0" applyBorder="1"/>
    <xf numFmtId="0" fontId="0" fillId="0" borderId="54" xfId="0" applyBorder="1"/>
    <xf numFmtId="0" fontId="50" fillId="0" borderId="79" xfId="0" applyFont="1" applyBorder="1"/>
    <xf numFmtId="0" fontId="0" fillId="0" borderId="34" xfId="0" applyBorder="1" applyProtection="1">
      <protection locked="0"/>
    </xf>
    <xf numFmtId="0" fontId="50" fillId="0" borderId="13" xfId="0" applyFont="1" applyBorder="1"/>
    <xf numFmtId="0" fontId="0" fillId="0" borderId="85" xfId="0" applyBorder="1" applyProtection="1">
      <protection locked="0"/>
    </xf>
    <xf numFmtId="0" fontId="3" fillId="35" borderId="11" xfId="0" applyFont="1" applyFill="1" applyBorder="1"/>
    <xf numFmtId="0" fontId="5" fillId="0" borderId="30" xfId="0" applyFont="1" applyBorder="1" applyAlignment="1">
      <alignment vertical="center"/>
    </xf>
    <xf numFmtId="0" fontId="8" fillId="30" borderId="6" xfId="0" applyFont="1" applyFill="1" applyBorder="1"/>
    <xf numFmtId="0" fontId="8" fillId="30" borderId="7" xfId="0" applyFont="1" applyFill="1" applyBorder="1" applyAlignment="1">
      <alignment horizontal="right"/>
    </xf>
    <xf numFmtId="164" fontId="8" fillId="30" borderId="3" xfId="0" applyNumberFormat="1" applyFont="1" applyFill="1" applyBorder="1" applyAlignment="1">
      <alignment horizontal="right"/>
    </xf>
    <xf numFmtId="0" fontId="111" fillId="53" borderId="0" xfId="0" applyFont="1" applyFill="1"/>
    <xf numFmtId="0" fontId="111" fillId="54" borderId="0" xfId="0" applyFont="1" applyFill="1"/>
    <xf numFmtId="164" fontId="83" fillId="0" borderId="0" xfId="0" applyNumberFormat="1" applyFont="1"/>
    <xf numFmtId="0" fontId="83" fillId="0" borderId="0" xfId="0" applyFont="1"/>
    <xf numFmtId="0" fontId="0" fillId="0" borderId="15" xfId="5" applyFont="1" applyBorder="1" applyProtection="1">
      <protection locked="0"/>
    </xf>
    <xf numFmtId="164" fontId="0" fillId="0" borderId="62" xfId="0" applyNumberFormat="1" applyBorder="1" applyAlignment="1" applyProtection="1">
      <alignment horizontal="center"/>
      <protection locked="0"/>
    </xf>
    <xf numFmtId="164" fontId="0" fillId="0" borderId="3" xfId="0" applyNumberFormat="1" applyBorder="1" applyAlignment="1" applyProtection="1">
      <alignment horizontal="center"/>
      <protection locked="0"/>
    </xf>
    <xf numFmtId="164" fontId="0" fillId="0" borderId="14" xfId="0" applyNumberFormat="1" applyBorder="1" applyAlignment="1" applyProtection="1">
      <alignment horizontal="center"/>
      <protection locked="0"/>
    </xf>
    <xf numFmtId="164" fontId="0" fillId="0" borderId="62" xfId="0" applyNumberFormat="1" applyBorder="1" applyAlignment="1" applyProtection="1">
      <alignment horizontal="right"/>
      <protection locked="0"/>
    </xf>
    <xf numFmtId="164" fontId="0" fillId="0" borderId="3" xfId="0" applyNumberFormat="1" applyBorder="1" applyAlignment="1" applyProtection="1">
      <alignment horizontal="right"/>
      <protection locked="0"/>
    </xf>
    <xf numFmtId="164" fontId="0" fillId="0" borderId="14" xfId="0" applyNumberFormat="1" applyBorder="1" applyAlignment="1" applyProtection="1">
      <alignment horizontal="right"/>
      <protection locked="0"/>
    </xf>
    <xf numFmtId="164" fontId="26" fillId="0" borderId="52" xfId="0" applyNumberFormat="1" applyFont="1" applyBorder="1" applyAlignment="1" applyProtection="1">
      <alignment horizontal="right"/>
      <protection locked="0"/>
    </xf>
    <xf numFmtId="164" fontId="26" fillId="0" borderId="39" xfId="0" applyNumberFormat="1" applyFont="1" applyBorder="1" applyAlignment="1" applyProtection="1">
      <alignment horizontal="right"/>
      <protection locked="0"/>
    </xf>
    <xf numFmtId="164" fontId="26" fillId="0" borderId="41" xfId="0" applyNumberFormat="1" applyFont="1" applyBorder="1" applyAlignment="1" applyProtection="1">
      <alignment horizontal="right"/>
      <protection locked="0"/>
    </xf>
    <xf numFmtId="0" fontId="26" fillId="0" borderId="61" xfId="0" applyFont="1" applyBorder="1" applyAlignment="1">
      <alignment horizontal="left" vertical="center"/>
    </xf>
    <xf numFmtId="0" fontId="26" fillId="0" borderId="52" xfId="0" applyFont="1" applyBorder="1" applyAlignment="1">
      <alignment horizontal="center" vertical="center"/>
    </xf>
    <xf numFmtId="0" fontId="26" fillId="51" borderId="51" xfId="0" applyFont="1" applyFill="1" applyBorder="1" applyAlignment="1">
      <alignment horizontal="center" vertical="center" wrapText="1"/>
    </xf>
    <xf numFmtId="0" fontId="26" fillId="51" borderId="62" xfId="0" applyFont="1" applyFill="1" applyBorder="1" applyAlignment="1">
      <alignment horizontal="center" vertical="center" wrapText="1"/>
    </xf>
    <xf numFmtId="0" fontId="26" fillId="51" borderId="52" xfId="0" applyFont="1" applyFill="1" applyBorder="1" applyAlignment="1">
      <alignment horizontal="center" vertical="center" wrapText="1"/>
    </xf>
    <xf numFmtId="0" fontId="26" fillId="0" borderId="0" xfId="0" applyFont="1" applyAlignment="1">
      <alignment horizontal="right" vertical="top"/>
    </xf>
    <xf numFmtId="0" fontId="0" fillId="0" borderId="0" xfId="0" applyAlignment="1">
      <alignment horizontal="center" vertical="top"/>
    </xf>
    <xf numFmtId="0" fontId="0" fillId="0" borderId="0" xfId="0" applyAlignment="1">
      <alignment horizontal="right" vertical="top"/>
    </xf>
    <xf numFmtId="0" fontId="26" fillId="13" borderId="4" xfId="0" applyFont="1" applyFill="1" applyBorder="1" applyAlignment="1">
      <alignment horizontal="centerContinuous"/>
    </xf>
    <xf numFmtId="0" fontId="0" fillId="13" borderId="16" xfId="0" applyFill="1" applyBorder="1" applyAlignment="1">
      <alignment horizontal="centerContinuous"/>
    </xf>
    <xf numFmtId="0" fontId="0" fillId="13" borderId="5" xfId="0" applyFill="1" applyBorder="1" applyAlignment="1">
      <alignment horizontal="centerContinuous"/>
    </xf>
    <xf numFmtId="0" fontId="0" fillId="0" borderId="3" xfId="0" applyBorder="1" applyAlignment="1">
      <alignment horizontal="center"/>
    </xf>
    <xf numFmtId="164" fontId="18" fillId="0" borderId="3" xfId="0" applyNumberFormat="1" applyFont="1" applyBorder="1"/>
    <xf numFmtId="0" fontId="26" fillId="18" borderId="0" xfId="0" applyFont="1" applyFill="1"/>
    <xf numFmtId="0" fontId="0" fillId="18" borderId="0" xfId="0" applyFill="1"/>
    <xf numFmtId="0" fontId="11" fillId="0" borderId="0" xfId="3" applyBorder="1" applyAlignment="1">
      <alignment vertical="center"/>
    </xf>
    <xf numFmtId="0" fontId="24" fillId="3" borderId="4" xfId="0" applyFont="1" applyFill="1" applyBorder="1" applyAlignment="1">
      <alignment horizontal="left" vertical="center"/>
    </xf>
    <xf numFmtId="0" fontId="24" fillId="3" borderId="16" xfId="0" applyFont="1" applyFill="1" applyBorder="1" applyAlignment="1">
      <alignment vertical="center"/>
    </xf>
    <xf numFmtId="164" fontId="50" fillId="3" borderId="16" xfId="2" applyNumberFormat="1" applyFont="1" applyFill="1" applyBorder="1" applyAlignment="1">
      <alignment horizontal="center" vertical="center"/>
    </xf>
    <xf numFmtId="164" fontId="24" fillId="3" borderId="74" xfId="2" applyNumberFormat="1" applyFont="1" applyFill="1" applyBorder="1" applyAlignment="1">
      <alignment horizontal="center" vertical="center"/>
    </xf>
    <xf numFmtId="0" fontId="26" fillId="0" borderId="0" xfId="0" applyFont="1" applyAlignment="1">
      <alignment horizontal="right" vertical="center"/>
    </xf>
    <xf numFmtId="0" fontId="0" fillId="0" borderId="0" xfId="0" applyAlignment="1">
      <alignment horizontal="center" vertical="center"/>
    </xf>
    <xf numFmtId="0" fontId="18" fillId="18" borderId="0" xfId="0" applyFont="1" applyFill="1" applyAlignment="1">
      <alignment horizontal="centerContinuous"/>
    </xf>
    <xf numFmtId="0" fontId="26" fillId="35" borderId="0" xfId="0" applyFont="1" applyFill="1" applyAlignment="1">
      <alignment vertical="center"/>
    </xf>
    <xf numFmtId="164" fontId="0" fillId="12" borderId="55" xfId="0" applyNumberFormat="1" applyFill="1" applyBorder="1" applyAlignment="1">
      <alignment vertical="center"/>
    </xf>
    <xf numFmtId="164" fontId="0" fillId="12" borderId="57" xfId="0" applyNumberFormat="1" applyFill="1" applyBorder="1" applyAlignment="1">
      <alignment vertical="center"/>
    </xf>
    <xf numFmtId="0" fontId="28" fillId="35" borderId="0" xfId="0" applyFont="1" applyFill="1" applyAlignment="1">
      <alignment horizontal="right"/>
    </xf>
    <xf numFmtId="0" fontId="26" fillId="35" borderId="0" xfId="0" applyFont="1" applyFill="1" applyAlignment="1">
      <alignment horizontal="right"/>
    </xf>
    <xf numFmtId="0" fontId="0" fillId="8" borderId="16" xfId="0" applyFill="1" applyBorder="1"/>
    <xf numFmtId="0" fontId="11" fillId="0" borderId="0" xfId="3" applyAlignment="1">
      <alignment vertical="center"/>
    </xf>
    <xf numFmtId="0" fontId="0" fillId="12" borderId="55" xfId="5" applyFont="1" applyFill="1" applyBorder="1" applyProtection="1">
      <protection locked="0"/>
    </xf>
    <xf numFmtId="0" fontId="0" fillId="12" borderId="56" xfId="5" applyFont="1" applyFill="1" applyBorder="1" applyProtection="1">
      <protection locked="0"/>
    </xf>
    <xf numFmtId="0" fontId="0" fillId="12" borderId="57" xfId="5" applyFont="1" applyFill="1" applyBorder="1" applyProtection="1">
      <protection locked="0"/>
    </xf>
    <xf numFmtId="0" fontId="0" fillId="12" borderId="56" xfId="0" applyFill="1" applyBorder="1" applyProtection="1">
      <protection locked="0"/>
    </xf>
    <xf numFmtId="0" fontId="18" fillId="12" borderId="56" xfId="5" applyFont="1" applyFill="1" applyBorder="1" applyProtection="1">
      <protection locked="0"/>
    </xf>
    <xf numFmtId="0" fontId="0" fillId="12" borderId="57" xfId="0" applyFill="1" applyBorder="1" applyProtection="1">
      <protection locked="0"/>
    </xf>
    <xf numFmtId="0" fontId="50" fillId="0" borderId="32" xfId="0" applyFont="1" applyBorder="1"/>
    <xf numFmtId="0" fontId="50" fillId="0" borderId="85" xfId="0" applyFont="1" applyBorder="1"/>
    <xf numFmtId="168" fontId="0" fillId="0" borderId="45" xfId="0" applyNumberFormat="1" applyBorder="1"/>
    <xf numFmtId="0" fontId="0" fillId="0" borderId="21" xfId="5" applyFont="1" applyBorder="1"/>
    <xf numFmtId="168" fontId="0" fillId="0" borderId="1" xfId="0" applyNumberFormat="1" applyBorder="1"/>
    <xf numFmtId="0" fontId="0" fillId="0" borderId="22" xfId="5" applyFont="1" applyBorder="1"/>
    <xf numFmtId="0" fontId="0" fillId="0" borderId="1" xfId="0" applyBorder="1"/>
    <xf numFmtId="0" fontId="0" fillId="0" borderId="70" xfId="0" applyBorder="1"/>
    <xf numFmtId="0" fontId="0" fillId="0" borderId="19" xfId="5" applyFont="1" applyBorder="1"/>
    <xf numFmtId="164" fontId="50" fillId="0" borderId="31" xfId="2" applyNumberFormat="1" applyFont="1" applyBorder="1" applyProtection="1"/>
    <xf numFmtId="164" fontId="50" fillId="0" borderId="87" xfId="2" applyNumberFormat="1" applyFont="1" applyBorder="1" applyProtection="1"/>
    <xf numFmtId="164" fontId="50" fillId="0" borderId="69" xfId="2" applyNumberFormat="1" applyFont="1" applyBorder="1" applyProtection="1"/>
    <xf numFmtId="164" fontId="50" fillId="0" borderId="68" xfId="2" applyNumberFormat="1" applyFont="1" applyBorder="1" applyProtection="1"/>
    <xf numFmtId="164" fontId="50" fillId="0" borderId="33" xfId="2" applyNumberFormat="1" applyFont="1" applyBorder="1" applyProtection="1"/>
    <xf numFmtId="0" fontId="26" fillId="0" borderId="5" xfId="0" applyFont="1" applyBorder="1" applyAlignment="1">
      <alignment horizontal="centerContinuous" vertical="top" wrapText="1"/>
    </xf>
    <xf numFmtId="0" fontId="26" fillId="0" borderId="67" xfId="0" applyFont="1" applyBorder="1" applyAlignment="1">
      <alignment horizontal="centerContinuous" vertical="top" wrapText="1"/>
    </xf>
    <xf numFmtId="0" fontId="50" fillId="12" borderId="8" xfId="6" applyFont="1" applyFill="1" applyBorder="1" applyAlignment="1" applyProtection="1">
      <protection locked="0"/>
    </xf>
    <xf numFmtId="0" fontId="50" fillId="40" borderId="2" xfId="0" applyFont="1" applyFill="1" applyBorder="1"/>
    <xf numFmtId="0" fontId="50" fillId="0" borderId="2" xfId="0" applyFont="1" applyBorder="1"/>
    <xf numFmtId="0" fontId="50" fillId="12" borderId="8" xfId="6" applyFont="1" applyFill="1" applyBorder="1" applyAlignment="1" applyProtection="1">
      <alignment horizontal="center"/>
      <protection locked="0"/>
    </xf>
    <xf numFmtId="0" fontId="0" fillId="12" borderId="64" xfId="5" applyFont="1" applyFill="1" applyBorder="1" applyProtection="1">
      <protection locked="0"/>
    </xf>
    <xf numFmtId="0" fontId="24" fillId="0" borderId="67" xfId="0" applyFont="1" applyBorder="1" applyAlignment="1">
      <alignment horizontal="center" wrapText="1"/>
    </xf>
    <xf numFmtId="0" fontId="24" fillId="40" borderId="24" xfId="0" applyFont="1" applyFill="1" applyBorder="1" applyAlignment="1">
      <alignment wrapText="1"/>
    </xf>
    <xf numFmtId="0" fontId="0" fillId="40" borderId="65" xfId="0" applyFill="1" applyBorder="1" applyAlignment="1">
      <alignment horizontal="center"/>
    </xf>
    <xf numFmtId="0" fontId="0" fillId="0" borderId="4" xfId="0" applyBorder="1" applyAlignment="1">
      <alignment vertical="center"/>
    </xf>
    <xf numFmtId="0" fontId="0" fillId="0" borderId="16" xfId="0" applyBorder="1" applyAlignment="1">
      <alignment vertical="center"/>
    </xf>
    <xf numFmtId="0" fontId="0" fillId="0" borderId="5" xfId="0" applyBorder="1" applyAlignment="1">
      <alignment vertical="center"/>
    </xf>
    <xf numFmtId="0" fontId="26" fillId="0" borderId="18" xfId="0" applyFont="1" applyBorder="1" applyAlignment="1">
      <alignment vertical="center" wrapText="1"/>
    </xf>
    <xf numFmtId="0" fontId="24" fillId="40" borderId="74" xfId="0" applyFont="1" applyFill="1" applyBorder="1" applyAlignment="1">
      <alignment vertical="center" wrapText="1"/>
    </xf>
    <xf numFmtId="0" fontId="50" fillId="0" borderId="9" xfId="0" applyFont="1" applyBorder="1"/>
    <xf numFmtId="0" fontId="0" fillId="0" borderId="81" xfId="0" applyBorder="1" applyProtection="1">
      <protection locked="0"/>
    </xf>
    <xf numFmtId="0" fontId="44" fillId="0" borderId="5" xfId="0" applyFont="1" applyBorder="1" applyAlignment="1">
      <alignment wrapText="1"/>
    </xf>
    <xf numFmtId="0" fontId="111" fillId="0" borderId="0" xfId="0" applyFont="1"/>
    <xf numFmtId="0" fontId="111" fillId="0" borderId="0" xfId="0" applyFont="1" applyAlignment="1">
      <alignment vertical="top"/>
    </xf>
    <xf numFmtId="0" fontId="50" fillId="0" borderId="86" xfId="0" applyFont="1" applyBorder="1"/>
    <xf numFmtId="0" fontId="50" fillId="0" borderId="34" xfId="0" applyFont="1" applyBorder="1"/>
    <xf numFmtId="0" fontId="50" fillId="0" borderId="77" xfId="0" applyFont="1" applyBorder="1"/>
    <xf numFmtId="0" fontId="50" fillId="0" borderId="6" xfId="0" applyFont="1" applyBorder="1"/>
    <xf numFmtId="0" fontId="50" fillId="0" borderId="47" xfId="0" applyFont="1" applyBorder="1"/>
    <xf numFmtId="0" fontId="0" fillId="0" borderId="32" xfId="0" applyBorder="1" applyProtection="1">
      <protection locked="0"/>
    </xf>
    <xf numFmtId="0" fontId="24" fillId="40" borderId="74" xfId="0" applyFont="1" applyFill="1" applyBorder="1" applyAlignment="1">
      <alignment vertical="center"/>
    </xf>
    <xf numFmtId="164" fontId="50" fillId="12" borderId="54" xfId="6" applyNumberFormat="1" applyFont="1" applyFill="1" applyBorder="1" applyAlignment="1" applyProtection="1">
      <alignment horizontal="right"/>
      <protection locked="0"/>
    </xf>
    <xf numFmtId="2" fontId="0" fillId="12" borderId="3" xfId="0" applyNumberFormat="1" applyFill="1" applyBorder="1" applyAlignment="1" applyProtection="1">
      <alignment horizontal="center"/>
      <protection locked="0"/>
    </xf>
    <xf numFmtId="164" fontId="50" fillId="12" borderId="31" xfId="2" applyNumberFormat="1" applyFont="1" applyFill="1" applyBorder="1" applyProtection="1">
      <protection locked="0"/>
    </xf>
    <xf numFmtId="164" fontId="50" fillId="12" borderId="69" xfId="2" applyNumberFormat="1" applyFont="1" applyFill="1" applyBorder="1" applyProtection="1">
      <protection locked="0"/>
    </xf>
    <xf numFmtId="164" fontId="50" fillId="12" borderId="33" xfId="2" applyNumberFormat="1" applyFont="1" applyFill="1" applyBorder="1" applyProtection="1">
      <protection locked="0"/>
    </xf>
    <xf numFmtId="0" fontId="0" fillId="12" borderId="87" xfId="0" applyFill="1" applyBorder="1" applyProtection="1">
      <protection locked="0"/>
    </xf>
    <xf numFmtId="0" fontId="0" fillId="12" borderId="68" xfId="0" applyFill="1" applyBorder="1" applyProtection="1">
      <protection locked="0"/>
    </xf>
    <xf numFmtId="0" fontId="0" fillId="12" borderId="69" xfId="0" applyFill="1" applyBorder="1" applyProtection="1">
      <protection locked="0"/>
    </xf>
    <xf numFmtId="0" fontId="0" fillId="12" borderId="33" xfId="0" applyFill="1" applyBorder="1" applyProtection="1">
      <protection locked="0"/>
    </xf>
    <xf numFmtId="0" fontId="0" fillId="12" borderId="20" xfId="0" applyFill="1" applyBorder="1" applyAlignment="1" applyProtection="1">
      <alignment vertical="center"/>
      <protection locked="0"/>
    </xf>
    <xf numFmtId="0" fontId="62" fillId="12" borderId="4" xfId="0" applyFont="1" applyFill="1" applyBorder="1" applyAlignment="1" applyProtection="1">
      <alignment vertical="center"/>
      <protection locked="0"/>
    </xf>
    <xf numFmtId="0" fontId="62" fillId="12" borderId="5" xfId="0" applyFont="1" applyFill="1" applyBorder="1" applyAlignment="1" applyProtection="1">
      <alignment vertical="center"/>
      <protection locked="0"/>
    </xf>
    <xf numFmtId="0" fontId="30" fillId="19" borderId="37" xfId="0" applyFont="1" applyFill="1" applyBorder="1" applyAlignment="1">
      <alignment horizontal="left"/>
    </xf>
    <xf numFmtId="0" fontId="3" fillId="0" borderId="0" xfId="0" applyFont="1" applyAlignment="1">
      <alignment horizontal="center" vertical="center"/>
    </xf>
    <xf numFmtId="0" fontId="40" fillId="0" borderId="0" xfId="5" applyAlignment="1">
      <alignment vertical="center"/>
    </xf>
    <xf numFmtId="0" fontId="0" fillId="40" borderId="0" xfId="0" applyFill="1" applyAlignment="1">
      <alignment vertical="center"/>
    </xf>
    <xf numFmtId="0" fontId="110" fillId="0" borderId="0" xfId="7" applyFont="1" applyBorder="1" applyProtection="1"/>
    <xf numFmtId="6" fontId="110" fillId="0" borderId="0" xfId="7" applyNumberFormat="1" applyFont="1" applyBorder="1" applyAlignment="1" applyProtection="1">
      <alignment horizontal="right"/>
    </xf>
    <xf numFmtId="0" fontId="114" fillId="0" borderId="0" xfId="0" applyFont="1"/>
    <xf numFmtId="9" fontId="0" fillId="36" borderId="5" xfId="1" applyFont="1" applyFill="1" applyBorder="1" applyAlignment="1">
      <alignment horizontal="centerContinuous" wrapText="1"/>
    </xf>
    <xf numFmtId="0" fontId="24" fillId="36" borderId="4" xfId="0" applyFont="1" applyFill="1" applyBorder="1" applyAlignment="1">
      <alignment horizontal="centerContinuous" vertical="center" wrapText="1"/>
    </xf>
    <xf numFmtId="165" fontId="24" fillId="0" borderId="3" xfId="0" applyNumberFormat="1" applyFont="1" applyBorder="1" applyAlignment="1">
      <alignment horizontal="center" vertical="center"/>
    </xf>
    <xf numFmtId="2" fontId="26" fillId="0" borderId="20" xfId="0" applyNumberFormat="1" applyFont="1" applyBorder="1" applyAlignment="1">
      <alignment horizontal="right"/>
    </xf>
    <xf numFmtId="165" fontId="89" fillId="0" borderId="0" xfId="1" applyNumberFormat="1" applyFont="1" applyFill="1" applyBorder="1" applyAlignment="1">
      <alignment horizontal="right"/>
    </xf>
    <xf numFmtId="0" fontId="116" fillId="0" borderId="0" xfId="0" applyFont="1" applyAlignment="1">
      <alignment horizontal="left"/>
    </xf>
    <xf numFmtId="164" fontId="12" fillId="56" borderId="41" xfId="0" applyNumberFormat="1" applyFont="1" applyFill="1" applyBorder="1"/>
    <xf numFmtId="0" fontId="30" fillId="57" borderId="3" xfId="0" applyFont="1" applyFill="1" applyBorder="1" applyAlignment="1">
      <alignment horizontal="right"/>
    </xf>
    <xf numFmtId="0" fontId="30" fillId="57" borderId="6" xfId="0" applyFont="1" applyFill="1" applyBorder="1" applyAlignment="1">
      <alignment horizontal="right"/>
    </xf>
    <xf numFmtId="0" fontId="0" fillId="58" borderId="13" xfId="0" applyFill="1" applyBorder="1" applyProtection="1">
      <protection locked="0"/>
    </xf>
    <xf numFmtId="0" fontId="0" fillId="58" borderId="7" xfId="0" applyFill="1" applyBorder="1" applyProtection="1">
      <protection locked="0"/>
    </xf>
    <xf numFmtId="164" fontId="0" fillId="58" borderId="3" xfId="0" applyNumberFormat="1" applyFill="1" applyBorder="1" applyAlignment="1" applyProtection="1">
      <alignment horizontal="center"/>
      <protection locked="0"/>
    </xf>
    <xf numFmtId="9" fontId="0" fillId="58" borderId="6" xfId="1" applyFont="1" applyFill="1" applyBorder="1" applyAlignment="1" applyProtection="1">
      <alignment horizontal="center"/>
      <protection locked="0"/>
    </xf>
    <xf numFmtId="0" fontId="0" fillId="58" borderId="6" xfId="0" applyFill="1" applyBorder="1" applyAlignment="1">
      <alignment horizontal="center"/>
    </xf>
    <xf numFmtId="9" fontId="0" fillId="58" borderId="3" xfId="1" applyFont="1" applyFill="1" applyBorder="1" applyAlignment="1" applyProtection="1">
      <alignment horizontal="right"/>
      <protection locked="0"/>
    </xf>
    <xf numFmtId="164" fontId="0" fillId="58" borderId="3" xfId="0" applyNumberFormat="1" applyFill="1" applyBorder="1" applyAlignment="1" applyProtection="1">
      <alignment horizontal="right"/>
      <protection locked="0"/>
    </xf>
    <xf numFmtId="0" fontId="0" fillId="58" borderId="25" xfId="0" quotePrefix="1" applyFill="1" applyBorder="1"/>
    <xf numFmtId="7" fontId="26" fillId="58" borderId="3" xfId="2" applyNumberFormat="1" applyFont="1" applyFill="1" applyBorder="1" applyAlignment="1">
      <alignment horizontal="center"/>
    </xf>
    <xf numFmtId="164" fontId="26" fillId="58" borderId="3" xfId="0" applyNumberFormat="1" applyFont="1" applyFill="1" applyBorder="1" applyAlignment="1">
      <alignment horizontal="right"/>
    </xf>
    <xf numFmtId="168" fontId="0" fillId="12" borderId="3" xfId="2" applyNumberFormat="1" applyFont="1" applyFill="1" applyBorder="1" applyAlignment="1">
      <alignment horizontal="right"/>
    </xf>
    <xf numFmtId="168" fontId="0" fillId="6" borderId="3" xfId="2" applyNumberFormat="1" applyFont="1" applyFill="1" applyBorder="1" applyAlignment="1">
      <alignment horizontal="right"/>
    </xf>
    <xf numFmtId="168" fontId="0" fillId="4" borderId="3" xfId="2" applyNumberFormat="1" applyFont="1" applyFill="1" applyBorder="1" applyAlignment="1">
      <alignment horizontal="right"/>
    </xf>
    <xf numFmtId="168" fontId="0" fillId="8" borderId="3" xfId="2" applyNumberFormat="1" applyFont="1" applyFill="1" applyBorder="1" applyAlignment="1">
      <alignment horizontal="right"/>
    </xf>
    <xf numFmtId="168" fontId="0" fillId="9" borderId="3" xfId="2" applyNumberFormat="1" applyFont="1" applyFill="1" applyBorder="1" applyAlignment="1">
      <alignment horizontal="right"/>
    </xf>
    <xf numFmtId="168" fontId="0" fillId="18" borderId="3" xfId="2" applyNumberFormat="1" applyFont="1" applyFill="1" applyBorder="1" applyAlignment="1">
      <alignment horizontal="right"/>
    </xf>
    <xf numFmtId="168" fontId="0" fillId="58" borderId="3" xfId="2" applyNumberFormat="1" applyFont="1" applyFill="1" applyBorder="1" applyAlignment="1">
      <alignment horizontal="right"/>
    </xf>
    <xf numFmtId="168" fontId="0" fillId="11" borderId="3" xfId="2" applyNumberFormat="1" applyFont="1" applyFill="1" applyBorder="1" applyAlignment="1">
      <alignment horizontal="right"/>
    </xf>
    <xf numFmtId="168" fontId="26" fillId="11" borderId="3" xfId="0" applyNumberFormat="1" applyFont="1" applyFill="1" applyBorder="1" applyAlignment="1">
      <alignment horizontal="right"/>
    </xf>
    <xf numFmtId="168" fontId="26" fillId="18" borderId="3" xfId="0" applyNumberFormat="1" applyFont="1" applyFill="1" applyBorder="1" applyAlignment="1">
      <alignment horizontal="right"/>
    </xf>
    <xf numFmtId="168" fontId="26" fillId="6" borderId="3" xfId="0" applyNumberFormat="1" applyFont="1" applyFill="1" applyBorder="1" applyAlignment="1">
      <alignment horizontal="right"/>
    </xf>
    <xf numFmtId="168" fontId="26" fillId="4" borderId="3" xfId="0" applyNumberFormat="1" applyFont="1" applyFill="1" applyBorder="1" applyAlignment="1">
      <alignment horizontal="right"/>
    </xf>
    <xf numFmtId="168" fontId="26" fillId="8" borderId="3" xfId="2" applyNumberFormat="1" applyFont="1" applyFill="1" applyBorder="1" applyAlignment="1">
      <alignment horizontal="right"/>
    </xf>
    <xf numFmtId="168" fontId="26" fillId="9" borderId="3" xfId="2" applyNumberFormat="1" applyFont="1" applyFill="1" applyBorder="1" applyAlignment="1">
      <alignment horizontal="right"/>
    </xf>
    <xf numFmtId="168" fontId="26" fillId="18" borderId="3" xfId="2" applyNumberFormat="1" applyFont="1" applyFill="1" applyBorder="1" applyAlignment="1">
      <alignment horizontal="right"/>
    </xf>
    <xf numFmtId="168" fontId="26" fillId="58" borderId="3" xfId="0" applyNumberFormat="1" applyFont="1" applyFill="1" applyBorder="1" applyAlignment="1">
      <alignment horizontal="right"/>
    </xf>
    <xf numFmtId="0" fontId="117" fillId="0" borderId="0" xfId="0" applyFont="1"/>
    <xf numFmtId="0" fontId="106" fillId="0" borderId="0" xfId="0" applyFont="1" applyAlignment="1">
      <alignment vertical="center" wrapText="1"/>
    </xf>
    <xf numFmtId="0" fontId="106" fillId="0" borderId="22" xfId="0" applyFont="1" applyBorder="1" applyAlignment="1">
      <alignment vertical="center" wrapText="1"/>
    </xf>
    <xf numFmtId="0" fontId="24" fillId="40" borderId="4" xfId="0" applyFont="1" applyFill="1" applyBorder="1" applyAlignment="1">
      <alignment vertical="center"/>
    </xf>
    <xf numFmtId="0" fontId="0" fillId="12" borderId="31" xfId="0" applyFill="1" applyBorder="1" applyProtection="1">
      <protection locked="0"/>
    </xf>
    <xf numFmtId="0" fontId="0" fillId="0" borderId="85" xfId="0" applyBorder="1"/>
    <xf numFmtId="0" fontId="0" fillId="0" borderId="34" xfId="0" applyBorder="1"/>
    <xf numFmtId="0" fontId="0" fillId="0" borderId="81" xfId="0" applyBorder="1"/>
    <xf numFmtId="0" fontId="3" fillId="0" borderId="0" xfId="0" applyFont="1" applyAlignment="1">
      <alignment horizontal="center"/>
    </xf>
    <xf numFmtId="0" fontId="5" fillId="0" borderId="23" xfId="0" applyFont="1" applyBorder="1" applyAlignment="1">
      <alignment horizontal="center" wrapText="1"/>
    </xf>
    <xf numFmtId="0" fontId="5" fillId="36" borderId="67" xfId="0" applyFont="1" applyFill="1" applyBorder="1" applyAlignment="1">
      <alignment horizontal="center"/>
    </xf>
    <xf numFmtId="0" fontId="5" fillId="8" borderId="75" xfId="0" applyFont="1" applyFill="1" applyBorder="1" applyAlignment="1">
      <alignment horizontal="center"/>
    </xf>
    <xf numFmtId="0" fontId="3" fillId="4" borderId="55" xfId="0" applyFont="1" applyFill="1" applyBorder="1" applyAlignment="1">
      <alignment horizontal="left" vertical="center" wrapText="1"/>
    </xf>
    <xf numFmtId="164" fontId="3" fillId="0" borderId="51" xfId="0" applyNumberFormat="1" applyFont="1" applyBorder="1" applyAlignment="1">
      <alignment horizontal="right" vertical="center"/>
    </xf>
    <xf numFmtId="164" fontId="3" fillId="36" borderId="77" xfId="0" applyNumberFormat="1" applyFont="1" applyFill="1" applyBorder="1" applyAlignment="1">
      <alignment horizontal="right" vertical="center"/>
    </xf>
    <xf numFmtId="164" fontId="5" fillId="8" borderId="55" xfId="0" applyNumberFormat="1" applyFont="1" applyFill="1" applyBorder="1" applyAlignment="1">
      <alignment horizontal="right" vertical="center"/>
    </xf>
    <xf numFmtId="164" fontId="3" fillId="0" borderId="38" xfId="0" applyNumberFormat="1" applyFont="1" applyBorder="1" applyAlignment="1">
      <alignment horizontal="right" vertical="center"/>
    </xf>
    <xf numFmtId="164" fontId="3" fillId="36" borderId="6" xfId="0" applyNumberFormat="1" applyFont="1" applyFill="1" applyBorder="1" applyAlignment="1">
      <alignment horizontal="right" vertical="center"/>
    </xf>
    <xf numFmtId="164" fontId="5" fillId="8" borderId="56" xfId="0" applyNumberFormat="1" applyFont="1" applyFill="1" applyBorder="1" applyAlignment="1">
      <alignment horizontal="right" vertical="center"/>
    </xf>
    <xf numFmtId="164" fontId="3" fillId="0" borderId="59" xfId="0" applyNumberFormat="1" applyFont="1" applyBorder="1" applyAlignment="1">
      <alignment horizontal="right" vertical="center"/>
    </xf>
    <xf numFmtId="0" fontId="3" fillId="4" borderId="84" xfId="0" applyFont="1" applyFill="1" applyBorder="1" applyAlignment="1">
      <alignment horizontal="left" vertical="center" wrapText="1"/>
    </xf>
    <xf numFmtId="164" fontId="3" fillId="36" borderId="11" xfId="0" applyNumberFormat="1" applyFont="1" applyFill="1" applyBorder="1" applyAlignment="1">
      <alignment horizontal="right" vertical="center"/>
    </xf>
    <xf numFmtId="164" fontId="7" fillId="4" borderId="94" xfId="0" applyNumberFormat="1" applyFont="1" applyFill="1" applyBorder="1" applyAlignment="1">
      <alignment horizontal="left"/>
    </xf>
    <xf numFmtId="164" fontId="5" fillId="0" borderId="95" xfId="0" applyNumberFormat="1" applyFont="1" applyBorder="1" applyAlignment="1">
      <alignment horizontal="right" vertical="center"/>
    </xf>
    <xf numFmtId="164" fontId="5" fillId="8" borderId="75" xfId="0" applyNumberFormat="1" applyFont="1" applyFill="1" applyBorder="1" applyAlignment="1">
      <alignment horizontal="right" vertical="center"/>
    </xf>
    <xf numFmtId="164" fontId="120" fillId="4" borderId="71" xfId="0" applyNumberFormat="1" applyFont="1" applyFill="1" applyBorder="1" applyAlignment="1">
      <alignment horizontal="left"/>
    </xf>
    <xf numFmtId="0" fontId="26" fillId="36" borderId="70" xfId="0" applyFont="1" applyFill="1" applyBorder="1" applyAlignment="1">
      <alignment horizontal="center"/>
    </xf>
    <xf numFmtId="0" fontId="5" fillId="8" borderId="71" xfId="0" applyFont="1" applyFill="1" applyBorder="1" applyAlignment="1">
      <alignment horizontal="center" vertical="center"/>
    </xf>
    <xf numFmtId="0" fontId="3" fillId="0" borderId="0" xfId="0" applyFont="1" applyAlignment="1">
      <alignment horizontal="right"/>
    </xf>
    <xf numFmtId="165" fontId="5" fillId="35" borderId="0" xfId="1" applyNumberFormat="1" applyFont="1" applyFill="1" applyAlignment="1">
      <alignment horizontal="right"/>
    </xf>
    <xf numFmtId="0" fontId="6" fillId="0" borderId="37" xfId="0" applyFont="1" applyBorder="1" applyAlignment="1">
      <alignment horizontal="left"/>
    </xf>
    <xf numFmtId="0" fontId="25" fillId="6" borderId="45" xfId="0" applyFont="1" applyFill="1" applyBorder="1"/>
    <xf numFmtId="0" fontId="25" fillId="6" borderId="20" xfId="0" applyFont="1" applyFill="1" applyBorder="1"/>
    <xf numFmtId="0" fontId="25" fillId="6" borderId="21" xfId="0" applyFont="1" applyFill="1" applyBorder="1"/>
    <xf numFmtId="164" fontId="13" fillId="0" borderId="0" xfId="0" applyNumberFormat="1" applyFont="1" applyAlignment="1">
      <alignment horizontal="center"/>
    </xf>
    <xf numFmtId="164" fontId="98" fillId="0" borderId="0" xfId="0" applyNumberFormat="1" applyFont="1" applyAlignment="1">
      <alignment horizontal="center"/>
    </xf>
    <xf numFmtId="0" fontId="32" fillId="6" borderId="67" xfId="0" applyFont="1" applyFill="1" applyBorder="1"/>
    <xf numFmtId="0" fontId="32" fillId="6" borderId="16" xfId="0" applyFont="1" applyFill="1" applyBorder="1"/>
    <xf numFmtId="0" fontId="32" fillId="6" borderId="5" xfId="0" applyFont="1" applyFill="1" applyBorder="1"/>
    <xf numFmtId="0" fontId="5" fillId="0" borderId="17" xfId="0" applyFont="1" applyBorder="1" applyAlignment="1">
      <alignment horizontal="center" wrapText="1"/>
    </xf>
    <xf numFmtId="0" fontId="25" fillId="6" borderId="67" xfId="0" applyFont="1" applyFill="1" applyBorder="1"/>
    <xf numFmtId="0" fontId="25" fillId="6" borderId="16" xfId="0" applyFont="1" applyFill="1" applyBorder="1"/>
    <xf numFmtId="0" fontId="25" fillId="6" borderId="5" xfId="0" applyFont="1" applyFill="1" applyBorder="1"/>
    <xf numFmtId="0" fontId="9" fillId="0" borderId="0" xfId="0" applyFont="1" applyAlignment="1">
      <alignment horizontal="center"/>
    </xf>
    <xf numFmtId="0" fontId="19" fillId="0" borderId="0" xfId="0" applyFont="1" applyAlignment="1">
      <alignment horizontal="center"/>
    </xf>
    <xf numFmtId="0" fontId="3" fillId="0" borderId="0" xfId="0" quotePrefix="1" applyFont="1"/>
    <xf numFmtId="0" fontId="6" fillId="0" borderId="0" xfId="0" applyFont="1" applyAlignment="1">
      <alignment horizontal="center"/>
    </xf>
    <xf numFmtId="0" fontId="119" fillId="3" borderId="6" xfId="0" applyFont="1" applyFill="1" applyBorder="1"/>
    <xf numFmtId="0" fontId="119" fillId="3" borderId="13" xfId="0" applyFont="1" applyFill="1" applyBorder="1"/>
    <xf numFmtId="164" fontId="119" fillId="3" borderId="3" xfId="0" applyNumberFormat="1" applyFont="1" applyFill="1" applyBorder="1"/>
    <xf numFmtId="164" fontId="120" fillId="3" borderId="3" xfId="0" applyNumberFormat="1" applyFont="1" applyFill="1" applyBorder="1"/>
    <xf numFmtId="0" fontId="0" fillId="3" borderId="0" xfId="0" applyFill="1"/>
    <xf numFmtId="14" fontId="6" fillId="0" borderId="0" xfId="0" applyNumberFormat="1" applyFont="1"/>
    <xf numFmtId="0" fontId="122" fillId="0" borderId="0" xfId="0" applyFont="1"/>
    <xf numFmtId="164" fontId="8" fillId="36" borderId="106" xfId="0" applyNumberFormat="1" applyFont="1" applyFill="1" applyBorder="1" applyAlignment="1">
      <alignment horizontal="right" vertical="center"/>
    </xf>
    <xf numFmtId="0" fontId="69" fillId="40" borderId="0" xfId="0" applyFont="1" applyFill="1" applyAlignment="1">
      <alignment vertical="center"/>
    </xf>
    <xf numFmtId="0" fontId="0" fillId="0" borderId="71" xfId="0" applyBorder="1" applyAlignment="1">
      <alignment vertical="center" wrapText="1"/>
    </xf>
    <xf numFmtId="0" fontId="4" fillId="0" borderId="3" xfId="0" applyFont="1" applyBorder="1" applyAlignment="1">
      <alignment horizontal="center" vertical="center" wrapText="1"/>
    </xf>
    <xf numFmtId="0" fontId="4" fillId="0" borderId="3" xfId="0" applyFont="1" applyBorder="1" applyAlignment="1">
      <alignment horizontal="center" vertical="center"/>
    </xf>
    <xf numFmtId="0" fontId="12" fillId="3" borderId="3" xfId="0" applyFont="1" applyFill="1" applyBorder="1" applyAlignment="1">
      <alignment horizontal="center"/>
    </xf>
    <xf numFmtId="0" fontId="25" fillId="6" borderId="0" xfId="0" applyFont="1" applyFill="1"/>
    <xf numFmtId="0" fontId="25" fillId="6" borderId="22" xfId="0" applyFont="1" applyFill="1" applyBorder="1"/>
    <xf numFmtId="0" fontId="25" fillId="6" borderId="4" xfId="0" applyFont="1" applyFill="1" applyBorder="1" applyAlignment="1">
      <alignment vertical="center"/>
    </xf>
    <xf numFmtId="0" fontId="25" fillId="6" borderId="16" xfId="0" applyFont="1" applyFill="1" applyBorder="1" applyAlignment="1">
      <alignment vertical="center"/>
    </xf>
    <xf numFmtId="0" fontId="25" fillId="6" borderId="5" xfId="0" applyFont="1" applyFill="1" applyBorder="1" applyAlignment="1">
      <alignment vertical="center"/>
    </xf>
    <xf numFmtId="0" fontId="5" fillId="6" borderId="18" xfId="0" applyFont="1" applyFill="1" applyBorder="1"/>
    <xf numFmtId="0" fontId="5" fillId="6" borderId="15" xfId="0" applyFont="1" applyFill="1" applyBorder="1"/>
    <xf numFmtId="0" fontId="25" fillId="6" borderId="37" xfId="0" applyFont="1" applyFill="1" applyBorder="1" applyAlignment="1">
      <alignment vertical="center"/>
    </xf>
    <xf numFmtId="0" fontId="25" fillId="6" borderId="20" xfId="0" applyFont="1" applyFill="1" applyBorder="1" applyAlignment="1">
      <alignment vertical="center"/>
    </xf>
    <xf numFmtId="0" fontId="25" fillId="6" borderId="21" xfId="0" applyFont="1" applyFill="1" applyBorder="1" applyAlignment="1">
      <alignment vertical="center"/>
    </xf>
    <xf numFmtId="0" fontId="5" fillId="6" borderId="37" xfId="0" applyFont="1" applyFill="1" applyBorder="1"/>
    <xf numFmtId="0" fontId="5" fillId="6" borderId="20" xfId="0" applyFont="1" applyFill="1" applyBorder="1"/>
    <xf numFmtId="0" fontId="5" fillId="6" borderId="21" xfId="0" applyFont="1" applyFill="1" applyBorder="1"/>
    <xf numFmtId="0" fontId="3" fillId="6" borderId="16" xfId="0" applyFont="1" applyFill="1" applyBorder="1"/>
    <xf numFmtId="0" fontId="3" fillId="6" borderId="5" xfId="0" applyFont="1" applyFill="1" applyBorder="1"/>
    <xf numFmtId="164" fontId="26" fillId="6" borderId="74" xfId="0" applyNumberFormat="1" applyFont="1" applyFill="1" applyBorder="1"/>
    <xf numFmtId="164" fontId="26" fillId="8" borderId="74" xfId="0" applyNumberFormat="1" applyFont="1" applyFill="1" applyBorder="1"/>
    <xf numFmtId="2" fontId="26" fillId="6" borderId="74" xfId="0" applyNumberFormat="1" applyFont="1" applyFill="1" applyBorder="1" applyAlignment="1">
      <alignment horizontal="center"/>
    </xf>
    <xf numFmtId="2" fontId="26" fillId="8" borderId="74" xfId="0" applyNumberFormat="1" applyFont="1" applyFill="1" applyBorder="1" applyAlignment="1">
      <alignment horizontal="center"/>
    </xf>
    <xf numFmtId="10" fontId="26" fillId="0" borderId="74" xfId="1" applyNumberFormat="1" applyFont="1" applyFill="1" applyBorder="1" applyAlignment="1">
      <alignment horizontal="center"/>
    </xf>
    <xf numFmtId="2" fontId="26" fillId="6" borderId="74" xfId="0" applyNumberFormat="1" applyFont="1" applyFill="1" applyBorder="1" applyAlignment="1">
      <alignment horizontal="center" wrapText="1"/>
    </xf>
    <xf numFmtId="2" fontId="26" fillId="8" borderId="74" xfId="0" applyNumberFormat="1" applyFont="1" applyFill="1" applyBorder="1" applyAlignment="1">
      <alignment horizontal="center" wrapText="1"/>
    </xf>
    <xf numFmtId="0" fontId="30" fillId="20" borderId="37" xfId="0" applyFont="1" applyFill="1" applyBorder="1" applyAlignment="1">
      <alignment horizontal="centerContinuous" vertical="top"/>
    </xf>
    <xf numFmtId="0" fontId="30" fillId="19" borderId="5" xfId="0" applyFont="1" applyFill="1" applyBorder="1" applyAlignment="1">
      <alignment horizontal="centerContinuous"/>
    </xf>
    <xf numFmtId="0" fontId="30" fillId="23" borderId="37" xfId="0" applyFont="1" applyFill="1" applyBorder="1" applyAlignment="1">
      <alignment horizontal="centerContinuous"/>
    </xf>
    <xf numFmtId="0" fontId="30" fillId="23" borderId="21" xfId="0" applyFont="1" applyFill="1" applyBorder="1" applyAlignment="1">
      <alignment horizontal="centerContinuous"/>
    </xf>
    <xf numFmtId="0" fontId="30" fillId="19" borderId="16" xfId="0" applyFont="1" applyFill="1" applyBorder="1" applyAlignment="1">
      <alignment horizontal="centerContinuous"/>
    </xf>
    <xf numFmtId="0" fontId="30" fillId="20" borderId="20" xfId="0" applyFont="1" applyFill="1" applyBorder="1" applyAlignment="1">
      <alignment horizontal="centerContinuous" vertical="top"/>
    </xf>
    <xf numFmtId="0" fontId="30" fillId="21" borderId="4" xfId="0" applyFont="1" applyFill="1" applyBorder="1"/>
    <xf numFmtId="0" fontId="30" fillId="21" borderId="16" xfId="0" applyFont="1" applyFill="1" applyBorder="1"/>
    <xf numFmtId="0" fontId="31" fillId="0" borderId="15" xfId="0" applyFont="1" applyBorder="1"/>
    <xf numFmtId="0" fontId="26" fillId="0" borderId="76" xfId="0" applyFont="1" applyBorder="1" applyAlignment="1">
      <alignment vertical="center" wrapText="1"/>
    </xf>
    <xf numFmtId="0" fontId="26" fillId="0" borderId="75" xfId="0" applyFont="1" applyBorder="1" applyAlignment="1">
      <alignment vertical="center" wrapText="1"/>
    </xf>
    <xf numFmtId="0" fontId="0" fillId="0" borderId="76" xfId="0" applyBorder="1" applyAlignment="1">
      <alignment vertical="center" wrapText="1"/>
    </xf>
    <xf numFmtId="0" fontId="30" fillId="19" borderId="16" xfId="0" applyFont="1" applyFill="1" applyBorder="1" applyAlignment="1">
      <alignment horizontal="centerContinuous" vertical="top"/>
    </xf>
    <xf numFmtId="0" fontId="30" fillId="19" borderId="5" xfId="0" applyFont="1" applyFill="1" applyBorder="1" applyAlignment="1">
      <alignment horizontal="centerContinuous" vertical="top"/>
    </xf>
    <xf numFmtId="0" fontId="30" fillId="23" borderId="5" xfId="0" applyFont="1" applyFill="1" applyBorder="1"/>
    <xf numFmtId="0" fontId="26" fillId="0" borderId="44" xfId="0" applyFont="1" applyBorder="1" applyAlignment="1">
      <alignment horizontal="center" wrapText="1"/>
    </xf>
    <xf numFmtId="0" fontId="26" fillId="0" borderId="50" xfId="0" applyFont="1" applyBorder="1" applyAlignment="1">
      <alignment horizontal="center" wrapText="1"/>
    </xf>
    <xf numFmtId="0" fontId="26" fillId="0" borderId="62" xfId="0" applyFont="1" applyBorder="1" applyAlignment="1">
      <alignment horizontal="center" wrapText="1"/>
    </xf>
    <xf numFmtId="0" fontId="26" fillId="0" borderId="59" xfId="0" applyFont="1" applyBorder="1" applyAlignment="1">
      <alignment horizontal="center"/>
    </xf>
    <xf numFmtId="0" fontId="26" fillId="0" borderId="46" xfId="0" applyFont="1" applyBorder="1" applyAlignment="1">
      <alignment horizontal="center" wrapText="1"/>
    </xf>
    <xf numFmtId="0" fontId="45" fillId="0" borderId="0" xfId="0" applyFont="1"/>
    <xf numFmtId="0" fontId="0" fillId="35" borderId="0" xfId="0" applyFill="1" applyAlignment="1">
      <alignment horizontal="right"/>
    </xf>
    <xf numFmtId="0" fontId="26" fillId="35" borderId="0" xfId="0" applyFont="1" applyFill="1"/>
    <xf numFmtId="0" fontId="123" fillId="0" borderId="0" xfId="0" applyFont="1"/>
    <xf numFmtId="0" fontId="26" fillId="2" borderId="62" xfId="0" applyFont="1" applyFill="1" applyBorder="1" applyAlignment="1">
      <alignment horizontal="center" wrapText="1"/>
    </xf>
    <xf numFmtId="0" fontId="26" fillId="0" borderId="52" xfId="0" applyFont="1" applyBorder="1" applyAlignment="1">
      <alignment horizontal="center" wrapText="1"/>
    </xf>
    <xf numFmtId="0" fontId="0" fillId="0" borderId="38" xfId="0" applyBorder="1" applyAlignment="1">
      <alignment horizontal="center" wrapText="1"/>
    </xf>
    <xf numFmtId="166" fontId="0" fillId="0" borderId="3" xfId="0" applyNumberFormat="1" applyBorder="1"/>
    <xf numFmtId="166" fontId="0" fillId="0" borderId="3" xfId="0" applyNumberFormat="1" applyBorder="1" applyAlignment="1">
      <alignment wrapText="1"/>
    </xf>
    <xf numFmtId="2" fontId="0" fillId="0" borderId="3" xfId="0" applyNumberFormat="1" applyBorder="1" applyAlignment="1">
      <alignment wrapText="1"/>
    </xf>
    <xf numFmtId="166" fontId="0" fillId="2" borderId="3" xfId="0" applyNumberFormat="1" applyFill="1" applyBorder="1" applyAlignment="1">
      <alignment wrapText="1"/>
    </xf>
    <xf numFmtId="166" fontId="0" fillId="0" borderId="39" xfId="0" applyNumberFormat="1" applyBorder="1" applyAlignment="1">
      <alignment wrapText="1"/>
    </xf>
    <xf numFmtId="0" fontId="26" fillId="0" borderId="0" xfId="0" applyFont="1" applyAlignment="1">
      <alignment horizontal="right" wrapText="1"/>
    </xf>
    <xf numFmtId="166" fontId="26" fillId="0" borderId="0" xfId="0" applyNumberFormat="1" applyFont="1" applyAlignment="1">
      <alignment wrapText="1"/>
    </xf>
    <xf numFmtId="0" fontId="0" fillId="0" borderId="40" xfId="0" applyBorder="1" applyAlignment="1">
      <alignment horizontal="center" wrapText="1"/>
    </xf>
    <xf numFmtId="166" fontId="0" fillId="0" borderId="14" xfId="0" applyNumberFormat="1" applyBorder="1"/>
    <xf numFmtId="166" fontId="0" fillId="0" borderId="14" xfId="0" applyNumberFormat="1" applyBorder="1" applyAlignment="1">
      <alignment wrapText="1"/>
    </xf>
    <xf numFmtId="2" fontId="0" fillId="0" borderId="14" xfId="0" applyNumberFormat="1" applyBorder="1" applyAlignment="1">
      <alignment wrapText="1"/>
    </xf>
    <xf numFmtId="166" fontId="0" fillId="2" borderId="14" xfId="0" applyNumberFormat="1" applyFill="1" applyBorder="1" applyAlignment="1">
      <alignment wrapText="1"/>
    </xf>
    <xf numFmtId="166" fontId="0" fillId="0" borderId="41" xfId="0" applyNumberFormat="1" applyBorder="1" applyAlignment="1">
      <alignment wrapText="1"/>
    </xf>
    <xf numFmtId="166" fontId="0" fillId="0" borderId="0" xfId="0" applyNumberFormat="1"/>
    <xf numFmtId="166" fontId="0" fillId="0" borderId="0" xfId="0" applyNumberFormat="1" applyAlignment="1">
      <alignment wrapText="1"/>
    </xf>
    <xf numFmtId="2" fontId="0" fillId="0" borderId="0" xfId="0" applyNumberFormat="1" applyAlignment="1">
      <alignment wrapText="1"/>
    </xf>
    <xf numFmtId="0" fontId="123" fillId="0" borderId="0" xfId="0" applyFont="1" applyAlignment="1">
      <alignment wrapText="1"/>
    </xf>
    <xf numFmtId="0" fontId="26" fillId="0" borderId="44" xfId="0" applyFont="1" applyBorder="1" applyAlignment="1">
      <alignment horizontal="center"/>
    </xf>
    <xf numFmtId="0" fontId="26" fillId="2" borderId="44" xfId="0" applyFont="1" applyFill="1" applyBorder="1" applyAlignment="1">
      <alignment horizontal="center" wrapText="1"/>
    </xf>
    <xf numFmtId="0" fontId="0" fillId="0" borderId="51" xfId="0" applyBorder="1" applyAlignment="1">
      <alignment horizontal="center" wrapText="1"/>
    </xf>
    <xf numFmtId="166" fontId="0" fillId="0" borderId="62" xfId="0" applyNumberFormat="1" applyBorder="1"/>
    <xf numFmtId="166" fontId="0" fillId="0" borderId="62" xfId="0" applyNumberFormat="1" applyBorder="1" applyAlignment="1">
      <alignment wrapText="1"/>
    </xf>
    <xf numFmtId="2" fontId="0" fillId="0" borderId="62" xfId="0" applyNumberFormat="1" applyBorder="1" applyAlignment="1">
      <alignment wrapText="1"/>
    </xf>
    <xf numFmtId="166" fontId="0" fillId="2" borderId="62" xfId="0" applyNumberFormat="1" applyFill="1" applyBorder="1" applyAlignment="1">
      <alignment wrapText="1"/>
    </xf>
    <xf numFmtId="166" fontId="0" fillId="0" borderId="52" xfId="0" applyNumberFormat="1" applyBorder="1" applyAlignment="1">
      <alignment wrapText="1"/>
    </xf>
    <xf numFmtId="0" fontId="44" fillId="8" borderId="37" xfId="0" applyFont="1" applyFill="1" applyBorder="1" applyAlignment="1">
      <alignment horizontal="centerContinuous"/>
    </xf>
    <xf numFmtId="0" fontId="44" fillId="8" borderId="20" xfId="0" applyFont="1" applyFill="1" applyBorder="1" applyAlignment="1">
      <alignment horizontal="centerContinuous"/>
    </xf>
    <xf numFmtId="0" fontId="44" fillId="8" borderId="21" xfId="0" applyFont="1" applyFill="1" applyBorder="1" applyAlignment="1">
      <alignment horizontal="centerContinuous"/>
    </xf>
    <xf numFmtId="0" fontId="26" fillId="0" borderId="87" xfId="0" applyFont="1" applyBorder="1" applyAlignment="1">
      <alignment horizontal="center"/>
    </xf>
    <xf numFmtId="0" fontId="26" fillId="0" borderId="58" xfId="0" applyFont="1" applyBorder="1" applyAlignment="1">
      <alignment horizontal="center"/>
    </xf>
    <xf numFmtId="0" fontId="26" fillId="0" borderId="43" xfId="0" applyFont="1" applyBorder="1" applyAlignment="1">
      <alignment horizontal="center"/>
    </xf>
    <xf numFmtId="0" fontId="0" fillId="0" borderId="42" xfId="0" applyBorder="1" applyAlignment="1">
      <alignment horizontal="center"/>
    </xf>
    <xf numFmtId="2" fontId="0" fillId="0" borderId="2" xfId="0" applyNumberFormat="1" applyBorder="1" applyAlignment="1">
      <alignment horizontal="center"/>
    </xf>
    <xf numFmtId="166" fontId="0" fillId="0" borderId="2" xfId="0" applyNumberFormat="1" applyBorder="1"/>
    <xf numFmtId="166" fontId="0" fillId="0" borderId="39" xfId="0" applyNumberFormat="1" applyBorder="1"/>
    <xf numFmtId="0" fontId="0" fillId="0" borderId="38" xfId="0" applyBorder="1" applyAlignment="1">
      <alignment horizontal="center"/>
    </xf>
    <xf numFmtId="0" fontId="0" fillId="0" borderId="40" xfId="0" applyBorder="1" applyAlignment="1">
      <alignment horizontal="center"/>
    </xf>
    <xf numFmtId="166" fontId="0" fillId="0" borderId="41" xfId="0" applyNumberFormat="1" applyBorder="1"/>
    <xf numFmtId="2" fontId="0" fillId="0" borderId="0" xfId="0" applyNumberFormat="1" applyAlignment="1">
      <alignment horizontal="center"/>
    </xf>
    <xf numFmtId="166" fontId="0" fillId="8" borderId="3" xfId="0" applyNumberFormat="1" applyFill="1" applyBorder="1"/>
    <xf numFmtId="0" fontId="0" fillId="8" borderId="3" xfId="0" applyFill="1" applyBorder="1" applyAlignment="1">
      <alignment horizontal="center"/>
    </xf>
    <xf numFmtId="0" fontId="44" fillId="6" borderId="37" xfId="0" applyFont="1" applyFill="1" applyBorder="1" applyAlignment="1">
      <alignment horizontal="centerContinuous"/>
    </xf>
    <xf numFmtId="0" fontId="44" fillId="6" borderId="20" xfId="0" applyFont="1" applyFill="1" applyBorder="1" applyAlignment="1">
      <alignment horizontal="centerContinuous"/>
    </xf>
    <xf numFmtId="0" fontId="44" fillId="6" borderId="21" xfId="0" applyFont="1" applyFill="1" applyBorder="1" applyAlignment="1">
      <alignment horizontal="centerContinuous"/>
    </xf>
    <xf numFmtId="0" fontId="26" fillId="0" borderId="42" xfId="0" applyFont="1" applyBorder="1" applyAlignment="1">
      <alignment horizontal="center"/>
    </xf>
    <xf numFmtId="166" fontId="0" fillId="6" borderId="3" xfId="0" applyNumberFormat="1" applyFill="1" applyBorder="1"/>
    <xf numFmtId="0" fontId="0" fillId="6" borderId="3" xfId="0" applyFill="1" applyBorder="1" applyAlignment="1">
      <alignment horizontal="center"/>
    </xf>
    <xf numFmtId="0" fontId="44" fillId="12" borderId="37" xfId="0" applyFont="1" applyFill="1" applyBorder="1" applyAlignment="1">
      <alignment horizontal="centerContinuous"/>
    </xf>
    <xf numFmtId="0" fontId="44" fillId="12" borderId="20" xfId="0" applyFont="1" applyFill="1" applyBorder="1" applyAlignment="1">
      <alignment horizontal="centerContinuous"/>
    </xf>
    <xf numFmtId="0" fontId="44" fillId="12" borderId="21" xfId="0" applyFont="1" applyFill="1" applyBorder="1" applyAlignment="1">
      <alignment horizontal="centerContinuous"/>
    </xf>
    <xf numFmtId="166" fontId="0" fillId="12" borderId="3" xfId="0" applyNumberFormat="1" applyFill="1" applyBorder="1"/>
    <xf numFmtId="0" fontId="0" fillId="12" borderId="3" xfId="0" applyFill="1" applyBorder="1" applyAlignment="1">
      <alignment horizontal="center"/>
    </xf>
    <xf numFmtId="0" fontId="44" fillId="11" borderId="37" xfId="0" applyFont="1" applyFill="1" applyBorder="1" applyAlignment="1">
      <alignment horizontal="centerContinuous"/>
    </xf>
    <xf numFmtId="0" fontId="44" fillId="11" borderId="20" xfId="0" applyFont="1" applyFill="1" applyBorder="1" applyAlignment="1">
      <alignment horizontal="centerContinuous"/>
    </xf>
    <xf numFmtId="0" fontId="44" fillId="11" borderId="21" xfId="0" applyFont="1" applyFill="1" applyBorder="1" applyAlignment="1">
      <alignment horizontal="centerContinuous"/>
    </xf>
    <xf numFmtId="166" fontId="0" fillId="11" borderId="3" xfId="0" applyNumberFormat="1" applyFill="1" applyBorder="1"/>
    <xf numFmtId="0" fontId="0" fillId="11" borderId="3" xfId="0" applyFill="1" applyBorder="1" applyAlignment="1">
      <alignment horizontal="center"/>
    </xf>
    <xf numFmtId="0" fontId="44" fillId="9" borderId="37" xfId="0" applyFont="1" applyFill="1" applyBorder="1" applyAlignment="1">
      <alignment horizontal="centerContinuous"/>
    </xf>
    <xf numFmtId="0" fontId="44" fillId="9" borderId="20" xfId="0" applyFont="1" applyFill="1" applyBorder="1" applyAlignment="1">
      <alignment horizontal="centerContinuous"/>
    </xf>
    <xf numFmtId="0" fontId="44" fillId="9" borderId="21" xfId="0" applyFont="1" applyFill="1" applyBorder="1" applyAlignment="1">
      <alignment horizontal="centerContinuous"/>
    </xf>
    <xf numFmtId="166" fontId="0" fillId="9" borderId="3" xfId="0" applyNumberFormat="1" applyFill="1" applyBorder="1"/>
    <xf numFmtId="0" fontId="0" fillId="9" borderId="3" xfId="0" applyFill="1" applyBorder="1" applyAlignment="1">
      <alignment horizontal="center"/>
    </xf>
    <xf numFmtId="0" fontId="44" fillId="18" borderId="37" xfId="0" applyFont="1" applyFill="1" applyBorder="1" applyAlignment="1">
      <alignment horizontal="centerContinuous"/>
    </xf>
    <xf numFmtId="0" fontId="44" fillId="18" borderId="20" xfId="0" applyFont="1" applyFill="1" applyBorder="1" applyAlignment="1">
      <alignment horizontal="centerContinuous"/>
    </xf>
    <xf numFmtId="0" fontId="44" fillId="18" borderId="21" xfId="0" applyFont="1" applyFill="1" applyBorder="1" applyAlignment="1">
      <alignment horizontal="centerContinuous"/>
    </xf>
    <xf numFmtId="166" fontId="0" fillId="18" borderId="3" xfId="0" applyNumberFormat="1" applyFill="1" applyBorder="1"/>
    <xf numFmtId="0" fontId="0" fillId="18" borderId="3" xfId="0" applyFill="1" applyBorder="1" applyAlignment="1">
      <alignment horizontal="center"/>
    </xf>
    <xf numFmtId="0" fontId="44" fillId="8" borderId="4" xfId="0" applyFont="1" applyFill="1" applyBorder="1" applyAlignment="1">
      <alignment horizontal="centerContinuous"/>
    </xf>
    <xf numFmtId="0" fontId="44" fillId="8" borderId="16" xfId="0" applyFont="1" applyFill="1" applyBorder="1" applyAlignment="1">
      <alignment horizontal="centerContinuous"/>
    </xf>
    <xf numFmtId="0" fontId="44" fillId="8" borderId="5" xfId="0" applyFont="1" applyFill="1" applyBorder="1" applyAlignment="1">
      <alignment horizontal="centerContinuous"/>
    </xf>
    <xf numFmtId="0" fontId="26" fillId="0" borderId="37" xfId="0" applyFont="1" applyBorder="1"/>
    <xf numFmtId="0" fontId="26" fillId="0" borderId="17" xfId="0" applyFont="1" applyBorder="1"/>
    <xf numFmtId="0" fontId="0" fillId="0" borderId="18" xfId="0" applyBorder="1" applyAlignment="1">
      <alignment horizontal="center"/>
    </xf>
    <xf numFmtId="0" fontId="0" fillId="0" borderId="15" xfId="0" applyBorder="1" applyAlignment="1">
      <alignment horizontal="left"/>
    </xf>
    <xf numFmtId="0" fontId="26" fillId="0" borderId="15" xfId="0" applyFont="1" applyBorder="1" applyAlignment="1">
      <alignment horizontal="right"/>
    </xf>
    <xf numFmtId="166" fontId="26" fillId="8" borderId="41" xfId="0" applyNumberFormat="1" applyFont="1" applyFill="1" applyBorder="1"/>
    <xf numFmtId="166" fontId="26" fillId="0" borderId="39" xfId="0" applyNumberFormat="1" applyFont="1" applyBorder="1"/>
    <xf numFmtId="0" fontId="0" fillId="0" borderId="3" xfId="0" applyBorder="1"/>
    <xf numFmtId="0" fontId="0" fillId="0" borderId="8" xfId="0" applyBorder="1"/>
    <xf numFmtId="0" fontId="0" fillId="8" borderId="14" xfId="0" applyFill="1" applyBorder="1"/>
    <xf numFmtId="166" fontId="26" fillId="8" borderId="49" xfId="0" applyNumberFormat="1" applyFont="1" applyFill="1" applyBorder="1"/>
    <xf numFmtId="0" fontId="44" fillId="6" borderId="4" xfId="0" applyFont="1" applyFill="1" applyBorder="1" applyAlignment="1">
      <alignment horizontal="centerContinuous"/>
    </xf>
    <xf numFmtId="0" fontId="44" fillId="6" borderId="16" xfId="0" applyFont="1" applyFill="1" applyBorder="1" applyAlignment="1">
      <alignment horizontal="centerContinuous"/>
    </xf>
    <xf numFmtId="0" fontId="44" fillId="6" borderId="5" xfId="0" applyFont="1" applyFill="1" applyBorder="1" applyAlignment="1">
      <alignment horizontal="centerContinuous"/>
    </xf>
    <xf numFmtId="166" fontId="26" fillId="6" borderId="41" xfId="0" applyNumberFormat="1" applyFont="1" applyFill="1" applyBorder="1"/>
    <xf numFmtId="0" fontId="0" fillId="6" borderId="14" xfId="0" applyFill="1" applyBorder="1"/>
    <xf numFmtId="166" fontId="26" fillId="6" borderId="49" xfId="0" applyNumberFormat="1" applyFont="1" applyFill="1" applyBorder="1"/>
    <xf numFmtId="0" fontId="44" fillId="12" borderId="4" xfId="0" applyFont="1" applyFill="1" applyBorder="1" applyAlignment="1">
      <alignment horizontal="centerContinuous"/>
    </xf>
    <xf numFmtId="0" fontId="44" fillId="12" borderId="16" xfId="0" applyFont="1" applyFill="1" applyBorder="1" applyAlignment="1">
      <alignment horizontal="centerContinuous"/>
    </xf>
    <xf numFmtId="0" fontId="44" fillId="12" borderId="5" xfId="0" applyFont="1" applyFill="1" applyBorder="1" applyAlignment="1">
      <alignment horizontal="centerContinuous"/>
    </xf>
    <xf numFmtId="166" fontId="26" fillId="12" borderId="41" xfId="0" applyNumberFormat="1" applyFont="1" applyFill="1" applyBorder="1"/>
    <xf numFmtId="0" fontId="0" fillId="12" borderId="14" xfId="0" applyFill="1" applyBorder="1"/>
    <xf numFmtId="166" fontId="26" fillId="12" borderId="49" xfId="0" applyNumberFormat="1" applyFont="1" applyFill="1" applyBorder="1"/>
    <xf numFmtId="0" fontId="44" fillId="11" borderId="4" xfId="0" applyFont="1" applyFill="1" applyBorder="1" applyAlignment="1">
      <alignment horizontal="centerContinuous"/>
    </xf>
    <xf numFmtId="0" fontId="44" fillId="11" borderId="16" xfId="0" applyFont="1" applyFill="1" applyBorder="1" applyAlignment="1">
      <alignment horizontal="centerContinuous"/>
    </xf>
    <xf numFmtId="0" fontId="44" fillId="11" borderId="5" xfId="0" applyFont="1" applyFill="1" applyBorder="1" applyAlignment="1">
      <alignment horizontal="centerContinuous"/>
    </xf>
    <xf numFmtId="166" fontId="26" fillId="11" borderId="41" xfId="0" applyNumberFormat="1" applyFont="1" applyFill="1" applyBorder="1"/>
    <xf numFmtId="0" fontId="0" fillId="11" borderId="14" xfId="0" applyFill="1" applyBorder="1"/>
    <xf numFmtId="166" fontId="26" fillId="11" borderId="49" xfId="0" applyNumberFormat="1" applyFont="1" applyFill="1" applyBorder="1"/>
    <xf numFmtId="0" fontId="44" fillId="9" borderId="4" xfId="0" applyFont="1" applyFill="1" applyBorder="1" applyAlignment="1">
      <alignment horizontal="centerContinuous"/>
    </xf>
    <xf numFmtId="0" fontId="44" fillId="9" borderId="16" xfId="0" applyFont="1" applyFill="1" applyBorder="1" applyAlignment="1">
      <alignment horizontal="centerContinuous"/>
    </xf>
    <xf numFmtId="0" fontId="44" fillId="9" borderId="5" xfId="0" applyFont="1" applyFill="1" applyBorder="1" applyAlignment="1">
      <alignment horizontal="centerContinuous"/>
    </xf>
    <xf numFmtId="166" fontId="26" fillId="9" borderId="41" xfId="0" applyNumberFormat="1" applyFont="1" applyFill="1" applyBorder="1"/>
    <xf numFmtId="0" fontId="0" fillId="9" borderId="14" xfId="0" applyFill="1" applyBorder="1"/>
    <xf numFmtId="166" fontId="26" fillId="9" borderId="49" xfId="0" applyNumberFormat="1" applyFont="1" applyFill="1" applyBorder="1"/>
    <xf numFmtId="0" fontId="44" fillId="18" borderId="4" xfId="0" applyFont="1" applyFill="1" applyBorder="1" applyAlignment="1">
      <alignment horizontal="centerContinuous"/>
    </xf>
    <xf numFmtId="0" fontId="44" fillId="18" borderId="16" xfId="0" applyFont="1" applyFill="1" applyBorder="1" applyAlignment="1">
      <alignment horizontal="centerContinuous"/>
    </xf>
    <xf numFmtId="0" fontId="44" fillId="18" borderId="5" xfId="0" applyFont="1" applyFill="1" applyBorder="1" applyAlignment="1">
      <alignment horizontal="centerContinuous"/>
    </xf>
    <xf numFmtId="166" fontId="26" fillId="18" borderId="41" xfId="0" applyNumberFormat="1" applyFont="1" applyFill="1" applyBorder="1"/>
    <xf numFmtId="0" fontId="0" fillId="18" borderId="14" xfId="0" applyFill="1" applyBorder="1"/>
    <xf numFmtId="166" fontId="26" fillId="18" borderId="49" xfId="0" applyNumberFormat="1" applyFont="1" applyFill="1" applyBorder="1"/>
    <xf numFmtId="0" fontId="26" fillId="0" borderId="17" xfId="0" applyFont="1" applyBorder="1" applyAlignment="1">
      <alignment horizontal="center"/>
    </xf>
    <xf numFmtId="0" fontId="26" fillId="0" borderId="22" xfId="0" applyFont="1" applyBorder="1"/>
    <xf numFmtId="0" fontId="0" fillId="0" borderId="17" xfId="0" applyBorder="1" applyAlignment="1">
      <alignment horizontal="center"/>
    </xf>
    <xf numFmtId="166" fontId="0" fillId="8" borderId="10" xfId="0" applyNumberFormat="1" applyFill="1" applyBorder="1"/>
    <xf numFmtId="166" fontId="0" fillId="8" borderId="41" xfId="0" applyNumberFormat="1" applyFill="1" applyBorder="1"/>
    <xf numFmtId="0" fontId="26" fillId="0" borderId="21" xfId="0" applyFont="1" applyBorder="1"/>
    <xf numFmtId="0" fontId="18" fillId="0" borderId="15" xfId="0" applyFont="1" applyBorder="1"/>
    <xf numFmtId="165" fontId="0" fillId="8" borderId="14" xfId="1" applyNumberFormat="1" applyFont="1" applyFill="1" applyBorder="1" applyAlignment="1">
      <alignment horizontal="center"/>
    </xf>
    <xf numFmtId="166" fontId="0" fillId="8" borderId="14" xfId="0" applyNumberFormat="1" applyFill="1" applyBorder="1"/>
    <xf numFmtId="166" fontId="0" fillId="6" borderId="10" xfId="0" applyNumberFormat="1" applyFill="1" applyBorder="1"/>
    <xf numFmtId="166" fontId="0" fillId="6" borderId="41" xfId="0" applyNumberFormat="1" applyFill="1" applyBorder="1"/>
    <xf numFmtId="165" fontId="0" fillId="6" borderId="14" xfId="1" applyNumberFormat="1" applyFont="1" applyFill="1" applyBorder="1" applyAlignment="1">
      <alignment horizontal="center"/>
    </xf>
    <xf numFmtId="166" fontId="0" fillId="6" borderId="14" xfId="0" applyNumberFormat="1" applyFill="1" applyBorder="1"/>
    <xf numFmtId="166" fontId="0" fillId="12" borderId="10" xfId="0" applyNumberFormat="1" applyFill="1" applyBorder="1"/>
    <xf numFmtId="166" fontId="0" fillId="12" borderId="41" xfId="0" applyNumberFormat="1" applyFill="1" applyBorder="1"/>
    <xf numFmtId="165" fontId="0" fillId="12" borderId="14" xfId="1" applyNumberFormat="1" applyFont="1" applyFill="1" applyBorder="1" applyAlignment="1">
      <alignment horizontal="center"/>
    </xf>
    <xf numFmtId="166" fontId="0" fillId="12" borderId="14" xfId="0" applyNumberFormat="1" applyFill="1" applyBorder="1"/>
    <xf numFmtId="166" fontId="0" fillId="11" borderId="10" xfId="0" applyNumberFormat="1" applyFill="1" applyBorder="1"/>
    <xf numFmtId="166" fontId="0" fillId="11" borderId="41" xfId="0" applyNumberFormat="1" applyFill="1" applyBorder="1"/>
    <xf numFmtId="165" fontId="0" fillId="11" borderId="14" xfId="1" applyNumberFormat="1" applyFont="1" applyFill="1" applyBorder="1" applyAlignment="1">
      <alignment horizontal="center"/>
    </xf>
    <xf numFmtId="166" fontId="0" fillId="11" borderId="14" xfId="0" applyNumberFormat="1" applyFill="1" applyBorder="1"/>
    <xf numFmtId="166" fontId="0" fillId="9" borderId="10" xfId="0" applyNumberFormat="1" applyFill="1" applyBorder="1"/>
    <xf numFmtId="166" fontId="0" fillId="9" borderId="41" xfId="0" applyNumberFormat="1" applyFill="1" applyBorder="1"/>
    <xf numFmtId="165" fontId="0" fillId="9" borderId="14" xfId="1" applyNumberFormat="1" applyFont="1" applyFill="1" applyBorder="1" applyAlignment="1">
      <alignment horizontal="center"/>
    </xf>
    <xf numFmtId="166" fontId="0" fillId="9" borderId="14" xfId="0" applyNumberFormat="1" applyFill="1" applyBorder="1"/>
    <xf numFmtId="166" fontId="0" fillId="18" borderId="10" xfId="0" applyNumberFormat="1" applyFill="1" applyBorder="1"/>
    <xf numFmtId="166" fontId="0" fillId="18" borderId="41" xfId="0" applyNumberFormat="1" applyFill="1" applyBorder="1"/>
    <xf numFmtId="165" fontId="0" fillId="18" borderId="14" xfId="1" applyNumberFormat="1" applyFont="1" applyFill="1" applyBorder="1" applyAlignment="1">
      <alignment horizontal="center"/>
    </xf>
    <xf numFmtId="166" fontId="0" fillId="18" borderId="14" xfId="0" applyNumberFormat="1" applyFill="1" applyBorder="1"/>
    <xf numFmtId="0" fontId="26" fillId="0" borderId="37" xfId="0" applyFont="1" applyBorder="1" applyAlignment="1">
      <alignment horizontal="centerContinuous"/>
    </xf>
    <xf numFmtId="0" fontId="26" fillId="0" borderId="20" xfId="0" applyFont="1" applyBorder="1" applyAlignment="1">
      <alignment horizontal="centerContinuous"/>
    </xf>
    <xf numFmtId="0" fontId="26" fillId="0" borderId="21" xfId="0" applyFont="1" applyBorder="1" applyAlignment="1">
      <alignment horizontal="centerContinuous"/>
    </xf>
    <xf numFmtId="166" fontId="124" fillId="0" borderId="0" xfId="0" applyNumberFormat="1" applyFont="1"/>
    <xf numFmtId="166" fontId="0" fillId="0" borderId="22" xfId="0" applyNumberFormat="1" applyBorder="1"/>
    <xf numFmtId="166" fontId="26" fillId="0" borderId="41" xfId="0" applyNumberFormat="1" applyFont="1" applyBorder="1"/>
    <xf numFmtId="164" fontId="0" fillId="6" borderId="2" xfId="0" applyNumberFormat="1" applyFill="1" applyBorder="1"/>
    <xf numFmtId="164" fontId="0" fillId="6" borderId="14" xfId="0" applyNumberFormat="1" applyFill="1" applyBorder="1"/>
    <xf numFmtId="164" fontId="0" fillId="8" borderId="2" xfId="0" applyNumberFormat="1" applyFill="1" applyBorder="1"/>
    <xf numFmtId="164" fontId="0" fillId="8" borderId="14" xfId="0" applyNumberFormat="1" applyFill="1" applyBorder="1"/>
    <xf numFmtId="0" fontId="26" fillId="8" borderId="44" xfId="0" applyFont="1" applyFill="1" applyBorder="1" applyAlignment="1">
      <alignment horizontal="center" wrapText="1"/>
    </xf>
    <xf numFmtId="0" fontId="26" fillId="8" borderId="2" xfId="0" applyFont="1" applyFill="1" applyBorder="1" applyAlignment="1">
      <alignment horizontal="center" wrapText="1"/>
    </xf>
    <xf numFmtId="0" fontId="26" fillId="0" borderId="16" xfId="0" applyFont="1" applyBorder="1" applyAlignment="1">
      <alignment horizontal="center" wrapText="1"/>
    </xf>
    <xf numFmtId="164" fontId="0" fillId="0" borderId="12" xfId="0" applyNumberFormat="1" applyBorder="1" applyAlignment="1">
      <alignment horizontal="right" vertical="center"/>
    </xf>
    <xf numFmtId="164" fontId="0" fillId="0" borderId="77" xfId="0" applyNumberFormat="1" applyBorder="1" applyAlignment="1">
      <alignment horizontal="right" vertical="center"/>
    </xf>
    <xf numFmtId="164" fontId="0" fillId="0" borderId="47" xfId="0" applyNumberFormat="1" applyBorder="1" applyAlignment="1">
      <alignment horizontal="right" vertical="center"/>
    </xf>
    <xf numFmtId="164" fontId="0" fillId="0" borderId="52" xfId="0" applyNumberFormat="1" applyBorder="1" applyAlignment="1">
      <alignment horizontal="right" vertical="center"/>
    </xf>
    <xf numFmtId="164" fontId="0" fillId="6" borderId="42" xfId="0" applyNumberFormat="1" applyFill="1" applyBorder="1"/>
    <xf numFmtId="164" fontId="26" fillId="4" borderId="63" xfId="0" applyNumberFormat="1" applyFont="1" applyFill="1" applyBorder="1" applyAlignment="1">
      <alignment vertical="center"/>
    </xf>
    <xf numFmtId="164" fontId="0" fillId="6" borderId="40" xfId="0" applyNumberFormat="1" applyFill="1" applyBorder="1"/>
    <xf numFmtId="164" fontId="26" fillId="4" borderId="49" xfId="0" applyNumberFormat="1" applyFont="1" applyFill="1" applyBorder="1" applyAlignment="1">
      <alignment vertical="center"/>
    </xf>
    <xf numFmtId="164" fontId="0" fillId="0" borderId="77" xfId="0" applyNumberFormat="1" applyBorder="1" applyAlignment="1">
      <alignment horizontal="right"/>
    </xf>
    <xf numFmtId="164" fontId="0" fillId="0" borderId="47" xfId="0" applyNumberFormat="1" applyBorder="1" applyAlignment="1">
      <alignment horizontal="right"/>
    </xf>
    <xf numFmtId="164" fontId="0" fillId="0" borderId="11" xfId="0" applyNumberFormat="1" applyBorder="1" applyAlignment="1">
      <alignment horizontal="right" vertical="center"/>
    </xf>
    <xf numFmtId="164" fontId="0" fillId="0" borderId="41" xfId="0" applyNumberFormat="1" applyBorder="1" applyAlignment="1">
      <alignment horizontal="right" vertical="center"/>
    </xf>
    <xf numFmtId="164" fontId="26" fillId="12" borderId="5" xfId="0" applyNumberFormat="1" applyFont="1" applyFill="1" applyBorder="1"/>
    <xf numFmtId="164" fontId="26" fillId="6" borderId="5" xfId="0" applyNumberFormat="1" applyFont="1" applyFill="1" applyBorder="1"/>
    <xf numFmtId="164" fontId="26" fillId="4" borderId="5" xfId="0" applyNumberFormat="1" applyFont="1" applyFill="1" applyBorder="1"/>
    <xf numFmtId="164" fontId="26" fillId="0" borderId="0" xfId="0" applyNumberFormat="1" applyFont="1" applyAlignment="1">
      <alignment horizontal="right"/>
    </xf>
    <xf numFmtId="1" fontId="0" fillId="0" borderId="3" xfId="0" applyNumberFormat="1" applyBorder="1" applyAlignment="1">
      <alignment horizontal="center"/>
    </xf>
    <xf numFmtId="0" fontId="38" fillId="13" borderId="74" xfId="0" applyFont="1" applyFill="1" applyBorder="1" applyAlignment="1">
      <alignment horizontal="left" vertical="center"/>
    </xf>
    <xf numFmtId="0" fontId="38" fillId="12" borderId="38" xfId="0" applyFont="1" applyFill="1" applyBorder="1" applyAlignment="1" applyProtection="1">
      <alignment horizontal="left" vertical="center"/>
      <protection locked="0"/>
    </xf>
    <xf numFmtId="0" fontId="2" fillId="0" borderId="0" xfId="0" applyFont="1" applyAlignment="1">
      <alignment horizontal="left"/>
    </xf>
    <xf numFmtId="0" fontId="26" fillId="0" borderId="11" xfId="0" applyFont="1" applyBorder="1" applyAlignment="1">
      <alignment horizontal="center"/>
    </xf>
    <xf numFmtId="0" fontId="26" fillId="0" borderId="12" xfId="0" applyFont="1" applyBorder="1" applyAlignment="1">
      <alignment horizontal="center"/>
    </xf>
    <xf numFmtId="0" fontId="0" fillId="0" borderId="3" xfId="0" applyBorder="1" applyAlignment="1">
      <alignment horizontal="left"/>
    </xf>
    <xf numFmtId="0" fontId="0" fillId="0" borderId="14" xfId="0" applyBorder="1" applyAlignment="1">
      <alignment horizontal="left"/>
    </xf>
    <xf numFmtId="0" fontId="82" fillId="0" borderId="0" xfId="0" applyFont="1" applyProtection="1">
      <protection locked="0"/>
    </xf>
    <xf numFmtId="0" fontId="64" fillId="0" borderId="31" xfId="0" applyFont="1" applyBorder="1" applyAlignment="1">
      <alignment horizontal="right"/>
    </xf>
    <xf numFmtId="0" fontId="64" fillId="12" borderId="32" xfId="0" applyFont="1" applyFill="1" applyBorder="1" applyAlignment="1" applyProtection="1">
      <alignment horizontal="left" vertical="center"/>
      <protection locked="0"/>
    </xf>
    <xf numFmtId="0" fontId="64" fillId="0" borderId="69" xfId="0" applyFont="1" applyBorder="1" applyAlignment="1">
      <alignment horizontal="right"/>
    </xf>
    <xf numFmtId="0" fontId="64" fillId="12" borderId="85" xfId="0" applyFont="1" applyFill="1" applyBorder="1" applyAlignment="1" applyProtection="1">
      <alignment horizontal="left" vertical="center"/>
      <protection locked="0"/>
    </xf>
    <xf numFmtId="167" fontId="64" fillId="12" borderId="85" xfId="6" applyNumberFormat="1" applyFont="1" applyFill="1" applyBorder="1" applyAlignment="1" applyProtection="1">
      <alignment horizontal="left"/>
      <protection locked="0"/>
    </xf>
    <xf numFmtId="0" fontId="64" fillId="12" borderId="85" xfId="6" applyFont="1" applyFill="1" applyBorder="1" applyAlignment="1" applyProtection="1">
      <alignment horizontal="left"/>
      <protection locked="0"/>
    </xf>
    <xf numFmtId="0" fontId="64" fillId="0" borderId="33" xfId="0" applyFont="1" applyBorder="1" applyAlignment="1">
      <alignment horizontal="right"/>
    </xf>
    <xf numFmtId="167" fontId="66" fillId="40" borderId="34" xfId="7" applyNumberFormat="1" applyFont="1" applyFill="1" applyBorder="1" applyAlignment="1" applyProtection="1">
      <alignment horizontal="left"/>
    </xf>
    <xf numFmtId="0" fontId="111" fillId="32" borderId="0" xfId="0" applyFont="1" applyFill="1" applyAlignment="1">
      <alignment horizontal="right"/>
    </xf>
    <xf numFmtId="167" fontId="125" fillId="32" borderId="0" xfId="0" applyNumberFormat="1" applyFont="1" applyFill="1" applyAlignment="1">
      <alignment horizontal="left"/>
    </xf>
    <xf numFmtId="0" fontId="44" fillId="0" borderId="4" xfId="0" applyFont="1" applyBorder="1" applyAlignment="1">
      <alignment vertical="center" wrapText="1"/>
    </xf>
    <xf numFmtId="0" fontId="26" fillId="0" borderId="65" xfId="0" applyFont="1" applyBorder="1" applyAlignment="1">
      <alignment vertical="center" wrapText="1"/>
    </xf>
    <xf numFmtId="0" fontId="24" fillId="12" borderId="69" xfId="0" applyFont="1" applyFill="1" applyBorder="1" applyProtection="1">
      <protection locked="0"/>
    </xf>
    <xf numFmtId="0" fontId="24" fillId="12" borderId="68" xfId="6" applyFont="1" applyFill="1" applyBorder="1" applyAlignment="1" applyProtection="1">
      <protection locked="0"/>
    </xf>
    <xf numFmtId="0" fontId="26" fillId="0" borderId="65" xfId="0" applyFont="1" applyBorder="1" applyAlignment="1">
      <alignment horizontal="center" wrapText="1"/>
    </xf>
    <xf numFmtId="0" fontId="26" fillId="12" borderId="68" xfId="0" applyFont="1" applyFill="1" applyBorder="1" applyProtection="1">
      <protection locked="0"/>
    </xf>
    <xf numFmtId="0" fontId="26" fillId="12" borderId="69" xfId="0" applyFont="1" applyFill="1" applyBorder="1" applyProtection="1">
      <protection locked="0"/>
    </xf>
    <xf numFmtId="0" fontId="26" fillId="12" borderId="33" xfId="0" applyFont="1" applyFill="1" applyBorder="1" applyProtection="1">
      <protection locked="0"/>
    </xf>
    <xf numFmtId="0" fontId="44" fillId="0" borderId="18" xfId="0" applyFont="1" applyBorder="1" applyAlignment="1">
      <alignment vertical="center" wrapText="1"/>
    </xf>
    <xf numFmtId="0" fontId="26" fillId="0" borderId="65" xfId="0" applyFont="1" applyBorder="1" applyAlignment="1">
      <alignment wrapText="1"/>
    </xf>
    <xf numFmtId="0" fontId="24" fillId="12" borderId="33" xfId="6" applyFont="1" applyFill="1" applyBorder="1" applyAlignment="1" applyProtection="1">
      <protection locked="0"/>
    </xf>
    <xf numFmtId="0" fontId="44" fillId="0" borderId="4" xfId="0" applyFont="1" applyBorder="1" applyAlignment="1">
      <alignment horizontal="center" wrapText="1"/>
    </xf>
    <xf numFmtId="0" fontId="44" fillId="0" borderId="5" xfId="0" applyFont="1" applyBorder="1" applyAlignment="1">
      <alignment horizontal="center" wrapText="1"/>
    </xf>
    <xf numFmtId="0" fontId="50" fillId="12" borderId="68" xfId="0" applyFont="1" applyFill="1" applyBorder="1" applyProtection="1">
      <protection locked="0"/>
    </xf>
    <xf numFmtId="0" fontId="50" fillId="12" borderId="8" xfId="6" applyFont="1" applyFill="1" applyBorder="1" applyProtection="1">
      <protection locked="0"/>
    </xf>
    <xf numFmtId="0" fontId="50" fillId="12" borderId="33" xfId="0" applyFont="1" applyFill="1" applyBorder="1" applyProtection="1">
      <protection locked="0"/>
    </xf>
    <xf numFmtId="0" fontId="50" fillId="12" borderId="54" xfId="6" applyFont="1" applyFill="1" applyBorder="1" applyProtection="1">
      <protection locked="0"/>
    </xf>
    <xf numFmtId="0" fontId="44" fillId="0" borderId="37" xfId="0" applyFont="1" applyBorder="1" applyAlignment="1">
      <alignment vertical="center"/>
    </xf>
    <xf numFmtId="0" fontId="24" fillId="12" borderId="31" xfId="0" applyFont="1" applyFill="1" applyBorder="1" applyProtection="1">
      <protection locked="0"/>
    </xf>
    <xf numFmtId="0" fontId="24" fillId="12" borderId="33" xfId="0" applyFont="1" applyFill="1" applyBorder="1" applyProtection="1">
      <protection locked="0"/>
    </xf>
    <xf numFmtId="0" fontId="44" fillId="0" borderId="4" xfId="0" applyFont="1" applyBorder="1" applyAlignment="1">
      <alignment vertical="center"/>
    </xf>
    <xf numFmtId="0" fontId="24" fillId="0" borderId="68" xfId="0" applyFont="1" applyBorder="1"/>
    <xf numFmtId="0" fontId="24" fillId="0" borderId="69" xfId="0" applyFont="1" applyBorder="1"/>
    <xf numFmtId="0" fontId="24" fillId="0" borderId="87" xfId="0" applyFont="1" applyBorder="1"/>
    <xf numFmtId="0" fontId="24" fillId="35" borderId="69" xfId="0" applyFont="1" applyFill="1" applyBorder="1"/>
    <xf numFmtId="0" fontId="26" fillId="0" borderId="79" xfId="0" applyFont="1" applyBorder="1"/>
    <xf numFmtId="0" fontId="24" fillId="12" borderId="68" xfId="0" applyFont="1" applyFill="1" applyBorder="1" applyProtection="1">
      <protection locked="0"/>
    </xf>
    <xf numFmtId="0" fontId="24" fillId="12" borderId="87" xfId="0" applyFont="1" applyFill="1" applyBorder="1" applyProtection="1">
      <protection locked="0"/>
    </xf>
    <xf numFmtId="0" fontId="24" fillId="0" borderId="33" xfId="0" applyFont="1" applyBorder="1"/>
    <xf numFmtId="165" fontId="0" fillId="0" borderId="0" xfId="0" applyNumberFormat="1" applyAlignment="1">
      <alignment vertical="center"/>
    </xf>
    <xf numFmtId="0" fontId="26" fillId="0" borderId="0" xfId="0" applyFont="1" applyAlignment="1">
      <alignment vertical="top"/>
    </xf>
    <xf numFmtId="0" fontId="28" fillId="36" borderId="15" xfId="0" applyFont="1" applyFill="1" applyBorder="1" applyAlignment="1">
      <alignment horizontal="center" wrapText="1"/>
    </xf>
    <xf numFmtId="14" fontId="18" fillId="36" borderId="2" xfId="0" applyNumberFormat="1" applyFont="1" applyFill="1" applyBorder="1" applyAlignment="1" applyProtection="1">
      <alignment horizontal="center"/>
      <protection locked="0"/>
    </xf>
    <xf numFmtId="14" fontId="18" fillId="36" borderId="14" xfId="0" applyNumberFormat="1" applyFont="1" applyFill="1" applyBorder="1" applyAlignment="1" applyProtection="1">
      <alignment horizontal="center"/>
      <protection locked="0"/>
    </xf>
    <xf numFmtId="0" fontId="28" fillId="36" borderId="24" xfId="0" applyFont="1" applyFill="1" applyBorder="1" applyAlignment="1">
      <alignment horizontal="center" wrapText="1"/>
    </xf>
    <xf numFmtId="0" fontId="50" fillId="36" borderId="12" xfId="0" applyFont="1" applyFill="1" applyBorder="1" applyAlignment="1" applyProtection="1">
      <alignment horizontal="left"/>
      <protection locked="0"/>
    </xf>
    <xf numFmtId="0" fontId="50" fillId="36" borderId="6" xfId="0" applyFont="1" applyFill="1" applyBorder="1" applyAlignment="1" applyProtection="1">
      <alignment horizontal="left"/>
      <protection locked="0"/>
    </xf>
    <xf numFmtId="0" fontId="50" fillId="36" borderId="47" xfId="0" applyFont="1" applyFill="1" applyBorder="1" applyAlignment="1" applyProtection="1">
      <alignment horizontal="left"/>
      <protection locked="0"/>
    </xf>
    <xf numFmtId="0" fontId="43" fillId="0" borderId="20" xfId="0" applyFont="1" applyBorder="1"/>
    <xf numFmtId="0" fontId="59" fillId="0" borderId="16" xfId="0" applyFont="1" applyBorder="1"/>
    <xf numFmtId="165" fontId="0" fillId="0" borderId="3" xfId="1" applyNumberFormat="1" applyFont="1" applyBorder="1" applyAlignment="1">
      <alignment horizontal="center" vertical="center"/>
    </xf>
    <xf numFmtId="165" fontId="0" fillId="0" borderId="39" xfId="1" applyNumberFormat="1" applyFont="1" applyBorder="1" applyAlignment="1">
      <alignment horizontal="center"/>
    </xf>
    <xf numFmtId="168" fontId="0" fillId="0" borderId="86" xfId="0" applyNumberFormat="1" applyBorder="1"/>
    <xf numFmtId="168" fontId="0" fillId="0" borderId="13" xfId="0" applyNumberFormat="1" applyBorder="1"/>
    <xf numFmtId="168" fontId="0" fillId="0" borderId="79" xfId="0" applyNumberFormat="1" applyBorder="1"/>
    <xf numFmtId="164" fontId="50" fillId="0" borderId="51" xfId="2" applyNumberFormat="1" applyFont="1" applyBorder="1" applyProtection="1"/>
    <xf numFmtId="0" fontId="5" fillId="7" borderId="75" xfId="0" applyFont="1" applyFill="1" applyBorder="1" applyAlignment="1">
      <alignment horizontal="right" vertical="center"/>
    </xf>
    <xf numFmtId="0" fontId="5" fillId="7" borderId="74" xfId="0" applyFont="1" applyFill="1" applyBorder="1" applyAlignment="1">
      <alignment horizontal="right" vertical="center"/>
    </xf>
    <xf numFmtId="164" fontId="63" fillId="0" borderId="38" xfId="7" applyNumberFormat="1" applyFont="1" applyBorder="1" applyProtection="1"/>
    <xf numFmtId="164" fontId="63" fillId="0" borderId="3" xfId="7" applyNumberFormat="1" applyFont="1" applyBorder="1" applyProtection="1"/>
    <xf numFmtId="164" fontId="63" fillId="0" borderId="39" xfId="7" applyNumberFormat="1" applyFont="1" applyBorder="1" applyAlignment="1" applyProtection="1">
      <alignment horizontal="right"/>
    </xf>
    <xf numFmtId="164" fontId="126" fillId="12" borderId="59" xfId="7" applyNumberFormat="1" applyFont="1" applyFill="1" applyBorder="1" applyProtection="1">
      <protection locked="0"/>
    </xf>
    <xf numFmtId="164" fontId="126" fillId="12" borderId="58" xfId="7" applyNumberFormat="1" applyFont="1" applyFill="1" applyBorder="1" applyProtection="1">
      <protection locked="0"/>
    </xf>
    <xf numFmtId="164" fontId="126" fillId="12" borderId="41" xfId="7" applyNumberFormat="1" applyFont="1" applyFill="1" applyBorder="1" applyProtection="1">
      <protection locked="0"/>
    </xf>
    <xf numFmtId="0" fontId="53" fillId="0" borderId="11" xfId="0" applyFont="1" applyBorder="1"/>
    <xf numFmtId="0" fontId="53" fillId="0" borderId="78" xfId="0" applyFont="1" applyBorder="1" applyAlignment="1">
      <alignment horizontal="center"/>
    </xf>
    <xf numFmtId="0" fontId="53" fillId="0" borderId="78" xfId="0" applyFont="1" applyBorder="1" applyAlignment="1">
      <alignment horizontal="center" vertical="center"/>
    </xf>
    <xf numFmtId="0" fontId="53" fillId="0" borderId="26" xfId="0" applyFont="1" applyBorder="1" applyAlignment="1">
      <alignment horizontal="center" vertical="center"/>
    </xf>
    <xf numFmtId="0" fontId="53" fillId="0" borderId="1" xfId="0" applyFont="1" applyBorder="1"/>
    <xf numFmtId="44" fontId="53" fillId="0" borderId="0" xfId="0" applyNumberFormat="1" applyFont="1"/>
    <xf numFmtId="44" fontId="54" fillId="0" borderId="10" xfId="0" applyNumberFormat="1" applyFont="1" applyBorder="1"/>
    <xf numFmtId="44" fontId="53" fillId="0" borderId="10" xfId="0" applyNumberFormat="1" applyFont="1" applyBorder="1"/>
    <xf numFmtId="0" fontId="53" fillId="0" borderId="12" xfId="0" applyFont="1" applyBorder="1" applyAlignment="1">
      <alignment horizontal="center" vertical="center"/>
    </xf>
    <xf numFmtId="0" fontId="53" fillId="0" borderId="9" xfId="0" applyFont="1" applyBorder="1" applyAlignment="1">
      <alignment horizontal="center" vertical="center"/>
    </xf>
    <xf numFmtId="0" fontId="53" fillId="0" borderId="8" xfId="0" applyFont="1" applyBorder="1" applyAlignment="1">
      <alignment horizontal="center" vertical="center"/>
    </xf>
    <xf numFmtId="0" fontId="40" fillId="0" borderId="0" xfId="0" applyFont="1" applyAlignment="1">
      <alignment horizontal="center" vertical="center"/>
    </xf>
    <xf numFmtId="0" fontId="54" fillId="0" borderId="78" xfId="0" applyFont="1" applyBorder="1" applyAlignment="1">
      <alignment horizontal="center"/>
    </xf>
    <xf numFmtId="0" fontId="54" fillId="0" borderId="78" xfId="0" applyFont="1" applyBorder="1" applyAlignment="1">
      <alignment horizontal="center" vertical="center"/>
    </xf>
    <xf numFmtId="0" fontId="54" fillId="0" borderId="26" xfId="0" applyFont="1" applyBorder="1" applyAlignment="1">
      <alignment horizontal="center" vertical="center"/>
    </xf>
    <xf numFmtId="0" fontId="54" fillId="0" borderId="1" xfId="0" applyFont="1" applyBorder="1"/>
    <xf numFmtId="44" fontId="54" fillId="0" borderId="0" xfId="0" applyNumberFormat="1" applyFont="1"/>
    <xf numFmtId="44" fontId="54" fillId="0" borderId="0" xfId="0" applyNumberFormat="1" applyFont="1" applyAlignment="1">
      <alignment horizontal="center" vertical="center"/>
    </xf>
    <xf numFmtId="44" fontId="54" fillId="0" borderId="10" xfId="0" applyNumberFormat="1" applyFont="1" applyBorder="1" applyAlignment="1">
      <alignment horizontal="center" vertical="center"/>
    </xf>
    <xf numFmtId="0" fontId="54" fillId="0" borderId="12" xfId="0" applyFont="1" applyBorder="1" applyAlignment="1">
      <alignment vertical="center"/>
    </xf>
    <xf numFmtId="0" fontId="54" fillId="0" borderId="9" xfId="0" applyFont="1" applyBorder="1" applyAlignment="1">
      <alignment vertical="center"/>
    </xf>
    <xf numFmtId="0" fontId="54" fillId="0" borderId="9" xfId="0" applyFont="1" applyBorder="1" applyAlignment="1">
      <alignment horizontal="center" vertical="center"/>
    </xf>
    <xf numFmtId="0" fontId="54" fillId="0" borderId="8" xfId="0" applyFont="1" applyBorder="1" applyAlignment="1">
      <alignment horizontal="center" vertical="center"/>
    </xf>
    <xf numFmtId="0" fontId="54" fillId="0" borderId="0" xfId="0" applyFont="1" applyAlignment="1">
      <alignment horizontal="center" vertical="center"/>
    </xf>
    <xf numFmtId="0" fontId="54" fillId="0" borderId="26" xfId="0" applyFont="1" applyBorder="1" applyAlignment="1">
      <alignment horizontal="center"/>
    </xf>
    <xf numFmtId="0" fontId="54" fillId="0" borderId="12" xfId="0" applyFont="1" applyBorder="1" applyAlignment="1">
      <alignment horizontal="center" vertical="center"/>
    </xf>
    <xf numFmtId="0" fontId="129" fillId="0" borderId="1" xfId="0" applyFont="1" applyBorder="1"/>
    <xf numFmtId="168" fontId="130" fillId="0" borderId="0" xfId="0" applyNumberFormat="1" applyFont="1"/>
    <xf numFmtId="0" fontId="129" fillId="0" borderId="12" xfId="0" applyFont="1" applyBorder="1"/>
    <xf numFmtId="168" fontId="130" fillId="0" borderId="9" xfId="0" applyNumberFormat="1" applyFont="1" applyBorder="1"/>
    <xf numFmtId="0" fontId="127" fillId="0" borderId="0" xfId="0" applyFont="1"/>
    <xf numFmtId="0" fontId="54" fillId="0" borderId="0" xfId="0" applyFont="1" applyAlignment="1">
      <alignment horizontal="left"/>
    </xf>
    <xf numFmtId="164" fontId="54" fillId="0" borderId="0" xfId="0" applyNumberFormat="1" applyFont="1" applyAlignment="1">
      <alignment horizontal="center" vertical="center"/>
    </xf>
    <xf numFmtId="7" fontId="111" fillId="0" borderId="0" xfId="0" applyNumberFormat="1" applyFont="1" applyAlignment="1">
      <alignment horizontal="center"/>
    </xf>
    <xf numFmtId="0" fontId="131" fillId="0" borderId="0" xfId="0" applyFont="1"/>
    <xf numFmtId="7" fontId="131" fillId="0" borderId="0" xfId="0" applyNumberFormat="1" applyFont="1" applyAlignment="1">
      <alignment horizontal="center" vertical="center"/>
    </xf>
    <xf numFmtId="164" fontId="127" fillId="0" borderId="0" xfId="0" applyNumberFormat="1" applyFont="1"/>
    <xf numFmtId="0" fontId="111" fillId="0" borderId="0" xfId="0" applyFont="1" applyAlignment="1">
      <alignment horizontal="center"/>
    </xf>
    <xf numFmtId="10" fontId="40" fillId="0" borderId="0" xfId="0" applyNumberFormat="1" applyFont="1" applyAlignment="1">
      <alignment horizontal="center" vertical="center"/>
    </xf>
    <xf numFmtId="2" fontId="111" fillId="0" borderId="0" xfId="0" applyNumberFormat="1" applyFont="1" applyAlignment="1">
      <alignment horizontal="center"/>
    </xf>
    <xf numFmtId="2" fontId="40" fillId="0" borderId="0" xfId="0" applyNumberFormat="1" applyFont="1" applyAlignment="1">
      <alignment horizontal="center" vertical="center"/>
    </xf>
    <xf numFmtId="7" fontId="40" fillId="0" borderId="0" xfId="0" applyNumberFormat="1" applyFont="1"/>
    <xf numFmtId="0" fontId="40" fillId="0" borderId="0" xfId="1" applyNumberFormat="1" applyFont="1" applyFill="1" applyAlignment="1">
      <alignment horizontal="center" vertical="center"/>
    </xf>
    <xf numFmtId="10" fontId="40" fillId="0" borderId="0" xfId="1" applyNumberFormat="1" applyFont="1" applyFill="1" applyAlignment="1">
      <alignment horizontal="center" vertical="center"/>
    </xf>
    <xf numFmtId="44" fontId="40" fillId="0" borderId="0" xfId="0" applyNumberFormat="1" applyFont="1"/>
    <xf numFmtId="0" fontId="132" fillId="0" borderId="0" xfId="0" applyFont="1"/>
    <xf numFmtId="0" fontId="133" fillId="0" borderId="0" xfId="0" applyFont="1"/>
    <xf numFmtId="0" fontId="133" fillId="0" borderId="0" xfId="0" applyFont="1" applyAlignment="1">
      <alignment horizontal="center" vertical="center"/>
    </xf>
    <xf numFmtId="172" fontId="40" fillId="0" borderId="0" xfId="0" applyNumberFormat="1" applyFont="1" applyAlignment="1">
      <alignment horizontal="center" vertical="center"/>
    </xf>
    <xf numFmtId="172" fontId="40" fillId="0" borderId="0" xfId="0" applyNumberFormat="1" applyFont="1"/>
    <xf numFmtId="172" fontId="40" fillId="0" borderId="10" xfId="0" applyNumberFormat="1" applyFont="1" applyBorder="1"/>
    <xf numFmtId="172" fontId="128" fillId="0" borderId="10" xfId="0" applyNumberFormat="1" applyFont="1" applyBorder="1"/>
    <xf numFmtId="172" fontId="130" fillId="0" borderId="0" xfId="0" applyNumberFormat="1" applyFont="1"/>
    <xf numFmtId="172" fontId="130" fillId="0" borderId="10" xfId="0" applyNumberFormat="1" applyFont="1" applyBorder="1"/>
    <xf numFmtId="172" fontId="130" fillId="0" borderId="9" xfId="0" applyNumberFormat="1" applyFont="1" applyBorder="1"/>
    <xf numFmtId="172" fontId="130" fillId="0" borderId="8" xfId="0" applyNumberFormat="1" applyFont="1" applyBorder="1"/>
    <xf numFmtId="172" fontId="134" fillId="0" borderId="0" xfId="0" applyNumberFormat="1" applyFont="1" applyAlignment="1">
      <alignment wrapText="1"/>
    </xf>
    <xf numFmtId="0" fontId="135" fillId="0" borderId="11" xfId="0" applyFont="1" applyBorder="1" applyAlignment="1">
      <alignment wrapText="1"/>
    </xf>
    <xf numFmtId="0" fontId="136" fillId="0" borderId="1" xfId="0" applyFont="1" applyBorder="1" applyAlignment="1">
      <alignment wrapText="1"/>
    </xf>
    <xf numFmtId="0" fontId="74" fillId="0" borderId="0" xfId="0" applyFont="1"/>
    <xf numFmtId="0" fontId="5" fillId="5" borderId="6" xfId="0" applyFont="1" applyFill="1" applyBorder="1" applyAlignment="1">
      <alignment horizontal="center" vertical="center" wrapText="1"/>
    </xf>
    <xf numFmtId="0" fontId="50" fillId="12" borderId="2" xfId="6" applyFont="1" applyFill="1" applyBorder="1" applyAlignment="1" applyProtection="1">
      <alignment horizontal="left" vertical="top" wrapText="1"/>
      <protection locked="0"/>
    </xf>
    <xf numFmtId="0" fontId="50" fillId="12" borderId="14" xfId="6" applyFont="1" applyFill="1" applyBorder="1" applyAlignment="1" applyProtection="1">
      <alignment horizontal="left" vertical="top" wrapText="1"/>
      <protection locked="0"/>
    </xf>
    <xf numFmtId="0" fontId="28" fillId="26" borderId="0" xfId="0" applyFont="1" applyFill="1" applyAlignment="1">
      <alignment horizontal="left"/>
    </xf>
    <xf numFmtId="9" fontId="0" fillId="0" borderId="5" xfId="1" applyFont="1" applyBorder="1" applyAlignment="1">
      <alignment horizontal="right"/>
    </xf>
    <xf numFmtId="0" fontId="24" fillId="36" borderId="4" xfId="0" applyFont="1" applyFill="1" applyBorder="1" applyAlignment="1">
      <alignment horizontal="left" vertical="center"/>
    </xf>
    <xf numFmtId="0" fontId="0" fillId="0" borderId="11" xfId="0" applyBorder="1"/>
    <xf numFmtId="0" fontId="23" fillId="3" borderId="3" xfId="7" applyFont="1" applyFill="1" applyBorder="1" applyAlignment="1">
      <alignment vertical="top" wrapText="1"/>
    </xf>
    <xf numFmtId="0" fontId="26" fillId="5" borderId="3" xfId="0" applyFont="1" applyFill="1" applyBorder="1" applyAlignment="1">
      <alignment horizontal="left" vertical="center" wrapText="1"/>
    </xf>
    <xf numFmtId="2" fontId="0" fillId="0" borderId="58" xfId="0" applyNumberFormat="1" applyBorder="1" applyAlignment="1">
      <alignment horizontal="center"/>
    </xf>
    <xf numFmtId="169" fontId="0" fillId="0" borderId="58" xfId="0" applyNumberFormat="1" applyBorder="1" applyAlignment="1">
      <alignment horizontal="center"/>
    </xf>
    <xf numFmtId="0" fontId="0" fillId="4" borderId="58" xfId="0" applyFill="1" applyBorder="1" applyAlignment="1">
      <alignment horizontal="center"/>
    </xf>
    <xf numFmtId="0" fontId="24" fillId="36" borderId="4" xfId="0" applyFont="1" applyFill="1" applyBorder="1" applyAlignment="1">
      <alignment horizontal="centerContinuous" wrapText="1"/>
    </xf>
    <xf numFmtId="2" fontId="115" fillId="59" borderId="4" xfId="0" applyNumberFormat="1" applyFont="1" applyFill="1" applyBorder="1" applyAlignment="1">
      <alignment horizontal="center"/>
    </xf>
    <xf numFmtId="0" fontId="115" fillId="59" borderId="16" xfId="0" applyFont="1" applyFill="1" applyBorder="1"/>
    <xf numFmtId="0" fontId="0" fillId="59" borderId="5" xfId="0" applyFill="1" applyBorder="1"/>
    <xf numFmtId="0" fontId="107" fillId="0" borderId="37" xfId="0" applyFont="1" applyBorder="1"/>
    <xf numFmtId="0" fontId="107" fillId="0" borderId="20" xfId="0" applyFont="1" applyBorder="1"/>
    <xf numFmtId="0" fontId="108" fillId="0" borderId="20" xfId="0" applyFont="1" applyBorder="1"/>
    <xf numFmtId="167" fontId="18" fillId="0" borderId="17" xfId="0" applyNumberFormat="1" applyFont="1" applyBorder="1"/>
    <xf numFmtId="0" fontId="0" fillId="0" borderId="9" xfId="0" applyBorder="1" applyAlignment="1">
      <alignment horizontal="center"/>
    </xf>
    <xf numFmtId="0" fontId="11" fillId="0" borderId="0" xfId="3" applyAlignment="1"/>
    <xf numFmtId="164" fontId="0" fillId="35" borderId="0" xfId="0" applyNumberFormat="1" applyFill="1"/>
    <xf numFmtId="164" fontId="0" fillId="0" borderId="22" xfId="0" applyNumberFormat="1" applyBorder="1"/>
    <xf numFmtId="0" fontId="26" fillId="0" borderId="15" xfId="0" applyFont="1" applyBorder="1"/>
    <xf numFmtId="164" fontId="26" fillId="0" borderId="15" xfId="0" applyNumberFormat="1" applyFont="1" applyBorder="1"/>
    <xf numFmtId="164" fontId="26" fillId="35" borderId="15" xfId="0" applyNumberFormat="1" applyFont="1" applyFill="1" applyBorder="1"/>
    <xf numFmtId="168" fontId="26" fillId="0" borderId="15" xfId="0" applyNumberFormat="1" applyFont="1" applyBorder="1"/>
    <xf numFmtId="164" fontId="0" fillId="0" borderId="19" xfId="0" applyNumberFormat="1" applyBorder="1"/>
    <xf numFmtId="164" fontId="0" fillId="0" borderId="20" xfId="0" applyNumberFormat="1" applyBorder="1"/>
    <xf numFmtId="168" fontId="0" fillId="0" borderId="20" xfId="0" applyNumberFormat="1" applyBorder="1"/>
    <xf numFmtId="164" fontId="0" fillId="0" borderId="21" xfId="0" applyNumberFormat="1" applyBorder="1"/>
    <xf numFmtId="0" fontId="26" fillId="0" borderId="51" xfId="0" applyFont="1" applyBorder="1"/>
    <xf numFmtId="0" fontId="26" fillId="0" borderId="8" xfId="0" applyFont="1" applyBorder="1"/>
    <xf numFmtId="0" fontId="0" fillId="0" borderId="2" xfId="0" applyBorder="1"/>
    <xf numFmtId="164" fontId="0" fillId="0" borderId="3" xfId="2" applyNumberFormat="1" applyFont="1" applyFill="1" applyBorder="1" applyAlignment="1"/>
    <xf numFmtId="164" fontId="0" fillId="0" borderId="6" xfId="2" applyNumberFormat="1" applyFont="1" applyFill="1" applyBorder="1" applyAlignment="1"/>
    <xf numFmtId="165" fontId="0" fillId="0" borderId="0" xfId="0" applyNumberFormat="1"/>
    <xf numFmtId="0" fontId="0" fillId="0" borderId="100" xfId="0" applyBorder="1"/>
    <xf numFmtId="164" fontId="0" fillId="0" borderId="58" xfId="2" applyNumberFormat="1" applyFont="1" applyFill="1" applyBorder="1" applyAlignment="1"/>
    <xf numFmtId="164" fontId="0" fillId="0" borderId="11" xfId="2" applyNumberFormat="1" applyFont="1" applyFill="1" applyBorder="1" applyAlignment="1"/>
    <xf numFmtId="171" fontId="0" fillId="0" borderId="0" xfId="0" applyNumberFormat="1"/>
    <xf numFmtId="8" fontId="0" fillId="0" borderId="0" xfId="0" applyNumberFormat="1"/>
    <xf numFmtId="0" fontId="0" fillId="0" borderId="0" xfId="3" applyFont="1" applyAlignment="1"/>
    <xf numFmtId="0" fontId="26" fillId="8" borderId="52" xfId="0" applyFont="1" applyFill="1" applyBorder="1" applyAlignment="1">
      <alignment horizontal="center" vertical="center"/>
    </xf>
    <xf numFmtId="0" fontId="0" fillId="8" borderId="52" xfId="0" applyFill="1" applyBorder="1" applyAlignment="1">
      <alignment vertical="center"/>
    </xf>
    <xf numFmtId="0" fontId="0" fillId="8" borderId="39" xfId="0" applyFill="1" applyBorder="1" applyAlignment="1">
      <alignment vertical="center"/>
    </xf>
    <xf numFmtId="0" fontId="0" fillId="6" borderId="62" xfId="0" applyFill="1" applyBorder="1" applyAlignment="1">
      <alignment horizontal="center" vertical="center"/>
    </xf>
    <xf numFmtId="14" fontId="0" fillId="0" borderId="104" xfId="0" applyNumberFormat="1" applyBorder="1"/>
    <xf numFmtId="168" fontId="0" fillId="0" borderId="105" xfId="0" applyNumberFormat="1" applyBorder="1"/>
    <xf numFmtId="0" fontId="92" fillId="0" borderId="0" xfId="0" applyFont="1"/>
    <xf numFmtId="0" fontId="26" fillId="0" borderId="100" xfId="0" applyFont="1" applyBorder="1"/>
    <xf numFmtId="14" fontId="26" fillId="35" borderId="0" xfId="0" applyNumberFormat="1" applyFont="1" applyFill="1"/>
    <xf numFmtId="0" fontId="50" fillId="0" borderId="2" xfId="0" applyFont="1" applyBorder="1" applyAlignment="1">
      <alignment vertical="center"/>
    </xf>
    <xf numFmtId="0" fontId="30" fillId="43" borderId="51" xfId="10" applyFont="1" applyBorder="1" applyAlignment="1"/>
    <xf numFmtId="0" fontId="1" fillId="42" borderId="62" xfId="9" applyBorder="1" applyAlignment="1"/>
    <xf numFmtId="14" fontId="1" fillId="40" borderId="62" xfId="9" applyNumberFormat="1" applyFill="1" applyBorder="1" applyAlignment="1"/>
    <xf numFmtId="0" fontId="24" fillId="0" borderId="38" xfId="0" applyFont="1" applyBorder="1" applyAlignment="1">
      <alignment vertical="center"/>
    </xf>
    <xf numFmtId="0" fontId="1" fillId="42" borderId="42" xfId="9" applyBorder="1" applyAlignment="1"/>
    <xf numFmtId="0" fontId="1" fillId="42" borderId="2" xfId="9" applyBorder="1" applyAlignment="1"/>
    <xf numFmtId="14" fontId="1" fillId="40" borderId="3" xfId="9" applyNumberFormat="1" applyFill="1" applyBorder="1" applyAlignment="1"/>
    <xf numFmtId="14" fontId="1" fillId="40" borderId="2" xfId="9" applyNumberFormat="1" applyFill="1" applyBorder="1" applyAlignment="1"/>
    <xf numFmtId="0" fontId="50" fillId="0" borderId="38" xfId="0" applyFont="1" applyBorder="1" applyAlignment="1">
      <alignment vertical="center"/>
    </xf>
    <xf numFmtId="0" fontId="1" fillId="0" borderId="38" xfId="0" applyFont="1" applyBorder="1"/>
    <xf numFmtId="0" fontId="1" fillId="42" borderId="3" xfId="9" applyBorder="1" applyAlignment="1"/>
    <xf numFmtId="0" fontId="1" fillId="42" borderId="58" xfId="9" applyBorder="1" applyAlignment="1"/>
    <xf numFmtId="14" fontId="1" fillId="40" borderId="58" xfId="9" applyNumberFormat="1" applyFill="1" applyBorder="1" applyAlignment="1"/>
    <xf numFmtId="0" fontId="1" fillId="41" borderId="51" xfId="8" applyBorder="1" applyAlignment="1"/>
    <xf numFmtId="0" fontId="1" fillId="41" borderId="77" xfId="8" applyBorder="1" applyAlignment="1"/>
    <xf numFmtId="14" fontId="1" fillId="40" borderId="62" xfId="8" applyNumberFormat="1" applyFill="1" applyBorder="1" applyAlignment="1"/>
    <xf numFmtId="14" fontId="1" fillId="40" borderId="52" xfId="8" applyNumberFormat="1" applyFill="1" applyBorder="1" applyAlignment="1"/>
    <xf numFmtId="0" fontId="1" fillId="41" borderId="12" xfId="8" applyBorder="1" applyAlignment="1"/>
    <xf numFmtId="14" fontId="1" fillId="40" borderId="2" xfId="8" applyNumberFormat="1" applyFill="1" applyBorder="1" applyAlignment="1"/>
    <xf numFmtId="14" fontId="1" fillId="40" borderId="43" xfId="8" applyNumberFormat="1" applyFill="1" applyBorder="1" applyAlignment="1"/>
    <xf numFmtId="0" fontId="1" fillId="41" borderId="6" xfId="8" applyBorder="1" applyAlignment="1"/>
    <xf numFmtId="14" fontId="1" fillId="40" borderId="3" xfId="8" applyNumberFormat="1" applyFill="1" applyBorder="1" applyAlignment="1"/>
    <xf numFmtId="14" fontId="1" fillId="40" borderId="39" xfId="8" applyNumberFormat="1" applyFill="1" applyBorder="1" applyAlignment="1"/>
    <xf numFmtId="0" fontId="0" fillId="6" borderId="62" xfId="0" applyFill="1" applyBorder="1" applyAlignment="1">
      <alignment horizontal="center"/>
    </xf>
    <xf numFmtId="0" fontId="85" fillId="0" borderId="0" xfId="3" applyFont="1" applyAlignment="1"/>
    <xf numFmtId="0" fontId="97" fillId="0" borderId="0" xfId="0" applyFont="1" applyAlignment="1">
      <alignment horizontal="left"/>
    </xf>
    <xf numFmtId="0" fontId="18" fillId="0" borderId="0" xfId="0" applyFont="1" applyAlignment="1">
      <alignment horizontal="left"/>
    </xf>
    <xf numFmtId="0" fontId="18" fillId="0" borderId="0" xfId="0" applyFont="1" applyAlignment="1">
      <alignment horizontal="left" indent="2"/>
    </xf>
    <xf numFmtId="0" fontId="24" fillId="0" borderId="87" xfId="0" applyFont="1" applyBorder="1" applyProtection="1">
      <protection locked="0"/>
    </xf>
    <xf numFmtId="0" fontId="0" fillId="0" borderId="62" xfId="0" applyBorder="1"/>
    <xf numFmtId="0" fontId="24" fillId="0" borderId="62" xfId="0" applyFont="1" applyBorder="1" applyAlignment="1">
      <alignment horizontal="center" vertical="center" wrapText="1"/>
    </xf>
    <xf numFmtId="0" fontId="24" fillId="0" borderId="62" xfId="0" applyFont="1" applyBorder="1" applyAlignment="1">
      <alignment horizontal="center" vertical="center"/>
    </xf>
    <xf numFmtId="0" fontId="0" fillId="0" borderId="61" xfId="0" applyBorder="1"/>
    <xf numFmtId="0" fontId="0" fillId="0" borderId="7" xfId="0" applyBorder="1" applyAlignment="1">
      <alignment horizontal="right"/>
    </xf>
    <xf numFmtId="0" fontId="24" fillId="40" borderId="77" xfId="0" applyFont="1" applyFill="1" applyBorder="1" applyAlignment="1">
      <alignment vertical="center"/>
    </xf>
    <xf numFmtId="0" fontId="26" fillId="0" borderId="7" xfId="0" applyFont="1" applyBorder="1" applyAlignment="1">
      <alignment horizontal="right"/>
    </xf>
    <xf numFmtId="172" fontId="0" fillId="12" borderId="3" xfId="0" applyNumberFormat="1" applyFill="1" applyBorder="1"/>
    <xf numFmtId="168" fontId="26" fillId="0" borderId="3" xfId="0" applyNumberFormat="1" applyFont="1" applyBorder="1"/>
    <xf numFmtId="172" fontId="0" fillId="0" borderId="3" xfId="0" applyNumberFormat="1" applyBorder="1"/>
    <xf numFmtId="0" fontId="24" fillId="0" borderId="78" xfId="0" applyFont="1" applyBorder="1" applyProtection="1">
      <protection locked="0"/>
    </xf>
    <xf numFmtId="0" fontId="50" fillId="0" borderId="17" xfId="0" applyFont="1" applyBorder="1" applyProtection="1">
      <protection locked="0"/>
    </xf>
    <xf numFmtId="0" fontId="24" fillId="0" borderId="0" xfId="0" applyFont="1" applyProtection="1">
      <protection locked="0"/>
    </xf>
    <xf numFmtId="0" fontId="50" fillId="0" borderId="68" xfId="0" applyFont="1" applyBorder="1" applyProtection="1">
      <protection locked="0"/>
    </xf>
    <xf numFmtId="0" fontId="24" fillId="0" borderId="9" xfId="0" applyFont="1" applyBorder="1" applyProtection="1">
      <protection locked="0"/>
    </xf>
    <xf numFmtId="0" fontId="59" fillId="0" borderId="61" xfId="0" applyFont="1" applyBorder="1" applyAlignment="1">
      <alignment horizontal="left"/>
    </xf>
    <xf numFmtId="0" fontId="57" fillId="0" borderId="31" xfId="0" applyFont="1" applyBorder="1" applyAlignment="1">
      <alignment vertical="center"/>
    </xf>
    <xf numFmtId="0" fontId="40" fillId="0" borderId="61" xfId="0" applyFont="1" applyBorder="1"/>
    <xf numFmtId="0" fontId="64" fillId="0" borderId="62" xfId="0" applyFont="1" applyBorder="1" applyAlignment="1">
      <alignment horizontal="center" vertical="center" wrapText="1"/>
    </xf>
    <xf numFmtId="0" fontId="64" fillId="0" borderId="62" xfId="0" applyFont="1" applyBorder="1" applyAlignment="1">
      <alignment horizontal="center" vertical="center"/>
    </xf>
    <xf numFmtId="0" fontId="54" fillId="0" borderId="62" xfId="0" applyFont="1" applyBorder="1" applyAlignment="1">
      <alignment horizontal="center"/>
    </xf>
    <xf numFmtId="0" fontId="64" fillId="40" borderId="77" xfId="0" applyFont="1" applyFill="1" applyBorder="1" applyAlignment="1">
      <alignment vertical="center"/>
    </xf>
    <xf numFmtId="0" fontId="40" fillId="0" borderId="86" xfId="0" applyFont="1" applyBorder="1"/>
    <xf numFmtId="0" fontId="64" fillId="0" borderId="87" xfId="0" applyFont="1" applyBorder="1" applyProtection="1">
      <protection locked="0"/>
    </xf>
    <xf numFmtId="0" fontId="54" fillId="0" borderId="7" xfId="0" applyFont="1" applyBorder="1" applyAlignment="1">
      <alignment horizontal="right"/>
    </xf>
    <xf numFmtId="168" fontId="54" fillId="0" borderId="3" xfId="0" applyNumberFormat="1" applyFont="1" applyBorder="1"/>
    <xf numFmtId="0" fontId="40" fillId="0" borderId="11" xfId="0" applyFont="1" applyBorder="1"/>
    <xf numFmtId="0" fontId="40" fillId="0" borderId="78" xfId="0" applyFont="1" applyBorder="1"/>
    <xf numFmtId="0" fontId="65" fillId="0" borderId="17" xfId="0" applyFont="1" applyBorder="1" applyProtection="1">
      <protection locked="0"/>
    </xf>
    <xf numFmtId="0" fontId="40" fillId="0" borderId="7" xfId="0" applyFont="1" applyBorder="1" applyAlignment="1">
      <alignment horizontal="right"/>
    </xf>
    <xf numFmtId="172" fontId="40" fillId="0" borderId="3" xfId="0" applyNumberFormat="1" applyFont="1" applyBorder="1"/>
    <xf numFmtId="0" fontId="40" fillId="0" borderId="1" xfId="0" applyFont="1" applyBorder="1"/>
    <xf numFmtId="0" fontId="65" fillId="0" borderId="68" xfId="0" applyFont="1" applyBorder="1" applyProtection="1">
      <protection locked="0"/>
    </xf>
    <xf numFmtId="0" fontId="40" fillId="0" borderId="12" xfId="0" applyFont="1" applyBorder="1"/>
    <xf numFmtId="0" fontId="40" fillId="0" borderId="9" xfId="0" applyFont="1" applyBorder="1"/>
    <xf numFmtId="39" fontId="40" fillId="0" borderId="0" xfId="0" applyNumberFormat="1" applyFont="1"/>
    <xf numFmtId="0" fontId="58" fillId="0" borderId="31" xfId="0" applyFont="1" applyBorder="1" applyAlignment="1">
      <alignment vertical="center"/>
    </xf>
    <xf numFmtId="0" fontId="109" fillId="0" borderId="0" xfId="0" applyFont="1"/>
    <xf numFmtId="0" fontId="0" fillId="12" borderId="1" xfId="0" applyFill="1" applyBorder="1"/>
    <xf numFmtId="0" fontId="0" fillId="12" borderId="12" xfId="0" applyFill="1" applyBorder="1"/>
    <xf numFmtId="0" fontId="26" fillId="6" borderId="4" xfId="0" applyFont="1" applyFill="1" applyBorder="1" applyAlignment="1">
      <alignment horizontal="left"/>
    </xf>
    <xf numFmtId="0" fontId="26" fillId="6" borderId="16" xfId="0" applyFont="1" applyFill="1" applyBorder="1" applyAlignment="1">
      <alignment horizontal="left"/>
    </xf>
    <xf numFmtId="0" fontId="26" fillId="6" borderId="5" xfId="0" applyFont="1" applyFill="1" applyBorder="1" applyAlignment="1">
      <alignment horizontal="left"/>
    </xf>
    <xf numFmtId="0" fontId="26" fillId="6" borderId="4" xfId="0" applyFont="1" applyFill="1" applyBorder="1" applyAlignment="1">
      <alignment horizontal="center"/>
    </xf>
    <xf numFmtId="0" fontId="26" fillId="6" borderId="16" xfId="0" applyFont="1" applyFill="1" applyBorder="1" applyAlignment="1">
      <alignment horizontal="center"/>
    </xf>
    <xf numFmtId="0" fontId="26" fillId="6" borderId="5" xfId="0" applyFont="1" applyFill="1" applyBorder="1" applyAlignment="1">
      <alignment horizontal="center"/>
    </xf>
    <xf numFmtId="0" fontId="69" fillId="7" borderId="37" xfId="0" applyFont="1" applyFill="1" applyBorder="1" applyAlignment="1">
      <alignment horizontal="left" vertical="center" indent="1"/>
    </xf>
    <xf numFmtId="0" fontId="69" fillId="7" borderId="20" xfId="0" applyFont="1" applyFill="1" applyBorder="1" applyAlignment="1">
      <alignment horizontal="left" vertical="center" indent="1"/>
    </xf>
    <xf numFmtId="0" fontId="69" fillId="7" borderId="21" xfId="0" applyFont="1" applyFill="1" applyBorder="1" applyAlignment="1">
      <alignment horizontal="left" vertical="center" indent="1"/>
    </xf>
    <xf numFmtId="0" fontId="69" fillId="7" borderId="18" xfId="0" applyFont="1" applyFill="1" applyBorder="1" applyAlignment="1">
      <alignment horizontal="left" vertical="center" indent="1"/>
    </xf>
    <xf numFmtId="0" fontId="69" fillId="7" borderId="15" xfId="0" applyFont="1" applyFill="1" applyBorder="1" applyAlignment="1">
      <alignment horizontal="left" vertical="center" indent="1"/>
    </xf>
    <xf numFmtId="0" fontId="69" fillId="7" borderId="19" xfId="0" applyFont="1" applyFill="1" applyBorder="1" applyAlignment="1">
      <alignment horizontal="left" vertical="center" indent="1"/>
    </xf>
    <xf numFmtId="0" fontId="5" fillId="0" borderId="18" xfId="0" applyFont="1" applyBorder="1" applyAlignment="1">
      <alignment horizontal="center" vertical="center"/>
    </xf>
    <xf numFmtId="0" fontId="5" fillId="0" borderId="15" xfId="0" applyFont="1" applyBorder="1" applyAlignment="1">
      <alignment horizontal="center" vertical="center"/>
    </xf>
    <xf numFmtId="0" fontId="5" fillId="0" borderId="19" xfId="0" applyFont="1" applyBorder="1" applyAlignment="1">
      <alignment horizontal="center" vertical="center"/>
    </xf>
    <xf numFmtId="0" fontId="5" fillId="45" borderId="75" xfId="0" applyFont="1" applyFill="1" applyBorder="1" applyAlignment="1">
      <alignment horizontal="center" vertical="top" wrapText="1"/>
    </xf>
    <xf numFmtId="0" fontId="5" fillId="3" borderId="76" xfId="0" applyFont="1" applyFill="1" applyBorder="1" applyAlignment="1">
      <alignment horizontal="center" vertical="top" wrapText="1"/>
    </xf>
    <xf numFmtId="0" fontId="5" fillId="3" borderId="75" xfId="0" applyFont="1" applyFill="1" applyBorder="1" applyAlignment="1">
      <alignment horizontal="center" vertical="top" wrapText="1"/>
    </xf>
    <xf numFmtId="0" fontId="5" fillId="0" borderId="53" xfId="0" applyFont="1" applyBorder="1" applyAlignment="1">
      <alignment horizontal="center" vertical="top" wrapText="1"/>
    </xf>
    <xf numFmtId="0" fontId="4" fillId="3" borderId="4" xfId="0" applyFont="1" applyFill="1" applyBorder="1" applyAlignment="1">
      <alignment horizontal="right"/>
    </xf>
    <xf numFmtId="0" fontId="4" fillId="3" borderId="19" xfId="0" applyFont="1" applyFill="1" applyBorder="1" applyAlignment="1">
      <alignment horizontal="right"/>
    </xf>
    <xf numFmtId="0" fontId="7" fillId="8" borderId="75" xfId="0" applyFont="1" applyFill="1" applyBorder="1" applyAlignment="1">
      <alignment horizontal="center" vertical="top" wrapText="1"/>
    </xf>
    <xf numFmtId="0" fontId="7" fillId="8" borderId="76" xfId="0" applyFont="1" applyFill="1" applyBorder="1" applyAlignment="1">
      <alignment horizontal="center" vertical="top" wrapText="1"/>
    </xf>
    <xf numFmtId="0" fontId="12" fillId="12" borderId="75" xfId="0" applyFont="1" applyFill="1" applyBorder="1" applyAlignment="1">
      <alignment horizontal="center" vertical="top"/>
    </xf>
    <xf numFmtId="0" fontId="12" fillId="12" borderId="76" xfId="0" applyFont="1" applyFill="1" applyBorder="1" applyAlignment="1">
      <alignment horizontal="center" vertical="top"/>
    </xf>
    <xf numFmtId="0" fontId="12" fillId="12" borderId="71" xfId="0" applyFont="1" applyFill="1" applyBorder="1" applyAlignment="1">
      <alignment horizontal="center" vertical="top"/>
    </xf>
    <xf numFmtId="0" fontId="7" fillId="8" borderId="37" xfId="0" applyFont="1" applyFill="1" applyBorder="1" applyAlignment="1">
      <alignment horizontal="center" vertical="top" wrapText="1"/>
    </xf>
    <xf numFmtId="0" fontId="7" fillId="8" borderId="17" xfId="0" applyFont="1" applyFill="1" applyBorder="1" applyAlignment="1">
      <alignment horizontal="center" vertical="top" wrapText="1"/>
    </xf>
    <xf numFmtId="0" fontId="7" fillId="8" borderId="18" xfId="0" applyFont="1" applyFill="1" applyBorder="1" applyAlignment="1">
      <alignment horizontal="center" vertical="top" wrapText="1"/>
    </xf>
    <xf numFmtId="0" fontId="5" fillId="0" borderId="50" xfId="0" applyFont="1" applyBorder="1" applyAlignment="1">
      <alignment horizontal="center" vertical="top" wrapText="1"/>
    </xf>
    <xf numFmtId="0" fontId="5" fillId="0" borderId="72" xfId="0" applyFont="1" applyBorder="1" applyAlignment="1">
      <alignment horizontal="center" vertical="top" wrapText="1"/>
    </xf>
    <xf numFmtId="0" fontId="4" fillId="3" borderId="65" xfId="0" applyFont="1" applyFill="1" applyBorder="1" applyAlignment="1">
      <alignment horizontal="right"/>
    </xf>
    <xf numFmtId="0" fontId="7" fillId="12" borderId="75" xfId="0" applyFont="1" applyFill="1" applyBorder="1" applyAlignment="1">
      <alignment horizontal="center" vertical="top" wrapText="1"/>
    </xf>
    <xf numFmtId="0" fontId="7" fillId="12" borderId="76" xfId="0" applyFont="1" applyFill="1" applyBorder="1" applyAlignment="1">
      <alignment horizontal="center" vertical="top" wrapText="1"/>
    </xf>
    <xf numFmtId="0" fontId="7" fillId="12" borderId="71" xfId="0" applyFont="1" applyFill="1" applyBorder="1" applyAlignment="1">
      <alignment horizontal="center" vertical="top" wrapText="1"/>
    </xf>
    <xf numFmtId="0" fontId="3" fillId="0" borderId="1" xfId="0" applyFont="1" applyBorder="1" applyAlignment="1">
      <alignment horizontal="center"/>
    </xf>
    <xf numFmtId="0" fontId="3" fillId="0" borderId="0" xfId="0" applyFont="1" applyAlignment="1">
      <alignment horizontal="center"/>
    </xf>
    <xf numFmtId="0" fontId="7" fillId="32" borderId="50" xfId="0" applyFont="1" applyFill="1" applyBorder="1" applyAlignment="1">
      <alignment horizontal="center" vertical="top" wrapText="1"/>
    </xf>
    <xf numFmtId="0" fontId="7" fillId="32" borderId="53" xfId="0" applyFont="1" applyFill="1" applyBorder="1" applyAlignment="1">
      <alignment horizontal="center" vertical="top" wrapText="1"/>
    </xf>
    <xf numFmtId="0" fontId="7" fillId="32" borderId="72" xfId="0" applyFont="1" applyFill="1" applyBorder="1" applyAlignment="1">
      <alignment horizontal="center" vertical="top" wrapText="1"/>
    </xf>
    <xf numFmtId="0" fontId="5" fillId="3" borderId="37" xfId="0" applyFont="1" applyFill="1" applyBorder="1" applyAlignment="1">
      <alignment horizontal="right"/>
    </xf>
    <xf numFmtId="0" fontId="5" fillId="3" borderId="10" xfId="0" applyFont="1" applyFill="1" applyBorder="1" applyAlignment="1">
      <alignment horizontal="right"/>
    </xf>
    <xf numFmtId="0" fontId="5" fillId="3" borderId="18" xfId="0" applyFont="1" applyFill="1" applyBorder="1" applyAlignment="1">
      <alignment horizontal="right"/>
    </xf>
    <xf numFmtId="0" fontId="5" fillId="3" borderId="73" xfId="0" applyFont="1" applyFill="1" applyBorder="1" applyAlignment="1">
      <alignment horizontal="right"/>
    </xf>
    <xf numFmtId="0" fontId="5" fillId="0" borderId="1" xfId="0" applyFont="1" applyBorder="1" applyAlignment="1">
      <alignment horizontal="center"/>
    </xf>
    <xf numFmtId="0" fontId="5" fillId="0" borderId="0" xfId="0" applyFont="1" applyAlignment="1">
      <alignment horizontal="center"/>
    </xf>
    <xf numFmtId="0" fontId="5" fillId="0" borderId="78" xfId="0" applyFont="1" applyBorder="1" applyAlignment="1">
      <alignment horizontal="center"/>
    </xf>
    <xf numFmtId="0" fontId="5" fillId="0" borderId="26" xfId="0" applyFont="1" applyBorder="1" applyAlignment="1">
      <alignment horizontal="center"/>
    </xf>
    <xf numFmtId="0" fontId="25" fillId="6" borderId="67" xfId="0" applyFont="1" applyFill="1" applyBorder="1" applyAlignment="1">
      <alignment horizontal="left"/>
    </xf>
    <xf numFmtId="0" fontId="25" fillId="6" borderId="16" xfId="0" applyFont="1" applyFill="1" applyBorder="1" applyAlignment="1">
      <alignment horizontal="left"/>
    </xf>
    <xf numFmtId="0" fontId="25" fillId="6" borderId="5" xfId="0" applyFont="1" applyFill="1" applyBorder="1" applyAlignment="1">
      <alignment horizontal="left"/>
    </xf>
    <xf numFmtId="0" fontId="5" fillId="8" borderId="4" xfId="0" applyFont="1" applyFill="1" applyBorder="1" applyAlignment="1">
      <alignment horizontal="center"/>
    </xf>
    <xf numFmtId="0" fontId="5" fillId="8" borderId="16" xfId="0" applyFont="1" applyFill="1" applyBorder="1" applyAlignment="1">
      <alignment horizontal="center"/>
    </xf>
    <xf numFmtId="0" fontId="5" fillId="8" borderId="5" xfId="0" applyFont="1" applyFill="1" applyBorder="1" applyAlignment="1">
      <alignment horizontal="center"/>
    </xf>
    <xf numFmtId="0" fontId="5" fillId="6" borderId="4" xfId="0" applyFont="1" applyFill="1" applyBorder="1" applyAlignment="1">
      <alignment horizontal="center" vertical="center"/>
    </xf>
    <xf numFmtId="0" fontId="5" fillId="6" borderId="16" xfId="0" applyFont="1" applyFill="1" applyBorder="1" applyAlignment="1">
      <alignment horizontal="center" vertical="center"/>
    </xf>
    <xf numFmtId="0" fontId="5" fillId="6" borderId="5" xfId="0" applyFont="1" applyFill="1" applyBorder="1" applyAlignment="1">
      <alignment horizontal="center" vertical="center"/>
    </xf>
    <xf numFmtId="0" fontId="5" fillId="11" borderId="4" xfId="0" applyFont="1" applyFill="1" applyBorder="1" applyAlignment="1">
      <alignment horizontal="center" vertical="center"/>
    </xf>
    <xf numFmtId="0" fontId="5" fillId="11" borderId="16" xfId="0" applyFont="1" applyFill="1" applyBorder="1" applyAlignment="1">
      <alignment horizontal="center" vertical="center"/>
    </xf>
    <xf numFmtId="0" fontId="5" fillId="11" borderId="5" xfId="0" applyFont="1" applyFill="1" applyBorder="1" applyAlignment="1">
      <alignment horizontal="center" vertical="center"/>
    </xf>
    <xf numFmtId="0" fontId="6" fillId="12" borderId="75" xfId="0" applyFont="1" applyFill="1" applyBorder="1" applyAlignment="1">
      <alignment horizontal="center" wrapText="1"/>
    </xf>
    <xf numFmtId="0" fontId="6" fillId="12" borderId="71" xfId="0" applyFont="1" applyFill="1" applyBorder="1" applyAlignment="1">
      <alignment horizontal="center" wrapText="1"/>
    </xf>
    <xf numFmtId="14" fontId="6" fillId="11" borderId="50" xfId="0" applyNumberFormat="1" applyFont="1" applyFill="1" applyBorder="1" applyAlignment="1">
      <alignment horizontal="center" vertical="center" wrapText="1"/>
    </xf>
    <xf numFmtId="14" fontId="6" fillId="11" borderId="72" xfId="0" applyNumberFormat="1" applyFont="1" applyFill="1" applyBorder="1" applyAlignment="1">
      <alignment horizontal="center" vertical="center" wrapText="1"/>
    </xf>
    <xf numFmtId="14" fontId="6" fillId="11" borderId="44" xfId="0" applyNumberFormat="1" applyFont="1" applyFill="1" applyBorder="1" applyAlignment="1">
      <alignment horizontal="center" vertical="center" wrapText="1"/>
    </xf>
    <xf numFmtId="14" fontId="6" fillId="11" borderId="48" xfId="0" applyNumberFormat="1" applyFont="1" applyFill="1" applyBorder="1" applyAlignment="1">
      <alignment horizontal="center" vertical="center" wrapText="1"/>
    </xf>
    <xf numFmtId="0" fontId="6" fillId="11" borderId="46" xfId="0" applyFont="1" applyFill="1" applyBorder="1" applyAlignment="1">
      <alignment horizontal="center" wrapText="1"/>
    </xf>
    <xf numFmtId="0" fontId="6" fillId="11" borderId="49" xfId="0" applyFont="1" applyFill="1" applyBorder="1" applyAlignment="1">
      <alignment horizontal="center" wrapText="1"/>
    </xf>
    <xf numFmtId="0" fontId="6" fillId="6" borderId="50" xfId="0" applyFont="1" applyFill="1" applyBorder="1" applyAlignment="1">
      <alignment horizontal="center" wrapText="1"/>
    </xf>
    <xf numFmtId="0" fontId="6" fillId="6" borderId="72" xfId="0" applyFont="1" applyFill="1" applyBorder="1" applyAlignment="1">
      <alignment horizontal="center" wrapText="1"/>
    </xf>
    <xf numFmtId="0" fontId="6" fillId="6" borderId="44" xfId="0" applyFont="1" applyFill="1" applyBorder="1" applyAlignment="1">
      <alignment horizontal="center" wrapText="1"/>
    </xf>
    <xf numFmtId="0" fontId="6" fillId="6" borderId="48" xfId="0" applyFont="1" applyFill="1" applyBorder="1" applyAlignment="1">
      <alignment horizontal="center" wrapText="1"/>
    </xf>
    <xf numFmtId="0" fontId="6" fillId="6" borderId="44" xfId="0" applyFont="1" applyFill="1" applyBorder="1" applyAlignment="1">
      <alignment horizontal="center" vertical="center" wrapText="1"/>
    </xf>
    <xf numFmtId="0" fontId="6" fillId="6" borderId="48" xfId="0" applyFont="1" applyFill="1" applyBorder="1" applyAlignment="1">
      <alignment horizontal="center" vertical="center" wrapText="1"/>
    </xf>
    <xf numFmtId="0" fontId="6" fillId="6" borderId="46" xfId="0" applyFont="1" applyFill="1" applyBorder="1" applyAlignment="1">
      <alignment horizontal="center" wrapText="1"/>
    </xf>
    <xf numFmtId="0" fontId="6" fillId="6" borderId="49" xfId="0" applyFont="1" applyFill="1" applyBorder="1" applyAlignment="1">
      <alignment horizontal="center" wrapText="1"/>
    </xf>
    <xf numFmtId="0" fontId="6" fillId="8" borderId="50" xfId="0" applyFont="1" applyFill="1" applyBorder="1" applyAlignment="1">
      <alignment horizontal="center" wrapText="1"/>
    </xf>
    <xf numFmtId="0" fontId="6" fillId="8" borderId="72" xfId="0" applyFont="1" applyFill="1" applyBorder="1" applyAlignment="1">
      <alignment horizontal="center" wrapText="1"/>
    </xf>
    <xf numFmtId="0" fontId="6" fillId="8" borderId="44" xfId="0" applyFont="1" applyFill="1" applyBorder="1" applyAlignment="1">
      <alignment horizontal="center" wrapText="1"/>
    </xf>
    <xf numFmtId="0" fontId="6" fillId="8" borderId="48" xfId="0" applyFont="1" applyFill="1" applyBorder="1" applyAlignment="1">
      <alignment horizontal="center" wrapText="1"/>
    </xf>
    <xf numFmtId="0" fontId="6" fillId="8" borderId="46" xfId="0" applyFont="1" applyFill="1" applyBorder="1" applyAlignment="1">
      <alignment horizontal="center" wrapText="1"/>
    </xf>
    <xf numFmtId="0" fontId="6" fillId="8" borderId="49" xfId="0" applyFont="1" applyFill="1" applyBorder="1" applyAlignment="1">
      <alignment horizontal="center" wrapText="1"/>
    </xf>
    <xf numFmtId="0" fontId="5" fillId="11" borderId="4" xfId="0" applyFont="1" applyFill="1" applyBorder="1" applyAlignment="1">
      <alignment horizontal="center"/>
    </xf>
    <xf numFmtId="0" fontId="5" fillId="11" borderId="16" xfId="0" applyFont="1" applyFill="1" applyBorder="1" applyAlignment="1">
      <alignment horizontal="center"/>
    </xf>
    <xf numFmtId="0" fontId="5" fillId="11" borderId="5" xfId="0" applyFont="1" applyFill="1" applyBorder="1" applyAlignment="1">
      <alignment horizontal="center"/>
    </xf>
    <xf numFmtId="0" fontId="5" fillId="6" borderId="4" xfId="0" applyFont="1" applyFill="1" applyBorder="1" applyAlignment="1">
      <alignment horizontal="center"/>
    </xf>
    <xf numFmtId="0" fontId="5" fillId="6" borderId="16" xfId="0" applyFont="1" applyFill="1" applyBorder="1" applyAlignment="1">
      <alignment horizontal="center"/>
    </xf>
    <xf numFmtId="0" fontId="5" fillId="6" borderId="5" xfId="0" applyFont="1" applyFill="1" applyBorder="1" applyAlignment="1">
      <alignment horizontal="center"/>
    </xf>
    <xf numFmtId="0" fontId="26" fillId="29" borderId="58" xfId="0" applyFont="1" applyFill="1" applyBorder="1" applyAlignment="1">
      <alignment horizontal="center" wrapText="1"/>
    </xf>
    <xf numFmtId="0" fontId="26" fillId="29" borderId="2" xfId="0" applyFont="1" applyFill="1" applyBorder="1" applyAlignment="1">
      <alignment horizontal="center" wrapText="1"/>
    </xf>
    <xf numFmtId="0" fontId="26" fillId="29" borderId="58" xfId="0" applyFont="1" applyFill="1" applyBorder="1" applyAlignment="1">
      <alignment horizontal="center" vertical="center" wrapText="1"/>
    </xf>
    <xf numFmtId="0" fontId="26" fillId="29" borderId="2" xfId="0" applyFont="1" applyFill="1" applyBorder="1" applyAlignment="1">
      <alignment horizontal="center" vertical="center" wrapText="1"/>
    </xf>
    <xf numFmtId="0" fontId="26" fillId="29" borderId="4" xfId="0" applyFont="1" applyFill="1" applyBorder="1" applyAlignment="1">
      <alignment horizontal="center"/>
    </xf>
    <xf numFmtId="0" fontId="26" fillId="29" borderId="16" xfId="0" applyFont="1" applyFill="1" applyBorder="1" applyAlignment="1">
      <alignment horizontal="center"/>
    </xf>
    <xf numFmtId="0" fontId="26" fillId="29" borderId="5" xfId="0" applyFont="1" applyFill="1" applyBorder="1" applyAlignment="1">
      <alignment horizontal="center"/>
    </xf>
    <xf numFmtId="0" fontId="7" fillId="29" borderId="75" xfId="0" applyFont="1" applyFill="1" applyBorder="1" applyAlignment="1">
      <alignment horizontal="center" vertical="center" wrapText="1"/>
    </xf>
    <xf numFmtId="0" fontId="7" fillId="29" borderId="76" xfId="0" applyFont="1" applyFill="1" applyBorder="1" applyAlignment="1">
      <alignment horizontal="center" vertical="center" wrapText="1"/>
    </xf>
    <xf numFmtId="0" fontId="7" fillId="31" borderId="75" xfId="0" applyFont="1" applyFill="1" applyBorder="1" applyAlignment="1">
      <alignment horizontal="center" vertical="center" wrapText="1"/>
    </xf>
    <xf numFmtId="0" fontId="7" fillId="31" borderId="76" xfId="0" applyFont="1" applyFill="1" applyBorder="1" applyAlignment="1">
      <alignment horizontal="center" vertical="center" wrapText="1"/>
    </xf>
    <xf numFmtId="0" fontId="7" fillId="28" borderId="75" xfId="0" applyFont="1" applyFill="1" applyBorder="1" applyAlignment="1">
      <alignment horizontal="center" vertical="center" wrapText="1"/>
    </xf>
    <xf numFmtId="0" fontId="7" fillId="28" borderId="76" xfId="0" applyFont="1" applyFill="1" applyBorder="1" applyAlignment="1">
      <alignment horizontal="center" vertical="center" wrapText="1"/>
    </xf>
    <xf numFmtId="0" fontId="7" fillId="5" borderId="75" xfId="0" applyFont="1" applyFill="1" applyBorder="1" applyAlignment="1">
      <alignment horizontal="center" vertical="center" wrapText="1"/>
    </xf>
    <xf numFmtId="0" fontId="7" fillId="5" borderId="76" xfId="0" applyFont="1" applyFill="1" applyBorder="1" applyAlignment="1">
      <alignment horizontal="center" vertical="center" wrapText="1"/>
    </xf>
    <xf numFmtId="0" fontId="7" fillId="32" borderId="75" xfId="0" applyFont="1" applyFill="1" applyBorder="1" applyAlignment="1">
      <alignment horizontal="center" vertical="center" wrapText="1"/>
    </xf>
    <xf numFmtId="0" fontId="7" fillId="32" borderId="76" xfId="0" applyFont="1" applyFill="1" applyBorder="1" applyAlignment="1">
      <alignment horizontal="center" vertical="center" wrapText="1"/>
    </xf>
    <xf numFmtId="0" fontId="5" fillId="11" borderId="3" xfId="0" applyFont="1" applyFill="1" applyBorder="1" applyAlignment="1">
      <alignment horizontal="center"/>
    </xf>
    <xf numFmtId="0" fontId="5" fillId="8" borderId="6" xfId="0" applyFont="1" applyFill="1" applyBorder="1" applyAlignment="1">
      <alignment horizontal="center"/>
    </xf>
    <xf numFmtId="0" fontId="5" fillId="8" borderId="13" xfId="0" applyFont="1" applyFill="1" applyBorder="1" applyAlignment="1">
      <alignment horizontal="center"/>
    </xf>
    <xf numFmtId="0" fontId="5" fillId="8" borderId="7" xfId="0" applyFont="1" applyFill="1" applyBorder="1" applyAlignment="1">
      <alignment horizontal="center"/>
    </xf>
    <xf numFmtId="0" fontId="7" fillId="8" borderId="75" xfId="0" applyFont="1" applyFill="1" applyBorder="1" applyAlignment="1">
      <alignment horizontal="center" vertical="center" wrapText="1"/>
    </xf>
    <xf numFmtId="0" fontId="7" fillId="8" borderId="76" xfId="0" applyFont="1" applyFill="1" applyBorder="1" applyAlignment="1">
      <alignment horizontal="center" vertical="center" wrapText="1"/>
    </xf>
    <xf numFmtId="0" fontId="7" fillId="6" borderId="75" xfId="0" applyFont="1" applyFill="1" applyBorder="1" applyAlignment="1">
      <alignment horizontal="center" vertical="center" wrapText="1"/>
    </xf>
    <xf numFmtId="0" fontId="7" fillId="6" borderId="76" xfId="0" applyFont="1" applyFill="1" applyBorder="1" applyAlignment="1">
      <alignment horizontal="center" vertical="center" wrapText="1"/>
    </xf>
    <xf numFmtId="0" fontId="7" fillId="12" borderId="75" xfId="0" applyFont="1" applyFill="1" applyBorder="1" applyAlignment="1">
      <alignment horizontal="center" vertical="center" wrapText="1"/>
    </xf>
    <xf numFmtId="0" fontId="7" fillId="12" borderId="76" xfId="0" applyFont="1" applyFill="1" applyBorder="1" applyAlignment="1">
      <alignment horizontal="center" vertical="center" wrapText="1"/>
    </xf>
    <xf numFmtId="0" fontId="7" fillId="11" borderId="75" xfId="0" applyFont="1" applyFill="1" applyBorder="1" applyAlignment="1">
      <alignment horizontal="center" vertical="center" wrapText="1"/>
    </xf>
    <xf numFmtId="0" fontId="7" fillId="11" borderId="76" xfId="0" applyFont="1" applyFill="1" applyBorder="1" applyAlignment="1">
      <alignment horizontal="center" vertical="center" wrapText="1"/>
    </xf>
    <xf numFmtId="0" fontId="3" fillId="6" borderId="16" xfId="0" applyFont="1" applyFill="1" applyBorder="1" applyAlignment="1">
      <alignment horizontal="center"/>
    </xf>
    <xf numFmtId="0" fontId="3" fillId="6" borderId="5" xfId="0" applyFont="1" applyFill="1" applyBorder="1" applyAlignment="1">
      <alignment horizontal="center"/>
    </xf>
    <xf numFmtId="0" fontId="7" fillId="9" borderId="75" xfId="0" applyFont="1" applyFill="1" applyBorder="1" applyAlignment="1">
      <alignment horizontal="center" vertical="center" wrapText="1"/>
    </xf>
    <xf numFmtId="0" fontId="7" fillId="9" borderId="76" xfId="0" applyFont="1" applyFill="1" applyBorder="1" applyAlignment="1">
      <alignment horizontal="center" vertical="center" wrapText="1"/>
    </xf>
    <xf numFmtId="0" fontId="7" fillId="18" borderId="75" xfId="0" applyFont="1" applyFill="1" applyBorder="1" applyAlignment="1">
      <alignment horizontal="center" vertical="center" wrapText="1"/>
    </xf>
    <xf numFmtId="0" fontId="7" fillId="18" borderId="76" xfId="0" applyFont="1" applyFill="1" applyBorder="1" applyAlignment="1">
      <alignment horizontal="center" vertical="center" wrapText="1"/>
    </xf>
    <xf numFmtId="0" fontId="7" fillId="15" borderId="75" xfId="0" applyFont="1" applyFill="1" applyBorder="1" applyAlignment="1">
      <alignment horizontal="center" vertical="center" wrapText="1"/>
    </xf>
    <xf numFmtId="0" fontId="7" fillId="15" borderId="76" xfId="0" applyFont="1" applyFill="1" applyBorder="1" applyAlignment="1">
      <alignment horizontal="center" vertical="center" wrapText="1"/>
    </xf>
    <xf numFmtId="0" fontId="7" fillId="2" borderId="75" xfId="0" applyFont="1" applyFill="1" applyBorder="1" applyAlignment="1">
      <alignment horizontal="center" vertical="center" wrapText="1"/>
    </xf>
    <xf numFmtId="0" fontId="7" fillId="2" borderId="76" xfId="0" applyFont="1" applyFill="1" applyBorder="1" applyAlignment="1">
      <alignment horizontal="center" vertical="center" wrapText="1"/>
    </xf>
    <xf numFmtId="0" fontId="7" fillId="5" borderId="50" xfId="0" applyFont="1" applyFill="1" applyBorder="1" applyAlignment="1">
      <alignment horizontal="center" vertical="top" wrapText="1"/>
    </xf>
    <xf numFmtId="0" fontId="7" fillId="5" borderId="53" xfId="0" applyFont="1" applyFill="1" applyBorder="1" applyAlignment="1">
      <alignment horizontal="center" vertical="top" wrapText="1"/>
    </xf>
    <xf numFmtId="0" fontId="7" fillId="5" borderId="72" xfId="0" applyFont="1" applyFill="1" applyBorder="1" applyAlignment="1">
      <alignment horizontal="center" vertical="top" wrapText="1"/>
    </xf>
    <xf numFmtId="0" fontId="25" fillId="6" borderId="4" xfId="0" applyFont="1" applyFill="1" applyBorder="1" applyAlignment="1">
      <alignment horizontal="center" vertical="center"/>
    </xf>
    <xf numFmtId="0" fontId="25" fillId="6" borderId="16" xfId="0" applyFont="1" applyFill="1" applyBorder="1" applyAlignment="1">
      <alignment horizontal="center" vertical="center"/>
    </xf>
    <xf numFmtId="0" fontId="25" fillId="6" borderId="5" xfId="0" applyFont="1" applyFill="1" applyBorder="1" applyAlignment="1">
      <alignment horizontal="center" vertical="center"/>
    </xf>
    <xf numFmtId="164" fontId="26" fillId="31" borderId="18" xfId="0" applyNumberFormat="1" applyFont="1" applyFill="1" applyBorder="1" applyAlignment="1">
      <alignment horizontal="center"/>
    </xf>
    <xf numFmtId="0" fontId="26" fillId="31" borderId="15" xfId="0" applyFont="1" applyFill="1" applyBorder="1" applyAlignment="1">
      <alignment horizontal="center"/>
    </xf>
    <xf numFmtId="0" fontId="26" fillId="31" borderId="19" xfId="0" applyFont="1" applyFill="1" applyBorder="1" applyAlignment="1">
      <alignment horizontal="center"/>
    </xf>
    <xf numFmtId="0" fontId="26" fillId="28" borderId="51" xfId="0" applyFont="1" applyFill="1" applyBorder="1" applyAlignment="1">
      <alignment horizontal="center"/>
    </xf>
    <xf numFmtId="0" fontId="26" fillId="28" borderId="62" xfId="0" applyFont="1" applyFill="1" applyBorder="1" applyAlignment="1">
      <alignment horizontal="center"/>
    </xf>
    <xf numFmtId="0" fontId="26" fillId="28" borderId="52" xfId="0" applyFont="1" applyFill="1" applyBorder="1" applyAlignment="1">
      <alignment horizontal="center"/>
    </xf>
    <xf numFmtId="0" fontId="26" fillId="5" borderId="51" xfId="0" applyFont="1" applyFill="1" applyBorder="1" applyAlignment="1">
      <alignment horizontal="center"/>
    </xf>
    <xf numFmtId="0" fontId="26" fillId="5" borderId="62" xfId="0" applyFont="1" applyFill="1" applyBorder="1" applyAlignment="1">
      <alignment horizontal="center"/>
    </xf>
    <xf numFmtId="0" fontId="26" fillId="5" borderId="52" xfId="0" applyFont="1" applyFill="1" applyBorder="1" applyAlignment="1">
      <alignment horizontal="center"/>
    </xf>
    <xf numFmtId="0" fontId="26" fillId="31" borderId="51" xfId="0" applyFont="1" applyFill="1" applyBorder="1" applyAlignment="1">
      <alignment horizontal="center"/>
    </xf>
    <xf numFmtId="0" fontId="26" fillId="31" borderId="62" xfId="0" applyFont="1" applyFill="1" applyBorder="1" applyAlignment="1">
      <alignment horizontal="center"/>
    </xf>
    <xf numFmtId="0" fontId="26" fillId="31" borderId="52" xfId="0" applyFont="1" applyFill="1" applyBorder="1" applyAlignment="1">
      <alignment horizontal="center"/>
    </xf>
    <xf numFmtId="164" fontId="26" fillId="3" borderId="84" xfId="0" applyNumberFormat="1" applyFont="1" applyFill="1" applyBorder="1" applyAlignment="1">
      <alignment horizontal="center" vertical="center"/>
    </xf>
    <xf numFmtId="164" fontId="26" fillId="3" borderId="76" xfId="0" applyNumberFormat="1" applyFont="1" applyFill="1" applyBorder="1" applyAlignment="1">
      <alignment horizontal="center" vertical="center"/>
    </xf>
    <xf numFmtId="164" fontId="26" fillId="3" borderId="71" xfId="0" applyNumberFormat="1" applyFont="1" applyFill="1" applyBorder="1" applyAlignment="1">
      <alignment horizontal="center" vertical="center"/>
    </xf>
    <xf numFmtId="164" fontId="26" fillId="28" borderId="47" xfId="0" applyNumberFormat="1" applyFont="1" applyFill="1" applyBorder="1" applyAlignment="1">
      <alignment horizontal="center"/>
    </xf>
    <xf numFmtId="164" fontId="26" fillId="28" borderId="79" xfId="0" applyNumberFormat="1" applyFont="1" applyFill="1" applyBorder="1" applyAlignment="1">
      <alignment horizontal="center"/>
    </xf>
    <xf numFmtId="164" fontId="26" fillId="28" borderId="34" xfId="0" applyNumberFormat="1" applyFont="1" applyFill="1" applyBorder="1" applyAlignment="1">
      <alignment horizontal="center"/>
    </xf>
    <xf numFmtId="164" fontId="26" fillId="5" borderId="14" xfId="0" applyNumberFormat="1" applyFont="1" applyFill="1" applyBorder="1" applyAlignment="1">
      <alignment horizontal="center"/>
    </xf>
    <xf numFmtId="0" fontId="26" fillId="5" borderId="14" xfId="0" applyFont="1" applyFill="1" applyBorder="1" applyAlignment="1">
      <alignment horizontal="center"/>
    </xf>
    <xf numFmtId="0" fontId="26" fillId="5" borderId="41" xfId="0" applyFont="1" applyFill="1" applyBorder="1" applyAlignment="1">
      <alignment horizontal="center"/>
    </xf>
    <xf numFmtId="164" fontId="26" fillId="31" borderId="14" xfId="0" applyNumberFormat="1" applyFont="1" applyFill="1" applyBorder="1" applyAlignment="1">
      <alignment horizontal="center"/>
    </xf>
    <xf numFmtId="0" fontId="26" fillId="31" borderId="14" xfId="0" applyFont="1" applyFill="1" applyBorder="1" applyAlignment="1">
      <alignment horizontal="center"/>
    </xf>
    <xf numFmtId="0" fontId="26" fillId="31" borderId="41" xfId="0" applyFont="1" applyFill="1" applyBorder="1" applyAlignment="1">
      <alignment horizontal="center"/>
    </xf>
    <xf numFmtId="0" fontId="26" fillId="28" borderId="4" xfId="0" applyFont="1" applyFill="1" applyBorder="1" applyAlignment="1">
      <alignment horizontal="center"/>
    </xf>
    <xf numFmtId="0" fontId="26" fillId="28" borderId="16" xfId="0" applyFont="1" applyFill="1" applyBorder="1" applyAlignment="1">
      <alignment horizontal="center"/>
    </xf>
    <xf numFmtId="0" fontId="26" fillId="28" borderId="5" xfId="0" applyFont="1" applyFill="1" applyBorder="1" applyAlignment="1">
      <alignment horizontal="center"/>
    </xf>
    <xf numFmtId="0" fontId="26" fillId="5" borderId="4" xfId="0" applyFont="1" applyFill="1" applyBorder="1" applyAlignment="1">
      <alignment horizontal="center"/>
    </xf>
    <xf numFmtId="0" fontId="26" fillId="5" borderId="16" xfId="0" applyFont="1" applyFill="1" applyBorder="1" applyAlignment="1">
      <alignment horizontal="center"/>
    </xf>
    <xf numFmtId="0" fontId="26" fillId="5" borderId="5" xfId="0" applyFont="1" applyFill="1" applyBorder="1" applyAlignment="1">
      <alignment horizontal="center"/>
    </xf>
    <xf numFmtId="0" fontId="26" fillId="31" borderId="4" xfId="0" applyFont="1" applyFill="1" applyBorder="1" applyAlignment="1">
      <alignment horizontal="center"/>
    </xf>
    <xf numFmtId="0" fontId="26" fillId="31" borderId="16" xfId="0" applyFont="1" applyFill="1" applyBorder="1" applyAlignment="1">
      <alignment horizontal="center"/>
    </xf>
    <xf numFmtId="0" fontId="26" fillId="31" borderId="5" xfId="0" applyFont="1" applyFill="1" applyBorder="1" applyAlignment="1">
      <alignment horizontal="center"/>
    </xf>
    <xf numFmtId="164" fontId="26" fillId="28" borderId="15" xfId="0" applyNumberFormat="1" applyFont="1" applyFill="1" applyBorder="1" applyAlignment="1">
      <alignment horizontal="center"/>
    </xf>
    <xf numFmtId="0" fontId="26" fillId="28" borderId="15" xfId="0" applyFont="1" applyFill="1" applyBorder="1" applyAlignment="1">
      <alignment horizontal="center"/>
    </xf>
    <xf numFmtId="0" fontId="26" fillId="28" borderId="19" xfId="0" applyFont="1" applyFill="1" applyBorder="1" applyAlignment="1">
      <alignment horizontal="center"/>
    </xf>
    <xf numFmtId="164" fontId="26" fillId="5" borderId="18" xfId="0" applyNumberFormat="1" applyFont="1" applyFill="1" applyBorder="1" applyAlignment="1">
      <alignment horizontal="center"/>
    </xf>
    <xf numFmtId="0" fontId="26" fillId="5" borderId="15" xfId="0" applyFont="1" applyFill="1" applyBorder="1" applyAlignment="1">
      <alignment horizontal="center"/>
    </xf>
    <xf numFmtId="0" fontId="26" fillId="5" borderId="19" xfId="0" applyFont="1" applyFill="1" applyBorder="1" applyAlignment="1">
      <alignment horizontal="center"/>
    </xf>
    <xf numFmtId="164" fontId="5" fillId="28" borderId="37" xfId="0" applyNumberFormat="1" applyFont="1" applyFill="1" applyBorder="1" applyAlignment="1">
      <alignment horizontal="center"/>
    </xf>
    <xf numFmtId="164" fontId="5" fillId="28" borderId="21" xfId="0" applyNumberFormat="1" applyFont="1" applyFill="1" applyBorder="1" applyAlignment="1">
      <alignment horizontal="center"/>
    </xf>
    <xf numFmtId="164" fontId="5" fillId="5" borderId="37" xfId="0" applyNumberFormat="1" applyFont="1" applyFill="1" applyBorder="1" applyAlignment="1">
      <alignment horizontal="center"/>
    </xf>
    <xf numFmtId="164" fontId="5" fillId="5" borderId="20" xfId="0" applyNumberFormat="1" applyFont="1" applyFill="1" applyBorder="1" applyAlignment="1">
      <alignment horizontal="center"/>
    </xf>
    <xf numFmtId="164" fontId="5" fillId="5" borderId="21" xfId="0" applyNumberFormat="1" applyFont="1" applyFill="1" applyBorder="1" applyAlignment="1">
      <alignment horizontal="center"/>
    </xf>
    <xf numFmtId="164" fontId="5" fillId="29" borderId="37" xfId="0" applyNumberFormat="1" applyFont="1" applyFill="1" applyBorder="1" applyAlignment="1">
      <alignment horizontal="center"/>
    </xf>
    <xf numFmtId="164" fontId="5" fillId="29" borderId="20" xfId="0" applyNumberFormat="1" applyFont="1" applyFill="1" applyBorder="1" applyAlignment="1">
      <alignment horizontal="center"/>
    </xf>
    <xf numFmtId="164" fontId="5" fillId="29" borderId="21" xfId="0" applyNumberFormat="1" applyFont="1" applyFill="1" applyBorder="1" applyAlignment="1">
      <alignment horizontal="center"/>
    </xf>
    <xf numFmtId="164" fontId="5" fillId="2" borderId="37" xfId="0" applyNumberFormat="1" applyFont="1" applyFill="1" applyBorder="1" applyAlignment="1">
      <alignment horizontal="center"/>
    </xf>
    <xf numFmtId="164" fontId="5" fillId="2" borderId="20" xfId="0" applyNumberFormat="1" applyFont="1" applyFill="1" applyBorder="1" applyAlignment="1">
      <alignment horizontal="center"/>
    </xf>
    <xf numFmtId="164" fontId="5" fillId="2" borderId="21" xfId="0" applyNumberFormat="1" applyFont="1" applyFill="1" applyBorder="1" applyAlignment="1">
      <alignment horizontal="center"/>
    </xf>
    <xf numFmtId="0" fontId="5" fillId="2" borderId="37" xfId="0" applyFont="1" applyFill="1" applyBorder="1" applyAlignment="1">
      <alignment horizontal="center"/>
    </xf>
    <xf numFmtId="0" fontId="5" fillId="2" borderId="20" xfId="0" applyFont="1" applyFill="1" applyBorder="1" applyAlignment="1">
      <alignment horizontal="center"/>
    </xf>
    <xf numFmtId="0" fontId="5" fillId="2" borderId="21" xfId="0" applyFont="1" applyFill="1" applyBorder="1" applyAlignment="1">
      <alignment horizontal="center"/>
    </xf>
    <xf numFmtId="0" fontId="5" fillId="5" borderId="4" xfId="0" applyFont="1" applyFill="1" applyBorder="1" applyAlignment="1">
      <alignment horizontal="center" wrapText="1"/>
    </xf>
    <xf numFmtId="0" fontId="5" fillId="5" borderId="16" xfId="0" applyFont="1" applyFill="1" applyBorder="1" applyAlignment="1">
      <alignment horizontal="center" wrapText="1"/>
    </xf>
    <xf numFmtId="0" fontId="5" fillId="5" borderId="5" xfId="0" applyFont="1" applyFill="1" applyBorder="1" applyAlignment="1">
      <alignment horizontal="center" wrapText="1"/>
    </xf>
    <xf numFmtId="0" fontId="5" fillId="29" borderId="4" xfId="0" applyFont="1" applyFill="1" applyBorder="1" applyAlignment="1">
      <alignment horizontal="center" wrapText="1"/>
    </xf>
    <xf numFmtId="0" fontId="5" fillId="29" borderId="16" xfId="0" applyFont="1" applyFill="1" applyBorder="1" applyAlignment="1">
      <alignment horizontal="center" wrapText="1"/>
    </xf>
    <xf numFmtId="0" fontId="5" fillId="29" borderId="5" xfId="0" applyFont="1" applyFill="1" applyBorder="1" applyAlignment="1">
      <alignment horizontal="center" wrapText="1"/>
    </xf>
    <xf numFmtId="0" fontId="5" fillId="28" borderId="4" xfId="0" applyFont="1" applyFill="1" applyBorder="1" applyAlignment="1">
      <alignment horizontal="center" wrapText="1"/>
    </xf>
    <xf numFmtId="0" fontId="5" fillId="28" borderId="5" xfId="0" applyFont="1" applyFill="1" applyBorder="1" applyAlignment="1">
      <alignment horizontal="center" wrapText="1"/>
    </xf>
    <xf numFmtId="0" fontId="26" fillId="3" borderId="4" xfId="0" applyFont="1" applyFill="1" applyBorder="1" applyAlignment="1">
      <alignment horizontal="center"/>
    </xf>
    <xf numFmtId="0" fontId="26" fillId="3" borderId="16" xfId="0" applyFont="1" applyFill="1" applyBorder="1" applyAlignment="1">
      <alignment horizontal="center"/>
    </xf>
    <xf numFmtId="0" fontId="26" fillId="3" borderId="5" xfId="0" applyFont="1" applyFill="1" applyBorder="1" applyAlignment="1">
      <alignment horizontal="center"/>
    </xf>
    <xf numFmtId="164" fontId="5" fillId="5" borderId="4" xfId="0" applyNumberFormat="1" applyFont="1" applyFill="1" applyBorder="1" applyAlignment="1">
      <alignment horizontal="center"/>
    </xf>
    <xf numFmtId="164" fontId="5" fillId="5" borderId="16" xfId="0" applyNumberFormat="1" applyFont="1" applyFill="1" applyBorder="1" applyAlignment="1">
      <alignment horizontal="center"/>
    </xf>
    <xf numFmtId="164" fontId="5" fillId="5" borderId="5" xfId="0" applyNumberFormat="1" applyFont="1" applyFill="1" applyBorder="1" applyAlignment="1">
      <alignment horizontal="center"/>
    </xf>
    <xf numFmtId="0" fontId="5" fillId="29" borderId="4" xfId="0" applyFont="1" applyFill="1" applyBorder="1" applyAlignment="1">
      <alignment horizontal="center"/>
    </xf>
    <xf numFmtId="0" fontId="5" fillId="29" borderId="16" xfId="0" applyFont="1" applyFill="1" applyBorder="1" applyAlignment="1">
      <alignment horizontal="center"/>
    </xf>
    <xf numFmtId="0" fontId="5" fillId="29" borderId="5" xfId="0" applyFont="1" applyFill="1" applyBorder="1" applyAlignment="1">
      <alignment horizontal="center"/>
    </xf>
    <xf numFmtId="164" fontId="26" fillId="29" borderId="4" xfId="0" applyNumberFormat="1" applyFont="1" applyFill="1" applyBorder="1" applyAlignment="1">
      <alignment horizontal="center"/>
    </xf>
    <xf numFmtId="164" fontId="26" fillId="29" borderId="16" xfId="0" applyNumberFormat="1" applyFont="1" applyFill="1" applyBorder="1" applyAlignment="1">
      <alignment horizontal="center"/>
    </xf>
    <xf numFmtId="164" fontId="26" fillId="29" borderId="5" xfId="0" applyNumberFormat="1" applyFont="1" applyFill="1" applyBorder="1" applyAlignment="1">
      <alignment horizontal="center"/>
    </xf>
    <xf numFmtId="164" fontId="26" fillId="5" borderId="4" xfId="0" applyNumberFormat="1" applyFont="1" applyFill="1" applyBorder="1" applyAlignment="1">
      <alignment horizontal="center"/>
    </xf>
    <xf numFmtId="164" fontId="26" fillId="5" borderId="16" xfId="0" applyNumberFormat="1" applyFont="1" applyFill="1" applyBorder="1" applyAlignment="1">
      <alignment horizontal="center"/>
    </xf>
    <xf numFmtId="164" fontId="26" fillId="5" borderId="5" xfId="0" applyNumberFormat="1" applyFont="1" applyFill="1" applyBorder="1" applyAlignment="1">
      <alignment horizontal="center"/>
    </xf>
    <xf numFmtId="0" fontId="26" fillId="30" borderId="4" xfId="0" applyFont="1" applyFill="1" applyBorder="1" applyAlignment="1">
      <alignment horizontal="center"/>
    </xf>
    <xf numFmtId="0" fontId="26" fillId="30" borderId="16" xfId="0" applyFont="1" applyFill="1" applyBorder="1" applyAlignment="1">
      <alignment horizontal="center"/>
    </xf>
    <xf numFmtId="0" fontId="26" fillId="30" borderId="5" xfId="0" applyFont="1" applyFill="1" applyBorder="1" applyAlignment="1">
      <alignment horizontal="center"/>
    </xf>
    <xf numFmtId="0" fontId="5" fillId="0" borderId="15" xfId="0" applyFont="1" applyBorder="1" applyAlignment="1">
      <alignment horizontal="center"/>
    </xf>
    <xf numFmtId="0" fontId="5" fillId="0" borderId="4" xfId="0" applyFont="1" applyBorder="1" applyAlignment="1">
      <alignment horizontal="center"/>
    </xf>
    <xf numFmtId="0" fontId="5" fillId="0" borderId="5" xfId="0" applyFont="1" applyBorder="1" applyAlignment="1">
      <alignment horizontal="center"/>
    </xf>
    <xf numFmtId="0" fontId="5" fillId="0" borderId="17" xfId="0" applyFont="1" applyBorder="1" applyAlignment="1">
      <alignment horizontal="left"/>
    </xf>
    <xf numFmtId="0" fontId="5" fillId="0" borderId="22" xfId="0" applyFont="1" applyBorder="1" applyAlignment="1">
      <alignment horizontal="left"/>
    </xf>
    <xf numFmtId="164" fontId="26" fillId="2" borderId="4" xfId="0" applyNumberFormat="1" applyFont="1" applyFill="1" applyBorder="1" applyAlignment="1">
      <alignment horizontal="center"/>
    </xf>
    <xf numFmtId="164" fontId="26" fillId="2" borderId="5" xfId="0" applyNumberFormat="1" applyFont="1" applyFill="1" applyBorder="1" applyAlignment="1">
      <alignment horizontal="center"/>
    </xf>
    <xf numFmtId="0" fontId="5" fillId="2" borderId="4" xfId="0" applyFont="1" applyFill="1" applyBorder="1" applyAlignment="1">
      <alignment horizontal="center" wrapText="1"/>
    </xf>
    <xf numFmtId="0" fontId="5" fillId="2" borderId="16" xfId="0" applyFont="1" applyFill="1" applyBorder="1" applyAlignment="1">
      <alignment horizontal="center" wrapText="1"/>
    </xf>
    <xf numFmtId="0" fontId="5" fillId="2" borderId="5" xfId="0" applyFont="1" applyFill="1" applyBorder="1" applyAlignment="1">
      <alignment horizontal="center" wrapText="1"/>
    </xf>
    <xf numFmtId="0" fontId="26" fillId="0" borderId="0" xfId="5" applyFont="1" applyAlignment="1">
      <alignment horizontal="left" vertical="center" wrapText="1"/>
    </xf>
    <xf numFmtId="0" fontId="26" fillId="7" borderId="18" xfId="0" applyFont="1" applyFill="1" applyBorder="1" applyAlignment="1">
      <alignment horizontal="right"/>
    </xf>
    <xf numFmtId="0" fontId="26" fillId="7" borderId="15" xfId="0" applyFont="1" applyFill="1" applyBorder="1" applyAlignment="1">
      <alignment horizontal="right"/>
    </xf>
    <xf numFmtId="0" fontId="26" fillId="7" borderId="19" xfId="0" applyFont="1" applyFill="1" applyBorder="1" applyAlignment="1">
      <alignment horizontal="right"/>
    </xf>
    <xf numFmtId="0" fontId="26" fillId="3" borderId="4" xfId="0" applyFont="1" applyFill="1" applyBorder="1" applyAlignment="1">
      <alignment horizontal="right"/>
    </xf>
    <xf numFmtId="0" fontId="26" fillId="3" borderId="16" xfId="0" applyFont="1" applyFill="1" applyBorder="1" applyAlignment="1">
      <alignment horizontal="right"/>
    </xf>
    <xf numFmtId="0" fontId="26" fillId="3" borderId="5" xfId="0" applyFont="1" applyFill="1" applyBorder="1" applyAlignment="1">
      <alignment horizontal="right"/>
    </xf>
    <xf numFmtId="0" fontId="5" fillId="11" borderId="37" xfId="0" applyFont="1" applyFill="1" applyBorder="1" applyAlignment="1">
      <alignment horizontal="left"/>
    </xf>
    <xf numFmtId="0" fontId="5" fillId="11" borderId="21" xfId="0" applyFont="1" applyFill="1" applyBorder="1" applyAlignment="1">
      <alignment horizontal="left"/>
    </xf>
    <xf numFmtId="0" fontId="5" fillId="0" borderId="37" xfId="0" applyFont="1" applyBorder="1" applyAlignment="1">
      <alignment horizontal="left"/>
    </xf>
    <xf numFmtId="0" fontId="5" fillId="0" borderId="20" xfId="0" applyFont="1" applyBorder="1" applyAlignment="1">
      <alignment horizontal="left"/>
    </xf>
    <xf numFmtId="0" fontId="5" fillId="0" borderId="0" xfId="0" applyFont="1" applyAlignment="1">
      <alignment horizontal="left"/>
    </xf>
    <xf numFmtId="0" fontId="5" fillId="0" borderId="21" xfId="0" applyFont="1" applyBorder="1" applyAlignment="1">
      <alignment horizontal="left"/>
    </xf>
    <xf numFmtId="0" fontId="5" fillId="0" borderId="16" xfId="0" applyFont="1" applyBorder="1" applyAlignment="1">
      <alignment horizontal="center"/>
    </xf>
    <xf numFmtId="0" fontId="5" fillId="11" borderId="20" xfId="0" applyFont="1" applyFill="1" applyBorder="1" applyAlignment="1">
      <alignment horizontal="left"/>
    </xf>
    <xf numFmtId="0" fontId="69" fillId="36" borderId="37" xfId="0" applyFont="1" applyFill="1" applyBorder="1" applyAlignment="1">
      <alignment horizontal="left" vertical="center" indent="1"/>
    </xf>
    <xf numFmtId="0" fontId="69" fillId="36" borderId="20" xfId="0" applyFont="1" applyFill="1" applyBorder="1" applyAlignment="1">
      <alignment horizontal="left" vertical="center" indent="1"/>
    </xf>
    <xf numFmtId="0" fontId="69" fillId="36" borderId="21" xfId="0" applyFont="1" applyFill="1" applyBorder="1" applyAlignment="1">
      <alignment horizontal="left" vertical="center" indent="1"/>
    </xf>
    <xf numFmtId="0" fontId="69" fillId="36" borderId="18" xfId="0" applyFont="1" applyFill="1" applyBorder="1" applyAlignment="1">
      <alignment horizontal="left" vertical="center" indent="1"/>
    </xf>
    <xf numFmtId="0" fontId="69" fillId="36" borderId="15" xfId="0" applyFont="1" applyFill="1" applyBorder="1" applyAlignment="1">
      <alignment horizontal="left" vertical="center" indent="1"/>
    </xf>
    <xf numFmtId="0" fontId="69" fillId="36" borderId="19" xfId="0" applyFont="1" applyFill="1" applyBorder="1" applyAlignment="1">
      <alignment horizontal="left" vertical="center" indent="1"/>
    </xf>
    <xf numFmtId="0" fontId="35" fillId="18" borderId="37" xfId="0" applyFont="1" applyFill="1" applyBorder="1" applyAlignment="1">
      <alignment horizontal="left" vertical="center" indent="1"/>
    </xf>
    <xf numFmtId="0" fontId="35" fillId="18" borderId="20" xfId="0" applyFont="1" applyFill="1" applyBorder="1" applyAlignment="1">
      <alignment horizontal="left" vertical="center" indent="1"/>
    </xf>
    <xf numFmtId="0" fontId="35" fillId="18" borderId="21" xfId="0" applyFont="1" applyFill="1" applyBorder="1" applyAlignment="1">
      <alignment horizontal="left" vertical="center" indent="1"/>
    </xf>
    <xf numFmtId="0" fontId="35" fillId="18" borderId="18" xfId="0" applyFont="1" applyFill="1" applyBorder="1" applyAlignment="1">
      <alignment horizontal="left" vertical="center" indent="1"/>
    </xf>
    <xf numFmtId="0" fontId="35" fillId="18" borderId="15" xfId="0" applyFont="1" applyFill="1" applyBorder="1" applyAlignment="1">
      <alignment horizontal="left" vertical="center" indent="1"/>
    </xf>
    <xf numFmtId="0" fontId="35" fillId="18" borderId="19" xfId="0" applyFont="1" applyFill="1" applyBorder="1" applyAlignment="1">
      <alignment horizontal="left" vertical="center" indent="1"/>
    </xf>
    <xf numFmtId="0" fontId="26" fillId="0" borderId="4" xfId="0" applyFont="1" applyBorder="1" applyAlignment="1">
      <alignment horizontal="center"/>
    </xf>
    <xf numFmtId="0" fontId="26" fillId="0" borderId="16" xfId="0" applyFont="1" applyBorder="1" applyAlignment="1">
      <alignment horizontal="center"/>
    </xf>
    <xf numFmtId="0" fontId="26" fillId="0" borderId="75" xfId="0" applyFont="1" applyBorder="1" applyAlignment="1">
      <alignment horizontal="center" wrapText="1"/>
    </xf>
    <xf numFmtId="0" fontId="26" fillId="0" borderId="76" xfId="0" applyFont="1" applyBorder="1" applyAlignment="1">
      <alignment horizontal="center" wrapText="1"/>
    </xf>
    <xf numFmtId="0" fontId="26" fillId="0" borderId="71" xfId="0" applyFont="1" applyBorder="1" applyAlignment="1">
      <alignment horizontal="center" wrapText="1"/>
    </xf>
    <xf numFmtId="0" fontId="26" fillId="0" borderId="23" xfId="0" applyFont="1" applyBorder="1" applyAlignment="1">
      <alignment horizontal="center"/>
    </xf>
    <xf numFmtId="0" fontId="26" fillId="0" borderId="24" xfId="0" applyFont="1" applyBorder="1" applyAlignment="1">
      <alignment horizontal="center"/>
    </xf>
    <xf numFmtId="0" fontId="26" fillId="0" borderId="25" xfId="0" applyFont="1" applyBorder="1" applyAlignment="1">
      <alignment horizontal="center"/>
    </xf>
    <xf numFmtId="0" fontId="26" fillId="0" borderId="37" xfId="0" applyFont="1" applyBorder="1" applyAlignment="1">
      <alignment horizontal="center"/>
    </xf>
    <xf numFmtId="0" fontId="26" fillId="0" borderId="20" xfId="0" applyFont="1" applyBorder="1" applyAlignment="1">
      <alignment horizontal="center"/>
    </xf>
    <xf numFmtId="0" fontId="26" fillId="0" borderId="5" xfId="0" applyFont="1" applyBorder="1" applyAlignment="1">
      <alignment horizontal="center"/>
    </xf>
    <xf numFmtId="0" fontId="105" fillId="0" borderId="17" xfId="0" applyFont="1" applyBorder="1" applyAlignment="1">
      <alignment horizontal="center" vertical="center" wrapText="1"/>
    </xf>
    <xf numFmtId="0" fontId="105" fillId="0" borderId="0" xfId="0" applyFont="1" applyAlignment="1">
      <alignment horizontal="center" vertical="center" wrapText="1"/>
    </xf>
    <xf numFmtId="0" fontId="5" fillId="0" borderId="30" xfId="0" applyFont="1" applyBorder="1" applyAlignment="1">
      <alignment horizontal="center" vertical="center"/>
    </xf>
    <xf numFmtId="0" fontId="5" fillId="0" borderId="1" xfId="0" applyFont="1" applyBorder="1" applyAlignment="1">
      <alignment horizontal="center" vertical="center"/>
    </xf>
    <xf numFmtId="0" fontId="3" fillId="0" borderId="0" xfId="0" applyFont="1"/>
    <xf numFmtId="0" fontId="5" fillId="6" borderId="75" xfId="0" applyFont="1" applyFill="1" applyBorder="1" applyAlignment="1">
      <alignment horizontal="left" vertical="center"/>
    </xf>
    <xf numFmtId="0" fontId="5" fillId="6" borderId="64" xfId="0" applyFont="1" applyFill="1" applyBorder="1" applyAlignment="1">
      <alignment horizontal="left" vertical="center"/>
    </xf>
    <xf numFmtId="0" fontId="5" fillId="6" borderId="31" xfId="0" applyFont="1" applyFill="1" applyBorder="1" applyAlignment="1">
      <alignment horizontal="center"/>
    </xf>
    <xf numFmtId="0" fontId="5" fillId="6" borderId="61" xfId="0" applyFont="1" applyFill="1" applyBorder="1" applyAlignment="1">
      <alignment horizontal="center"/>
    </xf>
    <xf numFmtId="0" fontId="5" fillId="3" borderId="46" xfId="0" applyFont="1" applyFill="1" applyBorder="1" applyAlignment="1">
      <alignment horizontal="center" wrapText="1"/>
    </xf>
    <xf numFmtId="0" fontId="5" fillId="3" borderId="43" xfId="0" applyFont="1" applyFill="1" applyBorder="1" applyAlignment="1">
      <alignment horizontal="center" wrapText="1"/>
    </xf>
    <xf numFmtId="0" fontId="5" fillId="9" borderId="46" xfId="0" applyFont="1" applyFill="1" applyBorder="1" applyAlignment="1">
      <alignment horizontal="center" wrapText="1"/>
    </xf>
    <xf numFmtId="0" fontId="5" fillId="9" borderId="43" xfId="0" applyFont="1" applyFill="1" applyBorder="1" applyAlignment="1">
      <alignment horizontal="center" wrapText="1"/>
    </xf>
    <xf numFmtId="0" fontId="5" fillId="9" borderId="50" xfId="0" applyFont="1" applyFill="1" applyBorder="1" applyAlignment="1">
      <alignment horizontal="center" wrapText="1"/>
    </xf>
    <xf numFmtId="0" fontId="5" fillId="9" borderId="42" xfId="0" applyFont="1" applyFill="1" applyBorder="1" applyAlignment="1">
      <alignment horizontal="center" wrapText="1"/>
    </xf>
    <xf numFmtId="0" fontId="5" fillId="36" borderId="44" xfId="0" applyFont="1" applyFill="1" applyBorder="1" applyAlignment="1">
      <alignment horizontal="center" wrapText="1"/>
    </xf>
    <xf numFmtId="0" fontId="5" fillId="36" borderId="2" xfId="0" applyFont="1" applyFill="1" applyBorder="1" applyAlignment="1">
      <alignment horizontal="center" wrapText="1"/>
    </xf>
    <xf numFmtId="0" fontId="95" fillId="0" borderId="0" xfId="0" applyFont="1" applyAlignment="1">
      <alignment horizontal="center" wrapText="1"/>
    </xf>
    <xf numFmtId="0" fontId="95" fillId="0" borderId="22" xfId="0" applyFont="1" applyBorder="1" applyAlignment="1">
      <alignment horizontal="center" wrapText="1"/>
    </xf>
    <xf numFmtId="0" fontId="121" fillId="0" borderId="18" xfId="0" applyFont="1" applyBorder="1" applyAlignment="1">
      <alignment horizontal="center" vertical="center"/>
    </xf>
    <xf numFmtId="0" fontId="121" fillId="0" borderId="19" xfId="0" applyFont="1" applyBorder="1" applyAlignment="1">
      <alignment horizontal="center" vertical="center"/>
    </xf>
    <xf numFmtId="0" fontId="5" fillId="0" borderId="17" xfId="0" applyFont="1" applyBorder="1" applyAlignment="1">
      <alignment horizontal="right" wrapText="1"/>
    </xf>
    <xf numFmtId="0" fontId="5" fillId="0" borderId="0" xfId="0" applyFont="1" applyAlignment="1">
      <alignment horizontal="right" wrapText="1"/>
    </xf>
    <xf numFmtId="0" fontId="95" fillId="0" borderId="1" xfId="0" applyFont="1" applyBorder="1" applyAlignment="1">
      <alignment horizontal="center" wrapText="1"/>
    </xf>
    <xf numFmtId="0" fontId="26" fillId="0" borderId="51" xfId="0" applyFont="1" applyBorder="1" applyAlignment="1">
      <alignment horizontal="center"/>
    </xf>
    <xf numFmtId="0" fontId="26" fillId="0" borderId="62" xfId="0" applyFont="1" applyBorder="1" applyAlignment="1">
      <alignment horizontal="center"/>
    </xf>
    <xf numFmtId="0" fontId="26" fillId="0" borderId="52" xfId="0" applyFont="1" applyBorder="1" applyAlignment="1">
      <alignment horizontal="center"/>
    </xf>
    <xf numFmtId="164" fontId="26" fillId="0" borderId="4" xfId="0" applyNumberFormat="1" applyFont="1" applyBorder="1" applyAlignment="1">
      <alignment horizontal="center"/>
    </xf>
    <xf numFmtId="164" fontId="26" fillId="0" borderId="5" xfId="0" applyNumberFormat="1" applyFont="1" applyBorder="1" applyAlignment="1">
      <alignment horizontal="center"/>
    </xf>
    <xf numFmtId="10" fontId="26" fillId="8" borderId="4" xfId="1" applyNumberFormat="1" applyFont="1" applyFill="1" applyBorder="1" applyAlignment="1">
      <alignment horizontal="center"/>
    </xf>
    <xf numFmtId="10" fontId="26" fillId="8" borderId="5" xfId="1" applyNumberFormat="1" applyFont="1" applyFill="1" applyBorder="1" applyAlignment="1">
      <alignment horizontal="center"/>
    </xf>
    <xf numFmtId="0" fontId="26" fillId="8" borderId="4" xfId="0" applyFont="1" applyFill="1" applyBorder="1" applyAlignment="1">
      <alignment horizontal="center"/>
    </xf>
    <xf numFmtId="0" fontId="26" fillId="8" borderId="5" xfId="0" applyFont="1" applyFill="1" applyBorder="1" applyAlignment="1">
      <alignment horizontal="center"/>
    </xf>
    <xf numFmtId="0" fontId="26" fillId="12" borderId="4" xfId="0" applyFont="1" applyFill="1" applyBorder="1" applyAlignment="1">
      <alignment horizontal="center"/>
    </xf>
    <xf numFmtId="0" fontId="26" fillId="12" borderId="5" xfId="0" applyFont="1" applyFill="1" applyBorder="1" applyAlignment="1">
      <alignment horizontal="center"/>
    </xf>
    <xf numFmtId="10" fontId="26" fillId="6" borderId="4" xfId="1" applyNumberFormat="1" applyFont="1" applyFill="1" applyBorder="1" applyAlignment="1">
      <alignment horizontal="center"/>
    </xf>
    <xf numFmtId="10" fontId="26" fillId="6" borderId="5" xfId="1" applyNumberFormat="1" applyFont="1" applyFill="1" applyBorder="1" applyAlignment="1">
      <alignment horizontal="center"/>
    </xf>
    <xf numFmtId="10" fontId="26" fillId="11" borderId="4" xfId="1" applyNumberFormat="1" applyFont="1" applyFill="1" applyBorder="1" applyAlignment="1">
      <alignment horizontal="center"/>
    </xf>
    <xf numFmtId="10" fontId="26" fillId="11" borderId="5" xfId="1" applyNumberFormat="1" applyFont="1" applyFill="1" applyBorder="1" applyAlignment="1">
      <alignment horizontal="center"/>
    </xf>
    <xf numFmtId="0" fontId="26" fillId="9" borderId="4" xfId="0" applyFont="1" applyFill="1" applyBorder="1" applyAlignment="1">
      <alignment horizontal="center"/>
    </xf>
    <xf numFmtId="0" fontId="26" fillId="9" borderId="5" xfId="0" applyFont="1" applyFill="1" applyBorder="1" applyAlignment="1">
      <alignment horizontal="center"/>
    </xf>
    <xf numFmtId="10" fontId="26" fillId="12" borderId="4" xfId="1" applyNumberFormat="1" applyFont="1" applyFill="1" applyBorder="1" applyAlignment="1">
      <alignment horizontal="center"/>
    </xf>
    <xf numFmtId="10" fontId="26" fillId="12" borderId="5" xfId="1" applyNumberFormat="1" applyFont="1" applyFill="1" applyBorder="1" applyAlignment="1">
      <alignment horizontal="center"/>
    </xf>
    <xf numFmtId="0" fontId="26" fillId="11" borderId="4" xfId="0" applyFont="1" applyFill="1" applyBorder="1" applyAlignment="1">
      <alignment horizontal="center"/>
    </xf>
    <xf numFmtId="0" fontId="26" fillId="11" borderId="5" xfId="0" applyFont="1" applyFill="1" applyBorder="1" applyAlignment="1">
      <alignment horizontal="center"/>
    </xf>
    <xf numFmtId="10" fontId="26" fillId="18" borderId="4" xfId="1" applyNumberFormat="1" applyFont="1" applyFill="1" applyBorder="1" applyAlignment="1">
      <alignment horizontal="center"/>
    </xf>
    <xf numFmtId="10" fontId="26" fillId="18" borderId="5" xfId="1" applyNumberFormat="1" applyFont="1" applyFill="1" applyBorder="1" applyAlignment="1">
      <alignment horizontal="center"/>
    </xf>
    <xf numFmtId="10" fontId="26" fillId="9" borderId="4" xfId="1" applyNumberFormat="1" applyFont="1" applyFill="1" applyBorder="1" applyAlignment="1">
      <alignment horizontal="center"/>
    </xf>
    <xf numFmtId="10" fontId="26" fillId="9" borderId="5" xfId="1" applyNumberFormat="1" applyFont="1" applyFill="1" applyBorder="1" applyAlignment="1">
      <alignment horizontal="center"/>
    </xf>
    <xf numFmtId="0" fontId="26" fillId="18" borderId="4" xfId="0" applyFont="1" applyFill="1" applyBorder="1" applyAlignment="1">
      <alignment horizontal="center"/>
    </xf>
    <xf numFmtId="0" fontId="26" fillId="18" borderId="5" xfId="0" applyFont="1" applyFill="1" applyBorder="1" applyAlignment="1">
      <alignment horizontal="center"/>
    </xf>
    <xf numFmtId="10" fontId="26" fillId="15" borderId="4" xfId="1" applyNumberFormat="1" applyFont="1" applyFill="1" applyBorder="1" applyAlignment="1">
      <alignment horizontal="center"/>
    </xf>
    <xf numFmtId="10" fontId="26" fillId="15" borderId="5" xfId="1" applyNumberFormat="1" applyFont="1" applyFill="1" applyBorder="1" applyAlignment="1">
      <alignment horizontal="center"/>
    </xf>
    <xf numFmtId="0" fontId="26" fillId="7" borderId="4" xfId="0" applyFont="1" applyFill="1" applyBorder="1" applyAlignment="1">
      <alignment horizontal="center"/>
    </xf>
    <xf numFmtId="0" fontId="26" fillId="7" borderId="5" xfId="0" applyFont="1" applyFill="1" applyBorder="1" applyAlignment="1">
      <alignment horizontal="center"/>
    </xf>
    <xf numFmtId="10" fontId="26" fillId="3" borderId="4" xfId="1" applyNumberFormat="1" applyFont="1" applyFill="1" applyBorder="1" applyAlignment="1">
      <alignment horizontal="center"/>
    </xf>
    <xf numFmtId="10" fontId="26" fillId="3" borderId="5" xfId="1" applyNumberFormat="1" applyFont="1" applyFill="1" applyBorder="1" applyAlignment="1">
      <alignment horizontal="center"/>
    </xf>
    <xf numFmtId="0" fontId="26" fillId="15" borderId="4" xfId="0" applyFont="1" applyFill="1" applyBorder="1" applyAlignment="1">
      <alignment horizontal="center"/>
    </xf>
    <xf numFmtId="0" fontId="26" fillId="15" borderId="5" xfId="0" applyFont="1" applyFill="1" applyBorder="1" applyAlignment="1">
      <alignment horizontal="center"/>
    </xf>
    <xf numFmtId="10" fontId="26" fillId="37" borderId="4" xfId="1" applyNumberFormat="1" applyFont="1" applyFill="1" applyBorder="1" applyAlignment="1">
      <alignment horizontal="center"/>
    </xf>
    <xf numFmtId="10" fontId="26" fillId="37" borderId="5" xfId="1" applyNumberFormat="1" applyFont="1" applyFill="1" applyBorder="1" applyAlignment="1">
      <alignment horizontal="center"/>
    </xf>
    <xf numFmtId="10" fontId="26" fillId="7" borderId="4" xfId="1" applyNumberFormat="1" applyFont="1" applyFill="1" applyBorder="1" applyAlignment="1">
      <alignment horizontal="center"/>
    </xf>
    <xf numFmtId="10" fontId="26" fillId="7" borderId="5" xfId="1" applyNumberFormat="1" applyFont="1" applyFill="1" applyBorder="1" applyAlignment="1">
      <alignment horizontal="center"/>
    </xf>
    <xf numFmtId="0" fontId="26" fillId="37" borderId="4" xfId="0" applyFont="1" applyFill="1" applyBorder="1" applyAlignment="1">
      <alignment horizontal="center"/>
    </xf>
    <xf numFmtId="0" fontId="26" fillId="37" borderId="5" xfId="0" applyFont="1" applyFill="1" applyBorder="1" applyAlignment="1">
      <alignment horizontal="center"/>
    </xf>
    <xf numFmtId="0" fontId="26" fillId="6" borderId="44" xfId="0" applyFont="1" applyFill="1" applyBorder="1" applyAlignment="1">
      <alignment horizontal="center" wrapText="1"/>
    </xf>
    <xf numFmtId="0" fontId="26" fillId="6" borderId="2" xfId="0" applyFont="1" applyFill="1" applyBorder="1" applyAlignment="1">
      <alignment horizontal="center" wrapText="1"/>
    </xf>
    <xf numFmtId="0" fontId="26" fillId="0" borderId="75" xfId="0" applyFont="1" applyBorder="1" applyAlignment="1">
      <alignment horizontal="center" vertical="center" wrapText="1"/>
    </xf>
    <xf numFmtId="0" fontId="26" fillId="0" borderId="76" xfId="0" applyFont="1" applyBorder="1" applyAlignment="1">
      <alignment horizontal="center" vertical="center" wrapText="1"/>
    </xf>
    <xf numFmtId="0" fontId="26" fillId="0" borderId="71" xfId="0" applyFont="1" applyBorder="1" applyAlignment="1">
      <alignment horizontal="center" vertical="center" wrapText="1"/>
    </xf>
    <xf numFmtId="0" fontId="26" fillId="0" borderId="50" xfId="0" applyFont="1" applyBorder="1" applyAlignment="1">
      <alignment horizontal="center" wrapText="1"/>
    </xf>
    <xf numFmtId="0" fontId="26" fillId="0" borderId="42" xfId="0" applyFont="1" applyBorder="1" applyAlignment="1">
      <alignment horizontal="center" wrapText="1"/>
    </xf>
    <xf numFmtId="0" fontId="26" fillId="6" borderId="75" xfId="0" applyFont="1" applyFill="1" applyBorder="1" applyAlignment="1">
      <alignment horizontal="center" wrapText="1"/>
    </xf>
    <xf numFmtId="0" fontId="26" fillId="6" borderId="71" xfId="0" applyFont="1" applyFill="1" applyBorder="1" applyAlignment="1">
      <alignment horizontal="center" wrapText="1"/>
    </xf>
    <xf numFmtId="0" fontId="26" fillId="6" borderId="32" xfId="0" applyFont="1" applyFill="1" applyBorder="1" applyAlignment="1">
      <alignment horizontal="center" wrapText="1"/>
    </xf>
    <xf numFmtId="0" fontId="26" fillId="6" borderId="88" xfId="0" applyFont="1" applyFill="1" applyBorder="1" applyAlignment="1">
      <alignment horizontal="center" wrapText="1"/>
    </xf>
    <xf numFmtId="0" fontId="26" fillId="0" borderId="4" xfId="0" applyFont="1" applyBorder="1" applyAlignment="1">
      <alignment horizontal="center" vertical="center" wrapText="1"/>
    </xf>
    <xf numFmtId="0" fontId="0" fillId="0" borderId="16" xfId="0" applyBorder="1" applyAlignment="1">
      <alignment horizontal="center" vertical="center" wrapText="1"/>
    </xf>
    <xf numFmtId="0" fontId="0" fillId="0" borderId="5" xfId="0" applyBorder="1" applyAlignment="1">
      <alignment horizontal="center" vertical="center" wrapText="1"/>
    </xf>
    <xf numFmtId="14" fontId="30" fillId="21" borderId="16" xfId="0" applyNumberFormat="1" applyFont="1" applyFill="1" applyBorder="1" applyAlignment="1">
      <alignment horizontal="left"/>
    </xf>
    <xf numFmtId="14" fontId="30" fillId="21" borderId="5" xfId="0" applyNumberFormat="1" applyFont="1" applyFill="1" applyBorder="1" applyAlignment="1">
      <alignment horizontal="left"/>
    </xf>
    <xf numFmtId="0" fontId="26" fillId="0" borderId="44" xfId="0" applyFont="1" applyBorder="1" applyAlignment="1">
      <alignment horizontal="center" wrapText="1"/>
    </xf>
    <xf numFmtId="0" fontId="26" fillId="0" borderId="48" xfId="0" applyFont="1" applyBorder="1" applyAlignment="1">
      <alignment horizontal="center" wrapText="1"/>
    </xf>
    <xf numFmtId="0" fontId="23" fillId="3" borderId="3" xfId="7" applyFont="1" applyFill="1" applyBorder="1" applyAlignment="1">
      <alignment horizontal="left" vertical="top" wrapText="1"/>
    </xf>
    <xf numFmtId="0" fontId="26" fillId="8" borderId="75" xfId="0" applyFont="1" applyFill="1" applyBorder="1" applyAlignment="1">
      <alignment horizontal="center"/>
    </xf>
    <xf numFmtId="0" fontId="26" fillId="8" borderId="71" xfId="0" applyFont="1" applyFill="1" applyBorder="1" applyAlignment="1">
      <alignment horizontal="center"/>
    </xf>
    <xf numFmtId="0" fontId="26" fillId="6" borderId="75" xfId="0" applyFont="1" applyFill="1" applyBorder="1" applyAlignment="1">
      <alignment horizontal="center"/>
    </xf>
    <xf numFmtId="0" fontId="26" fillId="6" borderId="71" xfId="0" applyFont="1" applyFill="1" applyBorder="1" applyAlignment="1">
      <alignment horizontal="center"/>
    </xf>
    <xf numFmtId="0" fontId="26" fillId="0" borderId="38" xfId="0" applyFont="1" applyBorder="1" applyAlignment="1">
      <alignment horizontal="center"/>
    </xf>
    <xf numFmtId="164" fontId="26" fillId="0" borderId="44" xfId="0" applyNumberFormat="1" applyFont="1" applyBorder="1" applyAlignment="1">
      <alignment horizontal="center" wrapText="1"/>
    </xf>
    <xf numFmtId="164" fontId="26" fillId="0" borderId="2" xfId="0" applyNumberFormat="1" applyFont="1" applyBorder="1" applyAlignment="1">
      <alignment horizontal="center" wrapText="1"/>
    </xf>
    <xf numFmtId="0" fontId="26" fillId="0" borderId="16" xfId="0" applyFont="1" applyBorder="1" applyAlignment="1">
      <alignment horizontal="center" vertical="center" wrapText="1"/>
    </xf>
    <xf numFmtId="0" fontId="26" fillId="0" borderId="5" xfId="0" applyFont="1" applyBorder="1" applyAlignment="1">
      <alignment horizontal="center" vertical="center" wrapText="1"/>
    </xf>
    <xf numFmtId="0" fontId="5" fillId="0" borderId="0" xfId="0" applyFont="1" applyAlignment="1">
      <alignment horizontal="center" wrapText="1"/>
    </xf>
    <xf numFmtId="168" fontId="26" fillId="0" borderId="46" xfId="0" applyNumberFormat="1" applyFont="1" applyBorder="1" applyAlignment="1">
      <alignment horizontal="center"/>
    </xf>
    <xf numFmtId="168" fontId="26" fillId="0" borderId="43" xfId="0" applyNumberFormat="1" applyFont="1" applyBorder="1" applyAlignment="1">
      <alignment horizontal="center"/>
    </xf>
    <xf numFmtId="0" fontId="26" fillId="6" borderId="21" xfId="0" applyFont="1" applyFill="1" applyBorder="1" applyAlignment="1">
      <alignment horizontal="center"/>
    </xf>
    <xf numFmtId="0" fontId="26" fillId="6" borderId="19" xfId="0" applyFont="1" applyFill="1" applyBorder="1" applyAlignment="1">
      <alignment horizontal="center"/>
    </xf>
    <xf numFmtId="0" fontId="5" fillId="5" borderId="6" xfId="0" applyFont="1" applyFill="1" applyBorder="1" applyAlignment="1">
      <alignment horizontal="center" vertical="center" wrapText="1"/>
    </xf>
    <xf numFmtId="0" fontId="26" fillId="0" borderId="77" xfId="0" applyFont="1" applyBorder="1" applyAlignment="1">
      <alignment horizontal="center" wrapText="1"/>
    </xf>
    <xf numFmtId="0" fontId="26" fillId="0" borderId="6" xfId="0" applyFont="1" applyBorder="1" applyAlignment="1">
      <alignment horizontal="center" wrapText="1"/>
    </xf>
    <xf numFmtId="0" fontId="26" fillId="0" borderId="62" xfId="0" applyFont="1" applyBorder="1" applyAlignment="1">
      <alignment horizontal="center" wrapText="1"/>
    </xf>
    <xf numFmtId="0" fontId="26" fillId="0" borderId="3" xfId="0" applyFont="1" applyBorder="1" applyAlignment="1">
      <alignment horizontal="center" wrapText="1"/>
    </xf>
    <xf numFmtId="0" fontId="26" fillId="6" borderId="22" xfId="0" applyFont="1" applyFill="1" applyBorder="1" applyAlignment="1">
      <alignment horizontal="center"/>
    </xf>
    <xf numFmtId="0" fontId="26" fillId="8" borderId="76" xfId="0" applyFont="1" applyFill="1" applyBorder="1" applyAlignment="1">
      <alignment horizontal="center"/>
    </xf>
    <xf numFmtId="0" fontId="26" fillId="0" borderId="21" xfId="0" applyFont="1" applyBorder="1" applyAlignment="1">
      <alignment horizontal="center" wrapText="1"/>
    </xf>
    <xf numFmtId="0" fontId="26" fillId="0" borderId="81" xfId="0" applyFont="1" applyBorder="1" applyAlignment="1">
      <alignment horizontal="center" wrapText="1"/>
    </xf>
    <xf numFmtId="0" fontId="26" fillId="0" borderId="55" xfId="0" applyFont="1" applyBorder="1" applyAlignment="1">
      <alignment horizontal="center" wrapText="1"/>
    </xf>
    <xf numFmtId="0" fontId="26" fillId="0" borderId="56" xfId="0" applyFont="1" applyBorder="1" applyAlignment="1">
      <alignment horizontal="center" wrapText="1"/>
    </xf>
    <xf numFmtId="0" fontId="26" fillId="0" borderId="50" xfId="0" applyFont="1" applyBorder="1" applyAlignment="1">
      <alignment horizontal="center"/>
    </xf>
    <xf numFmtId="0" fontId="26" fillId="0" borderId="72" xfId="0" applyFont="1" applyBorder="1" applyAlignment="1">
      <alignment horizontal="center"/>
    </xf>
    <xf numFmtId="0" fontId="26" fillId="0" borderId="59" xfId="0" applyFont="1" applyBorder="1" applyAlignment="1">
      <alignment horizontal="center"/>
    </xf>
    <xf numFmtId="0" fontId="26" fillId="0" borderId="84" xfId="0" applyFont="1" applyBorder="1" applyAlignment="1">
      <alignment horizontal="center" wrapText="1"/>
    </xf>
    <xf numFmtId="0" fontId="26" fillId="0" borderId="22" xfId="0" applyFont="1" applyBorder="1" applyAlignment="1">
      <alignment horizontal="center" wrapText="1"/>
    </xf>
    <xf numFmtId="0" fontId="26" fillId="0" borderId="46" xfId="0" applyFont="1" applyBorder="1" applyAlignment="1">
      <alignment horizontal="center" wrapText="1"/>
    </xf>
    <xf numFmtId="0" fontId="26" fillId="0" borderId="49" xfId="0" applyFont="1" applyBorder="1" applyAlignment="1">
      <alignment horizontal="center" wrapText="1"/>
    </xf>
    <xf numFmtId="0" fontId="26" fillId="0" borderId="58" xfId="0" applyFont="1" applyBorder="1" applyAlignment="1">
      <alignment horizontal="center" wrapText="1"/>
    </xf>
    <xf numFmtId="0" fontId="26" fillId="0" borderId="11" xfId="0" applyFont="1" applyBorder="1" applyAlignment="1">
      <alignment horizontal="center" wrapText="1"/>
    </xf>
    <xf numFmtId="0" fontId="26" fillId="6" borderId="76" xfId="0" applyFont="1" applyFill="1" applyBorder="1" applyAlignment="1">
      <alignment horizontal="center"/>
    </xf>
    <xf numFmtId="164" fontId="26" fillId="0" borderId="48" xfId="0" applyNumberFormat="1" applyFont="1" applyBorder="1" applyAlignment="1">
      <alignment horizontal="center" wrapText="1"/>
    </xf>
    <xf numFmtId="168" fontId="26" fillId="0" borderId="49" xfId="0" applyNumberFormat="1" applyFont="1" applyBorder="1" applyAlignment="1">
      <alignment horizontal="center"/>
    </xf>
    <xf numFmtId="0" fontId="26" fillId="6" borderId="76" xfId="0" applyFont="1" applyFill="1" applyBorder="1" applyAlignment="1">
      <alignment horizontal="center" wrapText="1"/>
    </xf>
    <xf numFmtId="0" fontId="26" fillId="0" borderId="72" xfId="0" applyFont="1" applyBorder="1" applyAlignment="1">
      <alignment horizontal="center" wrapText="1"/>
    </xf>
    <xf numFmtId="0" fontId="30" fillId="19" borderId="4" xfId="0" applyFont="1" applyFill="1" applyBorder="1" applyAlignment="1">
      <alignment horizontal="center"/>
    </xf>
    <xf numFmtId="0" fontId="30" fillId="19" borderId="16" xfId="0" applyFont="1" applyFill="1" applyBorder="1" applyAlignment="1">
      <alignment horizontal="center"/>
    </xf>
    <xf numFmtId="0" fontId="26" fillId="40" borderId="75" xfId="0" applyFont="1" applyFill="1" applyBorder="1" applyAlignment="1">
      <alignment horizontal="center" wrapText="1"/>
    </xf>
    <xf numFmtId="0" fontId="26" fillId="40" borderId="76" xfId="0" applyFont="1" applyFill="1" applyBorder="1" applyAlignment="1">
      <alignment horizontal="center" wrapText="1"/>
    </xf>
    <xf numFmtId="0" fontId="26" fillId="18" borderId="15" xfId="0" applyFont="1" applyFill="1" applyBorder="1" applyAlignment="1">
      <alignment horizontal="center"/>
    </xf>
    <xf numFmtId="0" fontId="26" fillId="18" borderId="16" xfId="0" applyFont="1" applyFill="1" applyBorder="1" applyAlignment="1">
      <alignment horizontal="center"/>
    </xf>
    <xf numFmtId="0" fontId="26" fillId="18" borderId="37" xfId="0" applyFont="1" applyFill="1" applyBorder="1" applyAlignment="1">
      <alignment horizontal="center" wrapText="1"/>
    </xf>
    <xf numFmtId="0" fontId="26" fillId="18" borderId="17" xfId="0" applyFont="1" applyFill="1" applyBorder="1" applyAlignment="1">
      <alignment horizontal="center" wrapText="1"/>
    </xf>
    <xf numFmtId="0" fontId="26" fillId="7" borderId="37" xfId="0" applyFont="1" applyFill="1" applyBorder="1" applyAlignment="1">
      <alignment horizontal="center"/>
    </xf>
    <xf numFmtId="0" fontId="26" fillId="7" borderId="21" xfId="0" applyFont="1" applyFill="1" applyBorder="1" applyAlignment="1">
      <alignment horizontal="center"/>
    </xf>
    <xf numFmtId="0" fontId="26" fillId="0" borderId="18" xfId="0" applyFont="1" applyBorder="1" applyAlignment="1">
      <alignment horizontal="center"/>
    </xf>
    <xf numFmtId="0" fontId="26" fillId="40" borderId="71" xfId="0" applyFont="1" applyFill="1" applyBorder="1" applyAlignment="1">
      <alignment horizontal="center" wrapText="1"/>
    </xf>
    <xf numFmtId="0" fontId="26" fillId="18" borderId="75" xfId="0" applyFont="1" applyFill="1" applyBorder="1" applyAlignment="1">
      <alignment horizontal="center" wrapText="1"/>
    </xf>
    <xf numFmtId="0" fontId="26" fillId="18" borderId="76" xfId="0" applyFont="1" applyFill="1" applyBorder="1" applyAlignment="1">
      <alignment horizontal="center" wrapText="1"/>
    </xf>
    <xf numFmtId="0" fontId="26" fillId="18" borderId="71" xfId="0" applyFont="1" applyFill="1" applyBorder="1" applyAlignment="1">
      <alignment horizontal="center" wrapText="1"/>
    </xf>
    <xf numFmtId="0" fontId="26" fillId="18" borderId="18" xfId="0" applyFont="1" applyFill="1" applyBorder="1" applyAlignment="1">
      <alignment horizontal="center" wrapText="1"/>
    </xf>
    <xf numFmtId="0" fontId="26" fillId="0" borderId="17" xfId="0" applyFont="1" applyBorder="1" applyAlignment="1">
      <alignment horizontal="center" wrapText="1"/>
    </xf>
    <xf numFmtId="0" fontId="24" fillId="0" borderId="75" xfId="0" applyFont="1" applyBorder="1" applyAlignment="1">
      <alignment horizontal="center" wrapText="1"/>
    </xf>
    <xf numFmtId="0" fontId="24" fillId="0" borderId="76" xfId="0" applyFont="1" applyBorder="1" applyAlignment="1">
      <alignment horizontal="center" wrapText="1"/>
    </xf>
    <xf numFmtId="0" fontId="26" fillId="0" borderId="4" xfId="0" applyFont="1" applyBorder="1" applyAlignment="1">
      <alignment horizontal="center" wrapText="1"/>
    </xf>
    <xf numFmtId="0" fontId="26" fillId="0" borderId="16" xfId="0" applyFont="1" applyBorder="1" applyAlignment="1">
      <alignment horizontal="center" wrapText="1"/>
    </xf>
    <xf numFmtId="0" fontId="26" fillId="9" borderId="75" xfId="0" applyFont="1" applyFill="1" applyBorder="1" applyAlignment="1">
      <alignment horizontal="center" wrapText="1"/>
    </xf>
    <xf numFmtId="0" fontId="26" fillId="9" borderId="76" xfId="0" applyFont="1" applyFill="1" applyBorder="1" applyAlignment="1">
      <alignment horizontal="center" wrapText="1"/>
    </xf>
    <xf numFmtId="0" fontId="26" fillId="7" borderId="51" xfId="0" applyFont="1" applyFill="1" applyBorder="1" applyAlignment="1">
      <alignment horizontal="center"/>
    </xf>
    <xf numFmtId="0" fontId="26" fillId="7" borderId="52" xfId="0" applyFont="1" applyFill="1" applyBorder="1" applyAlignment="1">
      <alignment horizontal="center"/>
    </xf>
    <xf numFmtId="0" fontId="34" fillId="21" borderId="4" xfId="0" applyFont="1" applyFill="1" applyBorder="1" applyAlignment="1">
      <alignment horizontal="left"/>
    </xf>
    <xf numFmtId="0" fontId="34" fillId="21" borderId="16" xfId="0" applyFont="1" applyFill="1" applyBorder="1" applyAlignment="1">
      <alignment horizontal="left"/>
    </xf>
    <xf numFmtId="0" fontId="34" fillId="21" borderId="5" xfId="0" applyFont="1" applyFill="1" applyBorder="1" applyAlignment="1">
      <alignment horizontal="left"/>
    </xf>
    <xf numFmtId="0" fontId="30" fillId="21" borderId="4" xfId="0" applyFont="1" applyFill="1" applyBorder="1" applyAlignment="1">
      <alignment horizontal="right"/>
    </xf>
    <xf numFmtId="0" fontId="30" fillId="21" borderId="16" xfId="0" applyFont="1" applyFill="1" applyBorder="1" applyAlignment="1">
      <alignment horizontal="right"/>
    </xf>
    <xf numFmtId="0" fontId="68" fillId="3" borderId="4" xfId="0" applyFont="1" applyFill="1" applyBorder="1" applyAlignment="1">
      <alignment horizontal="center"/>
    </xf>
    <xf numFmtId="0" fontId="68" fillId="3" borderId="16" xfId="0" applyFont="1" applyFill="1" applyBorder="1" applyAlignment="1">
      <alignment horizontal="center"/>
    </xf>
    <xf numFmtId="0" fontId="26" fillId="0" borderId="37" xfId="0" applyFont="1" applyBorder="1" applyAlignment="1">
      <alignment horizontal="center" vertical="center"/>
    </xf>
    <xf numFmtId="0" fontId="26" fillId="0" borderId="18" xfId="0" applyFont="1" applyBorder="1" applyAlignment="1">
      <alignment horizontal="center" vertical="center"/>
    </xf>
    <xf numFmtId="164" fontId="26" fillId="4" borderId="4" xfId="0" applyNumberFormat="1" applyFont="1" applyFill="1" applyBorder="1" applyAlignment="1">
      <alignment horizontal="center"/>
    </xf>
    <xf numFmtId="164" fontId="26" fillId="4" borderId="16" xfId="0" applyNumberFormat="1" applyFont="1" applyFill="1" applyBorder="1" applyAlignment="1">
      <alignment horizontal="center"/>
    </xf>
    <xf numFmtId="0" fontId="26" fillId="0" borderId="19" xfId="0" applyFont="1" applyBorder="1" applyAlignment="1">
      <alignment horizontal="center" wrapText="1"/>
    </xf>
    <xf numFmtId="0" fontId="26" fillId="0" borderId="17" xfId="0" applyFont="1" applyBorder="1" applyAlignment="1">
      <alignment horizontal="center" vertical="center"/>
    </xf>
    <xf numFmtId="0" fontId="26" fillId="0" borderId="15" xfId="0" applyFont="1" applyBorder="1" applyAlignment="1">
      <alignment horizontal="center" wrapText="1"/>
    </xf>
    <xf numFmtId="0" fontId="26" fillId="0" borderId="57" xfId="0" applyFont="1" applyBorder="1" applyAlignment="1">
      <alignment horizontal="center" wrapText="1"/>
    </xf>
    <xf numFmtId="164" fontId="26" fillId="12" borderId="4" xfId="0" applyNumberFormat="1" applyFont="1" applyFill="1" applyBorder="1" applyAlignment="1">
      <alignment horizontal="center"/>
    </xf>
    <xf numFmtId="164" fontId="26" fillId="12" borderId="16" xfId="0" applyNumberFormat="1" applyFont="1" applyFill="1" applyBorder="1" applyAlignment="1">
      <alignment horizontal="center"/>
    </xf>
    <xf numFmtId="164" fontId="26" fillId="6" borderId="4" xfId="0" applyNumberFormat="1" applyFont="1" applyFill="1" applyBorder="1" applyAlignment="1">
      <alignment horizontal="center"/>
    </xf>
    <xf numFmtId="164" fontId="26" fillId="6" borderId="16" xfId="0" applyNumberFormat="1" applyFont="1" applyFill="1" applyBorder="1" applyAlignment="1">
      <alignment horizontal="center"/>
    </xf>
    <xf numFmtId="0" fontId="30" fillId="19" borderId="4" xfId="0" applyFont="1" applyFill="1" applyBorder="1" applyAlignment="1">
      <alignment horizontal="center" wrapText="1"/>
    </xf>
    <xf numFmtId="0" fontId="30" fillId="19" borderId="16" xfId="0" applyFont="1" applyFill="1" applyBorder="1" applyAlignment="1">
      <alignment horizontal="center" wrapText="1"/>
    </xf>
    <xf numFmtId="0" fontId="26" fillId="4" borderId="4" xfId="0" applyFont="1" applyFill="1" applyBorder="1" applyAlignment="1">
      <alignment horizontal="center"/>
    </xf>
    <xf numFmtId="0" fontId="26" fillId="4" borderId="16" xfId="0" applyFont="1" applyFill="1" applyBorder="1" applyAlignment="1">
      <alignment horizontal="center"/>
    </xf>
    <xf numFmtId="0" fontId="26" fillId="12" borderId="16" xfId="0" applyFont="1" applyFill="1" applyBorder="1" applyAlignment="1">
      <alignment horizontal="center"/>
    </xf>
    <xf numFmtId="0" fontId="26" fillId="8" borderId="6" xfId="0" applyFont="1" applyFill="1" applyBorder="1" applyAlignment="1" applyProtection="1">
      <alignment horizontal="center" wrapText="1"/>
      <protection locked="0"/>
    </xf>
    <xf numFmtId="0" fontId="0" fillId="0" borderId="13" xfId="0" applyBorder="1" applyAlignment="1">
      <alignment horizontal="center" wrapText="1"/>
    </xf>
    <xf numFmtId="0" fontId="0" fillId="0" borderId="7" xfId="0" applyBorder="1" applyAlignment="1">
      <alignment horizontal="center" wrapText="1"/>
    </xf>
    <xf numFmtId="0" fontId="26" fillId="4" borderId="6" xfId="0" applyFont="1" applyFill="1" applyBorder="1" applyAlignment="1" applyProtection="1">
      <alignment horizontal="center" wrapText="1"/>
      <protection locked="0"/>
    </xf>
    <xf numFmtId="0" fontId="26" fillId="6" borderId="6" xfId="0" applyFont="1" applyFill="1" applyBorder="1" applyAlignment="1" applyProtection="1">
      <alignment horizontal="center" wrapText="1"/>
      <protection locked="0"/>
    </xf>
    <xf numFmtId="0" fontId="26" fillId="12" borderId="6" xfId="0" applyFont="1" applyFill="1" applyBorder="1" applyAlignment="1" applyProtection="1">
      <alignment horizontal="center" wrapText="1"/>
      <protection locked="0"/>
    </xf>
    <xf numFmtId="0" fontId="26" fillId="18" borderId="6" xfId="0" applyFont="1" applyFill="1" applyBorder="1" applyAlignment="1" applyProtection="1">
      <alignment horizontal="center" wrapText="1"/>
      <protection locked="0"/>
    </xf>
    <xf numFmtId="0" fontId="26" fillId="11" borderId="6" xfId="0" applyFont="1" applyFill="1" applyBorder="1" applyAlignment="1" applyProtection="1">
      <alignment horizontal="center" wrapText="1"/>
      <protection locked="0"/>
    </xf>
    <xf numFmtId="7" fontId="26" fillId="58" borderId="6" xfId="2" applyNumberFormat="1" applyFont="1" applyFill="1" applyBorder="1" applyAlignment="1">
      <alignment horizontal="center"/>
    </xf>
    <xf numFmtId="7" fontId="26" fillId="58" borderId="7" xfId="2" applyNumberFormat="1" applyFont="1" applyFill="1" applyBorder="1" applyAlignment="1">
      <alignment horizontal="center"/>
    </xf>
    <xf numFmtId="7" fontId="26" fillId="12" borderId="6" xfId="2" applyNumberFormat="1" applyFont="1" applyFill="1" applyBorder="1" applyAlignment="1">
      <alignment horizontal="center"/>
    </xf>
    <xf numFmtId="7" fontId="26" fillId="12" borderId="7" xfId="2" applyNumberFormat="1" applyFont="1" applyFill="1" applyBorder="1" applyAlignment="1">
      <alignment horizontal="center"/>
    </xf>
    <xf numFmtId="7" fontId="26" fillId="6" borderId="6" xfId="2" applyNumberFormat="1" applyFont="1" applyFill="1" applyBorder="1" applyAlignment="1">
      <alignment horizontal="center"/>
    </xf>
    <xf numFmtId="7" fontId="26" fillId="6" borderId="7" xfId="2" applyNumberFormat="1" applyFont="1" applyFill="1" applyBorder="1" applyAlignment="1">
      <alignment horizontal="center"/>
    </xf>
    <xf numFmtId="0" fontId="0" fillId="12" borderId="6" xfId="0" applyFill="1" applyBorder="1" applyAlignment="1" applyProtection="1">
      <alignment horizontal="left"/>
      <protection locked="0"/>
    </xf>
    <xf numFmtId="0" fontId="0" fillId="12" borderId="13" xfId="0" applyFill="1" applyBorder="1" applyAlignment="1" applyProtection="1">
      <alignment horizontal="left"/>
      <protection locked="0"/>
    </xf>
    <xf numFmtId="0" fontId="26" fillId="0" borderId="68" xfId="0" applyFont="1" applyBorder="1" applyAlignment="1">
      <alignment horizontal="center" vertical="center"/>
    </xf>
    <xf numFmtId="0" fontId="26" fillId="0" borderId="81" xfId="0" applyFont="1" applyBorder="1" applyAlignment="1">
      <alignment horizontal="center" vertical="center"/>
    </xf>
    <xf numFmtId="0" fontId="0" fillId="4" borderId="6" xfId="0" applyFill="1" applyBorder="1" applyAlignment="1" applyProtection="1">
      <alignment horizontal="left"/>
      <protection locked="0"/>
    </xf>
    <xf numFmtId="0" fontId="0" fillId="4" borderId="13" xfId="0" applyFill="1" applyBorder="1" applyAlignment="1" applyProtection="1">
      <alignment horizontal="left"/>
      <protection locked="0"/>
    </xf>
    <xf numFmtId="0" fontId="0" fillId="6" borderId="6" xfId="0" applyFill="1" applyBorder="1" applyAlignment="1" applyProtection="1">
      <alignment horizontal="left"/>
      <protection locked="0"/>
    </xf>
    <xf numFmtId="0" fontId="0" fillId="6" borderId="13" xfId="0" applyFill="1" applyBorder="1" applyAlignment="1" applyProtection="1">
      <alignment horizontal="left"/>
      <protection locked="0"/>
    </xf>
    <xf numFmtId="0" fontId="0" fillId="8" borderId="6" xfId="0" applyFill="1" applyBorder="1" applyAlignment="1" applyProtection="1">
      <alignment horizontal="left"/>
      <protection locked="0"/>
    </xf>
    <xf numFmtId="0" fontId="0" fillId="8" borderId="13" xfId="0" applyFill="1" applyBorder="1" applyAlignment="1" applyProtection="1">
      <alignment horizontal="left"/>
      <protection locked="0"/>
    </xf>
    <xf numFmtId="0" fontId="0" fillId="8" borderId="7" xfId="0" applyFill="1" applyBorder="1" applyAlignment="1" applyProtection="1">
      <alignment horizontal="left"/>
      <protection locked="0"/>
    </xf>
    <xf numFmtId="7" fontId="26" fillId="4" borderId="6" xfId="2" applyNumberFormat="1" applyFont="1" applyFill="1" applyBorder="1" applyAlignment="1">
      <alignment horizontal="center"/>
    </xf>
    <xf numFmtId="7" fontId="26" fillId="4" borderId="7" xfId="2" applyNumberFormat="1" applyFont="1" applyFill="1" applyBorder="1" applyAlignment="1">
      <alignment horizontal="center"/>
    </xf>
    <xf numFmtId="7" fontId="26" fillId="8" borderId="6" xfId="2" applyNumberFormat="1" applyFont="1" applyFill="1" applyBorder="1" applyAlignment="1">
      <alignment horizontal="center"/>
    </xf>
    <xf numFmtId="7" fontId="26" fillId="8" borderId="7" xfId="2" applyNumberFormat="1" applyFont="1" applyFill="1" applyBorder="1" applyAlignment="1">
      <alignment horizontal="center"/>
    </xf>
    <xf numFmtId="7" fontId="26" fillId="9" borderId="6" xfId="2" applyNumberFormat="1" applyFont="1" applyFill="1" applyBorder="1" applyAlignment="1">
      <alignment horizontal="center"/>
    </xf>
    <xf numFmtId="7" fontId="26" fillId="9" borderId="7" xfId="2" applyNumberFormat="1" applyFont="1" applyFill="1" applyBorder="1" applyAlignment="1">
      <alignment horizontal="center"/>
    </xf>
    <xf numFmtId="7" fontId="26" fillId="18" borderId="6" xfId="2" applyNumberFormat="1" applyFont="1" applyFill="1" applyBorder="1" applyAlignment="1">
      <alignment horizontal="center"/>
    </xf>
    <xf numFmtId="7" fontId="26" fillId="18" borderId="7" xfId="2" applyNumberFormat="1" applyFont="1" applyFill="1" applyBorder="1" applyAlignment="1">
      <alignment horizontal="center"/>
    </xf>
    <xf numFmtId="7" fontId="26" fillId="11" borderId="6" xfId="2" applyNumberFormat="1" applyFont="1" applyFill="1" applyBorder="1" applyAlignment="1">
      <alignment horizontal="center" wrapText="1"/>
    </xf>
    <xf numFmtId="7" fontId="26" fillId="18" borderId="6" xfId="2" applyNumberFormat="1" applyFont="1" applyFill="1" applyBorder="1" applyAlignment="1">
      <alignment horizontal="center" wrapText="1"/>
    </xf>
    <xf numFmtId="7" fontId="26" fillId="12" borderId="6" xfId="2" applyNumberFormat="1" applyFont="1" applyFill="1" applyBorder="1" applyAlignment="1">
      <alignment horizontal="center" wrapText="1"/>
    </xf>
    <xf numFmtId="7" fontId="26" fillId="6" borderId="6" xfId="2" applyNumberFormat="1" applyFont="1" applyFill="1" applyBorder="1" applyAlignment="1">
      <alignment horizontal="center" wrapText="1"/>
    </xf>
    <xf numFmtId="7" fontId="26" fillId="4" borderId="6" xfId="2" applyNumberFormat="1" applyFont="1" applyFill="1" applyBorder="1" applyAlignment="1">
      <alignment horizontal="center" wrapText="1"/>
    </xf>
    <xf numFmtId="7" fontId="26" fillId="8" borderId="6" xfId="2" applyNumberFormat="1" applyFont="1" applyFill="1" applyBorder="1" applyAlignment="1">
      <alignment horizontal="center" wrapText="1"/>
    </xf>
    <xf numFmtId="7" fontId="26" fillId="9" borderId="6" xfId="2" applyNumberFormat="1" applyFont="1" applyFill="1" applyBorder="1" applyAlignment="1">
      <alignment horizontal="center" wrapText="1"/>
    </xf>
    <xf numFmtId="7" fontId="26" fillId="58" borderId="6" xfId="2" applyNumberFormat="1" applyFont="1" applyFill="1" applyBorder="1" applyAlignment="1">
      <alignment horizontal="center" wrapText="1"/>
    </xf>
    <xf numFmtId="0" fontId="0" fillId="58" borderId="7" xfId="0" applyFill="1" applyBorder="1" applyAlignment="1">
      <alignment horizontal="center" wrapText="1"/>
    </xf>
    <xf numFmtId="0" fontId="26" fillId="0" borderId="60" xfId="0" applyFont="1" applyBorder="1" applyAlignment="1">
      <alignment horizontal="center" wrapText="1"/>
    </xf>
    <xf numFmtId="0" fontId="26" fillId="13" borderId="3" xfId="0" applyFont="1" applyFill="1" applyBorder="1" applyAlignment="1">
      <alignment horizontal="center" wrapText="1"/>
    </xf>
    <xf numFmtId="0" fontId="26" fillId="13" borderId="3" xfId="0" applyFont="1" applyFill="1" applyBorder="1" applyAlignment="1">
      <alignment horizontal="center" vertical="center" wrapText="1"/>
    </xf>
    <xf numFmtId="7" fontId="26" fillId="11" borderId="6" xfId="2" applyNumberFormat="1" applyFont="1" applyFill="1" applyBorder="1" applyAlignment="1">
      <alignment horizontal="center"/>
    </xf>
    <xf numFmtId="7" fontId="26" fillId="11" borderId="7" xfId="2" applyNumberFormat="1" applyFont="1" applyFill="1" applyBorder="1" applyAlignment="1">
      <alignment horizontal="center"/>
    </xf>
    <xf numFmtId="0" fontId="26" fillId="0" borderId="2" xfId="0" applyFont="1" applyBorder="1" applyAlignment="1">
      <alignment horizontal="center" wrapText="1"/>
    </xf>
    <xf numFmtId="0" fontId="26" fillId="0" borderId="46" xfId="0" applyFont="1" applyBorder="1" applyAlignment="1">
      <alignment horizontal="center" vertical="center" wrapText="1"/>
    </xf>
    <xf numFmtId="0" fontId="26" fillId="0" borderId="49" xfId="0" applyFont="1" applyBorder="1" applyAlignment="1">
      <alignment horizontal="center" vertical="center" wrapText="1"/>
    </xf>
    <xf numFmtId="0" fontId="26" fillId="0" borderId="44" xfId="0" applyFont="1" applyBorder="1" applyAlignment="1">
      <alignment horizontal="center" vertical="center" wrapText="1"/>
    </xf>
    <xf numFmtId="0" fontId="26" fillId="0" borderId="48" xfId="0" applyFont="1" applyBorder="1" applyAlignment="1">
      <alignment horizontal="center" vertical="center" wrapText="1"/>
    </xf>
    <xf numFmtId="0" fontId="26" fillId="0" borderId="50" xfId="0" applyFont="1" applyBorder="1" applyAlignment="1">
      <alignment horizontal="center" vertical="center" wrapText="1"/>
    </xf>
    <xf numFmtId="0" fontId="26" fillId="0" borderId="72" xfId="0" applyFont="1" applyBorder="1" applyAlignment="1">
      <alignment horizontal="center" vertical="center" wrapText="1"/>
    </xf>
    <xf numFmtId="0" fontId="26" fillId="0" borderId="3" xfId="0" applyFont="1" applyBorder="1" applyAlignment="1">
      <alignment horizontal="center" vertical="center" wrapText="1"/>
    </xf>
    <xf numFmtId="0" fontId="26" fillId="18" borderId="3" xfId="0" applyFont="1" applyFill="1" applyBorder="1" applyAlignment="1">
      <alignment horizontal="center" vertical="center" wrapText="1"/>
    </xf>
    <xf numFmtId="0" fontId="26" fillId="13" borderId="58" xfId="0" applyFont="1" applyFill="1" applyBorder="1" applyAlignment="1">
      <alignment horizontal="center" vertical="center" wrapText="1"/>
    </xf>
    <xf numFmtId="0" fontId="26" fillId="13" borderId="2" xfId="0" applyFont="1" applyFill="1" applyBorder="1" applyAlignment="1">
      <alignment horizontal="center" vertical="center" wrapText="1"/>
    </xf>
    <xf numFmtId="0" fontId="26" fillId="13" borderId="58" xfId="0" applyFont="1" applyFill="1" applyBorder="1" applyAlignment="1">
      <alignment horizontal="center" wrapText="1"/>
    </xf>
    <xf numFmtId="0" fontId="26" fillId="13" borderId="2" xfId="0" applyFont="1" applyFill="1" applyBorder="1" applyAlignment="1">
      <alignment horizontal="center" wrapText="1"/>
    </xf>
    <xf numFmtId="0" fontId="0" fillId="9" borderId="6" xfId="0" applyFill="1" applyBorder="1" applyAlignment="1" applyProtection="1">
      <alignment horizontal="left"/>
      <protection locked="0"/>
    </xf>
    <xf numFmtId="0" fontId="0" fillId="9" borderId="13" xfId="0" applyFill="1" applyBorder="1" applyAlignment="1" applyProtection="1">
      <alignment horizontal="left"/>
      <protection locked="0"/>
    </xf>
    <xf numFmtId="0" fontId="0" fillId="9" borderId="7" xfId="0" applyFill="1" applyBorder="1" applyAlignment="1" applyProtection="1">
      <alignment horizontal="left"/>
      <protection locked="0"/>
    </xf>
    <xf numFmtId="0" fontId="0" fillId="18" borderId="6" xfId="0" applyFill="1" applyBorder="1" applyAlignment="1" applyProtection="1">
      <alignment horizontal="left"/>
      <protection locked="0"/>
    </xf>
    <xf numFmtId="0" fontId="0" fillId="18" borderId="13" xfId="0" applyFill="1" applyBorder="1" applyAlignment="1" applyProtection="1">
      <alignment horizontal="left"/>
      <protection locked="0"/>
    </xf>
    <xf numFmtId="0" fontId="0" fillId="18" borderId="7" xfId="0" applyFill="1" applyBorder="1" applyAlignment="1" applyProtection="1">
      <alignment horizontal="left"/>
      <protection locked="0"/>
    </xf>
    <xf numFmtId="0" fontId="0" fillId="12" borderId="7" xfId="0" applyFill="1" applyBorder="1" applyAlignment="1" applyProtection="1">
      <alignment horizontal="left"/>
      <protection locked="0"/>
    </xf>
    <xf numFmtId="0" fontId="30" fillId="44" borderId="1" xfId="0" applyFont="1" applyFill="1" applyBorder="1" applyAlignment="1">
      <alignment horizontal="right"/>
    </xf>
    <xf numFmtId="0" fontId="30" fillId="44" borderId="10" xfId="0" applyFont="1" applyFill="1" applyBorder="1" applyAlignment="1">
      <alignment horizontal="right"/>
    </xf>
    <xf numFmtId="0" fontId="30" fillId="14" borderId="1" xfId="0" applyFont="1" applyFill="1" applyBorder="1" applyAlignment="1">
      <alignment horizontal="right"/>
    </xf>
    <xf numFmtId="0" fontId="30" fillId="14" borderId="10" xfId="0" applyFont="1" applyFill="1" applyBorder="1" applyAlignment="1">
      <alignment horizontal="right"/>
    </xf>
    <xf numFmtId="0" fontId="0" fillId="6" borderId="7" xfId="0" applyFill="1" applyBorder="1" applyAlignment="1" applyProtection="1">
      <alignment horizontal="left"/>
      <protection locked="0"/>
    </xf>
    <xf numFmtId="0" fontId="0" fillId="4" borderId="7" xfId="0" applyFill="1" applyBorder="1" applyAlignment="1" applyProtection="1">
      <alignment horizontal="left"/>
      <protection locked="0"/>
    </xf>
    <xf numFmtId="0" fontId="30" fillId="17" borderId="1" xfId="0" applyFont="1" applyFill="1" applyBorder="1" applyAlignment="1">
      <alignment horizontal="right"/>
    </xf>
    <xf numFmtId="0" fontId="30" fillId="17" borderId="10" xfId="0" applyFont="1" applyFill="1" applyBorder="1" applyAlignment="1">
      <alignment horizontal="right"/>
    </xf>
    <xf numFmtId="0" fontId="30" fillId="22" borderId="1" xfId="0" applyFont="1" applyFill="1" applyBorder="1" applyAlignment="1">
      <alignment horizontal="right"/>
    </xf>
    <xf numFmtId="0" fontId="30" fillId="22" borderId="10" xfId="0" applyFont="1" applyFill="1" applyBorder="1" applyAlignment="1">
      <alignment horizontal="right"/>
    </xf>
    <xf numFmtId="0" fontId="30" fillId="16" borderId="1" xfId="0" applyFont="1" applyFill="1" applyBorder="1" applyAlignment="1">
      <alignment horizontal="right"/>
    </xf>
    <xf numFmtId="0" fontId="30" fillId="16" borderId="10" xfId="0" applyFont="1" applyFill="1" applyBorder="1" applyAlignment="1">
      <alignment horizontal="right"/>
    </xf>
    <xf numFmtId="0" fontId="30" fillId="27" borderId="1" xfId="0" applyFont="1" applyFill="1" applyBorder="1" applyAlignment="1">
      <alignment horizontal="right"/>
    </xf>
    <xf numFmtId="0" fontId="30" fillId="27" borderId="10" xfId="0" applyFont="1" applyFill="1" applyBorder="1" applyAlignment="1">
      <alignment horizontal="right"/>
    </xf>
    <xf numFmtId="0" fontId="30" fillId="25" borderId="1" xfId="0" applyFont="1" applyFill="1" applyBorder="1" applyAlignment="1">
      <alignment horizontal="right"/>
    </xf>
    <xf numFmtId="0" fontId="30" fillId="25" borderId="10" xfId="0" applyFont="1" applyFill="1" applyBorder="1" applyAlignment="1">
      <alignment horizontal="right"/>
    </xf>
    <xf numFmtId="0" fontId="26" fillId="9" borderId="6" xfId="0" applyFont="1" applyFill="1" applyBorder="1" applyAlignment="1" applyProtection="1">
      <alignment horizontal="center" wrapText="1"/>
      <protection locked="0"/>
    </xf>
    <xf numFmtId="164" fontId="28" fillId="0" borderId="3" xfId="0" applyNumberFormat="1" applyFont="1" applyBorder="1" applyAlignment="1">
      <alignment horizontal="center" vertical="center" wrapText="1"/>
    </xf>
    <xf numFmtId="164" fontId="26" fillId="0" borderId="3" xfId="0" applyNumberFormat="1" applyFont="1" applyBorder="1" applyAlignment="1">
      <alignment horizontal="center" vertical="center" wrapText="1"/>
    </xf>
    <xf numFmtId="0" fontId="0" fillId="11" borderId="6" xfId="0" applyFill="1" applyBorder="1" applyAlignment="1" applyProtection="1">
      <alignment horizontal="left"/>
      <protection locked="0"/>
    </xf>
    <xf numFmtId="0" fontId="0" fillId="11" borderId="13" xfId="0" applyFill="1" applyBorder="1" applyAlignment="1" applyProtection="1">
      <alignment horizontal="left"/>
      <protection locked="0"/>
    </xf>
    <xf numFmtId="0" fontId="0" fillId="11" borderId="7" xfId="0" applyFill="1" applyBorder="1" applyAlignment="1" applyProtection="1">
      <alignment horizontal="left"/>
      <protection locked="0"/>
    </xf>
    <xf numFmtId="0" fontId="30" fillId="21" borderId="1" xfId="0" applyFont="1" applyFill="1" applyBorder="1" applyAlignment="1">
      <alignment horizontal="right"/>
    </xf>
    <xf numFmtId="0" fontId="30" fillId="21" borderId="10" xfId="0" applyFont="1" applyFill="1" applyBorder="1" applyAlignment="1">
      <alignment horizontal="right"/>
    </xf>
    <xf numFmtId="0" fontId="0" fillId="58" borderId="6" xfId="0" applyFill="1" applyBorder="1" applyAlignment="1" applyProtection="1">
      <alignment horizontal="left"/>
      <protection locked="0"/>
    </xf>
    <xf numFmtId="0" fontId="0" fillId="58" borderId="13" xfId="0" applyFill="1" applyBorder="1" applyAlignment="1" applyProtection="1">
      <alignment horizontal="left"/>
      <protection locked="0"/>
    </xf>
    <xf numFmtId="0" fontId="0" fillId="58" borderId="7" xfId="0" applyFill="1" applyBorder="1" applyAlignment="1" applyProtection="1">
      <alignment horizontal="left"/>
      <protection locked="0"/>
    </xf>
    <xf numFmtId="0" fontId="30" fillId="57" borderId="1" xfId="0" applyFont="1" applyFill="1" applyBorder="1" applyAlignment="1">
      <alignment horizontal="right"/>
    </xf>
    <xf numFmtId="0" fontId="30" fillId="57" borderId="10" xfId="0" applyFont="1" applyFill="1" applyBorder="1" applyAlignment="1">
      <alignment horizontal="right"/>
    </xf>
    <xf numFmtId="0" fontId="26" fillId="58" borderId="6" xfId="0" applyFont="1" applyFill="1" applyBorder="1" applyAlignment="1" applyProtection="1">
      <alignment horizontal="center" wrapText="1"/>
      <protection locked="0"/>
    </xf>
    <xf numFmtId="0" fontId="74" fillId="36" borderId="0" xfId="0" applyFont="1" applyFill="1" applyAlignment="1">
      <alignment horizontal="center"/>
    </xf>
    <xf numFmtId="0" fontId="0" fillId="0" borderId="0" xfId="0" applyAlignment="1">
      <alignment horizontal="left" vertical="center" wrapText="1"/>
    </xf>
    <xf numFmtId="0" fontId="0" fillId="0" borderId="37" xfId="0" applyBorder="1" applyAlignment="1">
      <alignment horizontal="left" vertical="center" wrapText="1"/>
    </xf>
    <xf numFmtId="0" fontId="0" fillId="0" borderId="20" xfId="0" applyBorder="1" applyAlignment="1">
      <alignment horizontal="left" vertical="center" wrapText="1"/>
    </xf>
    <xf numFmtId="0" fontId="0" fillId="0" borderId="21" xfId="0" applyBorder="1" applyAlignment="1">
      <alignment horizontal="left" vertical="center" wrapText="1"/>
    </xf>
    <xf numFmtId="0" fontId="0" fillId="0" borderId="18" xfId="0" applyBorder="1" applyAlignment="1">
      <alignment horizontal="left" vertical="center" wrapText="1"/>
    </xf>
    <xf numFmtId="0" fontId="0" fillId="0" borderId="15" xfId="0" applyBorder="1" applyAlignment="1">
      <alignment horizontal="left" vertical="center" wrapText="1"/>
    </xf>
    <xf numFmtId="0" fontId="0" fillId="0" borderId="19" xfId="0" applyBorder="1" applyAlignment="1">
      <alignment horizontal="left" vertical="center" wrapText="1"/>
    </xf>
    <xf numFmtId="0" fontId="34" fillId="17" borderId="0" xfId="0" applyFont="1" applyFill="1" applyAlignment="1">
      <alignment horizontal="left"/>
    </xf>
  </cellXfs>
  <cellStyles count="12">
    <cellStyle name="20% - Accent2" xfId="8" builtinId="34"/>
    <cellStyle name="20% - Accent3" xfId="9" builtinId="38"/>
    <cellStyle name="Accent4" xfId="10" builtinId="41"/>
    <cellStyle name="Bad" xfId="11" builtinId="27"/>
    <cellStyle name="Calculation" xfId="4" builtinId="22" customBuiltin="1"/>
    <cellStyle name="Currency" xfId="2" builtinId="4"/>
    <cellStyle name="Explanatory Text" xfId="7" builtinId="53"/>
    <cellStyle name="Hyperlink" xfId="3" builtinId="8"/>
    <cellStyle name="Input" xfId="6" builtinId="20"/>
    <cellStyle name="Normal" xfId="0" builtinId="0"/>
    <cellStyle name="Normal 2" xfId="5" xr:uid="{00000000-0005-0000-0000-00000A000000}"/>
    <cellStyle name="Percent" xfId="1" builtinId="5"/>
  </cellStyles>
  <dxfs count="238">
    <dxf>
      <fill>
        <patternFill>
          <bgColor theme="5" tint="0.39994506668294322"/>
        </patternFill>
      </fill>
    </dxf>
    <dxf>
      <font>
        <b/>
        <i val="0"/>
        <strike val="0"/>
        <condense val="0"/>
        <extend val="0"/>
        <outline val="0"/>
        <shadow val="0"/>
        <u val="none"/>
        <vertAlign val="baseline"/>
        <sz val="11"/>
        <color auto="1"/>
        <name val="Calibri"/>
        <family val="2"/>
        <scheme val="minor"/>
      </font>
      <numFmt numFmtId="164" formatCode="&quot;$&quot;#,##0"/>
    </dxf>
    <dxf>
      <alignment horizontal="general" vertical="center" textRotation="0" indent="0" justifyLastLine="0" shrinkToFit="0" readingOrder="0"/>
    </dxf>
    <dxf>
      <font>
        <b val="0"/>
        <i val="0"/>
        <strike val="0"/>
        <condense val="0"/>
        <extend val="0"/>
        <outline val="0"/>
        <shadow val="0"/>
        <u val="none"/>
        <vertAlign val="baseline"/>
        <sz val="11"/>
        <color auto="1"/>
        <name val="Calibri"/>
        <family val="2"/>
        <scheme val="minor"/>
      </font>
      <numFmt numFmtId="164" formatCode="&quot;$&quot;#,##0"/>
    </dxf>
    <dxf>
      <numFmt numFmtId="164" formatCode="&quot;$&quot;#,##0"/>
      <alignment horizontal="general" vertical="center" textRotation="0" indent="0" justifyLastLine="0" shrinkToFit="0" readingOrder="0"/>
    </dxf>
    <dxf>
      <font>
        <b val="0"/>
        <i val="0"/>
        <strike val="0"/>
        <condense val="0"/>
        <extend val="0"/>
        <outline val="0"/>
        <shadow val="0"/>
        <u val="none"/>
        <vertAlign val="baseline"/>
        <sz val="11"/>
        <color auto="1"/>
        <name val="Calibri"/>
        <family val="2"/>
        <scheme val="minor"/>
      </font>
      <numFmt numFmtId="164" formatCode="&quot;$&quot;#,##0"/>
    </dxf>
    <dxf>
      <numFmt numFmtId="164" formatCode="&quot;$&quot;#,##0"/>
      <alignment horizontal="general" vertical="center" textRotation="0" indent="0" justifyLastLine="0" shrinkToFit="0" readingOrder="0"/>
    </dxf>
    <dxf>
      <font>
        <b val="0"/>
        <i val="0"/>
        <strike val="0"/>
        <condense val="0"/>
        <extend val="0"/>
        <outline val="0"/>
        <shadow val="0"/>
        <u val="none"/>
        <vertAlign val="baseline"/>
        <sz val="11"/>
        <color auto="1"/>
        <name val="Calibri"/>
        <family val="2"/>
        <scheme val="minor"/>
      </font>
      <numFmt numFmtId="164" formatCode="&quot;$&quot;#,##0"/>
    </dxf>
    <dxf>
      <numFmt numFmtId="164" formatCode="&quot;$&quot;#,##0"/>
      <alignment horizontal="general" vertical="center" textRotation="0" indent="0" justifyLastLine="0" shrinkToFit="0" readingOrder="0"/>
    </dxf>
    <dxf>
      <font>
        <b val="0"/>
        <i val="0"/>
        <strike val="0"/>
        <condense val="0"/>
        <extend val="0"/>
        <outline val="0"/>
        <shadow val="0"/>
        <u val="none"/>
        <vertAlign val="baseline"/>
        <sz val="11"/>
        <color auto="1"/>
        <name val="Calibri"/>
        <family val="2"/>
        <scheme val="minor"/>
      </font>
      <numFmt numFmtId="164" formatCode="&quot;$&quot;#,##0"/>
    </dxf>
    <dxf>
      <numFmt numFmtId="164" formatCode="&quot;$&quot;#,##0"/>
      <alignment horizontal="general" vertical="center" textRotation="0" indent="0" justifyLastLine="0" shrinkToFit="0" readingOrder="0"/>
    </dxf>
    <dxf>
      <font>
        <b val="0"/>
        <i val="0"/>
        <strike val="0"/>
        <condense val="0"/>
        <extend val="0"/>
        <outline val="0"/>
        <shadow val="0"/>
        <u val="none"/>
        <vertAlign val="baseline"/>
        <sz val="11"/>
        <color auto="1"/>
        <name val="Calibri"/>
        <family val="2"/>
        <scheme val="minor"/>
      </font>
      <numFmt numFmtId="164" formatCode="&quot;$&quot;#,##0"/>
    </dxf>
    <dxf>
      <numFmt numFmtId="164" formatCode="&quot;$&quot;#,##0"/>
      <alignment horizontal="general" vertical="center" textRotation="0" indent="0" justifyLastLine="0" shrinkToFit="0" readingOrder="0"/>
    </dxf>
    <dxf>
      <font>
        <b val="0"/>
        <i val="0"/>
        <strike val="0"/>
        <condense val="0"/>
        <extend val="0"/>
        <outline val="0"/>
        <shadow val="0"/>
        <u val="none"/>
        <vertAlign val="baseline"/>
        <sz val="11"/>
        <color auto="1"/>
        <name val="Calibri"/>
        <family val="2"/>
        <scheme val="minor"/>
      </font>
      <numFmt numFmtId="164" formatCode="&quot;$&quot;#,##0"/>
    </dxf>
    <dxf>
      <numFmt numFmtId="164" formatCode="&quot;$&quot;#,##0"/>
      <alignment horizontal="general" vertical="center" textRotation="0" indent="0" justifyLastLine="0" shrinkToFit="0" readingOrder="0"/>
    </dxf>
    <dxf>
      <font>
        <b val="0"/>
        <i val="0"/>
        <strike val="0"/>
        <condense val="0"/>
        <extend val="0"/>
        <outline val="0"/>
        <shadow val="0"/>
        <u val="none"/>
        <vertAlign val="baseline"/>
        <sz val="11"/>
        <color auto="1"/>
        <name val="Calibri"/>
        <family val="2"/>
        <scheme val="minor"/>
      </font>
      <numFmt numFmtId="14" formatCode="0.00%"/>
    </dxf>
    <dxf>
      <numFmt numFmtId="165" formatCode="0.0%"/>
      <alignment horizontal="general" vertic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general" vertical="bottom" textRotation="0" wrapText="1" indent="0" justifyLastLine="0" shrinkToFit="0" readingOrder="0"/>
    </dxf>
    <dxf>
      <numFmt numFmtId="0" formatCode="General"/>
      <alignment horizontal="general" vertical="center" textRotation="0" indent="0" justifyLastLine="0" shrinkToFit="0" readingOrder="0"/>
    </dxf>
    <dxf>
      <font>
        <strike val="0"/>
        <outline val="0"/>
        <shadow val="0"/>
        <u val="none"/>
        <vertAlign val="baseline"/>
        <sz val="11"/>
        <color auto="1"/>
        <name val="Calibri"/>
        <scheme val="none"/>
      </font>
    </dxf>
    <dxf>
      <fill>
        <patternFill patternType="none">
          <fgColor rgb="FF000000"/>
          <bgColor rgb="FFFFFFFF"/>
        </patternFill>
      </fill>
      <alignment horizontal="general" vertical="center" textRotation="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bottom" textRotation="0" wrapText="0" indent="0" justifyLastLine="0" shrinkToFit="0" readingOrder="0"/>
    </dxf>
    <dxf>
      <fill>
        <patternFill>
          <bgColor rgb="FFFF0000"/>
        </patternFill>
      </fill>
    </dxf>
    <dxf>
      <font>
        <b/>
        <i val="0"/>
        <color auto="1"/>
      </font>
      <fill>
        <patternFill>
          <bgColor rgb="FFFFC7CE"/>
        </patternFill>
      </fill>
    </dxf>
    <dxf>
      <numFmt numFmtId="165" formatCode="0.0%"/>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textRotation="0" wrapText="0" indent="0" justifyLastLine="0" shrinkToFit="0" readingOrder="0"/>
    </dxf>
    <dxf>
      <numFmt numFmtId="164" formatCode="&quot;$&quot;#,##0"/>
      <alignment textRotation="0" wrapText="0" indent="0" justifyLastLine="0" shrinkToFit="0" readingOrder="0"/>
    </dxf>
    <dxf>
      <alignment horizontal="left" vertical="bottom" textRotation="0" wrapText="0" indent="0" justifyLastLine="0" shrinkToFit="0" readingOrder="0"/>
    </dxf>
    <dxf>
      <alignment textRotation="0" wrapText="0" indent="0" justifyLastLine="0" shrinkToFit="0" readingOrder="0"/>
    </dxf>
    <dxf>
      <alignment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9" formatCode="m/d/yyyy"/>
      <alignment textRotation="0" wrapText="0" indent="0" justifyLastLine="0" shrinkToFit="0" readingOrder="0"/>
    </dxf>
    <dxf>
      <numFmt numFmtId="171" formatCode="&quot;$&quot;#,##0.000"/>
      <fill>
        <patternFill patternType="none">
          <fgColor indexed="64"/>
          <bgColor indexed="65"/>
        </patternFill>
      </fill>
      <alignment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textRotation="0" wrapText="0" indent="0" justifyLastLine="0" shrinkToFit="0" readingOrder="0"/>
    </dxf>
    <dxf>
      <alignment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8" formatCode="&quot;$&quot;#,##0.00"/>
      <alignment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8" formatCode="&quot;$&quot;#,##0.00"/>
      <alignment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9" formatCode="m/d/yyyy"/>
      <alignment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quot;$&quot;#,##0"/>
      <alignment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textRotation="0" wrapText="0" indent="0" justifyLastLine="0" shrinkToFit="0" readingOrder="0"/>
    </dxf>
    <dxf>
      <alignment textRotation="0" wrapText="0" indent="0" justifyLastLine="0" shrinkToFit="0" readingOrder="0"/>
    </dxf>
    <dxf>
      <alignment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textRotation="0" wrapText="0" indent="0" justifyLastLine="0" shrinkToFit="0" readingOrder="0"/>
    </dxf>
    <dxf>
      <font>
        <b val="0"/>
        <i val="0"/>
        <strike val="0"/>
        <condense val="0"/>
        <extend val="0"/>
        <outline val="0"/>
        <shadow val="0"/>
        <u val="none"/>
        <vertAlign val="baseline"/>
        <sz val="11"/>
        <color theme="1"/>
        <name val="Calibri"/>
        <scheme val="minor"/>
      </font>
      <alignment textRotation="0" wrapText="0" indent="0" justifyLastLine="0" shrinkToFit="0" readingOrder="0"/>
    </dxf>
    <dxf>
      <font>
        <b val="0"/>
        <i val="0"/>
        <strike val="0"/>
        <condense val="0"/>
        <extend val="0"/>
        <outline val="0"/>
        <shadow val="0"/>
        <u val="none"/>
        <vertAlign val="baseline"/>
        <sz val="11"/>
        <color theme="1"/>
        <name val="Calibri"/>
        <scheme val="minor"/>
      </font>
      <alignment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textRotation="0" wrapText="0" indent="0" justifyLastLine="0" shrinkToFit="0" readingOrder="0"/>
    </dxf>
    <dxf>
      <font>
        <b val="0"/>
        <i val="0"/>
        <strike val="0"/>
        <condense val="0"/>
        <extend val="0"/>
        <outline val="0"/>
        <shadow val="0"/>
        <u val="none"/>
        <vertAlign val="baseline"/>
        <sz val="11"/>
        <color theme="1"/>
        <name val="Calibri"/>
        <scheme val="minor"/>
      </font>
      <alignment textRotation="0" wrapText="0" indent="0" justifyLastLine="0" shrinkToFit="0" readingOrder="0"/>
    </dxf>
    <dxf>
      <font>
        <b val="0"/>
        <i val="0"/>
        <strike val="0"/>
        <condense val="0"/>
        <extend val="0"/>
        <outline val="0"/>
        <shadow val="0"/>
        <u val="none"/>
        <vertAlign val="baseline"/>
        <sz val="11"/>
        <color theme="1"/>
        <name val="Calibri"/>
        <scheme val="minor"/>
      </font>
      <alignment textRotation="0" wrapText="0" indent="0" justifyLastLine="0" shrinkToFit="0" readingOrder="0"/>
    </dxf>
    <dxf>
      <alignment textRotation="0" wrapText="0"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medium">
          <color indexed="64"/>
        </left>
        <right style="medium">
          <color indexed="64"/>
        </right>
        <top style="medium">
          <color indexed="64"/>
        </top>
        <bottom style="medium">
          <color indexed="64"/>
        </bottom>
      </border>
    </dxf>
    <dxf>
      <alignment textRotation="0" wrapText="0" indent="0" justifyLastLine="0" shrinkToFit="0" readingOrder="0"/>
    </dxf>
    <dxf>
      <border>
        <bottom style="thin">
          <color indexed="64"/>
        </bottom>
      </border>
    </dxf>
    <dxf>
      <font>
        <b val="0"/>
        <i val="0"/>
        <strike val="0"/>
        <condense val="0"/>
        <extend val="0"/>
        <outline val="0"/>
        <shadow val="0"/>
        <u val="none"/>
        <vertAlign val="baseline"/>
        <sz val="11"/>
        <color theme="1"/>
        <name val="Calibri"/>
        <scheme val="minor"/>
      </font>
      <alignment textRotation="0" wrapText="0" indent="0" justifyLastLine="0" shrinkToFit="0" readingOrder="0"/>
      <border diagonalUp="0" diagonalDown="0" outline="0">
        <left style="thin">
          <color indexed="64"/>
        </left>
        <right style="thin">
          <color indexed="64"/>
        </right>
        <top/>
        <bottom/>
      </border>
    </dxf>
    <dxf>
      <alignment horizontal="general" textRotation="0" wrapText="0" indent="0" justifyLastLine="0" shrinkToFit="0" readingOrder="0"/>
    </dxf>
    <dxf>
      <alignment horizontal="general"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textRotation="0" wrapText="0" indent="0" justifyLastLine="0" shrinkToFit="0" readingOrder="0"/>
    </dxf>
    <dxf>
      <font>
        <strike val="0"/>
        <outline val="0"/>
        <shadow val="0"/>
        <u val="none"/>
        <vertAlign val="baseline"/>
        <sz val="11"/>
        <color auto="1"/>
        <name val="Calibri"/>
        <scheme val="minor"/>
      </font>
      <fill>
        <patternFill patternType="none">
          <fgColor indexed="64"/>
          <bgColor auto="1"/>
        </patternFill>
      </fill>
      <alignment vertical="center" textRotation="0" wrapText="0" indent="0" justifyLastLine="0" shrinkToFit="0" readingOrder="0"/>
      <border outline="0">
        <left style="thin">
          <color indexed="64"/>
        </left>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indent="0" justifyLastLine="0" shrinkToFit="0" readingOrder="0"/>
      <border diagonalUp="0" diagonalDown="0" outline="0">
        <left style="medium">
          <color indexed="64"/>
        </left>
        <right style="thin">
          <color indexed="64"/>
        </right>
        <top style="thin">
          <color indexed="64"/>
        </top>
        <bottom style="thin">
          <color indexed="64"/>
        </bottom>
      </border>
    </dxf>
    <dxf>
      <border outline="0">
        <top style="medium">
          <color indexed="64"/>
        </top>
      </border>
    </dxf>
    <dxf>
      <font>
        <strike val="0"/>
        <outline val="0"/>
        <shadow val="0"/>
        <u val="none"/>
        <vertAlign val="baseline"/>
        <sz val="11"/>
        <color auto="1"/>
        <name val="Calibri"/>
        <scheme val="minor"/>
      </font>
      <fill>
        <patternFill patternType="none">
          <fgColor indexed="64"/>
          <bgColor auto="1"/>
        </patternFill>
      </fill>
      <alignment vertical="center" textRotation="0" wrapText="0" indent="0" justifyLastLine="0" shrinkToFit="0" readingOrder="0"/>
    </dxf>
    <dxf>
      <border outline="0">
        <bottom style="thin">
          <color indexed="64"/>
        </bottom>
      </border>
    </dxf>
    <dxf>
      <font>
        <strike val="0"/>
        <outline val="0"/>
        <shadow val="0"/>
        <u val="none"/>
        <vertAlign val="baseline"/>
        <sz val="11"/>
        <color auto="1"/>
        <name val="Calibri"/>
        <scheme val="minor"/>
      </font>
      <fill>
        <patternFill patternType="none">
          <fgColor indexed="64"/>
          <bgColor auto="1"/>
        </patternFill>
      </fill>
      <alignment vertical="center" textRotation="0" wrapText="0" indent="0" justifyLastLine="0" shrinkToFit="0" readingOrder="0"/>
    </dxf>
    <dxf>
      <font>
        <strike val="0"/>
        <outline val="0"/>
        <shadow val="0"/>
        <u val="none"/>
        <vertAlign val="baseline"/>
        <sz val="11"/>
        <name val="Calibri"/>
        <scheme val="minor"/>
      </font>
      <alignment horizontal="general" vertical="center" textRotation="0" wrapText="0" indent="0" justifyLastLine="0" shrinkToFit="0" readingOrder="0"/>
    </dxf>
    <dxf>
      <font>
        <strike val="0"/>
        <outline val="0"/>
        <shadow val="0"/>
        <u val="none"/>
        <vertAlign val="baseline"/>
        <sz val="11"/>
        <name val="Calibri"/>
        <scheme val="minor"/>
      </font>
      <alignment horizontal="general" vertical="center" textRotation="0" wrapText="0" indent="0" justifyLastLine="0" shrinkToFit="0" readingOrder="0"/>
    </dxf>
    <dxf>
      <font>
        <strike val="0"/>
        <outline val="0"/>
        <shadow val="0"/>
        <u val="none"/>
        <vertAlign val="baseline"/>
        <sz val="11"/>
        <name val="Calibri"/>
        <scheme val="minor"/>
      </font>
      <alignment horizontal="general" vertical="center" textRotation="0" wrapText="0" indent="0" justifyLastLine="0" shrinkToFit="0" readingOrder="0"/>
    </dxf>
    <dxf>
      <font>
        <strike val="0"/>
        <outline val="0"/>
        <shadow val="0"/>
        <u val="none"/>
        <vertAlign val="baseline"/>
        <sz val="11"/>
        <name val="Calibri"/>
        <scheme val="minor"/>
      </font>
      <numFmt numFmtId="2" formatCode="0.00"/>
      <alignment textRotation="0" wrapText="0" indent="0" justifyLastLine="0" shrinkToFit="0" readingOrder="0"/>
    </dxf>
    <dxf>
      <font>
        <strike val="0"/>
        <outline val="0"/>
        <shadow val="0"/>
        <u val="none"/>
        <vertAlign val="baseline"/>
        <sz val="11"/>
        <name val="Calibri"/>
        <scheme val="minor"/>
      </font>
      <numFmt numFmtId="2" formatCode="0.00"/>
      <alignment textRotation="0" wrapText="0" indent="0" justifyLastLine="0" shrinkToFit="0" readingOrder="0"/>
    </dxf>
    <dxf>
      <font>
        <strike val="0"/>
        <outline val="0"/>
        <shadow val="0"/>
        <u val="none"/>
        <vertAlign val="baseline"/>
        <sz val="11"/>
        <name val="Calibri"/>
        <scheme val="minor"/>
      </font>
      <alignment textRotation="0" wrapText="0" indent="0" justifyLastLine="0" shrinkToFit="0" readingOrder="0"/>
    </dxf>
    <dxf>
      <font>
        <strike val="0"/>
        <outline val="0"/>
        <shadow val="0"/>
        <u val="none"/>
        <vertAlign val="baseline"/>
        <sz val="11"/>
        <name val="Calibri"/>
        <scheme val="minor"/>
      </font>
      <alignment textRotation="0" wrapText="0" indent="0" justifyLastLine="0" shrinkToFit="0" readingOrder="0"/>
    </dxf>
    <dxf>
      <font>
        <strike val="0"/>
        <outline val="0"/>
        <shadow val="0"/>
        <u val="none"/>
        <vertAlign val="baseline"/>
        <sz val="11"/>
        <name val="Calibri"/>
        <scheme val="minor"/>
      </font>
      <alignment textRotation="0" wrapText="0" indent="0" justifyLastLine="0" shrinkToFit="0" readingOrder="0"/>
    </dxf>
    <dxf>
      <font>
        <strike val="0"/>
        <outline val="0"/>
        <shadow val="0"/>
        <u val="none"/>
        <vertAlign val="baseline"/>
        <sz val="11"/>
        <name val="Calibri"/>
        <scheme val="minor"/>
      </font>
      <alignment textRotation="0" wrapText="0" indent="0" justifyLastLine="0" shrinkToFit="0" readingOrder="0"/>
    </dxf>
    <dxf>
      <font>
        <strike val="0"/>
        <outline val="0"/>
        <shadow val="0"/>
        <u val="none"/>
        <vertAlign val="baseline"/>
        <sz val="11"/>
        <name val="Calibri"/>
        <scheme val="minor"/>
      </font>
      <alignment textRotation="0" wrapText="0" indent="0" justifyLastLine="0" shrinkToFit="0" readingOrder="0"/>
    </dxf>
    <dxf>
      <font>
        <strike val="0"/>
        <outline val="0"/>
        <shadow val="0"/>
        <u val="none"/>
        <vertAlign val="baseline"/>
        <sz val="11"/>
        <name val="Calibri"/>
        <scheme val="minor"/>
      </font>
      <alignment textRotation="0" wrapText="0" indent="0" justifyLastLine="0" shrinkToFit="0" readingOrder="0"/>
    </dxf>
    <dxf>
      <font>
        <b val="0"/>
        <i val="0"/>
        <strike val="0"/>
        <condense val="0"/>
        <extend val="0"/>
        <outline val="0"/>
        <shadow val="0"/>
        <u val="none"/>
        <vertAlign val="baseline"/>
        <sz val="11"/>
        <color theme="0"/>
        <name val="Calibri"/>
        <scheme val="minor"/>
      </font>
      <alignment horizontal="general" vertical="center" textRotation="0" wrapText="0" indent="0" justifyLastLine="0" shrinkToFit="0" readingOrder="0"/>
    </dxf>
    <dxf>
      <font>
        <strike val="0"/>
        <outline val="0"/>
        <shadow val="0"/>
        <u val="none"/>
        <vertAlign val="baseline"/>
        <sz val="11"/>
        <name val="Calibri"/>
        <scheme val="minor"/>
      </font>
      <numFmt numFmtId="2" formatCode="0.00"/>
      <alignment textRotation="0" wrapText="0" indent="0" justifyLastLine="0" shrinkToFit="0" readingOrder="0"/>
    </dxf>
    <dxf>
      <font>
        <strike val="0"/>
        <outline val="0"/>
        <shadow val="0"/>
        <u val="none"/>
        <vertAlign val="baseline"/>
        <sz val="11"/>
        <name val="Calibri"/>
        <scheme val="minor"/>
      </font>
      <numFmt numFmtId="2" formatCode="0.00"/>
      <alignment textRotation="0" wrapText="0" indent="0" justifyLastLine="0" shrinkToFit="0" readingOrder="0"/>
    </dxf>
    <dxf>
      <font>
        <strike val="0"/>
        <outline val="0"/>
        <shadow val="0"/>
        <u val="none"/>
        <vertAlign val="baseline"/>
        <sz val="11"/>
        <name val="Calibri"/>
        <scheme val="minor"/>
      </font>
      <alignment textRotation="0" wrapText="0" indent="0" justifyLastLine="0" shrinkToFit="0" readingOrder="0"/>
    </dxf>
    <dxf>
      <font>
        <strike val="0"/>
        <outline val="0"/>
        <shadow val="0"/>
        <u val="none"/>
        <vertAlign val="baseline"/>
        <sz val="11"/>
        <name val="Calibri"/>
        <scheme val="minor"/>
      </font>
      <alignment textRotation="0" wrapText="0" indent="0" justifyLastLine="0" shrinkToFit="0" readingOrder="0"/>
    </dxf>
    <dxf>
      <font>
        <strike val="0"/>
        <outline val="0"/>
        <shadow val="0"/>
        <u val="none"/>
        <vertAlign val="baseline"/>
        <sz val="11"/>
        <name val="Calibri"/>
        <scheme val="minor"/>
      </font>
      <alignment textRotation="0" wrapText="0" indent="0" justifyLastLine="0" shrinkToFit="0" readingOrder="0"/>
    </dxf>
    <dxf>
      <font>
        <strike val="0"/>
        <outline val="0"/>
        <shadow val="0"/>
        <u val="none"/>
        <vertAlign val="baseline"/>
        <sz val="11"/>
        <name val="Calibri"/>
        <scheme val="minor"/>
      </font>
      <alignment textRotation="0" wrapText="0" indent="0" justifyLastLine="0" shrinkToFit="0" readingOrder="0"/>
    </dxf>
    <dxf>
      <font>
        <strike val="0"/>
        <outline val="0"/>
        <shadow val="0"/>
        <u val="none"/>
        <vertAlign val="baseline"/>
        <sz val="11"/>
        <name val="Calibri"/>
        <scheme val="minor"/>
      </font>
      <numFmt numFmtId="164" formatCode="&quot;$&quot;#,##0"/>
      <alignment textRotation="0" wrapText="0" indent="0" justifyLastLine="0" shrinkToFit="0" readingOrder="0"/>
    </dxf>
    <dxf>
      <font>
        <strike val="0"/>
        <outline val="0"/>
        <shadow val="0"/>
        <u val="none"/>
        <vertAlign val="baseline"/>
        <sz val="11"/>
        <name val="Calibri"/>
        <scheme val="minor"/>
      </font>
      <numFmt numFmtId="164" formatCode="&quot;$&quot;#,##0"/>
      <alignment textRotation="0" wrapText="0" indent="0" justifyLastLine="0" shrinkToFit="0" readingOrder="0"/>
    </dxf>
    <dxf>
      <font>
        <strike val="0"/>
        <outline val="0"/>
        <shadow val="0"/>
        <u val="none"/>
        <vertAlign val="baseline"/>
        <sz val="11"/>
        <name val="Calibri"/>
        <scheme val="minor"/>
      </font>
      <alignment textRotation="0" wrapText="0" indent="0" justifyLastLine="0" shrinkToFit="0" readingOrder="0"/>
    </dxf>
    <dxf>
      <font>
        <strike val="0"/>
        <outline val="0"/>
        <shadow val="0"/>
        <u val="none"/>
        <vertAlign val="baseline"/>
        <sz val="11"/>
        <name val="Calibri"/>
        <scheme val="minor"/>
      </font>
      <alignment textRotation="0" wrapText="0" indent="0" justifyLastLine="0" shrinkToFit="0" readingOrder="0"/>
    </dxf>
    <dxf>
      <font>
        <strike val="0"/>
        <outline val="0"/>
        <shadow val="0"/>
        <u val="none"/>
        <vertAlign val="baseline"/>
        <sz val="11"/>
        <name val="Calibri"/>
        <scheme val="minor"/>
      </font>
      <alignment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Calibri"/>
        <scheme val="minor"/>
      </font>
      <fill>
        <patternFill patternType="none">
          <fgColor indexed="64"/>
          <bgColor auto="1"/>
        </patternFill>
      </fill>
      <alignment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auto="1"/>
        </top>
      </border>
    </dxf>
    <dxf>
      <border outline="0">
        <left style="medium">
          <color indexed="64"/>
        </left>
        <right style="medium">
          <color indexed="64"/>
        </right>
        <top style="thin">
          <color indexed="64"/>
        </top>
        <bottom style="medium">
          <color indexed="64"/>
        </bottom>
      </border>
    </dxf>
    <dxf>
      <font>
        <strike val="0"/>
        <outline val="0"/>
        <shadow val="0"/>
        <u val="none"/>
        <vertAlign val="baseline"/>
        <sz val="11"/>
        <name val="Calibri"/>
        <scheme val="minor"/>
      </font>
      <fill>
        <patternFill patternType="none">
          <fgColor indexed="64"/>
          <bgColor auto="1"/>
        </patternFill>
      </fill>
      <alignment textRotation="0" wrapText="0" indent="0" justifyLastLine="0" shrinkToFit="0" readingOrder="0"/>
    </dxf>
    <dxf>
      <border outline="0">
        <bottom style="thin">
          <color indexed="64"/>
        </bottom>
      </border>
    </dxf>
    <dxf>
      <font>
        <strike val="0"/>
        <outline val="0"/>
        <shadow val="0"/>
        <u val="none"/>
        <vertAlign val="baseline"/>
        <sz val="11"/>
        <name val="Calibri"/>
        <scheme val="minor"/>
      </font>
      <fill>
        <patternFill patternType="none">
          <fgColor indexed="64"/>
          <bgColor auto="1"/>
        </patternFill>
      </fill>
      <alignment textRotation="0" wrapText="0" indent="0" justifyLastLine="0" shrinkToFit="0" readingOrder="0"/>
    </dxf>
    <dxf>
      <font>
        <strike val="0"/>
        <outline val="0"/>
        <shadow val="0"/>
        <u val="none"/>
        <vertAlign val="baseline"/>
        <sz val="11"/>
        <name val="Calibri"/>
        <scheme val="minor"/>
      </font>
      <alignment horizontal="general" textRotation="0" wrapText="0" indent="0" justifyLastLine="0" shrinkToFit="0" readingOrder="0"/>
    </dxf>
    <dxf>
      <font>
        <strike val="0"/>
        <outline val="0"/>
        <shadow val="0"/>
        <u val="none"/>
        <vertAlign val="baseline"/>
        <sz val="11"/>
        <name val="Calibri"/>
        <scheme val="minor"/>
      </font>
      <alignment horizontal="general"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textRotation="0" wrapText="0" indent="0" justifyLastLine="0" shrinkToFit="0" readingOrder="0"/>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theme="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FF0000"/>
        </patternFill>
      </fill>
    </dxf>
    <dxf>
      <font>
        <color rgb="FF9C0006"/>
      </font>
      <fill>
        <patternFill>
          <bgColor rgb="FFFFC7CE"/>
        </patternFill>
      </fill>
    </dxf>
    <dxf>
      <fill>
        <patternFill patternType="solid">
          <bgColor theme="7" tint="0.79998168889431442"/>
        </patternFill>
      </fill>
    </dxf>
    <dxf>
      <fill>
        <patternFill>
          <bgColor rgb="FFFF0000"/>
        </patternFill>
      </fill>
    </dxf>
    <dxf>
      <fill>
        <patternFill>
          <bgColor rgb="FFFFFF00"/>
        </patternFill>
      </fill>
    </dxf>
    <dxf>
      <fill>
        <patternFill>
          <bgColor rgb="FFFFFF00"/>
        </patternFill>
      </fill>
    </dxf>
    <dxf>
      <font>
        <color auto="1"/>
      </font>
      <fill>
        <patternFill>
          <bgColor rgb="FF00B0F0"/>
        </patternFill>
      </fill>
    </dxf>
    <dxf>
      <fill>
        <patternFill>
          <bgColor rgb="FF92D050"/>
        </patternFill>
      </fill>
    </dxf>
    <dxf>
      <fill>
        <patternFill>
          <bgColor rgb="FF00B0F0"/>
        </patternFill>
      </fill>
    </dxf>
    <dxf>
      <fill>
        <patternFill>
          <bgColor rgb="FF92D050"/>
        </patternFill>
      </fill>
    </dxf>
    <dxf>
      <fill>
        <patternFill>
          <bgColor rgb="FF00B0F0"/>
        </patternFill>
      </fill>
    </dxf>
    <dxf>
      <fill>
        <patternFill>
          <bgColor rgb="FF92D050"/>
        </patternFill>
      </fill>
    </dxf>
    <dxf>
      <fill>
        <patternFill>
          <bgColor rgb="FF00B0F0"/>
        </patternFill>
      </fill>
    </dxf>
    <dxf>
      <fill>
        <patternFill>
          <bgColor rgb="FF92D050"/>
        </patternFill>
      </fill>
    </dxf>
    <dxf>
      <fill>
        <patternFill>
          <bgColor rgb="FF00B0F0"/>
        </patternFill>
      </fill>
    </dxf>
    <dxf>
      <fill>
        <patternFill>
          <bgColor rgb="FF92D050"/>
        </patternFill>
      </fill>
    </dxf>
    <dxf>
      <fill>
        <patternFill>
          <bgColor rgb="FF00B0F0"/>
        </patternFill>
      </fill>
    </dxf>
    <dxf>
      <fill>
        <patternFill>
          <bgColor rgb="FF92D050"/>
        </patternFill>
      </fill>
    </dxf>
    <dxf>
      <fill>
        <patternFill>
          <bgColor rgb="FF92D050"/>
        </patternFill>
      </fill>
    </dxf>
    <dxf>
      <fill>
        <patternFill>
          <bgColor rgb="FF00B0F0"/>
        </patternFill>
      </fill>
    </dxf>
    <dxf>
      <fill>
        <patternFill>
          <bgColor rgb="FF92D050"/>
        </patternFill>
      </fill>
    </dxf>
    <dxf>
      <fill>
        <patternFill>
          <bgColor rgb="FF00B0F0"/>
        </patternFill>
      </fill>
    </dxf>
    <dxf>
      <fill>
        <patternFill>
          <bgColor rgb="FF92D050"/>
        </patternFill>
      </fill>
    </dxf>
    <dxf>
      <fill>
        <patternFill>
          <bgColor rgb="FF00B0F0"/>
        </patternFill>
      </fill>
    </dxf>
    <dxf>
      <fill>
        <patternFill>
          <bgColor rgb="FF92D050"/>
        </patternFill>
      </fill>
    </dxf>
    <dxf>
      <fill>
        <patternFill>
          <bgColor rgb="FF00B0F0"/>
        </patternFill>
      </fill>
    </dxf>
    <dxf>
      <fill>
        <patternFill>
          <bgColor rgb="FF92D050"/>
        </patternFill>
      </fill>
    </dxf>
    <dxf>
      <fill>
        <patternFill>
          <bgColor rgb="FF00B0F0"/>
        </patternFill>
      </fill>
    </dxf>
    <dxf>
      <fill>
        <patternFill>
          <bgColor rgb="FF92D050"/>
        </patternFill>
      </fill>
    </dxf>
    <dxf>
      <fill>
        <patternFill>
          <bgColor rgb="FF00B0F0"/>
        </patternFill>
      </fill>
    </dxf>
    <dxf>
      <fill>
        <patternFill>
          <bgColor rgb="FF92D050"/>
        </patternFill>
      </fill>
    </dxf>
    <dxf>
      <fill>
        <patternFill>
          <bgColor rgb="FF00B0F0"/>
        </patternFill>
      </fill>
    </dxf>
    <dxf>
      <fill>
        <patternFill>
          <bgColor rgb="FF92D050"/>
        </patternFill>
      </fill>
    </dxf>
    <dxf>
      <fill>
        <patternFill>
          <bgColor rgb="FF00B0F0"/>
        </patternFill>
      </fill>
    </dxf>
    <dxf>
      <fill>
        <patternFill>
          <bgColor rgb="FF92D05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E9DFEC"/>
      <color rgb="FFFFCCFF"/>
      <color rgb="FFFF99FF"/>
      <color rgb="FF800080"/>
      <color rgb="FFCCB3FF"/>
      <color rgb="FFAE85FF"/>
      <color rgb="FF6DB6FF"/>
      <color rgb="FFFFF2CC"/>
      <color rgb="FFFFEECD"/>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16</xdr:col>
      <xdr:colOff>114301</xdr:colOff>
      <xdr:row>28</xdr:row>
      <xdr:rowOff>92075</xdr:rowOff>
    </xdr:from>
    <xdr:to>
      <xdr:col>18</xdr:col>
      <xdr:colOff>2148523</xdr:colOff>
      <xdr:row>44</xdr:row>
      <xdr:rowOff>441326</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3573126" y="6207125"/>
          <a:ext cx="3691572" cy="6318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1100" b="1" i="1">
              <a:solidFill>
                <a:srgbClr val="FF0000"/>
              </a:solidFill>
            </a:rPr>
            <a:t>Note:  </a:t>
          </a:r>
          <a:r>
            <a:rPr lang="en-US" sz="1100" i="1">
              <a:solidFill>
                <a:srgbClr val="FF0000"/>
              </a:solidFill>
            </a:rPr>
            <a:t>Partial or short-term GA appointments must be manually adjusted </a:t>
          </a:r>
          <a:r>
            <a:rPr lang="en-US" sz="1100" i="1" baseline="0">
              <a:solidFill>
                <a:srgbClr val="FF0000"/>
              </a:solidFill>
            </a:rPr>
            <a:t>to ensure tuition is calculated correctly.  </a:t>
          </a:r>
          <a:r>
            <a:rPr lang="en-US" sz="1100" b="1" i="1" baseline="0">
              <a:solidFill>
                <a:srgbClr val="FF0000"/>
              </a:solidFill>
            </a:rPr>
            <a:t>Please contact us to revise the budget: </a:t>
          </a:r>
          <a:r>
            <a:rPr lang="en-US" sz="1100" b="1" i="1" baseline="0">
              <a:solidFill>
                <a:srgbClr val="FF0000"/>
              </a:solidFill>
              <a:effectLst/>
              <a:latin typeface="+mn-lt"/>
              <a:ea typeface="+mn-ea"/>
              <a:cs typeface="+mn-cs"/>
            </a:rPr>
            <a:t> </a:t>
          </a:r>
          <a:r>
            <a:rPr lang="en-US" sz="1100" i="1" baseline="0">
              <a:solidFill>
                <a:srgbClr val="FF0000"/>
              </a:solidFill>
            </a:rPr>
            <a:t>coe.preawards@oregonstate.edu. </a:t>
          </a:r>
          <a:endParaRPr lang="en-US" sz="1100" i="1">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104775</xdr:colOff>
          <xdr:row>7</xdr:row>
          <xdr:rowOff>76200</xdr:rowOff>
        </xdr:from>
        <xdr:to>
          <xdr:col>1</xdr:col>
          <xdr:colOff>1162050</xdr:colOff>
          <xdr:row>8</xdr:row>
          <xdr:rowOff>161925</xdr:rowOff>
        </xdr:to>
        <xdr:sp macro="" textlink="">
          <xdr:nvSpPr>
            <xdr:cNvPr id="84177" name="Button 209" hidden="1">
              <a:extLst>
                <a:ext uri="{63B3BB69-23CF-44E3-9099-C40C66FF867C}">
                  <a14:compatExt spid="_x0000_s84177"/>
                </a:ext>
                <a:ext uri="{FF2B5EF4-FFF2-40B4-BE49-F238E27FC236}">
                  <a16:creationId xmlns:a16="http://schemas.microsoft.com/office/drawing/2014/main" id="{00000000-0008-0000-0000-0000D14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ea typeface="Calibri"/>
                  <a:cs typeface="Calibri"/>
                </a:rPr>
                <a:t>Show All Rows</a:t>
              </a:r>
            </a:p>
            <a:p>
              <a:pPr algn="ctr" rtl="0">
                <a:defRPr sz="1000"/>
              </a:pPr>
              <a:endParaRPr lang="en-US" sz="1200" b="0" i="0" u="none" strike="noStrike" baseline="0">
                <a:solidFill>
                  <a:srgbClr val="FF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1257300</xdr:colOff>
          <xdr:row>7</xdr:row>
          <xdr:rowOff>76200</xdr:rowOff>
        </xdr:from>
        <xdr:to>
          <xdr:col>3</xdr:col>
          <xdr:colOff>209550</xdr:colOff>
          <xdr:row>8</xdr:row>
          <xdr:rowOff>161925</xdr:rowOff>
        </xdr:to>
        <xdr:sp macro="" textlink="">
          <xdr:nvSpPr>
            <xdr:cNvPr id="84178" name="Button 210" hidden="1">
              <a:extLst>
                <a:ext uri="{63B3BB69-23CF-44E3-9099-C40C66FF867C}">
                  <a14:compatExt spid="_x0000_s84178"/>
                </a:ext>
                <a:ext uri="{FF2B5EF4-FFF2-40B4-BE49-F238E27FC236}">
                  <a16:creationId xmlns:a16="http://schemas.microsoft.com/office/drawing/2014/main" id="{00000000-0008-0000-0000-0000D24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ea typeface="Calibri"/>
                  <a:cs typeface="Calibri"/>
                </a:rPr>
                <a:t>Hide Unused Rows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76201</xdr:colOff>
      <xdr:row>0</xdr:row>
      <xdr:rowOff>133350</xdr:rowOff>
    </xdr:from>
    <xdr:to>
      <xdr:col>7</xdr:col>
      <xdr:colOff>76200</xdr:colOff>
      <xdr:row>5</xdr:row>
      <xdr:rowOff>104775</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2343151" y="133350"/>
          <a:ext cx="4238624" cy="781050"/>
        </a:xfrm>
        <a:prstGeom prst="rect">
          <a:avLst/>
        </a:prstGeom>
        <a:solidFill>
          <a:schemeClr val="lt1"/>
        </a:solidFill>
        <a:ln w="19050" cmpd="sng">
          <a:solidFill>
            <a:schemeClr val="accent2">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latin typeface="Arial" panose="020B0604020202020204" pitchFamily="34" charset="0"/>
              <a:cs typeface="Arial" panose="020B0604020202020204" pitchFamily="34" charset="0"/>
            </a:rPr>
            <a:t>High-level</a:t>
          </a:r>
          <a:r>
            <a:rPr lang="en-US" sz="1000" b="1" baseline="0">
              <a:latin typeface="Arial" panose="020B0604020202020204" pitchFamily="34" charset="0"/>
              <a:cs typeface="Arial" panose="020B0604020202020204" pitchFamily="34" charset="0"/>
            </a:rPr>
            <a:t> budget summary for industry sponsors.</a:t>
          </a:r>
        </a:p>
        <a:p>
          <a:r>
            <a:rPr lang="en-US" sz="1000" i="1" baseline="0">
              <a:latin typeface="Arial" panose="020B0604020202020204" pitchFamily="34" charset="0"/>
              <a:cs typeface="Arial" panose="020B0604020202020204" pitchFamily="34" charset="0"/>
            </a:rPr>
            <a:t>Note that any Consultants are included in Other Direct Costs which now rolls up to Equipment &amp; Supplies. You may want to move Consultant costs to either Labor or Subcontracts as appropriate.</a:t>
          </a:r>
          <a:endParaRPr lang="en-US" sz="1000" i="1">
            <a:latin typeface="Arial" panose="020B0604020202020204" pitchFamily="34" charset="0"/>
            <a:cs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45</xdr:col>
      <xdr:colOff>415289</xdr:colOff>
      <xdr:row>0</xdr:row>
      <xdr:rowOff>40005</xdr:rowOff>
    </xdr:from>
    <xdr:to>
      <xdr:col>56</xdr:col>
      <xdr:colOff>581024</xdr:colOff>
      <xdr:row>108</xdr:row>
      <xdr:rowOff>95251</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27847289" y="40005"/>
          <a:ext cx="6680835" cy="206292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Budget Template, Engineering Research Administration</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9/19/18 updates to Reference Sheet:  new GA rates, base year</a:t>
          </a:r>
          <a:r>
            <a:rPr lang="en-US" sz="1100" baseline="0">
              <a:solidFill>
                <a:schemeClr val="dk1"/>
              </a:solidFill>
              <a:effectLst/>
              <a:latin typeface="+mn-lt"/>
              <a:ea typeface="+mn-ea"/>
              <a:cs typeface="+mn-cs"/>
            </a:rPr>
            <a:t> now FY19, OPE rates increased by 2%.</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Cyndy's notes on new changes, updated August 17, 2018</a:t>
          </a:r>
        </a:p>
        <a:p>
          <a:r>
            <a:rPr lang="en-US" sz="1100" b="1">
              <a:solidFill>
                <a:schemeClr val="dk1"/>
              </a:solidFill>
              <a:effectLst/>
              <a:latin typeface="+mn-lt"/>
              <a:ea typeface="+mn-ea"/>
              <a:cs typeface="+mn-cs"/>
            </a:rPr>
            <a:t>Changes made to budget template: </a:t>
          </a:r>
        </a:p>
        <a:p>
          <a:pPr marL="171450" indent="-171450">
            <a:buFont typeface="Arial" panose="020B0604020202020204" pitchFamily="34" charset="0"/>
            <a:buChar char="•"/>
          </a:pPr>
          <a:r>
            <a:rPr lang="en-US" sz="1100">
              <a:solidFill>
                <a:schemeClr val="dk1"/>
              </a:solidFill>
              <a:effectLst/>
              <a:latin typeface="+mn-lt"/>
              <a:ea typeface="+mn-ea"/>
              <a:cs typeface="+mn-cs"/>
            </a:rPr>
            <a:t>Updated all cells that use dropdown lists (Data Validation) and added more dropdown lists wherever possible. Removed Data Validation STOP error in nearly all cases to allow entry of other values. </a:t>
          </a:r>
        </a:p>
        <a:p>
          <a:pPr marL="171450" indent="-171450">
            <a:buFont typeface="Arial" panose="020B0604020202020204" pitchFamily="34" charset="0"/>
            <a:buChar char="•"/>
          </a:pPr>
          <a:r>
            <a:rPr lang="en-US" sz="1100">
              <a:solidFill>
                <a:schemeClr val="dk1"/>
              </a:solidFill>
              <a:effectLst/>
              <a:latin typeface="+mn-lt"/>
              <a:ea typeface="+mn-ea"/>
              <a:cs typeface="+mn-cs"/>
            </a:rPr>
            <a:t>Increased precision</a:t>
          </a:r>
          <a:r>
            <a:rPr lang="en-US" sz="1100" baseline="0">
              <a:solidFill>
                <a:schemeClr val="dk1"/>
              </a:solidFill>
              <a:effectLst/>
              <a:latin typeface="+mn-lt"/>
              <a:ea typeface="+mn-ea"/>
              <a:cs typeface="+mn-cs"/>
            </a:rPr>
            <a:t> of Goal Seek &amp; Solver calculations: File - Options - Formulas - Maximum Change = 0.0000001 (instead of default 0.0001). This is important for Goal Seek on % cost share. </a:t>
          </a:r>
          <a:endParaRPr lang="en-US" sz="1100">
            <a:solidFill>
              <a:schemeClr val="dk1"/>
            </a:solidFill>
            <a:effectLst/>
            <a:latin typeface="+mn-lt"/>
            <a:ea typeface="+mn-ea"/>
            <a:cs typeface="+mn-cs"/>
          </a:endParaRPr>
        </a:p>
        <a:p>
          <a:r>
            <a:rPr lang="en-US" sz="1100" b="1">
              <a:solidFill>
                <a:schemeClr val="dk1"/>
              </a:solidFill>
              <a:effectLst/>
              <a:latin typeface="+mn-lt"/>
              <a:ea typeface="+mn-ea"/>
              <a:cs typeface="+mn-cs"/>
            </a:rPr>
            <a:t>Data Input: </a:t>
          </a:r>
          <a:r>
            <a:rPr lang="en-US" sz="1100">
              <a:solidFill>
                <a:schemeClr val="dk1"/>
              </a:solidFill>
              <a:effectLst/>
              <a:latin typeface="+mn-lt"/>
              <a:ea typeface="+mn-ea"/>
              <a:cs typeface="+mn-cs"/>
            </a:rPr>
            <a:t>Default appointments prefilled: faculty 9 month, GA 0.49 FTE and 12 months. </a:t>
          </a:r>
        </a:p>
        <a:p>
          <a:pPr marL="171450" lvl="0" indent="-171450">
            <a:buFont typeface="Arial" panose="020B0604020202020204" pitchFamily="34" charset="0"/>
            <a:buChar char="•"/>
          </a:pPr>
          <a:r>
            <a:rPr lang="en-US" sz="1100">
              <a:solidFill>
                <a:schemeClr val="dk1"/>
              </a:solidFill>
              <a:effectLst/>
              <a:latin typeface="+mn-lt"/>
              <a:ea typeface="+mn-ea"/>
              <a:cs typeface="+mn-cs"/>
            </a:rPr>
            <a:t>Total faculty cost includes AY + summer. Added GA Total Cost heading. Added Other Personnel - Name. </a:t>
          </a:r>
        </a:p>
        <a:p>
          <a:pPr marL="171450" lvl="0" indent="-171450">
            <a:buFont typeface="Arial" panose="020B0604020202020204" pitchFamily="34" charset="0"/>
            <a:buChar char="•"/>
          </a:pPr>
          <a:r>
            <a:rPr lang="en-US" sz="1100">
              <a:solidFill>
                <a:schemeClr val="dk1"/>
              </a:solidFill>
              <a:effectLst/>
              <a:latin typeface="+mn-lt"/>
              <a:ea typeface="+mn-ea"/>
              <a:cs typeface="+mn-cs"/>
            </a:rPr>
            <a:t>Select Destination Type to autofill per diem/lodging rates. Actual destination can be entered as part of the Purpose description. </a:t>
          </a:r>
        </a:p>
        <a:p>
          <a:pPr marL="171450" lvl="0" indent="-171450">
            <a:buFont typeface="Arial" panose="020B0604020202020204" pitchFamily="34" charset="0"/>
            <a:buChar char="•"/>
          </a:pPr>
          <a:r>
            <a:rPr lang="en-US" sz="1100">
              <a:solidFill>
                <a:schemeClr val="dk1"/>
              </a:solidFill>
              <a:effectLst/>
              <a:latin typeface="+mn-lt"/>
              <a:ea typeface="+mn-ea"/>
              <a:cs typeface="+mn-cs"/>
            </a:rPr>
            <a:t>Autoselects MTDC if F&amp;A rate is listed on Reference Sheet (from OSU F&amp;A rate agreement), otherwise selects TDC. This can be overridden using MTDC/TDC dropdown list. </a:t>
          </a:r>
        </a:p>
        <a:p>
          <a:r>
            <a:rPr lang="en-US" sz="1100" b="1">
              <a:solidFill>
                <a:schemeClr val="dk1"/>
              </a:solidFill>
              <a:effectLst/>
              <a:latin typeface="+mn-lt"/>
              <a:ea typeface="+mn-ea"/>
              <a:cs typeface="+mn-cs"/>
            </a:rPr>
            <a:t>Budget:</a:t>
          </a:r>
          <a:r>
            <a:rPr lang="en-US" sz="1100">
              <a:solidFill>
                <a:schemeClr val="dk1"/>
              </a:solidFill>
              <a:effectLst/>
              <a:latin typeface="+mn-lt"/>
              <a:ea typeface="+mn-ea"/>
              <a:cs typeface="+mn-cs"/>
            </a:rPr>
            <a:t> Formatted merged headings on hidden column sections (cost share, etc.) to allow first 10 rows to be same height.</a:t>
          </a:r>
        </a:p>
        <a:p>
          <a:pPr marL="171450" lvl="0" indent="-171450">
            <a:buFont typeface="Arial" panose="020B0604020202020204" pitchFamily="34" charset="0"/>
            <a:buChar char="•"/>
          </a:pPr>
          <a:r>
            <a:rPr lang="en-US" sz="1100">
              <a:solidFill>
                <a:schemeClr val="dk1"/>
              </a:solidFill>
              <a:effectLst/>
              <a:latin typeface="+mn-lt"/>
              <a:ea typeface="+mn-ea"/>
              <a:cs typeface="+mn-cs"/>
            </a:rPr>
            <a:t>Revised summary table at top of page - fewer categories, new column for cost share summary, total project cost / sponsor / cost share.</a:t>
          </a:r>
        </a:p>
        <a:p>
          <a:pPr marL="171450" lvl="0" indent="-171450">
            <a:buFont typeface="Arial" panose="020B0604020202020204" pitchFamily="34" charset="0"/>
            <a:buChar char="•"/>
          </a:pPr>
          <a:r>
            <a:rPr lang="en-US" sz="1100">
              <a:solidFill>
                <a:schemeClr val="dk1"/>
              </a:solidFill>
              <a:effectLst/>
              <a:latin typeface="+mn-lt"/>
              <a:ea typeface="+mn-ea"/>
              <a:cs typeface="+mn-cs"/>
            </a:rPr>
            <a:t>Added </a:t>
          </a:r>
          <a:r>
            <a:rPr lang="en-US" sz="1100" b="1">
              <a:solidFill>
                <a:schemeClr val="dk1"/>
              </a:solidFill>
              <a:effectLst/>
              <a:latin typeface="+mn-lt"/>
              <a:ea typeface="+mn-ea"/>
              <a:cs typeface="+mn-cs"/>
            </a:rPr>
            <a:t>F&amp;A Base </a:t>
          </a:r>
          <a:r>
            <a:rPr lang="en-US" sz="1100">
              <a:solidFill>
                <a:schemeClr val="dk1"/>
              </a:solidFill>
              <a:effectLst/>
              <a:latin typeface="+mn-lt"/>
              <a:ea typeface="+mn-ea"/>
              <a:cs typeface="+mn-cs"/>
            </a:rPr>
            <a:t>of MTDC or TDC using a dropdown list, linked to Data Input tab or can be entered directly here. The base value is then calculated based on the F&amp;A base selection. F&amp;A Base of TDC excludes subawards &gt; $25k. Everything else is included in Total Direct Costs. </a:t>
          </a:r>
        </a:p>
        <a:p>
          <a:pPr marL="171450" lvl="0" indent="-171450">
            <a:buFont typeface="Arial" panose="020B0604020202020204" pitchFamily="34" charset="0"/>
            <a:buChar char="•"/>
          </a:pPr>
          <a:r>
            <a:rPr lang="en-US" sz="1100">
              <a:solidFill>
                <a:schemeClr val="dk1"/>
              </a:solidFill>
              <a:effectLst/>
              <a:latin typeface="+mn-lt"/>
              <a:ea typeface="+mn-ea"/>
              <a:cs typeface="+mn-cs"/>
            </a:rPr>
            <a:t>Any F&amp;A rate change will have to be inserted manually (or a new formula created) once we know when the change will be effective. </a:t>
          </a:r>
        </a:p>
        <a:p>
          <a:r>
            <a:rPr lang="en-US" sz="1100" b="1">
              <a:solidFill>
                <a:schemeClr val="dk1"/>
              </a:solidFill>
              <a:effectLst/>
              <a:latin typeface="+mn-lt"/>
              <a:ea typeface="+mn-ea"/>
              <a:cs typeface="+mn-cs"/>
            </a:rPr>
            <a:t>Budget tab, Cost Share section:</a:t>
          </a:r>
          <a:endParaRPr lang="en-US" sz="1100">
            <a:solidFill>
              <a:schemeClr val="dk1"/>
            </a:solidFill>
            <a:effectLst/>
            <a:latin typeface="+mn-lt"/>
            <a:ea typeface="+mn-ea"/>
            <a:cs typeface="+mn-cs"/>
          </a:endParaRPr>
        </a:p>
        <a:p>
          <a:pPr marL="171450" lvl="0" indent="-171450">
            <a:buFont typeface="Arial" panose="020B0604020202020204" pitchFamily="34" charset="0"/>
            <a:buChar char="•"/>
          </a:pPr>
          <a:r>
            <a:rPr lang="en-US" sz="1100">
              <a:solidFill>
                <a:schemeClr val="dk1"/>
              </a:solidFill>
              <a:effectLst/>
              <a:latin typeface="+mn-lt"/>
              <a:ea typeface="+mn-ea"/>
              <a:cs typeface="+mn-cs"/>
            </a:rPr>
            <a:t>Select Organization from dropdown list of OSU units, or enter name if non-OSU source. </a:t>
          </a:r>
        </a:p>
        <a:p>
          <a:pPr marL="171450" lvl="0" indent="-171450">
            <a:buFont typeface="Arial" panose="020B0604020202020204" pitchFamily="34" charset="0"/>
            <a:buChar char="•"/>
          </a:pPr>
          <a:r>
            <a:rPr lang="en-US" sz="1100">
              <a:solidFill>
                <a:schemeClr val="dk1"/>
              </a:solidFill>
              <a:effectLst/>
              <a:latin typeface="+mn-lt"/>
              <a:ea typeface="+mn-ea"/>
              <a:cs typeface="+mn-cs"/>
            </a:rPr>
            <a:t>Cost share columns added to show total cost share per year. </a:t>
          </a:r>
        </a:p>
        <a:p>
          <a:pPr marL="171450" indent="-171450">
            <a:buFont typeface="Arial" panose="020B0604020202020204" pitchFamily="34" charset="0"/>
            <a:buChar char="•"/>
          </a:pPr>
          <a:r>
            <a:rPr lang="en-US" sz="1100">
              <a:solidFill>
                <a:schemeClr val="dk1"/>
              </a:solidFill>
              <a:effectLst/>
              <a:latin typeface="+mn-lt"/>
              <a:ea typeface="+mn-ea"/>
              <a:cs typeface="+mn-cs"/>
            </a:rPr>
            <a:t>Added new section to enter FFRDC costs to be awarded directly from sponsor (at end of Cost Share section). Any FFRDC costs are</a:t>
          </a:r>
          <a:r>
            <a:rPr lang="en-US" sz="1100" baseline="0">
              <a:solidFill>
                <a:schemeClr val="dk1"/>
              </a:solidFill>
              <a:effectLst/>
              <a:latin typeface="+mn-lt"/>
              <a:ea typeface="+mn-ea"/>
              <a:cs typeface="+mn-cs"/>
            </a:rPr>
            <a:t> included in </a:t>
          </a:r>
          <a:r>
            <a:rPr lang="en-US" sz="1100">
              <a:solidFill>
                <a:schemeClr val="dk1"/>
              </a:solidFill>
              <a:effectLst/>
              <a:latin typeface="+mn-lt"/>
              <a:ea typeface="+mn-ea"/>
              <a:cs typeface="+mn-cs"/>
            </a:rPr>
            <a:t>Total Project Costs</a:t>
          </a:r>
          <a:r>
            <a:rPr lang="en-US" sz="1100" baseline="0">
              <a:solidFill>
                <a:schemeClr val="dk1"/>
              </a:solidFill>
              <a:effectLst/>
              <a:latin typeface="+mn-lt"/>
              <a:ea typeface="+mn-ea"/>
              <a:cs typeface="+mn-cs"/>
            </a:rPr>
            <a:t> and required cost share calculations when based on Total Project Costs</a:t>
          </a:r>
          <a:r>
            <a:rPr lang="en-US" sz="1100">
              <a:solidFill>
                <a:schemeClr val="dk1"/>
              </a:solidFill>
              <a:effectLst/>
              <a:latin typeface="+mn-lt"/>
              <a:ea typeface="+mn-ea"/>
              <a:cs typeface="+mn-cs"/>
            </a:rPr>
            <a:t>. Detailed comments added. </a:t>
          </a:r>
          <a:endParaRPr lang="en-US" sz="1100">
            <a:effectLst/>
          </a:endParaRPr>
        </a:p>
        <a:p>
          <a:pPr marL="171450" lvl="0" indent="-171450">
            <a:buFont typeface="Arial" panose="020B0604020202020204" pitchFamily="34" charset="0"/>
            <a:buChar char="•"/>
          </a:pPr>
          <a:r>
            <a:rPr lang="en-US" sz="1100">
              <a:solidFill>
                <a:schemeClr val="dk1"/>
              </a:solidFill>
              <a:effectLst/>
              <a:latin typeface="+mn-lt"/>
              <a:ea typeface="+mn-ea"/>
              <a:cs typeface="+mn-cs"/>
            </a:rPr>
            <a:t>Multiple lines added just below budget to show unrecovered F&amp;A calculations for sponsor, each cost share source, and total project. If F&amp;A rate is listed on Reference Sheet (from OSU F&amp;A rate agreement), all unrecovered F&amp;A will be zero.</a:t>
          </a:r>
        </a:p>
        <a:p>
          <a:pPr marL="171450" lvl="0" indent="-171450">
            <a:buFont typeface="Arial" panose="020B0604020202020204" pitchFamily="34" charset="0"/>
            <a:buChar char="•"/>
          </a:pPr>
          <a:r>
            <a:rPr lang="en-US" sz="1100">
              <a:solidFill>
                <a:schemeClr val="dk1"/>
              </a:solidFill>
              <a:effectLst/>
              <a:latin typeface="+mn-lt"/>
              <a:ea typeface="+mn-ea"/>
              <a:cs typeface="+mn-cs"/>
            </a:rPr>
            <a:t>Added a specialized cost share Organization just before cost share totals to calculate the total unrecovered F&amp;A when applicable. </a:t>
          </a:r>
        </a:p>
        <a:p>
          <a:pPr marL="171450" lvl="0" indent="-171450">
            <a:buFont typeface="Arial" panose="020B0604020202020204" pitchFamily="34" charset="0"/>
            <a:buChar char="•"/>
          </a:pPr>
          <a:r>
            <a:rPr lang="en-US" sz="1100">
              <a:solidFill>
                <a:schemeClr val="dk1"/>
              </a:solidFill>
              <a:effectLst/>
              <a:latin typeface="+mn-lt"/>
              <a:ea typeface="+mn-ea"/>
              <a:cs typeface="+mn-cs"/>
            </a:rPr>
            <a:t>Any non-OSU cost share sources are automatically excluded from the total unrecovered F&amp;A calculations. This assumes that OSU cost share sources are selected from Unit dropdown list. </a:t>
          </a:r>
        </a:p>
        <a:p>
          <a:pPr marL="171450" lvl="0" indent="-171450">
            <a:buFont typeface="Arial" panose="020B0604020202020204" pitchFamily="34" charset="0"/>
            <a:buChar char="•"/>
          </a:pPr>
          <a:r>
            <a:rPr lang="en-US" sz="1100">
              <a:solidFill>
                <a:schemeClr val="dk1"/>
              </a:solidFill>
              <a:effectLst/>
              <a:latin typeface="+mn-lt"/>
              <a:ea typeface="+mn-ea"/>
              <a:cs typeface="+mn-cs"/>
            </a:rPr>
            <a:t>Added</a:t>
          </a:r>
          <a:r>
            <a:rPr lang="en-US" sz="1100" baseline="0">
              <a:solidFill>
                <a:schemeClr val="dk1"/>
              </a:solidFill>
              <a:effectLst/>
              <a:latin typeface="+mn-lt"/>
              <a:ea typeface="+mn-ea"/>
              <a:cs typeface="+mn-cs"/>
            </a:rPr>
            <a:t> the required cost share and total project cost </a:t>
          </a:r>
          <a:r>
            <a:rPr lang="en-US" sz="1100" b="1" baseline="0">
              <a:solidFill>
                <a:schemeClr val="dk1"/>
              </a:solidFill>
              <a:effectLst/>
              <a:latin typeface="+mn-lt"/>
              <a:ea typeface="+mn-ea"/>
              <a:cs typeface="+mn-cs"/>
            </a:rPr>
            <a:t>per year </a:t>
          </a:r>
          <a:r>
            <a:rPr lang="en-US" sz="1100" baseline="0">
              <a:solidFill>
                <a:schemeClr val="dk1"/>
              </a:solidFill>
              <a:effectLst/>
              <a:latin typeface="+mn-lt"/>
              <a:ea typeface="+mn-ea"/>
              <a:cs typeface="+mn-cs"/>
            </a:rPr>
            <a:t>at end of total cost share table, in purple italics (rows 157, 163). The total cost share per year should match the required cost share per year. These two lines do not appear unless required cost share % &gt; 0. </a:t>
          </a:r>
          <a:endParaRPr lang="en-US" sz="1100">
            <a:solidFill>
              <a:schemeClr val="dk1"/>
            </a:solidFill>
            <a:effectLst/>
            <a:latin typeface="+mn-lt"/>
            <a:ea typeface="+mn-ea"/>
            <a:cs typeface="+mn-cs"/>
          </a:endParaRPr>
        </a:p>
        <a:p>
          <a:r>
            <a:rPr lang="en-US" sz="1100" b="1">
              <a:solidFill>
                <a:schemeClr val="dk1"/>
              </a:solidFill>
              <a:effectLst/>
              <a:latin typeface="+mn-lt"/>
              <a:ea typeface="+mn-ea"/>
              <a:cs typeface="+mn-cs"/>
            </a:rPr>
            <a:t>Summary:</a:t>
          </a:r>
          <a:r>
            <a:rPr lang="en-US" sz="1100">
              <a:solidFill>
                <a:schemeClr val="dk1"/>
              </a:solidFill>
              <a:effectLst/>
              <a:latin typeface="+mn-lt"/>
              <a:ea typeface="+mn-ea"/>
              <a:cs typeface="+mn-cs"/>
            </a:rPr>
            <a:t> Added cost share table by year, rearranged other sections on this tab.</a:t>
          </a:r>
        </a:p>
        <a:p>
          <a:pPr marL="171450" indent="-171450">
            <a:buFont typeface="Arial" panose="020B0604020202020204" pitchFamily="34" charset="0"/>
            <a:buChar char="•"/>
          </a:pPr>
          <a:r>
            <a:rPr lang="en-US" sz="1100">
              <a:solidFill>
                <a:schemeClr val="dk1"/>
              </a:solidFill>
              <a:effectLst/>
              <a:latin typeface="+mn-lt"/>
              <a:ea typeface="+mn-ea"/>
              <a:cs typeface="+mn-cs"/>
            </a:rPr>
            <a:t>Added Subawards – Cost Share table, to be linked manually as needed (see comment). </a:t>
          </a:r>
        </a:p>
        <a:p>
          <a:r>
            <a:rPr lang="en-US" sz="1100" b="1">
              <a:solidFill>
                <a:schemeClr val="dk1"/>
              </a:solidFill>
              <a:effectLst/>
              <a:latin typeface="+mn-lt"/>
              <a:ea typeface="+mn-ea"/>
              <a:cs typeface="+mn-cs"/>
            </a:rPr>
            <a:t>PI Budgets:</a:t>
          </a:r>
          <a:r>
            <a:rPr lang="en-US" sz="1100">
              <a:solidFill>
                <a:schemeClr val="dk1"/>
              </a:solidFill>
              <a:effectLst/>
              <a:latin typeface="+mn-lt"/>
              <a:ea typeface="+mn-ea"/>
              <a:cs typeface="+mn-cs"/>
            </a:rPr>
            <a:t> Added F&amp;A Base calculation (MTDC vs TDC) and linked to F&amp;A rate per year on Budget tab (in case rate changes during project). F&amp;A Base of TDC excludes subawards &gt; $25k. </a:t>
          </a:r>
        </a:p>
        <a:p>
          <a:r>
            <a:rPr lang="en-US" sz="1100" b="1">
              <a:solidFill>
                <a:schemeClr val="dk1"/>
              </a:solidFill>
              <a:effectLst/>
              <a:latin typeface="+mn-lt"/>
              <a:ea typeface="+mn-ea"/>
              <a:cs typeface="+mn-cs"/>
            </a:rPr>
            <a:t>Senior Personnel:</a:t>
          </a:r>
          <a:r>
            <a:rPr lang="en-US" sz="1100">
              <a:solidFill>
                <a:schemeClr val="dk1"/>
              </a:solidFill>
              <a:effectLst/>
              <a:latin typeface="+mn-lt"/>
              <a:ea typeface="+mn-ea"/>
              <a:cs typeface="+mn-cs"/>
            </a:rPr>
            <a:t> </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a:solidFill>
                <a:schemeClr val="dk1"/>
              </a:solidFill>
              <a:effectLst/>
              <a:latin typeface="+mn-lt"/>
              <a:ea typeface="+mn-ea"/>
              <a:cs typeface="+mn-cs"/>
            </a:rPr>
            <a:t>Added Total Cost Share and </a:t>
          </a:r>
          <a:r>
            <a:rPr lang="en-US" sz="1100" baseline="0">
              <a:solidFill>
                <a:schemeClr val="dk1"/>
              </a:solidFill>
              <a:effectLst/>
              <a:latin typeface="+mn-lt"/>
              <a:ea typeface="+mn-ea"/>
              <a:cs typeface="+mn-cs"/>
            </a:rPr>
            <a:t>Required Cost Share per year </a:t>
          </a:r>
          <a:r>
            <a:rPr lang="en-US" sz="1100">
              <a:solidFill>
                <a:schemeClr val="dk1"/>
              </a:solidFill>
              <a:effectLst/>
              <a:latin typeface="+mn-lt"/>
              <a:ea typeface="+mn-ea"/>
              <a:cs typeface="+mn-cs"/>
            </a:rPr>
            <a:t>at top of page, for easier goal seek calculations. The</a:t>
          </a:r>
          <a:r>
            <a:rPr lang="en-US" sz="1100" baseline="0">
              <a:solidFill>
                <a:schemeClr val="dk1"/>
              </a:solidFill>
              <a:effectLst/>
              <a:latin typeface="+mn-lt"/>
              <a:ea typeface="+mn-ea"/>
              <a:cs typeface="+mn-cs"/>
            </a:rPr>
            <a:t> required cost share line </a:t>
          </a:r>
          <a:r>
            <a:rPr lang="en-US" sz="1100">
              <a:solidFill>
                <a:schemeClr val="dk1"/>
              </a:solidFill>
              <a:effectLst/>
              <a:latin typeface="+mn-lt"/>
              <a:ea typeface="+mn-ea"/>
              <a:cs typeface="+mn-cs"/>
            </a:rPr>
            <a:t>does not appear unless required cost share % &gt; 0.</a:t>
          </a:r>
          <a:endParaRPr lang="en-US" sz="1100" baseline="0">
            <a:solidFill>
              <a:schemeClr val="dk1"/>
            </a:solidFill>
            <a:effectLst/>
            <a:latin typeface="+mn-lt"/>
            <a:ea typeface="+mn-ea"/>
            <a:cs typeface="+mn-cs"/>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a:solidFill>
                <a:schemeClr val="dk1"/>
              </a:solidFill>
              <a:effectLst/>
              <a:latin typeface="+mn-lt"/>
              <a:ea typeface="+mn-ea"/>
              <a:cs typeface="+mn-cs"/>
            </a:rPr>
            <a:t>Added link to show the Actual OPE Rate (in red) for each PI when this is calculated on separate tab (see details below). </a:t>
          </a:r>
        </a:p>
        <a:p>
          <a:r>
            <a:rPr lang="en-US" sz="1100" b="1">
              <a:solidFill>
                <a:schemeClr val="dk1"/>
              </a:solidFill>
              <a:effectLst/>
              <a:latin typeface="+mn-lt"/>
              <a:ea typeface="+mn-ea"/>
              <a:cs typeface="+mn-cs"/>
            </a:rPr>
            <a:t>Other Personnel: </a:t>
          </a:r>
          <a:r>
            <a:rPr lang="en-US" sz="1100">
              <a:solidFill>
                <a:schemeClr val="dk1"/>
              </a:solidFill>
              <a:effectLst/>
              <a:latin typeface="+mn-lt"/>
              <a:ea typeface="+mn-ea"/>
              <a:cs typeface="+mn-cs"/>
            </a:rPr>
            <a:t>Space for both Name and Title here and on Data Input tab. Budget tab uses Title.</a:t>
          </a:r>
        </a:p>
        <a:p>
          <a:r>
            <a:rPr lang="en-US" sz="1100" b="1">
              <a:solidFill>
                <a:schemeClr val="dk1"/>
              </a:solidFill>
              <a:effectLst/>
              <a:latin typeface="+mn-lt"/>
              <a:ea typeface="+mn-ea"/>
              <a:cs typeface="+mn-cs"/>
            </a:rPr>
            <a:t>Graduate Asst: </a:t>
          </a:r>
          <a:endParaRPr lang="en-US" sz="1100">
            <a:solidFill>
              <a:schemeClr val="dk1"/>
            </a:solidFill>
            <a:effectLst/>
            <a:latin typeface="+mn-lt"/>
            <a:ea typeface="+mn-ea"/>
            <a:cs typeface="+mn-cs"/>
          </a:endParaRPr>
        </a:p>
        <a:p>
          <a:pPr marL="171450" lvl="0" indent="-171450">
            <a:buFont typeface="Arial" panose="020B0604020202020204" pitchFamily="34" charset="0"/>
            <a:buChar char="•"/>
          </a:pPr>
          <a:r>
            <a:rPr lang="en-US" sz="1100">
              <a:solidFill>
                <a:schemeClr val="dk1"/>
              </a:solidFill>
              <a:effectLst/>
              <a:latin typeface="+mn-lt"/>
              <a:ea typeface="+mn-ea"/>
              <a:cs typeface="+mn-cs"/>
            </a:rPr>
            <a:t>Uses vlookup to find default salary for each GA based on School (Level III if available, otherwise Level II). </a:t>
          </a:r>
        </a:p>
        <a:p>
          <a:pPr marL="171450" lvl="0" indent="-171450">
            <a:buFont typeface="Arial" panose="020B0604020202020204" pitchFamily="34" charset="0"/>
            <a:buChar char="•"/>
          </a:pPr>
          <a:r>
            <a:rPr lang="en-US" sz="1100">
              <a:solidFill>
                <a:schemeClr val="dk1"/>
              </a:solidFill>
              <a:effectLst/>
              <a:latin typeface="+mn-lt"/>
              <a:ea typeface="+mn-ea"/>
              <a:cs typeface="+mn-cs"/>
            </a:rPr>
            <a:t>For other colleges in the dropdown list, GA salary defaults to the lowest Engineering rate. If you obtain a current GA salary for another college, enter it on the Reference Sheet (GA_Salary) in the budget template and add a comment with the date and source so that others can use it too. </a:t>
          </a:r>
        </a:p>
        <a:p>
          <a:pPr marL="171450" lvl="0" indent="-171450">
            <a:buFont typeface="Arial" panose="020B0604020202020204" pitchFamily="34" charset="0"/>
            <a:buChar char="•"/>
          </a:pPr>
          <a:r>
            <a:rPr lang="en-US" sz="1100">
              <a:solidFill>
                <a:schemeClr val="dk1"/>
              </a:solidFill>
              <a:effectLst/>
              <a:latin typeface="+mn-lt"/>
              <a:ea typeface="+mn-ea"/>
              <a:cs typeface="+mn-cs"/>
            </a:rPr>
            <a:t>Tuition tables use project start/end dates to autofill tuition terms. Term cutoff dates extended for flexibility: tuition selected automatically for start dates up to Oct 7, Jan 15, Apr 15, Jul 15 (2-3 weeks after term start) and for end dates before Nov 16, Feb 22, May 25, Aug 25 (3 weeks before term end), based on OSU's 5-year academic calendar 2015-2020. </a:t>
          </a:r>
        </a:p>
        <a:p>
          <a:pPr marL="171450" lvl="0" indent="-171450">
            <a:buFont typeface="Arial" panose="020B0604020202020204" pitchFamily="34" charset="0"/>
            <a:buChar char="•"/>
          </a:pPr>
          <a:r>
            <a:rPr lang="en-US" sz="1100">
              <a:solidFill>
                <a:schemeClr val="dk1"/>
              </a:solidFill>
              <a:effectLst/>
              <a:latin typeface="+mn-lt"/>
              <a:ea typeface="+mn-ea"/>
              <a:cs typeface="+mn-cs"/>
            </a:rPr>
            <a:t>Start date cutoff for FY changed to July 15th, to allow wiggle room in start date for first summer. Changed in 2 places: GA Calculator, OSU Acad Yr, starting year calculation (B20); and in Reference Sheet, Term Cutoff, first Fall start date calculation (L44). </a:t>
          </a:r>
        </a:p>
        <a:p>
          <a:pPr marL="171450" lvl="0" indent="-171450">
            <a:buFont typeface="Arial" panose="020B0604020202020204" pitchFamily="34" charset="0"/>
            <a:buChar char="•"/>
          </a:pPr>
          <a:r>
            <a:rPr lang="en-US" sz="1100">
              <a:solidFill>
                <a:schemeClr val="dk1"/>
              </a:solidFill>
              <a:effectLst/>
              <a:latin typeface="+mn-lt"/>
              <a:ea typeface="+mn-ea"/>
              <a:cs typeface="+mn-cs"/>
            </a:rPr>
            <a:t>Do not display ZERO values on this one worksheet (GA calculator), to make tuition tables easier to read. File - Options - Advanced - Display options for this worksheet only. </a:t>
          </a:r>
        </a:p>
        <a:p>
          <a:pPr marL="171450" lvl="0" indent="-171450">
            <a:buFont typeface="Arial" panose="020B0604020202020204" pitchFamily="34" charset="0"/>
            <a:buChar char="•"/>
          </a:pPr>
          <a:r>
            <a:rPr lang="en-US" sz="1100">
              <a:solidFill>
                <a:schemeClr val="dk1"/>
              </a:solidFill>
              <a:effectLst/>
              <a:latin typeface="+mn-lt"/>
              <a:ea typeface="+mn-ea"/>
              <a:cs typeface="+mn-cs"/>
            </a:rPr>
            <a:t>In tuition tables, moved totals to first line of project period, to enable hiding of second line when only one row is used (fall start date). Updated Budget links to match. </a:t>
          </a:r>
        </a:p>
        <a:p>
          <a:pPr marL="171450" lvl="0" indent="-171450">
            <a:buFont typeface="Arial" panose="020B0604020202020204" pitchFamily="34" charset="0"/>
            <a:buChar char="•"/>
          </a:pPr>
          <a:r>
            <a:rPr lang="en-US" sz="1100">
              <a:solidFill>
                <a:schemeClr val="dk1"/>
              </a:solidFill>
              <a:effectLst/>
              <a:latin typeface="+mn-lt"/>
              <a:ea typeface="+mn-ea"/>
              <a:cs typeface="+mn-cs"/>
            </a:rPr>
            <a:t>Tuition rates updated for 2018-19 as of 6/5/18. Keep 2018 rates available on Reference Sheet until end of summer 2018. </a:t>
          </a:r>
        </a:p>
        <a:p>
          <a:r>
            <a:rPr lang="en-US" sz="1100" b="1">
              <a:solidFill>
                <a:schemeClr val="dk1"/>
              </a:solidFill>
              <a:effectLst/>
              <a:latin typeface="+mn-lt"/>
              <a:ea typeface="+mn-ea"/>
              <a:cs typeface="+mn-cs"/>
            </a:rPr>
            <a:t>Travel: </a:t>
          </a:r>
          <a:r>
            <a:rPr lang="en-US" sz="1100">
              <a:solidFill>
                <a:schemeClr val="dk1"/>
              </a:solidFill>
              <a:effectLst/>
              <a:latin typeface="+mn-lt"/>
              <a:ea typeface="+mn-ea"/>
              <a:cs typeface="+mn-cs"/>
            </a:rPr>
            <a:t>Simplified travel reference link. Added small red number above each trip to help us navigate through this tab, and to use for OFFSET formula references.</a:t>
          </a:r>
        </a:p>
        <a:p>
          <a:pPr marL="171450" lvl="0" indent="-171450">
            <a:buFont typeface="Arial" panose="020B0604020202020204" pitchFamily="34" charset="0"/>
            <a:buChar char="•"/>
          </a:pPr>
          <a:r>
            <a:rPr lang="en-US" sz="1100">
              <a:solidFill>
                <a:schemeClr val="dk1"/>
              </a:solidFill>
              <a:effectLst/>
              <a:latin typeface="+mn-lt"/>
              <a:ea typeface="+mn-ea"/>
              <a:cs typeface="+mn-cs"/>
            </a:rPr>
            <a:t>Purpose should also include destination, if known. Changed Destination to Destination Type and added dropdown for low-cost domestic, high-cost domestic, foreign to prefill per diem/lodging. </a:t>
          </a:r>
        </a:p>
        <a:p>
          <a:pPr marL="171450" lvl="0" indent="-171450">
            <a:buFont typeface="Arial" panose="020B0604020202020204" pitchFamily="34" charset="0"/>
            <a:buChar char="•"/>
          </a:pPr>
          <a:r>
            <a:rPr lang="en-US" sz="1100">
              <a:solidFill>
                <a:schemeClr val="dk1"/>
              </a:solidFill>
              <a:effectLst/>
              <a:latin typeface="+mn-lt"/>
              <a:ea typeface="+mn-ea"/>
              <a:cs typeface="+mn-cs"/>
            </a:rPr>
            <a:t>Rearranged some heading details for each trip and updated formulas to match. </a:t>
          </a:r>
        </a:p>
        <a:p>
          <a:pPr marL="171450" lvl="0" indent="-171450">
            <a:buFont typeface="Arial" panose="020B0604020202020204" pitchFamily="34" charset="0"/>
            <a:buChar char="•"/>
          </a:pPr>
          <a:r>
            <a:rPr lang="en-US" sz="1100">
              <a:solidFill>
                <a:schemeClr val="dk1"/>
              </a:solidFill>
              <a:effectLst/>
              <a:latin typeface="+mn-lt"/>
              <a:ea typeface="+mn-ea"/>
              <a:cs typeface="+mn-cs"/>
            </a:rPr>
            <a:t>Total based on Trips and Travelers, default # Travelers = 1. </a:t>
          </a:r>
        </a:p>
        <a:p>
          <a:pPr marL="171450" lvl="0" indent="-171450">
            <a:buFont typeface="Arial" panose="020B0604020202020204" pitchFamily="34" charset="0"/>
            <a:buChar char="•"/>
          </a:pPr>
          <a:r>
            <a:rPr lang="en-US" sz="1100">
              <a:solidFill>
                <a:schemeClr val="dk1"/>
              </a:solidFill>
              <a:effectLst/>
              <a:latin typeface="+mn-lt"/>
              <a:ea typeface="+mn-ea"/>
              <a:cs typeface="+mn-cs"/>
            </a:rPr>
            <a:t>Added default Transp. ($200) and Other ($50) amounts. </a:t>
          </a:r>
        </a:p>
        <a:p>
          <a:pPr marL="171450" lvl="0" indent="-171450">
            <a:buFont typeface="Arial" panose="020B0604020202020204" pitchFamily="34" charset="0"/>
            <a:buChar char="•"/>
          </a:pPr>
          <a:r>
            <a:rPr lang="en-US" sz="1100">
              <a:solidFill>
                <a:schemeClr val="dk1"/>
              </a:solidFill>
              <a:effectLst/>
              <a:latin typeface="+mn-lt"/>
              <a:ea typeface="+mn-ea"/>
              <a:cs typeface="+mn-cs"/>
            </a:rPr>
            <a:t>Other Expenses now includes the amount listed (with annual % increase) </a:t>
          </a:r>
          <a:r>
            <a:rPr lang="en-US" sz="1100" b="1">
              <a:solidFill>
                <a:schemeClr val="dk1"/>
              </a:solidFill>
              <a:effectLst/>
              <a:latin typeface="+mn-lt"/>
              <a:ea typeface="+mn-ea"/>
              <a:cs typeface="+mn-cs"/>
            </a:rPr>
            <a:t>plus Lodging Tax </a:t>
          </a:r>
          <a:r>
            <a:rPr lang="en-US" sz="1100">
              <a:solidFill>
                <a:schemeClr val="dk1"/>
              </a:solidFill>
              <a:effectLst/>
              <a:latin typeface="+mn-lt"/>
              <a:ea typeface="+mn-ea"/>
              <a:cs typeface="+mn-cs"/>
            </a:rPr>
            <a:t>as calculated from tax rate, lodging cost, and number of nights. Lodging tax % is shown so it can be changed per destination if needed.</a:t>
          </a:r>
        </a:p>
        <a:p>
          <a:pPr marL="171450" lvl="0" indent="-171450">
            <a:buFont typeface="Arial" panose="020B0604020202020204" pitchFamily="34" charset="0"/>
            <a:buChar char="•"/>
          </a:pPr>
          <a:r>
            <a:rPr lang="en-US" sz="1100">
              <a:solidFill>
                <a:schemeClr val="dk1"/>
              </a:solidFill>
              <a:effectLst/>
              <a:latin typeface="+mn-lt"/>
              <a:ea typeface="+mn-ea"/>
              <a:cs typeface="+mn-cs"/>
            </a:rPr>
            <a:t>Moved Total Domestic/Foreign columns to start of summary Trip columns for easier review. </a:t>
          </a:r>
        </a:p>
        <a:p>
          <a:pPr marL="171450" lvl="0" indent="-171450">
            <a:buFont typeface="Arial" panose="020B0604020202020204" pitchFamily="34" charset="0"/>
            <a:buChar char="•"/>
          </a:pPr>
          <a:r>
            <a:rPr lang="en-US" sz="1100">
              <a:solidFill>
                <a:schemeClr val="dk1"/>
              </a:solidFill>
              <a:effectLst/>
              <a:latin typeface="+mn-lt"/>
              <a:ea typeface="+mn-ea"/>
              <a:cs typeface="+mn-cs"/>
            </a:rPr>
            <a:t>Travel Insurance is now paid centrally for foreign travel so it's been removed from our budget template (http://international.oregonstate.edu/international-travel).</a:t>
          </a:r>
        </a:p>
        <a:p>
          <a:pPr marL="171450" lvl="0" indent="-171450">
            <a:buFont typeface="Arial" panose="020B0604020202020204" pitchFamily="34" charset="0"/>
            <a:buChar char="•"/>
          </a:pPr>
          <a:r>
            <a:rPr lang="en-US" sz="1100">
              <a:solidFill>
                <a:schemeClr val="dk1"/>
              </a:solidFill>
              <a:effectLst/>
              <a:latin typeface="+mn-lt"/>
              <a:ea typeface="+mn-ea"/>
              <a:cs typeface="+mn-cs"/>
            </a:rPr>
            <a:t>Note that Data Input page only has space for 5 trips, so the last few trips on the Travel page are not linked to input page. </a:t>
          </a:r>
        </a:p>
        <a:p>
          <a:r>
            <a:rPr lang="en-US" sz="1100" b="1">
              <a:solidFill>
                <a:schemeClr val="dk1"/>
              </a:solidFill>
              <a:effectLst/>
              <a:latin typeface="+mn-lt"/>
              <a:ea typeface="+mn-ea"/>
              <a:cs typeface="+mn-cs"/>
            </a:rPr>
            <a:t>Actual OPE Rates for Sr. Pers.:</a:t>
          </a:r>
          <a:r>
            <a:rPr lang="en-US" sz="1100">
              <a:solidFill>
                <a:schemeClr val="dk1"/>
              </a:solidFill>
              <a:effectLst/>
              <a:latin typeface="+mn-lt"/>
              <a:ea typeface="+mn-ea"/>
              <a:cs typeface="+mn-cs"/>
            </a:rPr>
            <a:t> Rearranged tables for easier data entry from payroll report, now autocalculates across multiple indexes. Revised formulas to use Reference Sheet data. PI names linked using OFFSET instead of manual linking. </a:t>
          </a:r>
        </a:p>
        <a:p>
          <a:pPr marL="171450" lvl="0" indent="-171450">
            <a:buFont typeface="Arial" panose="020B0604020202020204" pitchFamily="34" charset="0"/>
            <a:buChar char="•"/>
          </a:pPr>
          <a:r>
            <a:rPr lang="en-US" sz="1100">
              <a:solidFill>
                <a:schemeClr val="dk1"/>
              </a:solidFill>
              <a:effectLst/>
              <a:latin typeface="+mn-lt"/>
              <a:ea typeface="+mn-ea"/>
              <a:cs typeface="+mn-cs"/>
            </a:rPr>
            <a:t>The estimated OPE rate here uses the 2 PERS rates (before/after Aug 2003) and assumes annual health insurance cost is paid over 10 months for faculty. </a:t>
          </a:r>
        </a:p>
        <a:p>
          <a:r>
            <a:rPr lang="en-US" sz="1100" b="1">
              <a:solidFill>
                <a:schemeClr val="dk1"/>
              </a:solidFill>
              <a:effectLst/>
              <a:latin typeface="+mn-lt"/>
              <a:ea typeface="+mn-ea"/>
              <a:cs typeface="+mn-cs"/>
            </a:rPr>
            <a:t>Reference Sheet: </a:t>
          </a:r>
          <a:r>
            <a:rPr lang="en-US" sz="1100">
              <a:solidFill>
                <a:schemeClr val="dk1"/>
              </a:solidFill>
              <a:effectLst/>
              <a:latin typeface="+mn-lt"/>
              <a:ea typeface="+mn-ea"/>
              <a:cs typeface="+mn-cs"/>
            </a:rPr>
            <a:t>Converted all to Tables and named each table and list in Name Manager so they automatically update as list items change; deleted old names. Added more tables for dropdown lists and other reference material. </a:t>
          </a:r>
        </a:p>
        <a:p>
          <a:pPr marL="171450" lvl="0" indent="-171450">
            <a:buFont typeface="Arial" panose="020B0604020202020204" pitchFamily="34" charset="0"/>
            <a:buChar char="•"/>
          </a:pPr>
          <a:r>
            <a:rPr lang="en-US" sz="1100">
              <a:solidFill>
                <a:schemeClr val="dk1"/>
              </a:solidFill>
              <a:effectLst/>
              <a:latin typeface="+mn-lt"/>
              <a:ea typeface="+mn-ea"/>
              <a:cs typeface="+mn-cs"/>
            </a:rPr>
            <a:t>All updates should be done on this tab only (new rates, dates, titles, etc.).</a:t>
          </a:r>
        </a:p>
        <a:p>
          <a:r>
            <a:rPr lang="en-US" sz="1100" b="1">
              <a:solidFill>
                <a:schemeClr val="dk1"/>
              </a:solidFill>
              <a:effectLst/>
              <a:latin typeface="+mn-lt"/>
              <a:ea typeface="+mn-ea"/>
              <a:cs typeface="+mn-cs"/>
            </a:rPr>
            <a:t>Cost Share tabs: </a:t>
          </a:r>
          <a:r>
            <a:rPr lang="en-US" sz="1100">
              <a:solidFill>
                <a:schemeClr val="dk1"/>
              </a:solidFill>
              <a:effectLst/>
              <a:latin typeface="+mn-lt"/>
              <a:ea typeface="+mn-ea"/>
              <a:cs typeface="+mn-cs"/>
            </a:rPr>
            <a:t>4 new tabs added, all 6 old cost share tabs deleted. </a:t>
          </a:r>
        </a:p>
        <a:p>
          <a:pPr marL="171450" lvl="0" indent="-171450">
            <a:buFont typeface="Arial" panose="020B0604020202020204" pitchFamily="34" charset="0"/>
            <a:buChar char="•"/>
          </a:pPr>
          <a:r>
            <a:rPr lang="en-US" sz="1100">
              <a:solidFill>
                <a:schemeClr val="dk1"/>
              </a:solidFill>
              <a:effectLst/>
              <a:latin typeface="+mn-lt"/>
              <a:ea typeface="+mn-ea"/>
              <a:cs typeface="+mn-cs"/>
            </a:rPr>
            <a:t>The Cost Share Agr. Form tab shows all cost share and should be provided to each cost share unit in addition to their own customized ORG page. </a:t>
          </a:r>
        </a:p>
        <a:p>
          <a:pPr marL="171450" lvl="0" indent="-171450">
            <a:buFont typeface="Arial" panose="020B0604020202020204" pitchFamily="34" charset="0"/>
            <a:buChar char="•"/>
          </a:pPr>
          <a:r>
            <a:rPr lang="en-US" sz="1100">
              <a:solidFill>
                <a:schemeClr val="dk1"/>
              </a:solidFill>
              <a:effectLst/>
              <a:latin typeface="+mn-lt"/>
              <a:ea typeface="+mn-ea"/>
              <a:cs typeface="+mn-cs"/>
            </a:rPr>
            <a:t>The ORG Cost Share tab can be customized for each org by entering one number (see colored box for instructions) then printing to PDF for signature. </a:t>
          </a:r>
        </a:p>
        <a:p>
          <a:pPr marL="171450" lvl="0" indent="-171450">
            <a:buFont typeface="Arial" panose="020B0604020202020204" pitchFamily="34" charset="0"/>
            <a:buChar char="•"/>
          </a:pPr>
          <a:r>
            <a:rPr lang="en-US" sz="1100">
              <a:solidFill>
                <a:schemeClr val="dk1"/>
              </a:solidFill>
              <a:effectLst/>
              <a:latin typeface="+mn-lt"/>
              <a:ea typeface="+mn-ea"/>
              <a:cs typeface="+mn-cs"/>
            </a:rPr>
            <a:t>Unrecovered F&amp;A is calculated separately as the last org, and has its own tab for printing when needed. </a:t>
          </a:r>
        </a:p>
        <a:p>
          <a:pPr marL="171450" lvl="0" indent="-171450">
            <a:buFont typeface="Arial" panose="020B0604020202020204" pitchFamily="34" charset="0"/>
            <a:buChar char="•"/>
          </a:pPr>
          <a:r>
            <a:rPr lang="en-US" sz="1100">
              <a:solidFill>
                <a:schemeClr val="dk1"/>
              </a:solidFill>
              <a:effectLst/>
              <a:latin typeface="+mn-lt"/>
              <a:ea typeface="+mn-ea"/>
              <a:cs typeface="+mn-cs"/>
            </a:rPr>
            <a:t>Cost Share Instructions may be shared with the PI but are mostly for our own use. </a:t>
          </a:r>
        </a:p>
        <a:p>
          <a:pPr marL="171450" lvl="0" indent="-171450">
            <a:buFont typeface="Arial" panose="020B0604020202020204" pitchFamily="34" charset="0"/>
            <a:buChar char="•"/>
          </a:pPr>
          <a:r>
            <a:rPr lang="en-US" sz="1100">
              <a:solidFill>
                <a:schemeClr val="dk1"/>
              </a:solidFill>
              <a:effectLst/>
              <a:latin typeface="+mn-lt"/>
              <a:ea typeface="+mn-ea"/>
              <a:cs typeface="+mn-cs"/>
            </a:rPr>
            <a:t>On Cost Share Agr. tab, required cost share for Total Project Costs now includes FFRDC funds, if any. </a:t>
          </a:r>
        </a:p>
        <a:p>
          <a:pPr marL="171450" lvl="0" indent="-171450">
            <a:buFont typeface="Arial" panose="020B0604020202020204" pitchFamily="34" charset="0"/>
            <a:buChar char="•"/>
          </a:pPr>
          <a:r>
            <a:rPr lang="en-US" sz="1100">
              <a:solidFill>
                <a:schemeClr val="dk1"/>
              </a:solidFill>
              <a:effectLst/>
              <a:latin typeface="+mn-lt"/>
              <a:ea typeface="+mn-ea"/>
              <a:cs typeface="+mn-cs"/>
            </a:rPr>
            <a:t>Added text box for Approved Changes explanation, and added separate text box to indicate signature NOT required when only faculty time (up to 1 mo/yr/faculty)</a:t>
          </a:r>
          <a:r>
            <a:rPr lang="en-US" sz="1100" baseline="0">
              <a:solidFill>
                <a:schemeClr val="dk1"/>
              </a:solidFill>
              <a:effectLst/>
              <a:latin typeface="+mn-lt"/>
              <a:ea typeface="+mn-ea"/>
              <a:cs typeface="+mn-cs"/>
            </a:rPr>
            <a:t> and/or unrecovered F&amp;A. </a:t>
          </a:r>
          <a:endParaRPr lang="en-US" sz="1100">
            <a:solidFill>
              <a:schemeClr val="dk1"/>
            </a:solidFill>
            <a:effectLst/>
            <a:latin typeface="+mn-lt"/>
            <a:ea typeface="+mn-ea"/>
            <a:cs typeface="+mn-cs"/>
          </a:endParaRPr>
        </a:p>
        <a:p>
          <a:r>
            <a:rPr lang="en-US" sz="1100" b="1">
              <a:solidFill>
                <a:schemeClr val="dk1"/>
              </a:solidFill>
              <a:effectLst/>
              <a:latin typeface="+mn-lt"/>
              <a:ea typeface="+mn-ea"/>
              <a:cs typeface="+mn-cs"/>
            </a:rPr>
            <a:t>Macro Enabled: </a:t>
          </a:r>
          <a:r>
            <a:rPr lang="en-US" sz="1100">
              <a:solidFill>
                <a:schemeClr val="dk1"/>
              </a:solidFill>
              <a:effectLst/>
              <a:latin typeface="+mn-lt"/>
              <a:ea typeface="+mn-ea"/>
              <a:cs typeface="+mn-cs"/>
            </a:rPr>
            <a:t>Added CurrencyShowCents and CurrencyHideCents macros to this workbook. Resized all columns to accommodate showing cents.</a:t>
          </a:r>
        </a:p>
        <a:p>
          <a:pPr marL="171450" lvl="0" indent="-171450">
            <a:buFont typeface="Arial" panose="020B0604020202020204" pitchFamily="34" charset="0"/>
            <a:buChar char="•"/>
          </a:pPr>
          <a:r>
            <a:rPr lang="en-US" sz="1100">
              <a:solidFill>
                <a:schemeClr val="dk1"/>
              </a:solidFill>
              <a:effectLst/>
              <a:latin typeface="+mn-lt"/>
              <a:ea typeface="+mn-ea"/>
              <a:cs typeface="+mn-cs"/>
            </a:rPr>
            <a:t>To add these macros to any workbook, save as a Macro-Enabled Workbook, then select Developer – Visual Basic – File – Import file, go to R:\Forms folder and select the “CurrencyShowHideCents.bas” file. **If you add these macros to your Personal.xlsb workbook then they’ll be available to use in any macro-enable workbook on your computer. </a:t>
          </a:r>
        </a:p>
        <a:p>
          <a:pPr marL="171450" lvl="0" indent="-171450">
            <a:buFont typeface="Arial" panose="020B0604020202020204" pitchFamily="34" charset="0"/>
            <a:buChar char="•"/>
          </a:pPr>
          <a:r>
            <a:rPr lang="en-US" sz="1100">
              <a:solidFill>
                <a:schemeClr val="dk1"/>
              </a:solidFill>
              <a:effectLst/>
              <a:latin typeface="+mn-lt"/>
              <a:ea typeface="+mn-ea"/>
              <a:cs typeface="+mn-cs"/>
            </a:rPr>
            <a:t>To remove all macros from a spreadsheet, simply save as an Excel Workbook (the default) instead of an Excel Macro-Enabled Workbook. </a:t>
          </a:r>
        </a:p>
        <a:p>
          <a:pPr marL="171450" lvl="0" indent="-171450">
            <a:buFont typeface="Arial" panose="020B0604020202020204" pitchFamily="34" charset="0"/>
            <a:buChar char="•"/>
          </a:pPr>
          <a:r>
            <a:rPr lang="en-US" sz="1100">
              <a:solidFill>
                <a:schemeClr val="dk1"/>
              </a:solidFill>
              <a:effectLst/>
              <a:latin typeface="+mn-lt"/>
              <a:ea typeface="+mn-ea"/>
              <a:cs typeface="+mn-cs"/>
            </a:rPr>
            <a:t>To keep macros but remove the macro warning, you need to set your current folder on the R drive as a Trusted Location in Excel (File - Options - Trust Center - Settings - Location - Allow Trusted Locations on my network - Add new location).  </a:t>
          </a:r>
        </a:p>
        <a:p>
          <a:r>
            <a:rPr lang="en-US" sz="1100" b="1">
              <a:solidFill>
                <a:schemeClr val="dk1"/>
              </a:solidFill>
              <a:effectLst/>
              <a:latin typeface="+mn-lt"/>
              <a:ea typeface="+mn-ea"/>
              <a:cs typeface="+mn-cs"/>
            </a:rPr>
            <a:t>Saved as Template:</a:t>
          </a:r>
          <a:r>
            <a:rPr lang="en-US" sz="1100">
              <a:solidFill>
                <a:schemeClr val="dk1"/>
              </a:solidFill>
              <a:effectLst/>
              <a:latin typeface="+mn-lt"/>
              <a:ea typeface="+mn-ea"/>
              <a:cs typeface="+mn-cs"/>
            </a:rPr>
            <a:t> Budget template is now an actual Excel template, to avoid overwriting any links or formulas. Open the template and hit Save, and it will prompt for a new filename and location. </a:t>
          </a:r>
        </a:p>
        <a:p>
          <a:pPr marL="171450" indent="-171450">
            <a:buFont typeface="Arial" panose="020B0604020202020204" pitchFamily="34" charset="0"/>
            <a:buChar char="•"/>
          </a:pPr>
          <a:r>
            <a:rPr lang="en-US" sz="1100">
              <a:solidFill>
                <a:schemeClr val="dk1"/>
              </a:solidFill>
              <a:effectLst/>
              <a:latin typeface="+mn-lt"/>
              <a:ea typeface="+mn-ea"/>
              <a:cs typeface="+mn-cs"/>
            </a:rPr>
            <a:t>To edit budget template, open Excel first</a:t>
          </a:r>
          <a:r>
            <a:rPr lang="en-US" sz="1100" baseline="0">
              <a:solidFill>
                <a:schemeClr val="dk1"/>
              </a:solidFill>
              <a:effectLst/>
              <a:latin typeface="+mn-lt"/>
              <a:ea typeface="+mn-ea"/>
              <a:cs typeface="+mn-cs"/>
            </a:rPr>
            <a:t> then select File - Open - template filename. </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a:solidFill>
                <a:schemeClr val="dk1"/>
              </a:solidFill>
              <a:effectLst/>
              <a:latin typeface="+mn-lt"/>
              <a:ea typeface="+mn-ea"/>
              <a:cs typeface="+mn-cs"/>
            </a:rPr>
            <a:t>When you’re done editing, save the template, then also Save As to create a non-template, non-macro version in the Forms folder for those who prefer to not use Excel templates. </a:t>
          </a:r>
          <a:endParaRPr lang="en-US">
            <a:effectLst/>
          </a:endParaRPr>
        </a:p>
        <a:p>
          <a:endParaRPr lang="en-US" sz="1100">
            <a:solidFill>
              <a:schemeClr val="dk1"/>
            </a:solidFill>
            <a:effectLst/>
            <a:latin typeface="+mn-lt"/>
            <a:ea typeface="+mn-ea"/>
            <a:cs typeface="+mn-cs"/>
          </a:endParaRPr>
        </a:p>
        <a:p>
          <a:endParaRPr lang="en-US" sz="1100"/>
        </a:p>
      </xdr:txBody>
    </xdr:sp>
    <xdr:clientData/>
  </xdr:twoCellAnchor>
  <xdr:twoCellAnchor>
    <xdr:from>
      <xdr:col>35</xdr:col>
      <xdr:colOff>57150</xdr:colOff>
      <xdr:row>0</xdr:row>
      <xdr:rowOff>57150</xdr:rowOff>
    </xdr:from>
    <xdr:to>
      <xdr:col>45</xdr:col>
      <xdr:colOff>228600</xdr:colOff>
      <xdr:row>50</xdr:row>
      <xdr:rowOff>57150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21393150" y="57150"/>
          <a:ext cx="6267450" cy="9525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Budget Template, Engineering Research Administration</a:t>
          </a:r>
          <a:endParaRPr lang="en-US">
            <a:effectLst/>
          </a:endParaRPr>
        </a:p>
        <a:p>
          <a:r>
            <a:rPr lang="en-US" sz="1100"/>
            <a:t>Cyndy's</a:t>
          </a:r>
          <a:r>
            <a:rPr lang="en-US" sz="1100" baseline="0"/>
            <a:t> notes, updated </a:t>
          </a:r>
          <a:r>
            <a:rPr lang="en-US" sz="1100" b="1" baseline="0"/>
            <a:t>July 2021</a:t>
          </a:r>
        </a:p>
        <a:p>
          <a:r>
            <a:rPr lang="en-US" sz="1100"/>
            <a:t>7/12/21: starting with Susan's</a:t>
          </a:r>
          <a:r>
            <a:rPr lang="en-US" sz="1100" baseline="0"/>
            <a:t> version that added more Other Personnel lines</a:t>
          </a:r>
        </a:p>
        <a:p>
          <a:r>
            <a:rPr lang="en-US" sz="1100" baseline="0"/>
            <a:t>* corrected conditional formatting on Data Input tab for faculty effort type</a:t>
          </a:r>
        </a:p>
        <a:p>
          <a:r>
            <a:rPr lang="en-US" sz="1100" baseline="0"/>
            <a:t>* corrected Other Personnel errors in Cost Share on Budget tab; added OFFSET formula to remove manual entry for each cell reference</a:t>
          </a:r>
        </a:p>
        <a:p>
          <a:r>
            <a:rPr lang="en-US" sz="1100" baseline="0"/>
            <a:t>* updated GA rates:  CCE, CEOAS</a:t>
          </a:r>
        </a:p>
        <a:p>
          <a:r>
            <a:rPr lang="en-US" sz="1100" baseline="0"/>
            <a:t>* removed FY21 tuition/fees</a:t>
          </a:r>
        </a:p>
        <a:p>
          <a:r>
            <a:rPr lang="en-US" sz="1100" baseline="0"/>
            <a:t>* removed old F&amp;A rates on Reference tab</a:t>
          </a:r>
        </a:p>
        <a:p>
          <a:r>
            <a:rPr lang="en-US" sz="1100" baseline="0"/>
            <a:t>* added comments for clarification (CPH tuition, GA health insurance used for workers comp)</a:t>
          </a:r>
        </a:p>
        <a:p>
          <a:r>
            <a:rPr lang="en-US" sz="1100" baseline="0"/>
            <a:t>* updated all macros to work with the added Other Personnel lines and with hidden tabs</a:t>
          </a:r>
        </a:p>
        <a:p>
          <a:r>
            <a:rPr lang="en-US" sz="1100" baseline="0"/>
            <a:t>* updated Periods macro to also show/hide cost share columns</a:t>
          </a:r>
        </a:p>
        <a:p>
          <a:r>
            <a:rPr lang="en-US" sz="1100" baseline="0"/>
            <a:t>* added new macro to hide unused Personnel rows on all salary calculator tabs</a:t>
          </a:r>
        </a:p>
        <a:p>
          <a:r>
            <a:rPr lang="en-US" sz="1100" baseline="0"/>
            <a:t>* added new tab:  SUMMARY - Industry</a:t>
          </a:r>
        </a:p>
        <a:p>
          <a:r>
            <a:rPr lang="en-US" sz="1100" baseline="0"/>
            <a:t>* added line with total months and % effort for Other Personnel, for Cayuse</a:t>
          </a:r>
        </a:p>
        <a:p>
          <a:endParaRPr lang="en-US" sz="1100" baseline="0"/>
        </a:p>
        <a:p>
          <a:r>
            <a:rPr lang="en-US" sz="1100"/>
            <a:t>Cyndy's notes, updated </a:t>
          </a:r>
          <a:r>
            <a:rPr lang="en-US" sz="1100" b="1"/>
            <a:t>February</a:t>
          </a:r>
          <a:r>
            <a:rPr lang="en-US" sz="1100" b="1" baseline="0"/>
            <a:t> 2022</a:t>
          </a:r>
        </a:p>
        <a:p>
          <a:r>
            <a:rPr lang="en-US" sz="1100"/>
            <a:t>* Added </a:t>
          </a:r>
          <a:r>
            <a:rPr lang="en-US" sz="1100" b="1"/>
            <a:t>Rounded</a:t>
          </a:r>
          <a:r>
            <a:rPr lang="en-US" sz="1100" b="1" baseline="0"/>
            <a:t> Budget </a:t>
          </a:r>
          <a:r>
            <a:rPr lang="en-US" sz="1100" baseline="0"/>
            <a:t>columns EI-EI in Budget tab, for use in sponsor budget forms that do not accept decimal places (NSF, Cayuse 424, etc.). Thanks to Susan for creating this!</a:t>
          </a:r>
        </a:p>
        <a:p>
          <a:r>
            <a:rPr lang="en-US" sz="1100" baseline="0"/>
            <a:t>* Updated </a:t>
          </a:r>
          <a:r>
            <a:rPr lang="en-US" sz="1100" b="1" baseline="0"/>
            <a:t>GA rates </a:t>
          </a:r>
          <a:r>
            <a:rPr lang="en-US" sz="1100" baseline="0"/>
            <a:t>per new COE policy: decreased GA default FTE to 0.40 and now budgeting same salary levels for all Schools.</a:t>
          </a:r>
        </a:p>
        <a:p>
          <a:r>
            <a:rPr lang="en-US" sz="1100" baseline="0"/>
            <a:t>* Added Lindsay to Grant Coordinator list</a:t>
          </a:r>
        </a:p>
        <a:p>
          <a:r>
            <a:rPr lang="en-US" sz="1100" baseline="0"/>
            <a:t>* Removed workers comp from all positions except postdoc scholar, per OPE tables as of 9/21.</a:t>
          </a:r>
        </a:p>
        <a:p>
          <a:r>
            <a:rPr lang="en-US" sz="1100" baseline="0"/>
            <a:t>* Updated GA health insurance for FY22 (belatedly!), AY monthly increase of $30.</a:t>
          </a:r>
        </a:p>
        <a:p>
          <a:r>
            <a:rPr lang="en-US" sz="1100" baseline="0"/>
            <a:t>* Shortened tab names for easier scrolling. Deleted old Actual OPE tab (separate tab no longer needed).</a:t>
          </a:r>
        </a:p>
        <a:p>
          <a:r>
            <a:rPr lang="en-US" sz="1100" baseline="0"/>
            <a:t>* Updated GA prorated tuition based on new 0.4 FTE default appointment.</a:t>
          </a:r>
        </a:p>
        <a:p>
          <a:r>
            <a:rPr lang="en-US" sz="1100" strike="sngStrike" baseline="0"/>
            <a:t>* Added macro to always open on the DATA INPUT tab.</a:t>
          </a:r>
        </a:p>
        <a:p>
          <a:r>
            <a:rPr lang="en-US" sz="1100" baseline="0"/>
            <a:t>* Reduced health insurance to $1515/month (was $1560) to match FY22 update in Budget Office OPE tables as of 1/10/22. </a:t>
          </a:r>
        </a:p>
        <a:p>
          <a:r>
            <a:rPr lang="en-US" sz="1100" baseline="0"/>
            <a:t>* Updated all subaward-related formulas to use SUMIF and OFFSET instead of specifically listing all relevant cells. Now we can easily copy and insert additional subawards! For safety, </a:t>
          </a:r>
          <a:r>
            <a:rPr lang="en-US" sz="1100" b="1" baseline="0"/>
            <a:t>insert new subawards in the *middle* of the list</a:t>
          </a:r>
          <a:r>
            <a:rPr lang="en-US" sz="1100" baseline="0"/>
            <a:t>, not at start or end of subaward section. </a:t>
          </a:r>
        </a:p>
        <a:p>
          <a:endParaRPr lang="en-US" sz="1100"/>
        </a:p>
        <a:p>
          <a:r>
            <a:rPr lang="en-US" sz="1100"/>
            <a:t>Cyndy's</a:t>
          </a:r>
          <a:r>
            <a:rPr lang="en-US" sz="1100" baseline="0"/>
            <a:t> notes, updated </a:t>
          </a:r>
          <a:r>
            <a:rPr lang="en-US" sz="1100" b="1" baseline="0"/>
            <a:t>May 2022</a:t>
          </a:r>
        </a:p>
        <a:p>
          <a:r>
            <a:rPr lang="en-US" sz="1100" b="0" baseline="0"/>
            <a:t>* Macro to use Rounded Totals or Actual Totals in summary cells</a:t>
          </a:r>
        </a:p>
        <a:p>
          <a:r>
            <a:rPr lang="en-US" sz="1100" b="0" baseline="0"/>
            <a:t>* Macro to hide all unused rows/columns in workbook at once</a:t>
          </a:r>
        </a:p>
        <a:p>
          <a:r>
            <a:rPr lang="en-US" sz="1100" b="0" baseline="0"/>
            <a:t>* Added template version date on Data Input tab</a:t>
          </a:r>
        </a:p>
        <a:p>
          <a:r>
            <a:rPr lang="en-US" sz="1100" b="0" baseline="0"/>
            <a:t>* Updated tuition/fees and postdoc salary for 2022-23</a:t>
          </a:r>
        </a:p>
        <a:p>
          <a:r>
            <a:rPr lang="en-US" sz="1100" b="0" baseline="0"/>
            <a:t>* Annual salary increases now happen in Jul/Sep for 12/9-month employees, as of FY23.  (Increases used to take effect in Jan/Feb each year.)</a:t>
          </a:r>
        </a:p>
        <a:p>
          <a:r>
            <a:rPr lang="en-US" sz="1100" b="0" baseline="0"/>
            <a:t>* Faculty tenure and promotion raise should be 13.3% for 3% annual increase plus 10% promotion increase. Clarified May 2022.</a:t>
          </a:r>
        </a:p>
        <a:p>
          <a:r>
            <a:rPr lang="en-US" sz="1100" b="0" baseline="0"/>
            <a:t>* Fixed Other Personnel % effort calculations to use FTE</a:t>
          </a:r>
        </a:p>
        <a:p>
          <a:r>
            <a:rPr lang="en-US" sz="1100" b="0" baseline="0"/>
            <a:t>* Fixed logic error for using unrecovered F&amp;A as cost share regardless of sponsor-limited F&amp;A rate</a:t>
          </a:r>
        </a:p>
        <a:p>
          <a:r>
            <a:rPr lang="en-US" sz="1100" b="0" baseline="0"/>
            <a:t>* Added and combined macros to easily hide unused rows/columns/tabs. </a:t>
          </a:r>
        </a:p>
        <a:p>
          <a:r>
            <a:rPr lang="en-US" sz="1100" b="0" baseline="0"/>
            <a:t>* Added summary line for total direct costs on DATA INPUT tab.</a:t>
          </a:r>
        </a:p>
        <a:p>
          <a:endParaRPr lang="en-US"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Cyndy's</a:t>
          </a:r>
          <a:r>
            <a:rPr lang="en-US" sz="1100" baseline="0">
              <a:solidFill>
                <a:schemeClr val="dk1"/>
              </a:solidFill>
              <a:effectLst/>
              <a:latin typeface="+mn-lt"/>
              <a:ea typeface="+mn-ea"/>
              <a:cs typeface="+mn-cs"/>
            </a:rPr>
            <a:t> notes, updated </a:t>
          </a:r>
          <a:r>
            <a:rPr lang="en-US" sz="1100" b="1" baseline="0">
              <a:solidFill>
                <a:schemeClr val="dk1"/>
              </a:solidFill>
              <a:effectLst/>
              <a:latin typeface="+mn-lt"/>
              <a:ea typeface="+mn-ea"/>
              <a:cs typeface="+mn-cs"/>
            </a:rPr>
            <a:t>April 2023</a:t>
          </a:r>
          <a:endParaRPr lang="en-US">
            <a:effectLst/>
          </a:endParaRPr>
        </a:p>
        <a:p>
          <a:r>
            <a:rPr lang="en-US" sz="1100" b="0" baseline="0"/>
            <a:t>* Updated OPE rates and Postdoc salaries</a:t>
          </a: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 Tuition - zero increase for FY24 (confirmed)</a:t>
          </a:r>
          <a:endParaRPr lang="en-US" b="1">
            <a:effectLst/>
          </a:endParaRPr>
        </a:p>
        <a:p>
          <a:r>
            <a:rPr lang="en-US" sz="1100" b="0" baseline="0"/>
            <a:t>* Removed Other from Travel, updated high/low rates per IRS reference, add GSA Rates to dropdown</a:t>
          </a:r>
        </a:p>
        <a:p>
          <a:r>
            <a:rPr lang="en-US" sz="1100" b="0" baseline="0"/>
            <a:t>* Fixed links on Other Personnel</a:t>
          </a:r>
        </a:p>
        <a:p>
          <a:endParaRPr lang="en-US" sz="1100" b="0" baseline="0"/>
        </a:p>
        <a:p>
          <a:endParaRPr lang="en-US" sz="1100" b="0" baseline="0"/>
        </a:p>
        <a:p>
          <a:endParaRPr lang="en-US" sz="1100" b="0" baseline="0"/>
        </a:p>
        <a:p>
          <a:endParaRPr lang="en-US" sz="1100" b="0" baseline="0"/>
        </a:p>
        <a:p>
          <a:endParaRPr lang="en-US" sz="1100" b="0"/>
        </a:p>
      </xdr:txBody>
    </xdr:sp>
    <xdr:clientData/>
  </xdr:twoCellAnchor>
  <xdr:twoCellAnchor>
    <xdr:from>
      <xdr:col>23</xdr:col>
      <xdr:colOff>447675</xdr:colOff>
      <xdr:row>0</xdr:row>
      <xdr:rowOff>45720</xdr:rowOff>
    </xdr:from>
    <xdr:to>
      <xdr:col>34</xdr:col>
      <xdr:colOff>464820</xdr:colOff>
      <xdr:row>72</xdr:row>
      <xdr:rowOff>123825</xdr:rowOff>
    </xdr:to>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14468475" y="45720"/>
          <a:ext cx="6722745" cy="137941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1100" b="1">
              <a:solidFill>
                <a:schemeClr val="dk1"/>
              </a:solidFill>
              <a:effectLst/>
              <a:latin typeface="+mn-lt"/>
              <a:ea typeface="+mn-ea"/>
              <a:cs typeface="+mn-cs"/>
            </a:rPr>
            <a:t>Budget Template, Engineering Research Administration</a:t>
          </a:r>
          <a:endParaRPr lang="en-US">
            <a:effectLst/>
          </a:endParaRPr>
        </a:p>
        <a:p>
          <a:r>
            <a:rPr lang="en-US" sz="1100">
              <a:solidFill>
                <a:schemeClr val="dk1"/>
              </a:solidFill>
              <a:effectLst/>
              <a:latin typeface="+mn-lt"/>
              <a:ea typeface="+mn-ea"/>
              <a:cs typeface="+mn-cs"/>
            </a:rPr>
            <a:t>Cyndy's</a:t>
          </a:r>
          <a:r>
            <a:rPr lang="en-US" sz="1100" baseline="0">
              <a:solidFill>
                <a:schemeClr val="dk1"/>
              </a:solidFill>
              <a:effectLst/>
              <a:latin typeface="+mn-lt"/>
              <a:ea typeface="+mn-ea"/>
              <a:cs typeface="+mn-cs"/>
            </a:rPr>
            <a:t> notes, updated </a:t>
          </a:r>
          <a:r>
            <a:rPr lang="en-US" sz="1100" b="1" baseline="0">
              <a:solidFill>
                <a:schemeClr val="dk1"/>
              </a:solidFill>
              <a:effectLst/>
              <a:latin typeface="+mn-lt"/>
              <a:ea typeface="+mn-ea"/>
              <a:cs typeface="+mn-cs"/>
            </a:rPr>
            <a:t>September 2023</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 Added Subawards and Participant Support to DATA INPUT tab</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a:solidFill>
                <a:schemeClr val="dk1"/>
              </a:solidFill>
              <a:effectLst/>
              <a:latin typeface="+mn-lt"/>
              <a:ea typeface="+mn-ea"/>
              <a:cs typeface="+mn-cs"/>
            </a:rPr>
            <a:t>* Added more lines for Equipment and Other Direct Costs, including</a:t>
          </a:r>
          <a:r>
            <a:rPr lang="en-US" sz="1100" b="0" i="0" baseline="0">
              <a:solidFill>
                <a:schemeClr val="dk1"/>
              </a:solidFill>
              <a:effectLst/>
              <a:latin typeface="+mn-lt"/>
              <a:ea typeface="+mn-ea"/>
              <a:cs typeface="+mn-cs"/>
            </a:rPr>
            <a:t> Rental Costs excluded from F&amp;A and Payments to Human Subjects</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 </a:t>
          </a:r>
          <a:r>
            <a:rPr lang="en-US" sz="1100" b="0" i="0">
              <a:solidFill>
                <a:schemeClr val="dk1"/>
              </a:solidFill>
              <a:effectLst/>
              <a:latin typeface="+mn-lt"/>
              <a:ea typeface="+mn-ea"/>
              <a:cs typeface="+mn-cs"/>
            </a:rPr>
            <a:t>New buttons added at top of Data Input tab (cells M-O) to Show All Rows and to Hide Unused Rows</a:t>
          </a:r>
        </a:p>
        <a:p>
          <a:pPr marL="0" marR="0" lvl="0" indent="0" defTabSz="914400" eaLnBrk="1" fontAlgn="auto" latinLnBrk="0" hangingPunct="1">
            <a:lnSpc>
              <a:spcPct val="100000"/>
            </a:lnSpc>
            <a:spcBef>
              <a:spcPts val="0"/>
            </a:spcBef>
            <a:spcAft>
              <a:spcPts val="0"/>
            </a:spcAft>
            <a:buClrTx/>
            <a:buSzTx/>
            <a:buFontTx/>
            <a:buNone/>
            <a:tabLst/>
            <a:defRPr/>
          </a:pPr>
          <a:r>
            <a:rPr lang="en-US" sz="1100" b="0" i="0">
              <a:solidFill>
                <a:schemeClr val="dk1"/>
              </a:solidFill>
              <a:effectLst/>
              <a:latin typeface="+mn-lt"/>
              <a:ea typeface="+mn-ea"/>
              <a:cs typeface="+mn-cs"/>
            </a:rPr>
            <a:t>* Notes column on Data</a:t>
          </a:r>
          <a:r>
            <a:rPr lang="en-US" sz="1100" b="0" i="0" baseline="0">
              <a:solidFill>
                <a:schemeClr val="dk1"/>
              </a:solidFill>
              <a:effectLst/>
              <a:latin typeface="+mn-lt"/>
              <a:ea typeface="+mn-ea"/>
              <a:cs typeface="+mn-cs"/>
            </a:rPr>
            <a:t> Input tab (column S or P) for use in creating budget justification</a:t>
          </a:r>
          <a:endParaRPr lang="en-US" sz="1100" b="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 </a:t>
          </a:r>
          <a:r>
            <a:rPr lang="en-US" sz="1100" b="0" i="0">
              <a:solidFill>
                <a:schemeClr val="dk1"/>
              </a:solidFill>
              <a:effectLst/>
              <a:latin typeface="+mn-lt"/>
              <a:ea typeface="+mn-ea"/>
              <a:cs typeface="+mn-cs"/>
            </a:rPr>
            <a:t>Fixed the tuition and fees to select the correct AY and tuition/fees </a:t>
          </a:r>
          <a:r>
            <a:rPr lang="en-US" sz="1100" b="1" i="0">
              <a:solidFill>
                <a:schemeClr val="dk1"/>
              </a:solidFill>
              <a:effectLst/>
              <a:latin typeface="+mn-lt"/>
              <a:ea typeface="+mn-ea"/>
              <a:cs typeface="+mn-cs"/>
            </a:rPr>
            <a:t>for any start date</a:t>
          </a:r>
          <a:r>
            <a:rPr lang="en-US" sz="1100" b="0" i="0">
              <a:solidFill>
                <a:schemeClr val="dk1"/>
              </a:solidFill>
              <a:effectLst/>
              <a:latin typeface="+mn-lt"/>
              <a:ea typeface="+mn-ea"/>
              <a:cs typeface="+mn-cs"/>
            </a:rPr>
            <a:t> within the next 4 years</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 Added new CALC - TRAVEL columns for easier copy/paste into justification and for DOE EERE budget justification</a:t>
          </a: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 Hourly students instead of undergrad, and student title changes link from Data Input to Calc and Budget</a:t>
          </a:r>
          <a:endParaRPr lang="en-US" sz="1100" b="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 Subawards are now hidden on SUMMARY tab when not used</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Many small corrections and additions per our wish list in the Budget Template channel in Teams</a:t>
          </a:r>
        </a:p>
        <a:p>
          <a:pPr marL="0" marR="0" lvl="0" indent="0" defTabSz="914400" eaLnBrk="1" fontAlgn="auto" latinLnBrk="0" hangingPunct="1">
            <a:lnSpc>
              <a:spcPct val="100000"/>
            </a:lnSpc>
            <a:spcBef>
              <a:spcPts val="0"/>
            </a:spcBef>
            <a:spcAft>
              <a:spcPts val="0"/>
            </a:spcAft>
            <a:buClrTx/>
            <a:buSzTx/>
            <a:buFontTx/>
            <a:buNone/>
            <a:tabLst/>
            <a:defRPr/>
          </a:pP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b="1">
              <a:effectLst/>
            </a:rPr>
            <a:t>Macro Updates:</a:t>
          </a: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 New macros to Protect Workbook (only allow data entry in colored cells on DATA INPUT tab) and Unprotect Workbook. Both listed under w_ in alphabetical macro list.</a:t>
          </a: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 Revised automatic SaveAs macro to easily save a Locked (protected) version in standard Excel format (not macro-enabled). </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a:solidFill>
                <a:schemeClr val="dk1"/>
              </a:solidFill>
              <a:effectLst/>
              <a:latin typeface="+mn-lt"/>
              <a:ea typeface="+mn-ea"/>
              <a:cs typeface="+mn-cs"/>
            </a:rPr>
            <a:t>* b_UseRoundedTotals macro now hides the</a:t>
          </a:r>
          <a:r>
            <a:rPr lang="en-US" sz="1100" b="0" i="0" baseline="0">
              <a:solidFill>
                <a:schemeClr val="dk1"/>
              </a:solidFill>
              <a:effectLst/>
              <a:latin typeface="+mn-lt"/>
              <a:ea typeface="+mn-ea"/>
              <a:cs typeface="+mn-cs"/>
            </a:rPr>
            <a:t> actual-cost columns on Budget tab</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a:solidFill>
                <a:schemeClr val="dk1"/>
              </a:solidFill>
              <a:effectLst/>
              <a:latin typeface="+mn-lt"/>
              <a:ea typeface="+mn-ea"/>
              <a:cs typeface="+mn-cs"/>
            </a:rPr>
            <a:t>* Updated all macros to work correctly</a:t>
          </a:r>
          <a:r>
            <a:rPr lang="en-US" sz="1100" b="0" i="0" baseline="0">
              <a:solidFill>
                <a:schemeClr val="dk1"/>
              </a:solidFill>
              <a:effectLst/>
              <a:latin typeface="+mn-lt"/>
              <a:ea typeface="+mn-ea"/>
              <a:cs typeface="+mn-cs"/>
            </a:rPr>
            <a:t> with increased number of rows</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b="1">
              <a:effectLst/>
            </a:rPr>
            <a:t>Reminder that you can add the macros back</a:t>
          </a:r>
          <a:r>
            <a:rPr lang="en-US" b="1" baseline="0">
              <a:effectLst/>
            </a:rPr>
            <a:t> into your budget spreadsheet if needed:</a:t>
          </a:r>
          <a:endParaRPr lang="en-US" b="1">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 To add these macros to an existing budget spreadsheet, save as a Macro-Enabled Workbook, then select Developer - Visual Basic - File - Import file, go to </a:t>
          </a:r>
          <a:r>
            <a:rPr lang="en-US" sz="1100" b="1">
              <a:solidFill>
                <a:schemeClr val="dk1"/>
              </a:solidFill>
              <a:effectLst/>
              <a:latin typeface="+mn-lt"/>
              <a:ea typeface="+mn-ea"/>
              <a:cs typeface="+mn-cs"/>
            </a:rPr>
            <a:t>R:\Forms\Excel_budget_macros </a:t>
          </a:r>
          <a:r>
            <a:rPr lang="en-US" sz="1100">
              <a:solidFill>
                <a:schemeClr val="dk1"/>
              </a:solidFill>
              <a:effectLst/>
              <a:latin typeface="+mn-lt"/>
              <a:ea typeface="+mn-ea"/>
              <a:cs typeface="+mn-cs"/>
            </a:rPr>
            <a:t>folder, and select appropriate .bas</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files. </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 Note that the show/hide macros will not work perfectly on previous budget</a:t>
          </a:r>
          <a:r>
            <a:rPr lang="en-US" sz="1100" baseline="0">
              <a:solidFill>
                <a:schemeClr val="dk1"/>
              </a:solidFill>
              <a:effectLst/>
              <a:latin typeface="+mn-lt"/>
              <a:ea typeface="+mn-ea"/>
              <a:cs typeface="+mn-cs"/>
            </a:rPr>
            <a:t> versions since we have added rows in multiple places over time. </a:t>
          </a:r>
          <a:endParaRPr lang="en-US" sz="11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100" b="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i="0">
              <a:solidFill>
                <a:srgbClr val="FF0000"/>
              </a:solidFill>
              <a:effectLst/>
              <a:latin typeface="+mn-lt"/>
              <a:ea typeface="+mn-ea"/>
              <a:cs typeface="+mn-cs"/>
            </a:rPr>
            <a:t>UPDATES February</a:t>
          </a:r>
          <a:r>
            <a:rPr lang="en-US" sz="1100" b="1" i="0" baseline="0">
              <a:solidFill>
                <a:srgbClr val="FF0000"/>
              </a:solidFill>
              <a:effectLst/>
              <a:latin typeface="+mn-lt"/>
              <a:ea typeface="+mn-ea"/>
              <a:cs typeface="+mn-cs"/>
            </a:rPr>
            <a:t> 5, 2024</a:t>
          </a:r>
        </a:p>
        <a:p>
          <a:pPr marL="0" marR="0" lvl="0" indent="0" defTabSz="914400" eaLnBrk="1" fontAlgn="auto" latinLnBrk="0" hangingPunct="1">
            <a:lnSpc>
              <a:spcPct val="100000"/>
            </a:lnSpc>
            <a:spcBef>
              <a:spcPts val="0"/>
            </a:spcBef>
            <a:spcAft>
              <a:spcPts val="0"/>
            </a:spcAft>
            <a:buClrTx/>
            <a:buSzTx/>
            <a:buFontTx/>
            <a:buNone/>
            <a:tabLst/>
            <a:defRPr/>
          </a:pPr>
          <a:r>
            <a:rPr lang="en-US" sz="1100" b="0" i="0">
              <a:solidFill>
                <a:schemeClr val="dk1"/>
              </a:solidFill>
              <a:effectLst/>
              <a:latin typeface="+mn-lt"/>
              <a:ea typeface="+mn-ea"/>
              <a:cs typeface="+mn-cs"/>
            </a:rPr>
            <a:t>Minor fixes per </a:t>
          </a:r>
          <a:r>
            <a:rPr lang="en-US" sz="1100" baseline="0">
              <a:solidFill>
                <a:schemeClr val="dk1"/>
              </a:solidFill>
              <a:effectLst/>
              <a:latin typeface="+mn-lt"/>
              <a:ea typeface="+mn-ea"/>
              <a:cs typeface="+mn-cs"/>
            </a:rPr>
            <a:t>our wish list in the Budget Template channel in Teams.</a:t>
          </a: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Added new CEOAS GA rate.</a:t>
          </a:r>
          <a:endParaRPr lang="en-US" sz="1100" b="0" i="0">
            <a:solidFill>
              <a:schemeClr val="dk1"/>
            </a:solidFill>
            <a:effectLst/>
            <a:latin typeface="+mn-lt"/>
            <a:ea typeface="+mn-ea"/>
            <a:cs typeface="+mn-cs"/>
          </a:endParaRPr>
        </a:p>
        <a:p>
          <a:endParaRPr lang="en-US" sz="1100" baseline="0"/>
        </a:p>
        <a:p>
          <a:pPr eaLnBrk="1" fontAlgn="auto" latinLnBrk="0" hangingPunct="1"/>
          <a:r>
            <a:rPr lang="en-US" sz="1100" b="1" i="0">
              <a:solidFill>
                <a:srgbClr val="FF0000"/>
              </a:solidFill>
              <a:effectLst/>
              <a:latin typeface="+mn-lt"/>
              <a:ea typeface="+mn-ea"/>
              <a:cs typeface="+mn-cs"/>
            </a:rPr>
            <a:t>UPDATES April 8</a:t>
          </a:r>
          <a:r>
            <a:rPr lang="en-US" sz="1100" b="1" i="0" baseline="0">
              <a:solidFill>
                <a:srgbClr val="FF0000"/>
              </a:solidFill>
              <a:effectLst/>
              <a:latin typeface="+mn-lt"/>
              <a:ea typeface="+mn-ea"/>
              <a:cs typeface="+mn-cs"/>
            </a:rPr>
            <a:t>, 2024</a:t>
          </a:r>
          <a:endParaRPr lang="en-US">
            <a:solidFill>
              <a:srgbClr val="FF0000"/>
            </a:solidFill>
            <a:effectLst/>
          </a:endParaRPr>
        </a:p>
        <a:p>
          <a:pPr eaLnBrk="1" fontAlgn="auto" latinLnBrk="0" hangingPunct="1"/>
          <a:r>
            <a:rPr lang="en-US" sz="1100" b="0" i="0">
              <a:solidFill>
                <a:schemeClr val="dk1"/>
              </a:solidFill>
              <a:effectLst/>
              <a:latin typeface="+mn-lt"/>
              <a:ea typeface="+mn-ea"/>
              <a:cs typeface="+mn-cs"/>
            </a:rPr>
            <a:t>* Corrected Save behavior (Private</a:t>
          </a:r>
          <a:r>
            <a:rPr lang="en-US" sz="1100" b="0" i="0" baseline="0">
              <a:solidFill>
                <a:schemeClr val="dk1"/>
              </a:solidFill>
              <a:effectLst/>
              <a:latin typeface="+mn-lt"/>
              <a:ea typeface="+mn-ea"/>
              <a:cs typeface="+mn-cs"/>
            </a:rPr>
            <a:t> Sub Workbook_BeforeSave):</a:t>
          </a:r>
        </a:p>
        <a:p>
          <a:pPr marL="171450" lvl="0" indent="-171450">
            <a:buFont typeface="Courier New" panose="02070309020205020404" pitchFamily="49" charset="0"/>
            <a:buChar char="o"/>
          </a:pPr>
          <a:r>
            <a:rPr lang="en-US" sz="1100">
              <a:solidFill>
                <a:schemeClr val="dk1"/>
              </a:solidFill>
              <a:effectLst/>
              <a:latin typeface="+mn-lt"/>
              <a:ea typeface="+mn-ea"/>
              <a:cs typeface="+mn-cs"/>
            </a:rPr>
            <a:t>After selecting </a:t>
          </a:r>
          <a:r>
            <a:rPr lang="en-US" sz="1100" b="1">
              <a:solidFill>
                <a:schemeClr val="dk1"/>
              </a:solidFill>
              <a:effectLst/>
              <a:latin typeface="+mn-lt"/>
              <a:ea typeface="+mn-ea"/>
              <a:cs typeface="+mn-cs"/>
            </a:rPr>
            <a:t>Save As</a:t>
          </a:r>
          <a:r>
            <a:rPr lang="en-US" sz="1100">
              <a:solidFill>
                <a:schemeClr val="dk1"/>
              </a:solidFill>
              <a:effectLst/>
              <a:latin typeface="+mn-lt"/>
              <a:ea typeface="+mn-ea"/>
              <a:cs typeface="+mn-cs"/>
            </a:rPr>
            <a:t>, always click </a:t>
          </a:r>
          <a:r>
            <a:rPr lang="en-US" sz="1100" b="1">
              <a:solidFill>
                <a:schemeClr val="dk1"/>
              </a:solidFill>
              <a:effectLst/>
              <a:latin typeface="+mn-lt"/>
              <a:ea typeface="+mn-ea"/>
              <a:cs typeface="+mn-cs"/>
            </a:rPr>
            <a:t>Browse</a:t>
          </a:r>
          <a:r>
            <a:rPr lang="en-US" sz="1100">
              <a:solidFill>
                <a:schemeClr val="dk1"/>
              </a:solidFill>
              <a:effectLst/>
              <a:latin typeface="+mn-lt"/>
              <a:ea typeface="+mn-ea"/>
              <a:cs typeface="+mn-cs"/>
            </a:rPr>
            <a:t>. </a:t>
          </a:r>
        </a:p>
        <a:p>
          <a:pPr marL="171450" lvl="0" indent="-171450">
            <a:buFont typeface="Courier New" panose="02070309020205020404" pitchFamily="49" charset="0"/>
            <a:buChar char="o"/>
          </a:pPr>
          <a:r>
            <a:rPr lang="en-US" sz="1100">
              <a:solidFill>
                <a:schemeClr val="dk1"/>
              </a:solidFill>
              <a:effectLst/>
              <a:latin typeface="+mn-lt"/>
              <a:ea typeface="+mn-ea"/>
              <a:cs typeface="+mn-cs"/>
            </a:rPr>
            <a:t>The Save As dialog box that pops up will start with the current filename. Make sure you </a:t>
          </a:r>
          <a:r>
            <a:rPr lang="en-US" sz="1100" b="1">
              <a:solidFill>
                <a:schemeClr val="dk1"/>
              </a:solidFill>
              <a:effectLst/>
              <a:latin typeface="+mn-lt"/>
              <a:ea typeface="+mn-ea"/>
              <a:cs typeface="+mn-cs"/>
            </a:rPr>
            <a:t>navigate to the correct folder</a:t>
          </a:r>
          <a:r>
            <a:rPr lang="en-US" sz="1100">
              <a:solidFill>
                <a:schemeClr val="dk1"/>
              </a:solidFill>
              <a:effectLst/>
              <a:latin typeface="+mn-lt"/>
              <a:ea typeface="+mn-ea"/>
              <a:cs typeface="+mn-cs"/>
            </a:rPr>
            <a:t> instead of the default or last-used location. The suggested filename for a new spreadsheet will be “budget_v1”.</a:t>
          </a:r>
        </a:p>
        <a:p>
          <a:pPr marL="171450" lvl="0" indent="-171450">
            <a:buFont typeface="Courier New" panose="02070309020205020404" pitchFamily="49" charset="0"/>
            <a:buChar char="o"/>
          </a:pPr>
          <a:r>
            <a:rPr lang="en-US" sz="1100">
              <a:solidFill>
                <a:schemeClr val="dk1"/>
              </a:solidFill>
              <a:effectLst/>
              <a:latin typeface="+mn-lt"/>
              <a:ea typeface="+mn-ea"/>
              <a:cs typeface="+mn-cs"/>
            </a:rPr>
            <a:t>If you choose to save as a non-macro-enabled file, it will first make sure the current file has been saved as macro-enabled. Then it will automatically save a protected standard spreadsheet in the same folder with </a:t>
          </a:r>
          <a:r>
            <a:rPr lang="en-US" sz="1100" b="1">
              <a:solidFill>
                <a:schemeClr val="dk1"/>
              </a:solidFill>
              <a:effectLst/>
              <a:latin typeface="+mn-lt"/>
              <a:ea typeface="+mn-ea"/>
              <a:cs typeface="+mn-cs"/>
            </a:rPr>
            <a:t>_Locked</a:t>
          </a:r>
          <a:r>
            <a:rPr lang="en-US" sz="1100">
              <a:solidFill>
                <a:schemeClr val="dk1"/>
              </a:solidFill>
              <a:effectLst/>
              <a:latin typeface="+mn-lt"/>
              <a:ea typeface="+mn-ea"/>
              <a:cs typeface="+mn-cs"/>
            </a:rPr>
            <a:t> at end of filename. Note this step will overwrite any existing Locked file with same name.</a:t>
          </a:r>
        </a:p>
        <a:p>
          <a:pPr eaLnBrk="1" fontAlgn="auto" latinLnBrk="0" hangingPunct="1"/>
          <a:r>
            <a:rPr lang="en-US" sz="1100" b="0" i="0">
              <a:solidFill>
                <a:schemeClr val="dk1"/>
              </a:solidFill>
              <a:effectLst/>
              <a:latin typeface="+mn-lt"/>
              <a:ea typeface="+mn-ea"/>
              <a:cs typeface="+mn-cs"/>
            </a:rPr>
            <a:t>* Minor fixes per </a:t>
          </a:r>
          <a:r>
            <a:rPr lang="en-US" sz="1100" baseline="0">
              <a:solidFill>
                <a:schemeClr val="dk1"/>
              </a:solidFill>
              <a:effectLst/>
              <a:latin typeface="+mn-lt"/>
              <a:ea typeface="+mn-ea"/>
              <a:cs typeface="+mn-cs"/>
            </a:rPr>
            <a:t>our wish list in the Budget Template channel in Teams</a:t>
          </a:r>
        </a:p>
        <a:p>
          <a:pPr eaLnBrk="1" fontAlgn="auto" latinLnBrk="0" hangingPunct="1"/>
          <a:r>
            <a:rPr lang="en-US" sz="1100" baseline="0">
              <a:solidFill>
                <a:schemeClr val="dk1"/>
              </a:solidFill>
              <a:effectLst/>
              <a:latin typeface="+mn-lt"/>
              <a:ea typeface="+mn-ea"/>
              <a:cs typeface="+mn-cs"/>
            </a:rPr>
            <a:t>* GA pro-rated tuition now only applies if FTE is less than COE default FTE for GAs (currently 0.40) as listed on Reference tab. That is, a higher FTE will not get pro-rated. </a:t>
          </a:r>
          <a:endParaRPr lang="en-US">
            <a:effectLst/>
          </a:endParaRPr>
        </a:p>
        <a:p>
          <a:endParaRPr lang="en-US" sz="1100"/>
        </a:p>
      </xdr:txBody>
    </xdr:sp>
    <xdr:clientData/>
  </xdr:twoCellAnchor>
  <xdr:twoCellAnchor>
    <xdr:from>
      <xdr:col>12</xdr:col>
      <xdr:colOff>0</xdr:colOff>
      <xdr:row>0</xdr:row>
      <xdr:rowOff>1</xdr:rowOff>
    </xdr:from>
    <xdr:to>
      <xdr:col>22</xdr:col>
      <xdr:colOff>590550</xdr:colOff>
      <xdr:row>72</xdr:row>
      <xdr:rowOff>114301</xdr:rowOff>
    </xdr:to>
    <xdr:sp macro="" textlink="">
      <xdr:nvSpPr>
        <xdr:cNvPr id="5" name="TextBox 4">
          <a:extLst>
            <a:ext uri="{FF2B5EF4-FFF2-40B4-BE49-F238E27FC236}">
              <a16:creationId xmlns:a16="http://schemas.microsoft.com/office/drawing/2014/main" id="{40CAA411-99C4-4EB4-AA57-DE8CD9EFE029}"/>
            </a:ext>
          </a:extLst>
        </xdr:cNvPr>
        <xdr:cNvSpPr txBox="1"/>
      </xdr:nvSpPr>
      <xdr:spPr>
        <a:xfrm>
          <a:off x="7315200" y="1"/>
          <a:ext cx="6686550" cy="13830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1100" b="1">
              <a:solidFill>
                <a:schemeClr val="dk1"/>
              </a:solidFill>
              <a:effectLst/>
              <a:latin typeface="+mn-lt"/>
              <a:ea typeface="+mn-ea"/>
              <a:cs typeface="+mn-cs"/>
            </a:rPr>
            <a:t>Budget Template, Engineering Research Administration</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rgbClr val="FF0000"/>
              </a:solidFill>
              <a:effectLst/>
              <a:latin typeface="+mn-lt"/>
              <a:ea typeface="+mn-ea"/>
              <a:cs typeface="+mn-cs"/>
            </a:rPr>
            <a:t>Cyndy's notes,</a:t>
          </a:r>
          <a:r>
            <a:rPr lang="en-US" sz="1100" baseline="0">
              <a:solidFill>
                <a:srgbClr val="FF0000"/>
              </a:solidFill>
              <a:effectLst/>
              <a:latin typeface="+mn-lt"/>
              <a:ea typeface="+mn-ea"/>
              <a:cs typeface="+mn-cs"/>
            </a:rPr>
            <a:t> 2/16/26</a:t>
          </a:r>
          <a:endParaRPr lang="en-US">
            <a:solidFill>
              <a:srgbClr val="FF0000"/>
            </a:solidFill>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ysClr val="windowText" lastClr="000000"/>
              </a:solidFill>
              <a:effectLst/>
              <a:latin typeface="+mn-lt"/>
              <a:ea typeface="+mn-ea"/>
              <a:cs typeface="+mn-cs"/>
            </a:rPr>
            <a:t>*Added</a:t>
          </a:r>
          <a:r>
            <a:rPr lang="en-US" sz="1100" baseline="0">
              <a:solidFill>
                <a:sysClr val="windowText" lastClr="000000"/>
              </a:solidFill>
              <a:effectLst/>
              <a:latin typeface="+mn-lt"/>
              <a:ea typeface="+mn-ea"/>
              <a:cs typeface="+mn-cs"/>
            </a:rPr>
            <a:t> missing text on Data Input tab (Materials and Supplies); corrected Comments macro name</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ysClr val="windowText" lastClr="000000"/>
              </a:solidFill>
              <a:effectLst/>
              <a:latin typeface="+mn-lt"/>
              <a:ea typeface="+mn-ea"/>
              <a:cs typeface="+mn-cs"/>
            </a:rPr>
            <a:t>*Moved new SF RR budget tabs after the Calc tabs, to be </a:t>
          </a:r>
          <a:r>
            <a:rPr lang="en-US" sz="1100" b="0" baseline="0">
              <a:solidFill>
                <a:sysClr val="windowText" lastClr="000000"/>
              </a:solidFill>
              <a:effectLst/>
              <a:latin typeface="+mn-lt"/>
              <a:ea typeface="+mn-ea"/>
              <a:cs typeface="+mn-cs"/>
            </a:rPr>
            <a:t>less</a:t>
          </a:r>
          <a:r>
            <a:rPr lang="en-US" sz="1100" baseline="0">
              <a:solidFill>
                <a:sysClr val="windowText" lastClr="000000"/>
              </a:solidFill>
              <a:effectLst/>
              <a:latin typeface="+mn-lt"/>
              <a:ea typeface="+mn-ea"/>
              <a:cs typeface="+mn-cs"/>
            </a:rPr>
            <a:t> in the way before hiding them</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rgbClr val="FF0000"/>
              </a:solidFill>
              <a:effectLst/>
              <a:latin typeface="+mn-lt"/>
              <a:ea typeface="+mn-ea"/>
              <a:cs typeface="+mn-cs"/>
            </a:rPr>
            <a:t>Cyndy's notes,</a:t>
          </a:r>
          <a:r>
            <a:rPr lang="en-US" sz="1100" baseline="0">
              <a:solidFill>
                <a:srgbClr val="FF0000"/>
              </a:solidFill>
              <a:effectLst/>
              <a:latin typeface="+mn-lt"/>
              <a:ea typeface="+mn-ea"/>
              <a:cs typeface="+mn-cs"/>
            </a:rPr>
            <a:t> 2/13/26</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ysClr val="windowText" lastClr="000000"/>
              </a:solidFill>
              <a:effectLst/>
              <a:latin typeface="+mn-lt"/>
              <a:ea typeface="+mn-ea"/>
              <a:cs typeface="+mn-cs"/>
            </a:rPr>
            <a:t>*New macro c_RoundCents_AllFormulas</a:t>
          </a:r>
          <a:r>
            <a:rPr lang="en-US" sz="1100" baseline="0">
              <a:solidFill>
                <a:sysClr val="windowText" lastClr="000000"/>
              </a:solidFill>
              <a:effectLst/>
              <a:latin typeface="+mn-lt"/>
              <a:ea typeface="+mn-ea"/>
              <a:cs typeface="+mn-cs"/>
            </a:rPr>
            <a:t> works correctly (and fast!) to round every formula to the penny. This rounding is fully reversible using c_RoundCents_</a:t>
          </a:r>
          <a:r>
            <a:rPr lang="en-US" sz="1100" b="1" baseline="0">
              <a:solidFill>
                <a:sysClr val="windowText" lastClr="000000"/>
              </a:solidFill>
              <a:effectLst/>
              <a:latin typeface="+mn-lt"/>
              <a:ea typeface="+mn-ea"/>
              <a:cs typeface="+mn-cs"/>
            </a:rPr>
            <a:t>Undo</a:t>
          </a:r>
          <a:r>
            <a:rPr lang="en-US" sz="1100" baseline="0">
              <a:solidFill>
                <a:sysClr val="windowText" lastClr="000000"/>
              </a:solidFill>
              <a:effectLst/>
              <a:latin typeface="+mn-lt"/>
              <a:ea typeface="+mn-ea"/>
              <a:cs typeface="+mn-cs"/>
            </a:rPr>
            <a:t>AllFormulas. </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ysClr val="windowText" lastClr="000000"/>
              </a:solidFill>
              <a:effectLst/>
              <a:latin typeface="+mn-lt"/>
              <a:ea typeface="+mn-ea"/>
              <a:cs typeface="+mn-cs"/>
            </a:rPr>
            <a:t>*Recommend running c_RoundCents first, then b_UseRoundedTotals if you need whole dollars. </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ysClr val="windowText" lastClr="000000"/>
              </a:solidFill>
              <a:effectLst/>
              <a:latin typeface="+mn-lt"/>
              <a:ea typeface="+mn-ea"/>
              <a:cs typeface="+mn-cs"/>
            </a:rPr>
            <a:t>*Cleaned up template to show all rows/columns and removed text formatting that caused errors</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rgbClr val="FF0000"/>
              </a:solidFill>
              <a:effectLst/>
              <a:latin typeface="+mn-lt"/>
              <a:ea typeface="+mn-ea"/>
              <a:cs typeface="+mn-cs"/>
            </a:rPr>
            <a:t>Cyndy's notes, 2/6/26</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ysClr val="windowText" lastClr="000000"/>
              </a:solidFill>
              <a:effectLst/>
              <a:latin typeface="+mn-lt"/>
              <a:ea typeface="+mn-ea"/>
              <a:cs typeface="+mn-cs"/>
            </a:rPr>
            <a:t>*Added SMR Salary column to Calc</a:t>
          </a:r>
          <a:r>
            <a:rPr lang="en-US" sz="1100" baseline="0">
              <a:solidFill>
                <a:sysClr val="windowText" lastClr="000000"/>
              </a:solidFill>
              <a:effectLst/>
              <a:latin typeface="+mn-lt"/>
              <a:ea typeface="+mn-ea"/>
              <a:cs typeface="+mn-cs"/>
            </a:rPr>
            <a:t> - SENIOR PERS tab, for use in SF424 budget forms. Calculates summer salary based on AY appointment, so it works correctly for 9, 10, 11 month appointments.  </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ysClr val="windowText" lastClr="000000"/>
              </a:solidFill>
              <a:effectLst/>
              <a:latin typeface="+mn-lt"/>
              <a:ea typeface="+mn-ea"/>
              <a:cs typeface="+mn-cs"/>
            </a:rPr>
            <a:t>*Added SF RR Budget tabs x 5, for use in SF424 budget forms. Thanks to Teresa and Susan for creating these!</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ysClr val="windowText" lastClr="000000"/>
              </a:solidFill>
              <a:effectLst/>
              <a:latin typeface="+mn-lt"/>
              <a:ea typeface="+mn-ea"/>
              <a:cs typeface="+mn-cs"/>
            </a:rPr>
            <a:t>*Hide SF RR Budget tabs by default</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ysClr val="windowText" lastClr="000000"/>
              </a:solidFill>
              <a:effectLst/>
              <a:latin typeface="+mn-lt"/>
              <a:ea typeface="+mn-ea"/>
              <a:cs typeface="+mn-cs"/>
            </a:rPr>
            <a:t>*Corrected PI Budgets indirect cost line per PI</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ysClr val="windowText" lastClr="000000"/>
              </a:solidFill>
              <a:effectLst/>
              <a:latin typeface="+mn-lt"/>
              <a:ea typeface="+mn-ea"/>
              <a:cs typeface="+mn-cs"/>
            </a:rPr>
            <a:t>*Updated currency formatting in tuition tables on Calc - GA tab, to work with show/hide cents macro</a:t>
          </a:r>
          <a:br>
            <a:rPr lang="en-US" sz="1100">
              <a:solidFill>
                <a:sysClr val="windowText" lastClr="000000"/>
              </a:solidFill>
              <a:effectLst/>
              <a:latin typeface="+mn-lt"/>
              <a:ea typeface="+mn-ea"/>
              <a:cs typeface="+mn-cs"/>
            </a:rPr>
          </a:br>
          <a:r>
            <a:rPr lang="en-US" sz="1100">
              <a:solidFill>
                <a:srgbClr val="FF0000"/>
              </a:solidFill>
              <a:effectLst/>
              <a:latin typeface="+mn-lt"/>
              <a:ea typeface="+mn-ea"/>
              <a:cs typeface="+mn-cs"/>
            </a:rPr>
            <a:t>Cyndy's notes, 1/16/26</a:t>
          </a:r>
          <a:endParaRPr lang="en-US">
            <a:solidFill>
              <a:srgbClr val="FF0000"/>
            </a:solidFill>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ysClr val="windowText" lastClr="000000"/>
              </a:solidFill>
              <a:effectLst/>
              <a:latin typeface="+mn-lt"/>
              <a:ea typeface="+mn-ea"/>
              <a:cs typeface="+mn-cs"/>
            </a:rPr>
            <a:t>*Reduced</a:t>
          </a:r>
          <a:r>
            <a:rPr lang="en-US" sz="1100" baseline="0">
              <a:solidFill>
                <a:sysClr val="windowText" lastClr="000000"/>
              </a:solidFill>
              <a:effectLst/>
              <a:latin typeface="+mn-lt"/>
              <a:ea typeface="+mn-ea"/>
              <a:cs typeface="+mn-cs"/>
            </a:rPr>
            <a:t> travel per diem to 75% for travel days (2 days of every overnight trip), per GSA guidelines</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ysClr val="windowText" lastClr="000000"/>
              </a:solidFill>
              <a:effectLst/>
              <a:latin typeface="+mn-lt"/>
              <a:ea typeface="+mn-ea"/>
              <a:cs typeface="+mn-cs"/>
            </a:rPr>
            <a:t>*Cleaner results when hiding either SMR or AY columns on Senior Personnel tab (headings, borders)</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ysClr val="windowText" lastClr="000000"/>
              </a:solidFill>
              <a:effectLst/>
              <a:latin typeface="+mn-lt"/>
              <a:ea typeface="+mn-ea"/>
              <a:cs typeface="+mn-cs"/>
            </a:rPr>
            <a:t>*Updated</a:t>
          </a:r>
          <a:r>
            <a:rPr lang="en-US" sz="1100" baseline="0">
              <a:solidFill>
                <a:sysClr val="windowText" lastClr="000000"/>
              </a:solidFill>
              <a:effectLst/>
              <a:latin typeface="+mn-lt"/>
              <a:ea typeface="+mn-ea"/>
              <a:cs typeface="+mn-cs"/>
            </a:rPr>
            <a:t> rates: travel, NIH salary cap, COF GA salary</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ysClr val="windowText" lastClr="000000"/>
              </a:solidFill>
              <a:effectLst/>
              <a:latin typeface="+mn-lt"/>
              <a:ea typeface="+mn-ea"/>
              <a:cs typeface="+mn-cs"/>
            </a:rPr>
            <a:t>*Added links to other College proposal staff and webpages, with GA rates on Reference tab</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ysClr val="windowText" lastClr="000000"/>
              </a:solidFill>
              <a:effectLst/>
              <a:latin typeface="+mn-lt"/>
              <a:ea typeface="+mn-ea"/>
              <a:cs typeface="+mn-cs"/>
            </a:rPr>
            <a:t>*Hide OMI budget by default</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rgbClr val="FF0000"/>
              </a:solidFill>
              <a:effectLst/>
              <a:latin typeface="+mn-lt"/>
              <a:ea typeface="+mn-ea"/>
              <a:cs typeface="+mn-cs"/>
            </a:rPr>
            <a:t>Cyndy's notes, 9/26/25</a:t>
          </a:r>
          <a:endParaRPr lang="en-US">
            <a:solidFill>
              <a:srgbClr val="FF0000"/>
            </a:solidFill>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ysClr val="windowText" lastClr="000000"/>
              </a:solidFill>
              <a:effectLst/>
              <a:latin typeface="+mn-lt"/>
              <a:ea typeface="+mn-ea"/>
              <a:cs typeface="+mn-cs"/>
            </a:rPr>
            <a:t>*Updated rates - retirement, grad</a:t>
          </a:r>
          <a:r>
            <a:rPr lang="en-US" sz="1100" baseline="0">
              <a:solidFill>
                <a:sysClr val="windowText" lastClr="000000"/>
              </a:solidFill>
              <a:effectLst/>
              <a:latin typeface="+mn-lt"/>
              <a:ea typeface="+mn-ea"/>
              <a:cs typeface="+mn-cs"/>
            </a:rPr>
            <a:t> health insurance</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ysClr val="windowText" lastClr="000000"/>
              </a:solidFill>
              <a:effectLst/>
              <a:latin typeface="+mn-lt"/>
              <a:ea typeface="+mn-ea"/>
              <a:cs typeface="+mn-cs"/>
            </a:rPr>
            <a:t>*Adjusted formula for Tuition Mismatch check to be slightly less sensitive</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rgbClr val="FF0000"/>
              </a:solidFill>
              <a:effectLst/>
              <a:latin typeface="+mn-lt"/>
              <a:ea typeface="+mn-ea"/>
              <a:cs typeface="+mn-cs"/>
            </a:rPr>
            <a:t>Cyndy's notes, 8/7/25</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*Added Robert's </a:t>
          </a:r>
          <a:r>
            <a:rPr lang="en-US" sz="1100" b="1">
              <a:solidFill>
                <a:schemeClr val="dk1"/>
              </a:solidFill>
              <a:effectLst/>
              <a:latin typeface="+mn-lt"/>
              <a:ea typeface="+mn-ea"/>
              <a:cs typeface="+mn-cs"/>
            </a:rPr>
            <a:t>OMI Budget </a:t>
          </a:r>
          <a:r>
            <a:rPr lang="en-US" sz="1100">
              <a:solidFill>
                <a:schemeClr val="dk1"/>
              </a:solidFill>
              <a:effectLst/>
              <a:latin typeface="+mn-lt"/>
              <a:ea typeface="+mn-ea"/>
              <a:cs typeface="+mn-cs"/>
            </a:rPr>
            <a:t>tab. Simple version for only 1 year with 2 PIs, 1 GA, etc. If</a:t>
          </a:r>
          <a:r>
            <a:rPr lang="en-US" sz="1100" baseline="0">
              <a:solidFill>
                <a:schemeClr val="dk1"/>
              </a:solidFill>
              <a:effectLst/>
              <a:latin typeface="+mn-lt"/>
              <a:ea typeface="+mn-ea"/>
              <a:cs typeface="+mn-cs"/>
            </a:rPr>
            <a:t> you need more rows or columns, you'll have to update the formulas manually. </a:t>
          </a:r>
          <a:endParaRPr lang="en-US">
            <a:effectLst/>
          </a:endParaRPr>
        </a:p>
        <a:p>
          <a:pPr eaLnBrk="1" fontAlgn="auto" latinLnBrk="0" hangingPunct="1"/>
          <a:r>
            <a:rPr lang="en-US" sz="1100">
              <a:solidFill>
                <a:srgbClr val="FF0000"/>
              </a:solidFill>
              <a:effectLst/>
              <a:latin typeface="+mn-lt"/>
              <a:ea typeface="+mn-ea"/>
              <a:cs typeface="+mn-cs"/>
            </a:rPr>
            <a:t>Cyndy's notes, 7/21/25</a:t>
          </a:r>
          <a:endParaRPr lang="en-US">
            <a:solidFill>
              <a:srgbClr val="FF0000"/>
            </a:solidFill>
            <a:effectLst/>
          </a:endParaRPr>
        </a:p>
        <a:p>
          <a:pPr eaLnBrk="1" fontAlgn="auto" latinLnBrk="0" hangingPunct="1"/>
          <a:r>
            <a:rPr lang="en-US" sz="1100" baseline="0">
              <a:solidFill>
                <a:schemeClr val="dk1"/>
              </a:solidFill>
              <a:effectLst/>
              <a:latin typeface="+mn-lt"/>
              <a:ea typeface="+mn-ea"/>
              <a:cs typeface="+mn-cs"/>
            </a:rPr>
            <a:t>*Added check for </a:t>
          </a:r>
          <a:r>
            <a:rPr lang="en-US" sz="1100" b="1" baseline="0">
              <a:solidFill>
                <a:schemeClr val="dk1"/>
              </a:solidFill>
              <a:effectLst/>
              <a:latin typeface="+mn-lt"/>
              <a:ea typeface="+mn-ea"/>
              <a:cs typeface="+mn-cs"/>
            </a:rPr>
            <a:t>Mismatch in Tuition vs Student Months </a:t>
          </a:r>
          <a:r>
            <a:rPr lang="en-US" sz="1100" baseline="0">
              <a:solidFill>
                <a:schemeClr val="dk1"/>
              </a:solidFill>
              <a:effectLst/>
              <a:latin typeface="+mn-lt"/>
              <a:ea typeface="+mn-ea"/>
              <a:cs typeface="+mn-cs"/>
            </a:rPr>
            <a:t>with conditional formatting on GA tab and on Data Input tab. Works for multiple students and for prorated tuition. Also flags when months not multiple of 3. </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rgbClr val="FF0000"/>
              </a:solidFill>
              <a:effectLst/>
              <a:latin typeface="+mn-lt"/>
              <a:ea typeface="+mn-ea"/>
              <a:cs typeface="+mn-cs"/>
            </a:rPr>
            <a:t>Cyndy's notes, 7/18/25</a:t>
          </a:r>
        </a:p>
        <a:p>
          <a:pPr eaLnBrk="1" fontAlgn="auto" latinLnBrk="0" hangingPunct="1"/>
          <a:r>
            <a:rPr lang="en-US" sz="1100" baseline="0">
              <a:solidFill>
                <a:schemeClr val="dk1"/>
              </a:solidFill>
              <a:effectLst/>
              <a:latin typeface="+mn-lt"/>
              <a:ea typeface="+mn-ea"/>
              <a:cs typeface="+mn-cs"/>
            </a:rPr>
            <a:t>*Fixed Travel lines when no travelers in period 1</a:t>
          </a:r>
          <a:endParaRPr lang="en-US">
            <a:effectLst/>
          </a:endParaRPr>
        </a:p>
        <a:p>
          <a:pPr eaLnBrk="1" fontAlgn="auto" latinLnBrk="0" hangingPunct="1"/>
          <a:r>
            <a:rPr lang="en-US" sz="1100" baseline="0">
              <a:solidFill>
                <a:schemeClr val="dk1"/>
              </a:solidFill>
              <a:effectLst/>
              <a:latin typeface="+mn-lt"/>
              <a:ea typeface="+mn-ea"/>
              <a:cs typeface="+mn-cs"/>
            </a:rPr>
            <a:t>*Updated tuition dates to start with AY26, updated non-COE tuition rates</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ysClr val="windowText" lastClr="000000"/>
              </a:solidFill>
              <a:effectLst/>
              <a:latin typeface="+mn-lt"/>
              <a:ea typeface="+mn-ea"/>
              <a:cs typeface="+mn-cs"/>
            </a:rPr>
            <a:t>*Updated postdoc</a:t>
          </a:r>
          <a:r>
            <a:rPr lang="en-US" sz="1100" baseline="0">
              <a:solidFill>
                <a:sysClr val="windowText" lastClr="000000"/>
              </a:solidFill>
              <a:effectLst/>
              <a:latin typeface="+mn-lt"/>
              <a:ea typeface="+mn-ea"/>
              <a:cs typeface="+mn-cs"/>
            </a:rPr>
            <a:t> salary FY25</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ysClr val="windowText" lastClr="000000"/>
              </a:solidFill>
              <a:effectLst/>
              <a:latin typeface="+mn-lt"/>
              <a:ea typeface="+mn-ea"/>
              <a:cs typeface="+mn-cs"/>
            </a:rPr>
            <a:t>*Fixed </a:t>
          </a:r>
          <a:r>
            <a:rPr lang="en-US" sz="1100" b="1" baseline="0">
              <a:solidFill>
                <a:sysClr val="windowText" lastClr="000000"/>
              </a:solidFill>
              <a:effectLst/>
              <a:latin typeface="+mn-lt"/>
              <a:ea typeface="+mn-ea"/>
              <a:cs typeface="+mn-cs"/>
            </a:rPr>
            <a:t>estimated</a:t>
          </a:r>
          <a:r>
            <a:rPr lang="en-US" sz="1100" baseline="0">
              <a:solidFill>
                <a:sysClr val="windowText" lastClr="000000"/>
              </a:solidFill>
              <a:effectLst/>
              <a:latin typeface="+mn-lt"/>
              <a:ea typeface="+mn-ea"/>
              <a:cs typeface="+mn-cs"/>
            </a:rPr>
            <a:t> </a:t>
          </a:r>
          <a:r>
            <a:rPr lang="en-US" sz="1100" b="0" baseline="0">
              <a:solidFill>
                <a:sysClr val="windowText" lastClr="000000"/>
              </a:solidFill>
              <a:effectLst/>
              <a:latin typeface="+mn-lt"/>
              <a:ea typeface="+mn-ea"/>
              <a:cs typeface="+mn-cs"/>
            </a:rPr>
            <a:t>Fringe</a:t>
          </a:r>
          <a:r>
            <a:rPr lang="en-US" sz="1100" baseline="0">
              <a:solidFill>
                <a:sysClr val="windowText" lastClr="000000"/>
              </a:solidFill>
              <a:effectLst/>
              <a:latin typeface="+mn-lt"/>
              <a:ea typeface="+mn-ea"/>
              <a:cs typeface="+mn-cs"/>
            </a:rPr>
            <a:t> Benefits calculation for Health/Life Insurance to include the appointment FTE, for both Senior Personnel and Other Personnel</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ysClr val="windowText" lastClr="000000"/>
              </a:solidFill>
              <a:effectLst/>
              <a:latin typeface="+mn-lt"/>
              <a:ea typeface="+mn-ea"/>
              <a:cs typeface="+mn-cs"/>
            </a:rPr>
            <a:t>*Updated note on Rental Costs Excluded from F&amp;A (doesn't include venue for events)</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rgbClr val="FF0000"/>
              </a:solidFill>
              <a:effectLst/>
              <a:latin typeface="+mn-lt"/>
              <a:ea typeface="+mn-ea"/>
              <a:cs typeface="+mn-cs"/>
            </a:rPr>
            <a:t>Susan's notes,</a:t>
          </a:r>
          <a:r>
            <a:rPr lang="en-US" sz="1100" baseline="0">
              <a:solidFill>
                <a:srgbClr val="FF0000"/>
              </a:solidFill>
              <a:effectLst/>
              <a:latin typeface="+mn-lt"/>
              <a:ea typeface="+mn-ea"/>
              <a:cs typeface="+mn-cs"/>
            </a:rPr>
            <a:t> 5/1/25</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ysClr val="windowText" lastClr="000000"/>
              </a:solidFill>
              <a:effectLst/>
              <a:latin typeface="+mn-lt"/>
              <a:ea typeface="+mn-ea"/>
              <a:cs typeface="+mn-cs"/>
            </a:rPr>
            <a:t>*Updated Oregon mimimum wage, NIH salary cap and AY25-26 tuition rates (with new link to calculator)</a:t>
          </a:r>
          <a:br>
            <a:rPr lang="en-US" sz="1100" baseline="0">
              <a:solidFill>
                <a:sysClr val="windowText" lastClr="000000"/>
              </a:solidFill>
              <a:effectLst/>
              <a:latin typeface="+mn-lt"/>
              <a:ea typeface="+mn-ea"/>
              <a:cs typeface="+mn-cs"/>
            </a:rPr>
          </a:br>
          <a:endParaRPr lang="en-US" sz="1100">
            <a:solidFill>
              <a:srgbClr val="FF000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rgbClr val="FF0000"/>
              </a:solidFill>
              <a:effectLst/>
              <a:latin typeface="+mn-lt"/>
              <a:ea typeface="+mn-ea"/>
              <a:cs typeface="+mn-cs"/>
            </a:rPr>
            <a:t>Cyndy's</a:t>
          </a:r>
          <a:r>
            <a:rPr lang="en-US" sz="1100" baseline="0">
              <a:solidFill>
                <a:srgbClr val="FF0000"/>
              </a:solidFill>
              <a:effectLst/>
              <a:latin typeface="+mn-lt"/>
              <a:ea typeface="+mn-ea"/>
              <a:cs typeface="+mn-cs"/>
            </a:rPr>
            <a:t> notes, 4/21/25</a:t>
          </a:r>
          <a:endParaRPr lang="en-US">
            <a:solidFill>
              <a:srgbClr val="FF0000"/>
            </a:solidFill>
            <a:effectLst/>
          </a:endParaRPr>
        </a:p>
        <a:p>
          <a:r>
            <a:rPr lang="en-US" sz="1100">
              <a:solidFill>
                <a:sysClr val="windowText" lastClr="000000"/>
              </a:solidFill>
              <a:effectLst/>
              <a:latin typeface="+mn-lt"/>
              <a:ea typeface="+mn-ea"/>
              <a:cs typeface="+mn-cs"/>
            </a:rPr>
            <a:t>*Removed</a:t>
          </a:r>
          <a:r>
            <a:rPr lang="en-US" sz="1100" baseline="0">
              <a:solidFill>
                <a:sysClr val="windowText" lastClr="000000"/>
              </a:solidFill>
              <a:effectLst/>
              <a:latin typeface="+mn-lt"/>
              <a:ea typeface="+mn-ea"/>
              <a:cs typeface="+mn-cs"/>
            </a:rPr>
            <a:t> # Travelers column on Data Input tab, and instead r</a:t>
          </a:r>
          <a:r>
            <a:rPr lang="en-US" sz="1100">
              <a:solidFill>
                <a:sysClr val="windowText" lastClr="000000"/>
              </a:solidFill>
              <a:effectLst/>
              <a:latin typeface="+mn-lt"/>
              <a:ea typeface="+mn-ea"/>
              <a:cs typeface="+mn-cs"/>
            </a:rPr>
            <a:t>evised</a:t>
          </a:r>
          <a:r>
            <a:rPr lang="en-US" sz="1100" baseline="0">
              <a:solidFill>
                <a:sysClr val="windowText" lastClr="000000"/>
              </a:solidFill>
              <a:effectLst/>
              <a:latin typeface="+mn-lt"/>
              <a:ea typeface="+mn-ea"/>
              <a:cs typeface="+mn-cs"/>
            </a:rPr>
            <a:t> input to </a:t>
          </a:r>
          <a:r>
            <a:rPr lang="en-US" sz="1100" b="1" baseline="0">
              <a:solidFill>
                <a:sysClr val="windowText" lastClr="000000"/>
              </a:solidFill>
              <a:effectLst/>
              <a:latin typeface="+mn-lt"/>
              <a:ea typeface="+mn-ea"/>
              <a:cs typeface="+mn-cs"/>
            </a:rPr>
            <a:t>enter # Travelers for each period</a:t>
          </a:r>
          <a:r>
            <a:rPr lang="en-US" sz="1100" baseline="0">
              <a:solidFill>
                <a:sysClr val="windowText" lastClr="000000"/>
              </a:solidFill>
              <a:effectLst/>
              <a:latin typeface="+mn-lt"/>
              <a:ea typeface="+mn-ea"/>
              <a:cs typeface="+mn-cs"/>
            </a:rPr>
            <a:t>. (Used offset function on Travel tab to refer to the correct trips and travelers cells on Data Input tab.) This allows user to easily adjust travel between years, and also realigns the Period columns on the Data Input tab so that unused periods can be hidden. </a:t>
          </a:r>
          <a:endParaRPr lang="en-US" sz="1100">
            <a:solidFill>
              <a:sysClr val="windowText" lastClr="000000"/>
            </a:solidFill>
            <a:effectLst/>
            <a:latin typeface="+mn-lt"/>
            <a:ea typeface="+mn-ea"/>
            <a:cs typeface="+mn-cs"/>
          </a:endParaRPr>
        </a:p>
        <a:p>
          <a:r>
            <a:rPr lang="en-US" sz="1100">
              <a:solidFill>
                <a:sysClr val="windowText" lastClr="000000"/>
              </a:solidFill>
              <a:effectLst/>
              <a:latin typeface="+mn-lt"/>
              <a:ea typeface="+mn-ea"/>
              <a:cs typeface="+mn-cs"/>
            </a:rPr>
            <a:t>*Added</a:t>
          </a:r>
          <a:r>
            <a:rPr lang="en-US" sz="1100" baseline="0">
              <a:solidFill>
                <a:sysClr val="windowText" lastClr="000000"/>
              </a:solidFill>
              <a:effectLst/>
              <a:latin typeface="+mn-lt"/>
              <a:ea typeface="+mn-ea"/>
              <a:cs typeface="+mn-cs"/>
            </a:rPr>
            <a:t> macro to hide the MTDC exclusions row in Budget tab if TDC selected on Data Input. (This is confusing to a reviewer even though the MTDC row is not used in any calculations.)</a:t>
          </a:r>
          <a:endParaRPr lang="en-US" sz="1100">
            <a:solidFill>
              <a:sysClr val="windowText" lastClr="000000"/>
            </a:solidFill>
            <a:effectLst/>
            <a:latin typeface="+mn-lt"/>
            <a:ea typeface="+mn-ea"/>
            <a:cs typeface="+mn-cs"/>
          </a:endParaRPr>
        </a:p>
        <a:p>
          <a:endParaRPr lang="en-US" sz="1100">
            <a:solidFill>
              <a:srgbClr val="FF0000"/>
            </a:solidFill>
            <a:effectLst/>
            <a:latin typeface="+mn-lt"/>
            <a:ea typeface="+mn-ea"/>
            <a:cs typeface="+mn-cs"/>
          </a:endParaRPr>
        </a:p>
        <a:p>
          <a:r>
            <a:rPr lang="en-US" sz="1100">
              <a:solidFill>
                <a:srgbClr val="FF0000"/>
              </a:solidFill>
              <a:effectLst/>
              <a:latin typeface="+mn-lt"/>
              <a:ea typeface="+mn-ea"/>
              <a:cs typeface="+mn-cs"/>
            </a:rPr>
            <a:t>Cyndy's</a:t>
          </a:r>
          <a:r>
            <a:rPr lang="en-US" sz="1100" baseline="0">
              <a:solidFill>
                <a:srgbClr val="FF0000"/>
              </a:solidFill>
              <a:effectLst/>
              <a:latin typeface="+mn-lt"/>
              <a:ea typeface="+mn-ea"/>
              <a:cs typeface="+mn-cs"/>
            </a:rPr>
            <a:t> notes, 3/16/25</a:t>
          </a:r>
        </a:p>
        <a:p>
          <a:r>
            <a:rPr lang="en-US" sz="1100">
              <a:solidFill>
                <a:sysClr val="windowText" lastClr="000000"/>
              </a:solidFill>
              <a:effectLst/>
              <a:latin typeface="+mn-lt"/>
              <a:ea typeface="+mn-ea"/>
              <a:cs typeface="+mn-cs"/>
            </a:rPr>
            <a:t>*Fixed</a:t>
          </a:r>
          <a:r>
            <a:rPr lang="en-US" sz="1100" baseline="0">
              <a:solidFill>
                <a:sysClr val="windowText" lastClr="000000"/>
              </a:solidFill>
              <a:effectLst/>
              <a:latin typeface="+mn-lt"/>
              <a:ea typeface="+mn-ea"/>
              <a:cs typeface="+mn-cs"/>
            </a:rPr>
            <a:t> </a:t>
          </a:r>
          <a:r>
            <a:rPr lang="en-US" sz="1100" baseline="0">
              <a:solidFill>
                <a:schemeClr val="dk1"/>
              </a:solidFill>
              <a:effectLst/>
              <a:latin typeface="+mn-lt"/>
              <a:ea typeface="+mn-ea"/>
              <a:cs typeface="+mn-cs"/>
            </a:rPr>
            <a:t>unrecovered IDC calculation and added a clearer note for how to enter </a:t>
          </a:r>
          <a:r>
            <a:rPr lang="en-US" sz="1100" baseline="0">
              <a:solidFill>
                <a:sysClr val="windowText" lastClr="000000"/>
              </a:solidFill>
              <a:effectLst/>
              <a:latin typeface="+mn-lt"/>
              <a:ea typeface="+mn-ea"/>
              <a:cs typeface="+mn-cs"/>
            </a:rPr>
            <a:t>0% F&amp;A rate on Data Input tab</a:t>
          </a:r>
        </a:p>
        <a:p>
          <a:r>
            <a:rPr lang="en-US" sz="1100" baseline="0">
              <a:solidFill>
                <a:sysClr val="windowText" lastClr="000000"/>
              </a:solidFill>
              <a:effectLst/>
              <a:latin typeface="+mn-lt"/>
              <a:ea typeface="+mn-ea"/>
              <a:cs typeface="+mn-cs"/>
            </a:rPr>
            <a:t>*Updated ShowHide macro for new Travel rows and Rounded Cost Share columns, also now hides/shows project periods for Rounded columns (sponsor and cost share) on Budget tab</a:t>
          </a:r>
        </a:p>
        <a:p>
          <a:r>
            <a:rPr lang="en-US" sz="1100" baseline="0">
              <a:solidFill>
                <a:sysClr val="windowText" lastClr="000000"/>
              </a:solidFill>
              <a:effectLst/>
              <a:latin typeface="+mn-lt"/>
              <a:ea typeface="+mn-ea"/>
              <a:cs typeface="+mn-cs"/>
            </a:rPr>
            <a:t>*Moved </a:t>
          </a:r>
          <a:r>
            <a:rPr lang="en-US" sz="1100" baseline="0">
              <a:solidFill>
                <a:schemeClr val="dk1"/>
              </a:solidFill>
              <a:effectLst/>
              <a:latin typeface="+mn-lt"/>
              <a:ea typeface="+mn-ea"/>
              <a:cs typeface="+mn-cs"/>
            </a:rPr>
            <a:t>Travel Destination Type to second column on Data Input tab, added more detail to this input message, a</a:t>
          </a:r>
          <a:r>
            <a:rPr lang="en-US" sz="1100" baseline="0">
              <a:solidFill>
                <a:sysClr val="windowText" lastClr="000000"/>
              </a:solidFill>
              <a:effectLst/>
              <a:latin typeface="+mn-lt"/>
              <a:ea typeface="+mn-ea"/>
              <a:cs typeface="+mn-cs"/>
            </a:rPr>
            <a:t>djusted conditional formatting on Destination cells to ignore unused rows</a:t>
          </a:r>
        </a:p>
        <a:p>
          <a:r>
            <a:rPr lang="en-US" sz="1100" b="1" baseline="0">
              <a:solidFill>
                <a:srgbClr val="7030A0"/>
              </a:solidFill>
              <a:effectLst/>
              <a:latin typeface="+mn-lt"/>
              <a:ea typeface="+mn-ea"/>
              <a:cs typeface="+mn-cs"/>
            </a:rPr>
            <a:t>*The Rounded Cost Share Columns are not yet linked to the cost share tabs. </a:t>
          </a:r>
          <a:endParaRPr lang="en-US" sz="1100" b="1">
            <a:solidFill>
              <a:srgbClr val="7030A0"/>
            </a:solidFill>
            <a:effectLst/>
            <a:latin typeface="+mn-lt"/>
            <a:ea typeface="+mn-ea"/>
            <a:cs typeface="+mn-cs"/>
          </a:endParaRPr>
        </a:p>
        <a:p>
          <a:endParaRPr lang="en-US" sz="1100">
            <a:solidFill>
              <a:srgbClr val="FF0000"/>
            </a:solidFill>
            <a:effectLst/>
            <a:latin typeface="+mn-lt"/>
            <a:ea typeface="+mn-ea"/>
            <a:cs typeface="+mn-cs"/>
          </a:endParaRPr>
        </a:p>
        <a:p>
          <a:r>
            <a:rPr lang="en-US" sz="1100">
              <a:solidFill>
                <a:srgbClr val="FF0000"/>
              </a:solidFill>
              <a:effectLst/>
              <a:latin typeface="+mn-lt"/>
              <a:ea typeface="+mn-ea"/>
              <a:cs typeface="+mn-cs"/>
            </a:rPr>
            <a:t>Susan's</a:t>
          </a:r>
          <a:r>
            <a:rPr lang="en-US" sz="1100" baseline="0">
              <a:solidFill>
                <a:srgbClr val="FF0000"/>
              </a:solidFill>
              <a:effectLst/>
              <a:latin typeface="+mn-lt"/>
              <a:ea typeface="+mn-ea"/>
              <a:cs typeface="+mn-cs"/>
            </a:rPr>
            <a:t> notes, updated </a:t>
          </a:r>
          <a:r>
            <a:rPr lang="en-US" sz="1100" b="1" baseline="0">
              <a:solidFill>
                <a:srgbClr val="FF0000"/>
              </a:solidFill>
              <a:effectLst/>
              <a:latin typeface="+mn-lt"/>
              <a:ea typeface="+mn-ea"/>
              <a:cs typeface="+mn-cs"/>
            </a:rPr>
            <a:t>February/March 2025</a:t>
          </a:r>
          <a:br>
            <a:rPr lang="en-US" sz="1100" b="1" baseline="0">
              <a:solidFill>
                <a:srgbClr val="FF0000"/>
              </a:solidFill>
              <a:effectLst/>
              <a:latin typeface="+mn-lt"/>
              <a:ea typeface="+mn-ea"/>
              <a:cs typeface="+mn-cs"/>
            </a:rPr>
          </a:br>
          <a:r>
            <a:rPr lang="en-US" sz="1100" b="0" baseline="0">
              <a:solidFill>
                <a:schemeClr val="dk1"/>
              </a:solidFill>
              <a:effectLst/>
              <a:latin typeface="+mn-lt"/>
              <a:ea typeface="+mn-ea"/>
              <a:cs typeface="+mn-cs"/>
            </a:rPr>
            <a:t>*fixed Summary - Industry tables for rental cost exclusion line added to budget</a:t>
          </a:r>
          <a:endParaRPr lang="en-US">
            <a:effectLst/>
          </a:endParaRPr>
        </a:p>
        <a:p>
          <a:r>
            <a:rPr lang="en-US" sz="1100" b="0" baseline="0">
              <a:solidFill>
                <a:schemeClr val="dk1"/>
              </a:solidFill>
              <a:effectLst/>
              <a:latin typeface="+mn-lt"/>
              <a:ea typeface="+mn-ea"/>
              <a:cs typeface="+mn-cs"/>
            </a:rPr>
            <a:t>*Added lines to travel and made the type conditional so that you have to pick one</a:t>
          </a:r>
          <a:endParaRPr lang="en-US">
            <a:effectLst/>
          </a:endParaRPr>
        </a:p>
        <a:p>
          <a:r>
            <a:rPr lang="en-US" sz="1100" b="1" baseline="0">
              <a:solidFill>
                <a:sysClr val="windowText" lastClr="000000"/>
              </a:solidFill>
              <a:effectLst/>
              <a:latin typeface="+mn-lt"/>
              <a:ea typeface="+mn-ea"/>
              <a:cs typeface="+mn-cs"/>
            </a:rPr>
            <a:t>Reference Sheet updates:</a:t>
          </a:r>
        </a:p>
        <a:p>
          <a:r>
            <a:rPr lang="en-US" sz="1100" b="0" baseline="0">
              <a:solidFill>
                <a:sysClr val="windowText" lastClr="000000"/>
              </a:solidFill>
              <a:effectLst/>
              <a:latin typeface="+mn-lt"/>
              <a:ea typeface="+mn-ea"/>
              <a:cs typeface="+mn-cs"/>
            </a:rPr>
            <a:t>*Updated 9-month faculty insurance rates to what showed up on Feb25 payroll</a:t>
          </a:r>
          <a:br>
            <a:rPr lang="en-US" sz="1100" b="0" baseline="0">
              <a:solidFill>
                <a:sysClr val="windowText" lastClr="000000"/>
              </a:solidFill>
              <a:effectLst/>
              <a:latin typeface="+mn-lt"/>
              <a:ea typeface="+mn-ea"/>
              <a:cs typeface="+mn-cs"/>
            </a:rPr>
          </a:br>
          <a:r>
            <a:rPr lang="en-US" sz="1100" b="0" baseline="0">
              <a:solidFill>
                <a:schemeClr val="dk1"/>
              </a:solidFill>
              <a:effectLst/>
              <a:latin typeface="+mn-lt"/>
              <a:ea typeface="+mn-ea"/>
              <a:cs typeface="+mn-cs"/>
            </a:rPr>
            <a:t>*Added Joan to the pulldown proposal manager list</a:t>
          </a:r>
        </a:p>
        <a:p>
          <a:r>
            <a:rPr lang="en-US" sz="1100" b="0" baseline="0">
              <a:solidFill>
                <a:schemeClr val="dk1"/>
              </a:solidFill>
              <a:effectLst/>
              <a:latin typeface="+mn-lt"/>
              <a:ea typeface="+mn-ea"/>
              <a:cs typeface="+mn-cs"/>
            </a:rPr>
            <a:t>*Removed text lines below Position Type table that are no longer used</a:t>
          </a:r>
        </a:p>
        <a:p>
          <a:r>
            <a:rPr lang="en-US" b="0">
              <a:effectLst/>
            </a:rPr>
            <a:t>*Updated</a:t>
          </a:r>
          <a:r>
            <a:rPr lang="en-US" b="0" baseline="0">
              <a:effectLst/>
            </a:rPr>
            <a:t> </a:t>
          </a:r>
          <a:r>
            <a:rPr lang="en-US" b="1" baseline="0">
              <a:effectLst/>
            </a:rPr>
            <a:t>GA FTE to default 0.49</a:t>
          </a:r>
          <a:r>
            <a:rPr lang="en-US" b="0" baseline="0">
              <a:effectLst/>
            </a:rPr>
            <a:t>, with 0.40 as second option and removed the rest</a:t>
          </a:r>
        </a:p>
        <a:p>
          <a:r>
            <a:rPr lang="en-US" b="0" baseline="0">
              <a:effectLst/>
            </a:rPr>
            <a:t>*Updated minimum wage to 7/1/24 </a:t>
          </a:r>
          <a:r>
            <a:rPr lang="en-US" b="1" u="sng" baseline="0">
              <a:solidFill>
                <a:schemeClr val="accent2">
                  <a:lumMod val="75000"/>
                </a:schemeClr>
              </a:solidFill>
              <a:effectLst/>
            </a:rPr>
            <a:t>but this needs to be updated again in April 2025</a:t>
          </a:r>
          <a:br>
            <a:rPr lang="en-US" b="1" u="sng" baseline="0">
              <a:solidFill>
                <a:schemeClr val="accent2">
                  <a:lumMod val="75000"/>
                </a:schemeClr>
              </a:solidFill>
              <a:effectLst/>
            </a:rPr>
          </a:br>
          <a:r>
            <a:rPr lang="en-US" b="0" u="none" baseline="0">
              <a:solidFill>
                <a:sysClr val="windowText" lastClr="000000"/>
              </a:solidFill>
              <a:effectLst/>
            </a:rPr>
            <a:t>*Updated Travel cost tables to IRS 2024-68 rates</a:t>
          </a:r>
        </a:p>
        <a:p>
          <a:r>
            <a:rPr lang="en-US" b="0" u="none" baseline="0">
              <a:solidFill>
                <a:sysClr val="windowText" lastClr="000000"/>
              </a:solidFill>
              <a:effectLst/>
            </a:rPr>
            <a:t>*Updated fringe benefit rate validity to 3/1/25 - 2/28/26</a:t>
          </a:r>
        </a:p>
        <a:p>
          <a:r>
            <a:rPr lang="en-US" b="0" u="none" baseline="0">
              <a:solidFill>
                <a:sysClr val="windowText" lastClr="000000"/>
              </a:solidFill>
              <a:effectLst/>
            </a:rPr>
            <a:t>*Removed old greyed out fringe benefit table in columns H,I,J that is no longer used</a:t>
          </a:r>
        </a:p>
        <a:p>
          <a:r>
            <a:rPr lang="en-US" b="0" u="none" baseline="0">
              <a:solidFill>
                <a:sysClr val="windowText" lastClr="000000"/>
              </a:solidFill>
              <a:effectLst/>
            </a:rPr>
            <a:t>*Removed old greyed out salary/FTE rates by school in columns M-U that is no longer used</a:t>
          </a:r>
        </a:p>
        <a:p>
          <a:r>
            <a:rPr lang="en-US" b="0" u="none" baseline="0">
              <a:solidFill>
                <a:sysClr val="windowText" lastClr="000000"/>
              </a:solidFill>
              <a:effectLst/>
            </a:rPr>
            <a:t>*Updated NIH postdoc rates to April 2024  </a:t>
          </a:r>
          <a:r>
            <a:rPr lang="en-US" b="1" u="sng" baseline="0">
              <a:solidFill>
                <a:schemeClr val="accent2">
                  <a:lumMod val="75000"/>
                </a:schemeClr>
              </a:solidFill>
              <a:effectLst/>
            </a:rPr>
            <a:t>this needs to be updated again when NIH releases new in 2025?</a:t>
          </a:r>
        </a:p>
        <a:p>
          <a:r>
            <a:rPr lang="en-US" b="0" u="none" baseline="0">
              <a:solidFill>
                <a:sysClr val="windowText" lastClr="000000"/>
              </a:solidFill>
              <a:effectLst/>
            </a:rPr>
            <a:t>*Updated tuition tables to current rates (AY 2025) in first column </a:t>
          </a:r>
        </a:p>
        <a:p>
          <a:r>
            <a:rPr lang="en-US" b="1" u="none" baseline="0">
              <a:solidFill>
                <a:sysClr val="windowText" lastClr="000000"/>
              </a:solidFill>
              <a:effectLst/>
            </a:rPr>
            <a:t>*Reduced tuition/fees inflation to 3% annually</a:t>
          </a:r>
        </a:p>
        <a:p>
          <a:r>
            <a:rPr lang="en-US" b="0" u="none" baseline="0">
              <a:solidFill>
                <a:sysClr val="windowText" lastClr="000000"/>
              </a:solidFill>
              <a:effectLst/>
            </a:rPr>
            <a:t>*Updated minimum GA rates table in column Q-U and removed third entry for "level III"</a:t>
          </a:r>
        </a:p>
        <a:p>
          <a:r>
            <a:rPr lang="en-US" b="0" u="none" baseline="0">
              <a:solidFill>
                <a:sysClr val="windowText" lastClr="000000"/>
              </a:solidFill>
              <a:effectLst/>
            </a:rPr>
            <a:t>*Changed </a:t>
          </a:r>
          <a:r>
            <a:rPr lang="en-US" b="1" u="none" baseline="0">
              <a:solidFill>
                <a:sysClr val="windowText" lastClr="000000"/>
              </a:solidFill>
              <a:effectLst/>
            </a:rPr>
            <a:t>default FTE to 0.49 for prorate tuition </a:t>
          </a:r>
          <a:r>
            <a:rPr lang="en-US" b="0" u="none" baseline="0">
              <a:solidFill>
                <a:sysClr val="windowText" lastClr="000000"/>
              </a:solidFill>
              <a:effectLst/>
            </a:rPr>
            <a:t>on Calc-GRAD ASST AC40 by linking to Reference sheet U1</a:t>
          </a:r>
        </a:p>
        <a:p>
          <a:r>
            <a:rPr lang="en-US" b="0" u="none" baseline="0">
              <a:solidFill>
                <a:sysClr val="windowText" lastClr="000000"/>
              </a:solidFill>
              <a:effectLst/>
            </a:rPr>
            <a:t>*Pasted in OPE tables for PEBB, Actual Retirement Rates, and updated values from FY26 OPE Tables into our Reference Table</a:t>
          </a:r>
        </a:p>
        <a:p>
          <a:r>
            <a:rPr lang="en-US" b="0" u="none" baseline="0">
              <a:solidFill>
                <a:sysClr val="windowText" lastClr="000000"/>
              </a:solidFill>
              <a:effectLst/>
            </a:rPr>
            <a:t>*Followed FY26 Budget Guidance and used $856/month GA health insurance and calculated Postdoc rate off that, </a:t>
          </a:r>
          <a:r>
            <a:rPr lang="en-US" b="0" i="1" u="none" baseline="0">
              <a:solidFill>
                <a:sysClr val="windowText" lastClr="000000"/>
              </a:solidFill>
              <a:effectLst/>
            </a:rPr>
            <a:t>NOT the OPE Table Excel data for postdocs which is much lower</a:t>
          </a:r>
        </a:p>
        <a:p>
          <a:endParaRPr lang="en-US" b="0" u="none" baseline="0">
            <a:solidFill>
              <a:sysClr val="windowText" lastClr="000000"/>
            </a:solidFill>
            <a:effectLst/>
          </a:endParaRPr>
        </a:p>
        <a:p>
          <a:endParaRPr lang="en-US" sz="1100"/>
        </a:p>
      </xdr:txBody>
    </xdr:sp>
    <xdr:clientData/>
  </xdr:twoCellAnchor>
  <xdr:twoCellAnchor>
    <xdr:from>
      <xdr:col>0</xdr:col>
      <xdr:colOff>0</xdr:colOff>
      <xdr:row>0</xdr:row>
      <xdr:rowOff>0</xdr:rowOff>
    </xdr:from>
    <xdr:to>
      <xdr:col>11</xdr:col>
      <xdr:colOff>66674</xdr:colOff>
      <xdr:row>72</xdr:row>
      <xdr:rowOff>85725</xdr:rowOff>
    </xdr:to>
    <xdr:sp macro="" textlink="">
      <xdr:nvSpPr>
        <xdr:cNvPr id="6" name="TextBox 5">
          <a:extLst>
            <a:ext uri="{FF2B5EF4-FFF2-40B4-BE49-F238E27FC236}">
              <a16:creationId xmlns:a16="http://schemas.microsoft.com/office/drawing/2014/main" id="{26CDA171-5D3B-4A79-9399-75C2E55BF5CC}"/>
            </a:ext>
          </a:extLst>
        </xdr:cNvPr>
        <xdr:cNvSpPr txBox="1"/>
      </xdr:nvSpPr>
      <xdr:spPr>
        <a:xfrm>
          <a:off x="0" y="0"/>
          <a:ext cx="6772274" cy="13801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1100" b="1">
              <a:solidFill>
                <a:schemeClr val="dk1"/>
              </a:solidFill>
              <a:effectLst/>
              <a:latin typeface="+mn-lt"/>
              <a:ea typeface="+mn-ea"/>
              <a:cs typeface="+mn-cs"/>
            </a:rPr>
            <a:t>Budget Template, Engineering Research Administration</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rgbClr val="FF0000"/>
              </a:solidFill>
              <a:effectLst/>
              <a:latin typeface="+mn-lt"/>
              <a:ea typeface="+mn-ea"/>
              <a:cs typeface="+mn-cs"/>
            </a:rPr>
            <a:t>Cyndy's notes, 8/7/26</a:t>
          </a:r>
          <a:endParaRPr lang="en-US">
            <a:solidFill>
              <a:srgbClr val="FF0000"/>
            </a:solidFill>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ysClr val="windowText" lastClr="000000"/>
              </a:solidFill>
              <a:effectLst/>
              <a:latin typeface="+mn-lt"/>
              <a:ea typeface="+mn-ea"/>
              <a:cs typeface="+mn-cs"/>
            </a:rPr>
            <a:t>*Renamed Huron tab</a:t>
          </a:r>
          <a:r>
            <a:rPr lang="en-US" sz="1100" b="0" baseline="0">
              <a:solidFill>
                <a:sysClr val="windowText" lastClr="000000"/>
              </a:solidFill>
              <a:effectLst/>
              <a:latin typeface="+mn-lt"/>
              <a:ea typeface="+mn-ea"/>
              <a:cs typeface="+mn-cs"/>
            </a:rPr>
            <a:t> to "</a:t>
          </a:r>
          <a:r>
            <a:rPr lang="en-US" sz="1100" b="1" baseline="0">
              <a:solidFill>
                <a:sysClr val="windowText" lastClr="000000"/>
              </a:solidFill>
              <a:effectLst/>
              <a:latin typeface="+mn-lt"/>
              <a:ea typeface="+mn-ea"/>
              <a:cs typeface="+mn-cs"/>
            </a:rPr>
            <a:t>Hub data entry</a:t>
          </a:r>
          <a:r>
            <a:rPr lang="en-US" sz="1100" b="0" baseline="0">
              <a:solidFill>
                <a:sysClr val="windowText" lastClr="000000"/>
              </a:solidFill>
              <a:effectLst/>
              <a:latin typeface="+mn-lt"/>
              <a:ea typeface="+mn-ea"/>
              <a:cs typeface="+mn-cs"/>
            </a:rPr>
            <a:t>", added more Other Costs to this summary table, removed commas from monthly salaries for easy copy/paste into Research Hub budget. Updated show/hide macro for this tab; now </a:t>
          </a:r>
          <a:r>
            <a:rPr lang="en-US" sz="1100" b="0" baseline="0">
              <a:solidFill>
                <a:schemeClr val="dk1"/>
              </a:solidFill>
              <a:effectLst/>
              <a:latin typeface="+mn-lt"/>
              <a:ea typeface="+mn-ea"/>
              <a:cs typeface="+mn-cs"/>
            </a:rPr>
            <a:t>finds starting row number for easier updates in future.</a:t>
          </a: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*Pooled fringe rates - removed list of codes from descriptions since these are not used in Workday.</a:t>
          </a: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ysClr val="windowText" lastClr="000000"/>
              </a:solidFill>
              <a:effectLst/>
              <a:latin typeface="+mn-lt"/>
              <a:ea typeface="+mn-ea"/>
              <a:cs typeface="+mn-cs"/>
            </a:rPr>
            <a:t>*Added </a:t>
          </a:r>
          <a:r>
            <a:rPr lang="en-US" sz="1100" b="1" baseline="0">
              <a:solidFill>
                <a:sysClr val="windowText" lastClr="000000"/>
              </a:solidFill>
              <a:effectLst/>
              <a:latin typeface="+mn-lt"/>
              <a:ea typeface="+mn-ea"/>
              <a:cs typeface="+mn-cs"/>
            </a:rPr>
            <a:t>Position Classification </a:t>
          </a:r>
          <a:r>
            <a:rPr lang="en-US" sz="1100" b="0" baseline="0">
              <a:solidFill>
                <a:sysClr val="windowText" lastClr="000000"/>
              </a:solidFill>
              <a:effectLst/>
              <a:latin typeface="+mn-lt"/>
              <a:ea typeface="+mn-ea"/>
              <a:cs typeface="+mn-cs"/>
            </a:rPr>
            <a:t>to</a:t>
          </a:r>
          <a:r>
            <a:rPr lang="en-US" sz="1100" b="1" baseline="0">
              <a:solidFill>
                <a:sysClr val="windowText" lastClr="000000"/>
              </a:solidFill>
              <a:effectLst/>
              <a:latin typeface="+mn-lt"/>
              <a:ea typeface="+mn-ea"/>
              <a:cs typeface="+mn-cs"/>
            </a:rPr>
            <a:t> Senior Personnel </a:t>
          </a:r>
          <a:r>
            <a:rPr lang="en-US" sz="1100" b="0" baseline="0">
              <a:solidFill>
                <a:sysClr val="windowText" lastClr="000000"/>
              </a:solidFill>
              <a:effectLst/>
              <a:latin typeface="+mn-lt"/>
              <a:ea typeface="+mn-ea"/>
              <a:cs typeface="+mn-cs"/>
            </a:rPr>
            <a:t>on Data Input tab, defaults to Prof&amp;AcadFaculty, and adjusted formulas on Calc tab to select correct pooled fringe rate (same as Other Personnel). </a:t>
          </a: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ysClr val="windowText" lastClr="000000"/>
              </a:solidFill>
              <a:effectLst/>
              <a:latin typeface="+mn-lt"/>
              <a:ea typeface="+mn-ea"/>
              <a:cs typeface="+mn-cs"/>
            </a:rPr>
            <a:t>*Position Class selection no longer spills into next (empty) cell on Data Input tab. Fix was to set row height to 15 for entire sheet, Wrap Text (top aligned) for the Position Class cells, then autofit the multi-line heading rows.</a:t>
          </a: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ysClr val="windowText" lastClr="000000"/>
              </a:solidFill>
              <a:effectLst/>
              <a:latin typeface="+mn-lt"/>
              <a:ea typeface="+mn-ea"/>
              <a:cs typeface="+mn-cs"/>
            </a:rPr>
            <a:t>*</a:t>
          </a:r>
          <a:r>
            <a:rPr lang="en-US" sz="1100" b="1" baseline="0">
              <a:solidFill>
                <a:sysClr val="windowText" lastClr="000000"/>
              </a:solidFill>
              <a:effectLst/>
              <a:latin typeface="+mn-lt"/>
              <a:ea typeface="+mn-ea"/>
              <a:cs typeface="+mn-cs"/>
            </a:rPr>
            <a:t>Removed individual fringe rate </a:t>
          </a:r>
          <a:r>
            <a:rPr lang="en-US" sz="1100" b="1" baseline="0">
              <a:solidFill>
                <a:schemeClr val="dk1"/>
              </a:solidFill>
              <a:effectLst/>
              <a:latin typeface="+mn-lt"/>
              <a:ea typeface="+mn-ea"/>
              <a:cs typeface="+mn-cs"/>
            </a:rPr>
            <a:t>calculations</a:t>
          </a:r>
          <a:r>
            <a:rPr lang="en-US" sz="1100" b="0" baseline="0">
              <a:solidFill>
                <a:schemeClr val="dk1"/>
              </a:solidFill>
              <a:effectLst/>
              <a:latin typeface="+mn-lt"/>
              <a:ea typeface="+mn-ea"/>
              <a:cs typeface="+mn-cs"/>
            </a:rPr>
            <a:t>,</a:t>
          </a:r>
          <a:r>
            <a:rPr lang="en-US" sz="1100" b="1" baseline="0">
              <a:solidFill>
                <a:sysClr val="windowText" lastClr="000000"/>
              </a:solidFill>
              <a:effectLst/>
              <a:latin typeface="+mn-lt"/>
              <a:ea typeface="+mn-ea"/>
              <a:cs typeface="+mn-cs"/>
            </a:rPr>
            <a:t> </a:t>
          </a:r>
          <a:r>
            <a:rPr lang="en-US" sz="1100" b="0" baseline="0">
              <a:solidFill>
                <a:sysClr val="windowText" lastClr="000000"/>
              </a:solidFill>
              <a:effectLst/>
              <a:latin typeface="+mn-lt"/>
              <a:ea typeface="+mn-ea"/>
              <a:cs typeface="+mn-cs"/>
            </a:rPr>
            <a:t>information, hire date, health insurance, Cayuse reference.</a:t>
          </a: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ysClr val="windowText" lastClr="000000"/>
              </a:solidFill>
              <a:effectLst/>
              <a:latin typeface="+mn-lt"/>
              <a:ea typeface="+mn-ea"/>
              <a:cs typeface="+mn-cs"/>
            </a:rPr>
            <a:t>*Cleaned up Calc sheets and Reference Sheet to consolidate space. Deleted all old information. </a:t>
          </a: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*Updated Postdoc Stipend to current rates.</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ysClr val="windowText" lastClr="000000"/>
              </a:solidFill>
              <a:effectLst/>
              <a:latin typeface="+mn-lt"/>
              <a:ea typeface="+mn-ea"/>
              <a:cs typeface="+mn-cs"/>
            </a:rPr>
            <a:t>*Added </a:t>
          </a:r>
          <a:r>
            <a:rPr lang="en-US" sz="1100" b="1" baseline="0">
              <a:solidFill>
                <a:sysClr val="windowText" lastClr="000000"/>
              </a:solidFill>
              <a:effectLst/>
              <a:latin typeface="+mn-lt"/>
              <a:ea typeface="+mn-ea"/>
              <a:cs typeface="+mn-cs"/>
            </a:rPr>
            <a:t>cost share designated worktag </a:t>
          </a:r>
          <a:r>
            <a:rPr lang="en-US" sz="1100" b="0" baseline="0">
              <a:solidFill>
                <a:sysClr val="windowText" lastClr="000000"/>
              </a:solidFill>
              <a:effectLst/>
              <a:latin typeface="+mn-lt"/>
              <a:ea typeface="+mn-ea"/>
              <a:cs typeface="+mn-cs"/>
            </a:rPr>
            <a:t>by COE School for faculty AY effort, for award set up purposes, at end of Cost Share Agr Form.</a:t>
          </a: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ysClr val="windowText" lastClr="000000"/>
              </a:solidFill>
              <a:effectLst/>
              <a:latin typeface="+mn-lt"/>
              <a:ea typeface="+mn-ea"/>
              <a:cs typeface="+mn-cs"/>
            </a:rPr>
            <a:t>*Added separate </a:t>
          </a:r>
          <a:r>
            <a:rPr lang="en-US" sz="1100" b="1" baseline="0">
              <a:solidFill>
                <a:sysClr val="windowText" lastClr="000000"/>
              </a:solidFill>
              <a:effectLst/>
              <a:latin typeface="+mn-lt"/>
              <a:ea typeface="+mn-ea"/>
              <a:cs typeface="+mn-cs"/>
            </a:rPr>
            <a:t>Subaward Directs and Indirects </a:t>
          </a:r>
          <a:r>
            <a:rPr lang="en-US" sz="1100" b="0" baseline="0">
              <a:solidFill>
                <a:sysClr val="windowText" lastClr="000000"/>
              </a:solidFill>
              <a:effectLst/>
              <a:latin typeface="+mn-lt"/>
              <a:ea typeface="+mn-ea"/>
              <a:cs typeface="+mn-cs"/>
            </a:rPr>
            <a:t>table to Data Input tab (at end); </a:t>
          </a:r>
          <a:r>
            <a:rPr lang="en-US" sz="1100" b="1" baseline="0">
              <a:solidFill>
                <a:sysClr val="windowText" lastClr="000000"/>
              </a:solidFill>
              <a:effectLst/>
              <a:latin typeface="+mn-lt"/>
              <a:ea typeface="+mn-ea"/>
              <a:cs typeface="+mn-cs"/>
            </a:rPr>
            <a:t>enter subaward indirects </a:t>
          </a:r>
          <a:r>
            <a:rPr lang="en-US" sz="1100" b="0" baseline="0">
              <a:solidFill>
                <a:sysClr val="windowText" lastClr="000000"/>
              </a:solidFill>
              <a:effectLst/>
              <a:latin typeface="+mn-lt"/>
              <a:ea typeface="+mn-ea"/>
              <a:cs typeface="+mn-cs"/>
            </a:rPr>
            <a:t>per period and the rest will autofill. Copied to Hub data entry tab to have everything on the same tab.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0">
            <a:solidFill>
              <a:sysClr val="windowText" lastClr="00000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rgbClr val="FF0000"/>
              </a:solidFill>
              <a:effectLst/>
              <a:latin typeface="+mn-lt"/>
              <a:ea typeface="+mn-ea"/>
              <a:cs typeface="+mn-cs"/>
            </a:rPr>
            <a:t>Cyndy's notes, 7/24/26</a:t>
          </a:r>
          <a:endParaRPr lang="en-US" b="0">
            <a:solidFill>
              <a:srgbClr val="FF0000"/>
            </a:solidFill>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ysClr val="windowText" lastClr="000000"/>
              </a:solidFill>
              <a:effectLst/>
              <a:latin typeface="+mn-lt"/>
              <a:ea typeface="+mn-ea"/>
              <a:cs typeface="+mn-cs"/>
            </a:rPr>
            <a:t>*Removed</a:t>
          </a:r>
          <a:r>
            <a:rPr lang="en-US" sz="1100" baseline="0">
              <a:solidFill>
                <a:sysClr val="windowText" lastClr="000000"/>
              </a:solidFill>
              <a:effectLst/>
              <a:latin typeface="+mn-lt"/>
              <a:ea typeface="+mn-ea"/>
              <a:cs typeface="+mn-cs"/>
            </a:rPr>
            <a:t> all external links in formulas and Name Manager</a:t>
          </a:r>
        </a:p>
        <a:p>
          <a:pPr marL="0" marR="0" lvl="0" indent="0" defTabSz="914400" eaLnBrk="1" fontAlgn="auto" latinLnBrk="0" hangingPunct="1">
            <a:lnSpc>
              <a:spcPct val="100000"/>
            </a:lnSpc>
            <a:spcBef>
              <a:spcPts val="0"/>
            </a:spcBef>
            <a:spcAft>
              <a:spcPts val="0"/>
            </a:spcAft>
            <a:buClrTx/>
            <a:buSzTx/>
            <a:buFontTx/>
            <a:buNone/>
            <a:tabLst/>
            <a:defRPr/>
          </a:pP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rgbClr val="FF0000"/>
              </a:solidFill>
              <a:effectLst/>
              <a:latin typeface="+mn-lt"/>
              <a:ea typeface="+mn-ea"/>
              <a:cs typeface="+mn-cs"/>
            </a:rPr>
            <a:t>Cyndy's notes, 7/24/26</a:t>
          </a:r>
          <a:endParaRPr lang="en-US">
            <a:solidFill>
              <a:srgbClr val="FF0000"/>
            </a:solidFill>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ysClr val="windowText" lastClr="000000"/>
              </a:solidFill>
              <a:effectLst/>
              <a:latin typeface="+mn-lt"/>
              <a:ea typeface="+mn-ea"/>
              <a:cs typeface="+mn-cs"/>
            </a:rPr>
            <a:t>*Added Huron Personnel Budget tab for easier data entry</a:t>
          </a:r>
          <a:r>
            <a:rPr lang="en-US" sz="1100" baseline="0">
              <a:solidFill>
                <a:sysClr val="windowText" lastClr="000000"/>
              </a:solidFill>
              <a:effectLst/>
              <a:latin typeface="+mn-lt"/>
              <a:ea typeface="+mn-ea"/>
              <a:cs typeface="+mn-cs"/>
            </a:rPr>
            <a:t> in Beaver Research Hub. Thanks to Susan for the first draft of this. Updated Show/Hide macro to include this new Huron tab.</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ysClr val="windowText" lastClr="000000"/>
              </a:solidFill>
              <a:effectLst/>
              <a:latin typeface="+mn-lt"/>
              <a:ea typeface="+mn-ea"/>
              <a:cs typeface="+mn-cs"/>
            </a:rPr>
            <a:t>**The Huron tab uses the new</a:t>
          </a:r>
          <a:r>
            <a:rPr lang="en-US" sz="1100" b="0" i="0">
              <a:solidFill>
                <a:schemeClr val="dk1"/>
              </a:solidFill>
              <a:effectLst/>
              <a:latin typeface="+mn-lt"/>
              <a:ea typeface="+mn-ea"/>
              <a:cs typeface="+mn-cs"/>
            </a:rPr>
            <a:t> </a:t>
          </a:r>
          <a:r>
            <a:rPr lang="en-US" sz="1100" b="1" i="0">
              <a:solidFill>
                <a:schemeClr val="dk1"/>
              </a:solidFill>
              <a:effectLst/>
              <a:latin typeface="+mn-lt"/>
              <a:ea typeface="+mn-ea"/>
              <a:cs typeface="+mn-cs"/>
            </a:rPr>
            <a:t>LET </a:t>
          </a:r>
          <a:r>
            <a:rPr lang="en-US" sz="1100" b="0" i="0">
              <a:solidFill>
                <a:schemeClr val="dk1"/>
              </a:solidFill>
              <a:effectLst/>
              <a:latin typeface="+mn-lt"/>
              <a:ea typeface="+mn-ea"/>
              <a:cs typeface="+mn-cs"/>
            </a:rPr>
            <a:t>function</a:t>
          </a:r>
          <a:r>
            <a:rPr lang="en-US" sz="1100" b="0" i="0" baseline="0">
              <a:solidFill>
                <a:schemeClr val="dk1"/>
              </a:solidFill>
              <a:effectLst/>
              <a:latin typeface="+mn-lt"/>
              <a:ea typeface="+mn-ea"/>
              <a:cs typeface="+mn-cs"/>
            </a:rPr>
            <a:t> </a:t>
          </a:r>
          <a:r>
            <a:rPr lang="en-US" sz="1100" b="0" i="0">
              <a:solidFill>
                <a:schemeClr val="dk1"/>
              </a:solidFill>
              <a:effectLst/>
              <a:latin typeface="+mn-lt"/>
              <a:ea typeface="+mn-ea"/>
              <a:cs typeface="+mn-cs"/>
            </a:rPr>
            <a:t>in</a:t>
          </a:r>
          <a:r>
            <a:rPr lang="en-US" sz="1100" b="0" i="0" baseline="0">
              <a:solidFill>
                <a:schemeClr val="dk1"/>
              </a:solidFill>
              <a:effectLst/>
              <a:latin typeface="+mn-lt"/>
              <a:ea typeface="+mn-ea"/>
              <a:cs typeface="+mn-cs"/>
            </a:rPr>
            <a:t> Excel 365 </a:t>
          </a:r>
          <a:r>
            <a:rPr lang="en-US" sz="1100" b="0" i="0">
              <a:solidFill>
                <a:schemeClr val="dk1"/>
              </a:solidFill>
              <a:effectLst/>
              <a:latin typeface="+mn-lt"/>
              <a:ea typeface="+mn-ea"/>
              <a:cs typeface="+mn-cs"/>
            </a:rPr>
            <a:t>which </a:t>
          </a:r>
          <a:r>
            <a:rPr lang="en-US" sz="1100" b="1" i="0">
              <a:solidFill>
                <a:schemeClr val="dk1"/>
              </a:solidFill>
              <a:effectLst/>
              <a:latin typeface="+mn-lt"/>
              <a:ea typeface="+mn-ea"/>
              <a:cs typeface="+mn-cs"/>
            </a:rPr>
            <a:t>assigns names to calculations or values inside a formula</a:t>
          </a:r>
          <a:r>
            <a:rPr lang="en-US" sz="1100" b="0" i="0">
              <a:solidFill>
                <a:schemeClr val="dk1"/>
              </a:solidFill>
              <a:effectLst/>
              <a:latin typeface="+mn-lt"/>
              <a:ea typeface="+mn-ea"/>
              <a:cs typeface="+mn-cs"/>
            </a:rPr>
            <a:t> so you can reuse them multiple times. This</a:t>
          </a:r>
          <a:r>
            <a:rPr lang="en-US" sz="1100" b="0" i="0" baseline="0">
              <a:solidFill>
                <a:schemeClr val="dk1"/>
              </a:solidFill>
              <a:effectLst/>
              <a:latin typeface="+mn-lt"/>
              <a:ea typeface="+mn-ea"/>
              <a:cs typeface="+mn-cs"/>
            </a:rPr>
            <a:t> makes formulas easier to read and avoids repeating calculations in the same formula. Used here to identify the Person, Period, Row Number, and FTE for automated cell references (to minimize hard-coded references to cells in other tabs). </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ysClr val="windowText" lastClr="000000"/>
              </a:solidFill>
              <a:effectLst/>
              <a:latin typeface="+mn-lt"/>
              <a:ea typeface="+mn-ea"/>
              <a:cs typeface="+mn-cs"/>
            </a:rPr>
            <a:t>*Updated tuition/fees to final exact values</a:t>
          </a:r>
          <a:r>
            <a:rPr lang="en-US" sz="1100" baseline="0">
              <a:solidFill>
                <a:sysClr val="windowText" lastClr="000000"/>
              </a:solidFill>
              <a:effectLst/>
              <a:latin typeface="+mn-lt"/>
              <a:ea typeface="+mn-ea"/>
              <a:cs typeface="+mn-cs"/>
            </a:rPr>
            <a:t> for AY27 (was estimate based on Trustees announcement)</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ysClr val="windowText" lastClr="000000"/>
              </a:solidFill>
              <a:effectLst/>
              <a:latin typeface="+mn-lt"/>
              <a:ea typeface="+mn-ea"/>
              <a:cs typeface="+mn-cs"/>
            </a:rPr>
            <a:t>*Added conditional formatting to Months Effort on Data Input tab if more than Period Months</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ysClr val="windowText" lastClr="000000"/>
              </a:solidFill>
              <a:effectLst/>
              <a:latin typeface="+mn-lt"/>
              <a:ea typeface="+mn-ea"/>
              <a:cs typeface="+mn-cs"/>
            </a:rPr>
            <a:t>*</a:t>
          </a:r>
          <a:r>
            <a:rPr lang="en-US" sz="1100" b="1" baseline="0">
              <a:solidFill>
                <a:sysClr val="windowText" lastClr="000000"/>
              </a:solidFill>
              <a:effectLst/>
              <a:latin typeface="+mn-lt"/>
              <a:ea typeface="+mn-ea"/>
              <a:cs typeface="+mn-cs"/>
            </a:rPr>
            <a:t>Changed Hourly Student input to </a:t>
          </a:r>
          <a:r>
            <a:rPr lang="en-US" sz="1100" b="1" baseline="0">
              <a:solidFill>
                <a:srgbClr val="FF0000"/>
              </a:solidFill>
              <a:effectLst/>
              <a:latin typeface="+mn-lt"/>
              <a:ea typeface="+mn-ea"/>
              <a:cs typeface="+mn-cs"/>
            </a:rPr>
            <a:t>Months</a:t>
          </a:r>
          <a:r>
            <a:rPr lang="en-US" sz="1100" b="1" baseline="0">
              <a:solidFill>
                <a:sysClr val="windowText" lastClr="000000"/>
              </a:solidFill>
              <a:effectLst/>
              <a:latin typeface="+mn-lt"/>
              <a:ea typeface="+mn-ea"/>
              <a:cs typeface="+mn-cs"/>
            </a:rPr>
            <a:t> Effort </a:t>
          </a:r>
          <a:r>
            <a:rPr lang="en-US" sz="1100" baseline="0">
              <a:solidFill>
                <a:sysClr val="windowText" lastClr="000000"/>
              </a:solidFill>
              <a:effectLst/>
              <a:latin typeface="+mn-lt"/>
              <a:ea typeface="+mn-ea"/>
              <a:cs typeface="+mn-cs"/>
            </a:rPr>
            <a:t>instead of Hours Effort on Data Input tab, and revised Calc tab and Huron tab accordingly. This is consistent with all other position types and makes data entry easier. </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rgbClr val="FF0000"/>
              </a:solidFill>
              <a:effectLst/>
              <a:latin typeface="+mn-lt"/>
              <a:ea typeface="+mn-ea"/>
              <a:cs typeface="+mn-cs"/>
            </a:rPr>
            <a:t>Cyndy's notes, 6/1/26 and 6/17/26</a:t>
          </a:r>
          <a:endParaRPr lang="en-US">
            <a:solidFill>
              <a:srgbClr val="FF0000"/>
            </a:solidFill>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ysClr val="windowText" lastClr="000000"/>
              </a:solidFill>
              <a:effectLst/>
              <a:latin typeface="+mn-lt"/>
              <a:ea typeface="+mn-ea"/>
              <a:cs typeface="+mn-cs"/>
            </a:rPr>
            <a:t>*The “locked” non-macro version now saves in the current folder, instead of Documents or a random recent folder. </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ysClr val="windowText" lastClr="000000"/>
              </a:solidFill>
              <a:effectLst/>
              <a:latin typeface="+mn-lt"/>
              <a:ea typeface="+mn-ea"/>
              <a:cs typeface="+mn-cs"/>
            </a:rPr>
            <a:t>*Monthly salary (1.0 FTE) for hourly students is now on Data Input tab, like everyone else. Also in a new column on Other Pers - CALC tab. </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ysClr val="windowText" lastClr="000000"/>
              </a:solidFill>
              <a:effectLst/>
              <a:latin typeface="+mn-lt"/>
              <a:ea typeface="+mn-ea"/>
              <a:cs typeface="+mn-cs"/>
            </a:rPr>
            <a:t>*New minimum hourly student rate</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ysClr val="windowText" lastClr="000000"/>
              </a:solidFill>
              <a:effectLst/>
              <a:latin typeface="+mn-lt"/>
              <a:ea typeface="+mn-ea"/>
              <a:cs typeface="+mn-cs"/>
            </a:rPr>
            <a:t>*Corrected conditional</a:t>
          </a:r>
          <a:r>
            <a:rPr lang="en-US" sz="1100" baseline="0">
              <a:solidFill>
                <a:sysClr val="windowText" lastClr="000000"/>
              </a:solidFill>
              <a:effectLst/>
              <a:latin typeface="+mn-lt"/>
              <a:ea typeface="+mn-ea"/>
              <a:cs typeface="+mn-cs"/>
            </a:rPr>
            <a:t> formatting and PI split budget tab for new $50k subaward indirects threshold</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100">
            <a:solidFill>
              <a:srgbClr val="FF000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rgbClr val="FF0000"/>
              </a:solidFill>
              <a:effectLst/>
              <a:latin typeface="+mn-lt"/>
              <a:ea typeface="+mn-ea"/>
              <a:cs typeface="+mn-cs"/>
            </a:rPr>
            <a:t>Cyndy's notes, 3/17/26</a:t>
          </a:r>
          <a:endParaRPr lang="en-US">
            <a:solidFill>
              <a:srgbClr val="FF0000"/>
            </a:solidFill>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ysClr val="windowText" lastClr="000000"/>
              </a:solidFill>
              <a:effectLst/>
              <a:latin typeface="+mn-lt"/>
              <a:ea typeface="+mn-ea"/>
              <a:cs typeface="+mn-cs"/>
            </a:rPr>
            <a:t>*Updated tuition</a:t>
          </a:r>
          <a:r>
            <a:rPr lang="en-US" sz="1100" baseline="0">
              <a:solidFill>
                <a:sysClr val="windowText" lastClr="000000"/>
              </a:solidFill>
              <a:effectLst/>
              <a:latin typeface="+mn-lt"/>
              <a:ea typeface="+mn-ea"/>
              <a:cs typeface="+mn-cs"/>
            </a:rPr>
            <a:t> for 2026-27 based on Board of Trustees decision 3/13/26 (5% increase, no fee increase)</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ysClr val="windowText" lastClr="000000"/>
              </a:solidFill>
              <a:effectLst/>
              <a:latin typeface="+mn-lt"/>
              <a:ea typeface="+mn-ea"/>
              <a:cs typeface="+mn-cs"/>
            </a:rPr>
            <a:t>*Removed 2025-26 tuition rates </a:t>
          </a:r>
          <a:r>
            <a:rPr lang="en-US" sz="1100" b="1" baseline="0">
              <a:solidFill>
                <a:srgbClr val="FF0000"/>
              </a:solidFill>
              <a:effectLst/>
              <a:latin typeface="+mn-lt"/>
              <a:ea typeface="+mn-ea"/>
              <a:cs typeface="+mn-cs"/>
            </a:rPr>
            <a:t>[do NOT use this template to budget for Spring 2026]</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ysClr val="windowText" lastClr="000000"/>
              </a:solidFill>
              <a:effectLst/>
              <a:latin typeface="+mn-lt"/>
              <a:ea typeface="+mn-ea"/>
              <a:cs typeface="+mn-cs"/>
            </a:rPr>
            <a:t>*Updated default F&amp;A rate to new 49.5% MTDC</a:t>
          </a:r>
        </a:p>
        <a:p>
          <a:pPr marL="0" marR="0" lvl="0" indent="0" defTabSz="914400" eaLnBrk="1" fontAlgn="auto" latinLnBrk="0" hangingPunct="1">
            <a:lnSpc>
              <a:spcPct val="100000"/>
            </a:lnSpc>
            <a:spcBef>
              <a:spcPts val="0"/>
            </a:spcBef>
            <a:spcAft>
              <a:spcPts val="0"/>
            </a:spcAft>
            <a:buClrTx/>
            <a:buSzTx/>
            <a:buFontTx/>
            <a:buNone/>
            <a:tabLst/>
            <a:defRPr/>
          </a:pP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rgbClr val="FF0000"/>
              </a:solidFill>
              <a:effectLst/>
              <a:latin typeface="+mn-lt"/>
              <a:ea typeface="+mn-ea"/>
              <a:cs typeface="+mn-cs"/>
            </a:rPr>
            <a:t>Cyndy's notes, 3/15/26</a:t>
          </a:r>
        </a:p>
        <a:p>
          <a:pPr eaLnBrk="1" fontAlgn="auto" latinLnBrk="0" hangingPunct="1"/>
          <a:r>
            <a:rPr lang="en-US" sz="1100" baseline="0">
              <a:solidFill>
                <a:schemeClr val="dk1"/>
              </a:solidFill>
              <a:effectLst/>
              <a:latin typeface="+mn-lt"/>
              <a:ea typeface="+mn-ea"/>
              <a:cs typeface="+mn-cs"/>
            </a:rPr>
            <a:t>*Updated </a:t>
          </a:r>
          <a:r>
            <a:rPr lang="en-US" sz="1100" b="1" baseline="0">
              <a:solidFill>
                <a:schemeClr val="dk1"/>
              </a:solidFill>
              <a:effectLst/>
              <a:latin typeface="+mn-lt"/>
              <a:ea typeface="+mn-ea"/>
              <a:cs typeface="+mn-cs"/>
            </a:rPr>
            <a:t>F&amp;A rates </a:t>
          </a:r>
          <a:r>
            <a:rPr lang="en-US" sz="1100" baseline="0">
              <a:solidFill>
                <a:schemeClr val="dk1"/>
              </a:solidFill>
              <a:effectLst/>
              <a:latin typeface="+mn-lt"/>
              <a:ea typeface="+mn-ea"/>
              <a:cs typeface="+mn-cs"/>
            </a:rPr>
            <a:t>per new indirect cost rate agreement, signed Mar26</a:t>
          </a:r>
        </a:p>
        <a:p>
          <a:pPr eaLnBrk="1" fontAlgn="auto" latinLnBrk="0" hangingPunct="1"/>
          <a:r>
            <a:rPr lang="en-US" sz="1100" baseline="0">
              <a:solidFill>
                <a:schemeClr val="dk1"/>
              </a:solidFill>
              <a:effectLst/>
              <a:latin typeface="+mn-lt"/>
              <a:ea typeface="+mn-ea"/>
              <a:cs typeface="+mn-cs"/>
            </a:rPr>
            <a:t>*</a:t>
          </a:r>
          <a:r>
            <a:rPr lang="en-US" sz="1100" b="1" baseline="0">
              <a:solidFill>
                <a:schemeClr val="dk1"/>
              </a:solidFill>
              <a:effectLst/>
              <a:latin typeface="+mn-lt"/>
              <a:ea typeface="+mn-ea"/>
              <a:cs typeface="+mn-cs"/>
            </a:rPr>
            <a:t>Subawards</a:t>
          </a:r>
          <a:r>
            <a:rPr lang="en-US" sz="1100" baseline="0">
              <a:solidFill>
                <a:schemeClr val="dk1"/>
              </a:solidFill>
              <a:effectLst/>
              <a:latin typeface="+mn-lt"/>
              <a:ea typeface="+mn-ea"/>
              <a:cs typeface="+mn-cs"/>
            </a:rPr>
            <a:t>: the Budget tab now calculates indirects on first $50k, instead of $25k</a:t>
          </a:r>
        </a:p>
        <a:p>
          <a:pPr eaLnBrk="1" fontAlgn="auto" latinLnBrk="0" hangingPunct="1"/>
          <a:r>
            <a:rPr lang="en-US" sz="1100" baseline="0">
              <a:solidFill>
                <a:schemeClr val="dk1"/>
              </a:solidFill>
              <a:effectLst/>
              <a:latin typeface="+mn-lt"/>
              <a:ea typeface="+mn-ea"/>
              <a:cs typeface="+mn-cs"/>
            </a:rPr>
            <a:t>*Notes added on Data Input tab about new thresholds for equipment ($10k) and subaward F&amp;A ($50k)</a:t>
          </a:r>
        </a:p>
        <a:p>
          <a:pPr eaLnBrk="1" fontAlgn="auto" latinLnBrk="0" hangingPunct="1"/>
          <a:r>
            <a:rPr lang="en-US" sz="1100" baseline="0">
              <a:solidFill>
                <a:schemeClr val="dk1"/>
              </a:solidFill>
              <a:effectLst/>
              <a:latin typeface="+mn-lt"/>
              <a:ea typeface="+mn-ea"/>
              <a:cs typeface="+mn-cs"/>
            </a:rPr>
            <a:t>*Added new FY27 </a:t>
          </a:r>
          <a:r>
            <a:rPr lang="en-US" sz="1100" b="1" baseline="0">
              <a:solidFill>
                <a:schemeClr val="dk1"/>
              </a:solidFill>
              <a:effectLst/>
              <a:latin typeface="+mn-lt"/>
              <a:ea typeface="+mn-ea"/>
              <a:cs typeface="+mn-cs"/>
            </a:rPr>
            <a:t>Pooled Fringe Rates</a:t>
          </a:r>
          <a:r>
            <a:rPr lang="en-US" sz="1100" baseline="0">
              <a:solidFill>
                <a:schemeClr val="dk1"/>
              </a:solidFill>
              <a:effectLst/>
              <a:latin typeface="+mn-lt"/>
              <a:ea typeface="+mn-ea"/>
              <a:cs typeface="+mn-cs"/>
            </a:rPr>
            <a:t>: </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  -</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Changed Other Pers, Senior Pers,</a:t>
          </a:r>
          <a:r>
            <a:rPr lang="en-US" sz="1100" baseline="0">
              <a:solidFill>
                <a:schemeClr val="dk1"/>
              </a:solidFill>
              <a:effectLst/>
              <a:latin typeface="+mn-lt"/>
              <a:ea typeface="+mn-ea"/>
              <a:cs typeface="+mn-cs"/>
            </a:rPr>
            <a:t> and Grad Asst </a:t>
          </a:r>
          <a:r>
            <a:rPr lang="en-US" sz="1100">
              <a:solidFill>
                <a:schemeClr val="dk1"/>
              </a:solidFill>
              <a:effectLst/>
              <a:latin typeface="+mn-lt"/>
              <a:ea typeface="+mn-ea"/>
              <a:cs typeface="+mn-cs"/>
            </a:rPr>
            <a:t>tabs</a:t>
          </a:r>
          <a:r>
            <a:rPr lang="en-US" sz="1100" baseline="0">
              <a:solidFill>
                <a:schemeClr val="dk1"/>
              </a:solidFill>
              <a:effectLst/>
              <a:latin typeface="+mn-lt"/>
              <a:ea typeface="+mn-ea"/>
              <a:cs typeface="+mn-cs"/>
            </a:rPr>
            <a:t> to use new Pooled Fringe Rates. Uses same Period 1 fringe rate escalation strategy based on start date. Does not escalate Student Employees rate.  </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  - Updated Data Input tab for Other Personnel to select Position = employee classification. For Senior Personnel, added Postdoc option to Tenure Status; if selected, the postdoc pooled fringe rate will be used. </a:t>
          </a:r>
        </a:p>
        <a:p>
          <a:pPr eaLnBrk="1" fontAlgn="auto" latinLnBrk="0" hangingPunct="1"/>
          <a:r>
            <a:rPr lang="en-US" sz="1100" baseline="0">
              <a:solidFill>
                <a:schemeClr val="dk1"/>
              </a:solidFill>
              <a:effectLst/>
              <a:latin typeface="+mn-lt"/>
              <a:ea typeface="+mn-ea"/>
              <a:cs typeface="+mn-cs"/>
            </a:rPr>
            <a:t>  - Removed Hire Date column heading on Data Input tab (no longer needed). For hourly students, removed Hiring Period column heading. </a:t>
          </a:r>
        </a:p>
        <a:p>
          <a:pPr eaLnBrk="1" fontAlgn="auto" latinLnBrk="0" hangingPunct="1"/>
          <a:r>
            <a:rPr lang="en-US" sz="1100" baseline="0">
              <a:solidFill>
                <a:schemeClr val="dk1"/>
              </a:solidFill>
              <a:effectLst/>
              <a:latin typeface="+mn-lt"/>
              <a:ea typeface="+mn-ea"/>
              <a:cs typeface="+mn-cs"/>
            </a:rPr>
            <a:t>  - Rearranged fringe section of Reference Sheet. </a:t>
          </a:r>
        </a:p>
        <a:p>
          <a:pPr eaLnBrk="1" fontAlgn="auto" latinLnBrk="0" hangingPunct="1"/>
          <a:r>
            <a:rPr lang="en-US">
              <a:effectLst/>
            </a:rPr>
            <a:t>*Fixed cost share org autofill functionality on Budget tab.</a:t>
          </a:r>
          <a:r>
            <a:rPr lang="en-US" baseline="0">
              <a:effectLst/>
            </a:rPr>
            <a:t> The RoundCents macro still breaks this array formula. </a:t>
          </a:r>
          <a:endParaRPr lang="en-US">
            <a:effectLst/>
          </a:endParaRPr>
        </a:p>
        <a:p>
          <a:pPr eaLnBrk="1" fontAlgn="auto" latinLnBrk="0" hangingPunct="1"/>
          <a:endParaRPr lang="en-US">
            <a:effectLst/>
          </a:endParaRPr>
        </a:p>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710565</xdr:colOff>
      <xdr:row>37</xdr:row>
      <xdr:rowOff>51435</xdr:rowOff>
    </xdr:from>
    <xdr:to>
      <xdr:col>23</xdr:col>
      <xdr:colOff>681990</xdr:colOff>
      <xdr:row>41</xdr:row>
      <xdr:rowOff>79840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11188065" y="8242935"/>
          <a:ext cx="7086600" cy="809455"/>
        </a:xfrm>
        <a:prstGeom prst="rect">
          <a:avLst/>
        </a:prstGeom>
        <a:effectLst>
          <a:outerShdw blurRad="63500" sx="102000" sy="102000" algn="ctr" rotWithShape="0">
            <a:prstClr val="black">
              <a:alpha val="40000"/>
            </a:prstClr>
          </a:outerShdw>
        </a:effectLst>
      </xdr:spPr>
    </xdr:pic>
    <xdr:clientData/>
  </xdr:twoCellAnchor>
  <xdr:twoCellAnchor>
    <xdr:from>
      <xdr:col>13</xdr:col>
      <xdr:colOff>357187</xdr:colOff>
      <xdr:row>18</xdr:row>
      <xdr:rowOff>11906</xdr:rowOff>
    </xdr:from>
    <xdr:to>
      <xdr:col>17</xdr:col>
      <xdr:colOff>0</xdr:colOff>
      <xdr:row>24</xdr:row>
      <xdr:rowOff>190499</xdr:rowOff>
    </xdr:to>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9977437" y="4119562"/>
          <a:ext cx="3988594" cy="1607343"/>
        </a:xfrm>
        <a:prstGeom prst="rect">
          <a:avLst/>
        </a:prstGeom>
        <a:solidFill>
          <a:schemeClr val="accent2">
            <a:lumMod val="20000"/>
            <a:lumOff val="80000"/>
          </a:schemeClr>
        </a:solidFill>
        <a:ln w="38100" cmpd="sng">
          <a:solidFill>
            <a:schemeClr val="accent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200" b="1" i="0">
              <a:solidFill>
                <a:schemeClr val="dk1"/>
              </a:solidFill>
              <a:effectLst/>
              <a:latin typeface="+mn-lt"/>
              <a:ea typeface="+mn-ea"/>
              <a:cs typeface="+mn-cs"/>
            </a:rPr>
            <a:t>Notes:</a:t>
          </a:r>
          <a:r>
            <a:rPr lang="en-US" sz="1200" b="1" i="0" baseline="0">
              <a:solidFill>
                <a:schemeClr val="dk1"/>
              </a:solidFill>
              <a:effectLst/>
              <a:latin typeface="+mn-lt"/>
              <a:ea typeface="+mn-ea"/>
              <a:cs typeface="+mn-cs"/>
            </a:rPr>
            <a:t> </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200" b="0" i="0">
              <a:solidFill>
                <a:schemeClr val="dk1"/>
              </a:solidFill>
              <a:effectLst/>
              <a:latin typeface="+mn-lt"/>
              <a:ea typeface="+mn-ea"/>
              <a:cs typeface="+mn-cs"/>
            </a:rPr>
            <a:t>OSU Academic Year is shown as the </a:t>
          </a:r>
          <a:r>
            <a:rPr lang="en-US" sz="1200" b="1" i="0">
              <a:solidFill>
                <a:schemeClr val="dk1"/>
              </a:solidFill>
              <a:effectLst/>
              <a:latin typeface="+mn-lt"/>
              <a:ea typeface="+mn-ea"/>
              <a:cs typeface="+mn-cs"/>
            </a:rPr>
            <a:t>ending </a:t>
          </a:r>
          <a:r>
            <a:rPr lang="en-US" sz="1200" b="0" i="0">
              <a:solidFill>
                <a:schemeClr val="dk1"/>
              </a:solidFill>
              <a:effectLst/>
              <a:latin typeface="+mn-lt"/>
              <a:ea typeface="+mn-ea"/>
              <a:cs typeface="+mn-cs"/>
            </a:rPr>
            <a:t>calendar year, i.e., 2024 instead of 2023-24 like we're used to seeing, because this ending year is used in budget formulas to select the correct tuition.</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200" b="0" i="0">
              <a:solidFill>
                <a:schemeClr val="dk1"/>
              </a:solidFill>
              <a:effectLst/>
              <a:latin typeface="+mn-lt"/>
              <a:ea typeface="+mn-ea"/>
              <a:cs typeface="+mn-cs"/>
            </a:rPr>
            <a:t>Each OSU AY </a:t>
          </a:r>
          <a:r>
            <a:rPr lang="en-US" sz="1200" b="1" i="0">
              <a:solidFill>
                <a:schemeClr val="dk1"/>
              </a:solidFill>
              <a:effectLst/>
              <a:latin typeface="+mn-lt"/>
              <a:ea typeface="+mn-ea"/>
              <a:cs typeface="+mn-cs"/>
            </a:rPr>
            <a:t>starts </a:t>
          </a:r>
          <a:r>
            <a:rPr lang="en-US" sz="1200" b="0" i="0">
              <a:solidFill>
                <a:schemeClr val="dk1"/>
              </a:solidFill>
              <a:effectLst/>
              <a:latin typeface="+mn-lt"/>
              <a:ea typeface="+mn-ea"/>
              <a:cs typeface="+mn-cs"/>
            </a:rPr>
            <a:t>with Summer term, i.e., the Summer 2024 term actually takes place in Jun-Aug 2023. </a:t>
          </a:r>
        </a:p>
        <a:p>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85513</xdr:colOff>
      <xdr:row>39</xdr:row>
      <xdr:rowOff>93980</xdr:rowOff>
    </xdr:from>
    <xdr:to>
      <xdr:col>9</xdr:col>
      <xdr:colOff>390525</xdr:colOff>
      <xdr:row>44</xdr:row>
      <xdr:rowOff>113453</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7867438" y="7742555"/>
          <a:ext cx="2638637" cy="971973"/>
        </a:xfrm>
        <a:prstGeom prst="rect">
          <a:avLst/>
        </a:prstGeom>
        <a:solidFill>
          <a:schemeClr val="accent6">
            <a:lumMod val="20000"/>
            <a:lumOff val="80000"/>
          </a:schemeClr>
        </a:soli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GA salary </a:t>
          </a:r>
          <a:r>
            <a:rPr lang="en-US" sz="1100" baseline="0">
              <a:solidFill>
                <a:schemeClr val="dk1"/>
              </a:solidFill>
              <a:effectLst/>
              <a:latin typeface="+mn-lt"/>
              <a:ea typeface="+mn-ea"/>
              <a:cs typeface="+mn-cs"/>
            </a:rPr>
            <a:t>for all other colleges </a:t>
          </a:r>
          <a:r>
            <a:rPr lang="en-US" sz="1100"/>
            <a:t>defaults</a:t>
          </a:r>
          <a:r>
            <a:rPr lang="en-US" sz="1100" baseline="0"/>
            <a:t> to the lowest Engineering rate. </a:t>
          </a:r>
          <a:r>
            <a:rPr lang="en-US" sz="1100" b="1" baseline="0"/>
            <a:t>If you have a current rate for a GA in another college</a:t>
          </a:r>
          <a:r>
            <a:rPr lang="en-US" sz="1100" baseline="0"/>
            <a:t>, please enter here and add a comment with the date and source. </a:t>
          </a:r>
          <a:endParaRPr lang="en-US" sz="1100"/>
        </a:p>
      </xdr:txBody>
    </xdr:sp>
    <xdr:clientData/>
  </xdr:twoCellAnchor>
  <xdr:twoCellAnchor>
    <xdr:from>
      <xdr:col>8</xdr:col>
      <xdr:colOff>618279</xdr:colOff>
      <xdr:row>26</xdr:row>
      <xdr:rowOff>50800</xdr:rowOff>
    </xdr:from>
    <xdr:to>
      <xdr:col>11</xdr:col>
      <xdr:colOff>581024</xdr:colOff>
      <xdr:row>30</xdr:row>
      <xdr:rowOff>69851</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10343304" y="5575300"/>
          <a:ext cx="2782145" cy="790576"/>
        </a:xfrm>
        <a:prstGeom prst="rect">
          <a:avLst/>
        </a:prstGeom>
        <a:solidFill>
          <a:schemeClr val="accent1">
            <a:lumMod val="40000"/>
            <a:lumOff val="60000"/>
          </a:schemeClr>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u="sng">
              <a:solidFill>
                <a:srgbClr val="0070C0"/>
              </a:solidFill>
            </a:rPr>
            <a:t>http://www.oregon.gov/boli/workers/Pages/minimum-wage-schedule.aspx  </a:t>
          </a:r>
        </a:p>
        <a:p>
          <a:r>
            <a:rPr lang="en-US" sz="1100"/>
            <a:t>2023</a:t>
          </a:r>
          <a:r>
            <a:rPr lang="en-US" sz="1100" baseline="0"/>
            <a:t> - </a:t>
          </a:r>
          <a:r>
            <a:rPr lang="en-US"/>
            <a:t>Adjusted by April 30th each year based on average Consumer Price Index.</a:t>
          </a:r>
          <a:endParaRPr lang="en-US" sz="1100"/>
        </a:p>
      </xdr:txBody>
    </xdr:sp>
    <xdr:clientData/>
  </xdr:twoCellAnchor>
  <xdr:twoCellAnchor editAs="oneCell">
    <xdr:from>
      <xdr:col>13</xdr:col>
      <xdr:colOff>233257</xdr:colOff>
      <xdr:row>49</xdr:row>
      <xdr:rowOff>55034</xdr:rowOff>
    </xdr:from>
    <xdr:to>
      <xdr:col>15</xdr:col>
      <xdr:colOff>428414</xdr:colOff>
      <xdr:row>49</xdr:row>
      <xdr:rowOff>174413</xdr:rowOff>
    </xdr:to>
    <xdr:pic>
      <xdr:nvPicPr>
        <xdr:cNvPr id="4" name="Picture 3">
          <a:extLst>
            <a:ext uri="{FF2B5EF4-FFF2-40B4-BE49-F238E27FC236}">
              <a16:creationId xmlns:a16="http://schemas.microsoft.com/office/drawing/2014/main" id="{00000000-0008-0000-0A00-000004000000}"/>
            </a:ext>
          </a:extLst>
        </xdr:cNvPr>
        <xdr:cNvPicPr>
          <a:picLocks noChangeAspect="1"/>
        </xdr:cNvPicPr>
      </xdr:nvPicPr>
      <xdr:blipFill rotWithShape="1">
        <a:blip xmlns:r="http://schemas.openxmlformats.org/officeDocument/2006/relationships" r:embed="rId1"/>
        <a:srcRect l="791" t="5228" r="77464" b="79088"/>
        <a:stretch/>
      </xdr:blipFill>
      <xdr:spPr>
        <a:xfrm>
          <a:off x="14078797" y="10662074"/>
          <a:ext cx="1787737" cy="119379"/>
        </a:xfrm>
        <a:prstGeom prst="rect">
          <a:avLst/>
        </a:prstGeom>
        <a:ln w="15875">
          <a:solidFill>
            <a:schemeClr val="tx1"/>
          </a:solidFill>
        </a:ln>
      </xdr:spPr>
    </xdr:pic>
    <xdr:clientData/>
  </xdr:twoCellAnchor>
  <xdr:twoCellAnchor editAs="oneCell">
    <xdr:from>
      <xdr:col>15</xdr:col>
      <xdr:colOff>967316</xdr:colOff>
      <xdr:row>53</xdr:row>
      <xdr:rowOff>329352</xdr:rowOff>
    </xdr:from>
    <xdr:to>
      <xdr:col>26</xdr:col>
      <xdr:colOff>5989</xdr:colOff>
      <xdr:row>57</xdr:row>
      <xdr:rowOff>29810</xdr:rowOff>
    </xdr:to>
    <xdr:pic>
      <xdr:nvPicPr>
        <xdr:cNvPr id="12" name="Picture 11">
          <a:extLst>
            <a:ext uri="{FF2B5EF4-FFF2-40B4-BE49-F238E27FC236}">
              <a16:creationId xmlns:a16="http://schemas.microsoft.com/office/drawing/2014/main" id="{00000000-0008-0000-0A00-00000C000000}"/>
            </a:ext>
          </a:extLst>
        </xdr:cNvPr>
        <xdr:cNvPicPr>
          <a:picLocks noChangeAspect="1"/>
        </xdr:cNvPicPr>
      </xdr:nvPicPr>
      <xdr:blipFill rotWithShape="1">
        <a:blip xmlns:r="http://schemas.openxmlformats.org/officeDocument/2006/relationships" r:embed="rId1"/>
        <a:srcRect t="24833"/>
        <a:stretch/>
      </xdr:blipFill>
      <xdr:spPr>
        <a:xfrm>
          <a:off x="17022656" y="11858412"/>
          <a:ext cx="8239823" cy="584378"/>
        </a:xfrm>
        <a:prstGeom prst="rect">
          <a:avLst/>
        </a:prstGeom>
        <a:ln w="15875">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59055</xdr:colOff>
      <xdr:row>21</xdr:row>
      <xdr:rowOff>120016</xdr:rowOff>
    </xdr:from>
    <xdr:to>
      <xdr:col>1</xdr:col>
      <xdr:colOff>4922520</xdr:colOff>
      <xdr:row>33</xdr:row>
      <xdr:rowOff>91440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59055" y="7252336"/>
          <a:ext cx="6364605" cy="2165984"/>
        </a:xfrm>
        <a:prstGeom prst="rect">
          <a:avLst/>
        </a:prstGeom>
        <a:solidFill>
          <a:schemeClr val="lt1"/>
        </a:solidFill>
        <a:ln w="25400" cmpd="sng">
          <a:solidFill>
            <a:schemeClr val="accent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Macro Enabled: </a:t>
          </a:r>
          <a:endParaRPr lang="en-US" sz="1100">
            <a:solidFill>
              <a:schemeClr val="dk1"/>
            </a:solidFill>
            <a:effectLst/>
            <a:latin typeface="+mn-lt"/>
            <a:ea typeface="+mn-ea"/>
            <a:cs typeface="+mn-cs"/>
          </a:endParaRPr>
        </a:p>
        <a:p>
          <a:pPr marL="171450" indent="-171450">
            <a:buFont typeface="Arial" panose="020B0604020202020204" pitchFamily="34" charset="0"/>
            <a:buChar char="•"/>
          </a:pPr>
          <a:r>
            <a:rPr lang="en-US" sz="1100">
              <a:solidFill>
                <a:schemeClr val="dk1"/>
              </a:solidFill>
              <a:effectLst/>
              <a:latin typeface="+mn-lt"/>
              <a:ea typeface="+mn-ea"/>
              <a:cs typeface="+mn-cs"/>
            </a:rPr>
            <a:t>Macros are saved as part of this</a:t>
          </a:r>
          <a:r>
            <a:rPr lang="en-US" sz="1100" baseline="0">
              <a:solidFill>
                <a:schemeClr val="dk1"/>
              </a:solidFill>
              <a:effectLst/>
              <a:latin typeface="+mn-lt"/>
              <a:ea typeface="+mn-ea"/>
              <a:cs typeface="+mn-cs"/>
            </a:rPr>
            <a:t> budget template and will be available in any new budget.</a:t>
          </a:r>
          <a:endParaRPr lang="en-US" sz="1100">
            <a:solidFill>
              <a:schemeClr val="dk1"/>
            </a:solidFill>
            <a:effectLst/>
            <a:latin typeface="+mn-lt"/>
            <a:ea typeface="+mn-ea"/>
            <a:cs typeface="+mn-cs"/>
          </a:endParaRPr>
        </a:p>
        <a:p>
          <a:pPr marL="171450" indent="-171450">
            <a:buFont typeface="Arial" panose="020B0604020202020204" pitchFamily="34" charset="0"/>
            <a:buChar char="•"/>
          </a:pPr>
          <a:r>
            <a:rPr lang="en-US" sz="1100">
              <a:solidFill>
                <a:schemeClr val="dk1"/>
              </a:solidFill>
              <a:effectLst/>
              <a:latin typeface="+mn-lt"/>
              <a:ea typeface="+mn-ea"/>
              <a:cs typeface="+mn-cs"/>
            </a:rPr>
            <a:t>To add these macros to an existing budget spreadsheet, save as a Macro-Enabled Workbook, then select Developer - Visual Basic - File - Import file, go to </a:t>
          </a:r>
          <a:r>
            <a:rPr lang="en-US" sz="1100" b="1">
              <a:solidFill>
                <a:schemeClr val="dk1"/>
              </a:solidFill>
              <a:effectLst/>
              <a:latin typeface="+mn-lt"/>
              <a:ea typeface="+mn-ea"/>
              <a:cs typeface="+mn-cs"/>
            </a:rPr>
            <a:t>R:\Forms\Excel_budget_macros </a:t>
          </a:r>
          <a:r>
            <a:rPr lang="en-US" sz="1100">
              <a:solidFill>
                <a:schemeClr val="dk1"/>
              </a:solidFill>
              <a:effectLst/>
              <a:latin typeface="+mn-lt"/>
              <a:ea typeface="+mn-ea"/>
              <a:cs typeface="+mn-cs"/>
            </a:rPr>
            <a:t>folder, and select appropriate .bas</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files. </a:t>
          </a:r>
        </a:p>
        <a:p>
          <a:pPr marL="171450" indent="-171450">
            <a:buFont typeface="Arial" panose="020B0604020202020204" pitchFamily="34" charset="0"/>
            <a:buChar char="•"/>
          </a:pPr>
          <a:r>
            <a:rPr lang="en-US" sz="1100">
              <a:solidFill>
                <a:schemeClr val="dk1"/>
              </a:solidFill>
              <a:effectLst/>
              <a:latin typeface="+mn-lt"/>
              <a:ea typeface="+mn-ea"/>
              <a:cs typeface="+mn-cs"/>
            </a:rPr>
            <a:t>If you add these macros to your Personal.xlsb workbook, then they’ll be available to use in any macro-enabled workbook that you open on your computer. </a:t>
          </a:r>
          <a:endParaRPr lang="en-US" sz="1100">
            <a:effectLst/>
          </a:endParaRPr>
        </a:p>
        <a:p>
          <a:pPr marL="171450" indent="-171450">
            <a:buFont typeface="Arial" panose="020B0604020202020204" pitchFamily="34" charset="0"/>
            <a:buChar char="•"/>
          </a:pPr>
          <a:r>
            <a:rPr lang="en-US" sz="1100">
              <a:solidFill>
                <a:schemeClr val="dk1"/>
              </a:solidFill>
              <a:effectLst/>
              <a:latin typeface="+mn-lt"/>
              <a:ea typeface="+mn-ea"/>
              <a:cs typeface="+mn-cs"/>
            </a:rPr>
            <a:t>To remove all macros from a spreadsheet, simply save as an Excel Workbook (the default) instead of an Excel Macro-Enabled Workbook. </a:t>
          </a:r>
          <a:endParaRPr lang="en-US" sz="1100">
            <a:effectLst/>
          </a:endParaRPr>
        </a:p>
        <a:p>
          <a:pPr marL="171450" indent="-171450">
            <a:buFont typeface="Arial" panose="020B0604020202020204" pitchFamily="34" charset="0"/>
            <a:buChar char="•"/>
          </a:pPr>
          <a:r>
            <a:rPr lang="en-US" sz="1100">
              <a:solidFill>
                <a:schemeClr val="dk1"/>
              </a:solidFill>
              <a:effectLst/>
              <a:latin typeface="+mn-lt"/>
              <a:ea typeface="+mn-ea"/>
              <a:cs typeface="+mn-cs"/>
            </a:rPr>
            <a:t>To keep macros but remove the macro warning, you need to set your current folder on the R drive as a Trusted Location in Excel (File - Options - Trust Center - Settings - Location - Allow Trusted Locations on my network - Add new location).  </a:t>
          </a:r>
          <a:endParaRPr lang="en-US" sz="1100">
            <a:effectLst/>
          </a:endParaRPr>
        </a:p>
        <a:p>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oneCellAnchor>
    <xdr:from>
      <xdr:col>0</xdr:col>
      <xdr:colOff>342900</xdr:colOff>
      <xdr:row>14</xdr:row>
      <xdr:rowOff>53340</xdr:rowOff>
    </xdr:from>
    <xdr:ext cx="6728460" cy="3802380"/>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342900" y="2727960"/>
          <a:ext cx="6728460" cy="38023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228600" indent="-228600" algn="l">
            <a:spcBef>
              <a:spcPts val="600"/>
            </a:spcBef>
          </a:pPr>
          <a:r>
            <a:rPr lang="en-US" sz="1100" b="0" i="0" u="none" strike="noStrike">
              <a:solidFill>
                <a:schemeClr val="dk1"/>
              </a:solidFill>
              <a:effectLst/>
              <a:latin typeface="+mn-lt"/>
              <a:ea typeface="+mn-ea"/>
              <a:cs typeface="+mn-cs"/>
            </a:rPr>
            <a:t>1.   The PI will work with the Proposal Manager to determine appropriate source(s) of committed cost sharing funds and total amount</a:t>
          </a:r>
          <a:r>
            <a:rPr lang="en-US" sz="1100" b="0" i="0" u="none" strike="noStrike" baseline="0">
              <a:solidFill>
                <a:schemeClr val="dk1"/>
              </a:solidFill>
              <a:effectLst/>
              <a:latin typeface="+mn-lt"/>
              <a:ea typeface="+mn-ea"/>
              <a:cs typeface="+mn-cs"/>
            </a:rPr>
            <a:t> needed</a:t>
          </a:r>
          <a:r>
            <a:rPr lang="en-US" sz="1100" b="0" i="0" u="none" strike="noStrike">
              <a:solidFill>
                <a:schemeClr val="dk1"/>
              </a:solidFill>
              <a:effectLst/>
              <a:latin typeface="+mn-lt"/>
              <a:ea typeface="+mn-ea"/>
              <a:cs typeface="+mn-cs"/>
            </a:rPr>
            <a:t>.</a:t>
          </a:r>
          <a:r>
            <a:rPr lang="en-US" sz="1100" b="0" i="0" u="none" strike="noStrike" baseline="0">
              <a:solidFill>
                <a:schemeClr val="dk1"/>
              </a:solidFill>
              <a:effectLst/>
              <a:latin typeface="+mn-lt"/>
              <a:ea typeface="+mn-ea"/>
              <a:cs typeface="+mn-cs"/>
            </a:rPr>
            <a:t>  </a:t>
          </a:r>
          <a:endParaRPr lang="en-US"/>
        </a:p>
        <a:p>
          <a:pPr marL="228600" indent="-228600" algn="l">
            <a:spcBef>
              <a:spcPts val="600"/>
            </a:spcBef>
          </a:pPr>
          <a:r>
            <a:rPr lang="en-US" sz="1100" b="0" i="0" u="none" strike="noStrike">
              <a:solidFill>
                <a:schemeClr val="dk1"/>
              </a:solidFill>
              <a:effectLst/>
              <a:latin typeface="+mn-lt"/>
              <a:ea typeface="+mn-ea"/>
              <a:cs typeface="+mn-cs"/>
            </a:rPr>
            <a:t>2.</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If OSU cost sharing other than faculty effort is proposed, the Proposal Manager will advise the PI on the </a:t>
          </a:r>
          <a:r>
            <a:rPr lang="en-US" sz="1100" b="0" i="0" baseline="0">
              <a:solidFill>
                <a:schemeClr val="dk1"/>
              </a:solidFill>
              <a:effectLst/>
              <a:latin typeface="+mn-lt"/>
              <a:ea typeface="+mn-ea"/>
              <a:cs typeface="+mn-cs"/>
            </a:rPr>
            <a:t>process and timeline to request cost sharing from other sources, and will assist the PI as needed. </a:t>
          </a:r>
          <a:endParaRPr lang="en-US"/>
        </a:p>
        <a:p>
          <a:pPr marL="457200" indent="-228600" algn="l">
            <a:spcBef>
              <a:spcPts val="600"/>
            </a:spcBef>
          </a:pPr>
          <a:r>
            <a:rPr lang="en-US" sz="1100" b="0" i="0" u="none" strike="noStrike">
              <a:solidFill>
                <a:schemeClr val="dk1"/>
              </a:solidFill>
              <a:effectLst/>
              <a:latin typeface="+mn-lt"/>
              <a:ea typeface="+mn-ea"/>
              <a:cs typeface="+mn-cs"/>
            </a:rPr>
            <a:t>a. 	</a:t>
          </a:r>
          <a:r>
            <a:rPr lang="en-US" sz="1100" b="0" i="0" baseline="0">
              <a:solidFill>
                <a:schemeClr val="dk1"/>
              </a:solidFill>
              <a:effectLst/>
              <a:latin typeface="+mn-lt"/>
              <a:ea typeface="+mn-ea"/>
              <a:cs typeface="+mn-cs"/>
            </a:rPr>
            <a:t>The Proposal Manager may </a:t>
          </a:r>
          <a:r>
            <a:rPr lang="en-US" sz="1100" b="0" i="0">
              <a:solidFill>
                <a:schemeClr val="dk1"/>
              </a:solidFill>
              <a:effectLst/>
              <a:latin typeface="+mn-lt"/>
              <a:ea typeface="+mn-ea"/>
              <a:cs typeface="+mn-cs"/>
            </a:rPr>
            <a:t>send a</a:t>
          </a:r>
          <a:r>
            <a:rPr lang="en-US" sz="1100" b="0" i="0" baseline="0">
              <a:solidFill>
                <a:schemeClr val="dk1"/>
              </a:solidFill>
              <a:effectLst/>
              <a:latin typeface="+mn-lt"/>
              <a:ea typeface="+mn-ea"/>
              <a:cs typeface="+mn-cs"/>
            </a:rPr>
            <a:t> draft cost share authorization </a:t>
          </a:r>
          <a:r>
            <a:rPr lang="en-US" sz="1100" b="0" i="0">
              <a:solidFill>
                <a:schemeClr val="dk1"/>
              </a:solidFill>
              <a:effectLst/>
              <a:latin typeface="+mn-lt"/>
              <a:ea typeface="+mn-ea"/>
              <a:cs typeface="+mn-cs"/>
            </a:rPr>
            <a:t>form to the appropriate Grant</a:t>
          </a:r>
          <a:r>
            <a:rPr lang="en-US" sz="1100" b="0" i="0" baseline="0">
              <a:solidFill>
                <a:schemeClr val="dk1"/>
              </a:solidFill>
              <a:effectLst/>
              <a:latin typeface="+mn-lt"/>
              <a:ea typeface="+mn-ea"/>
              <a:cs typeface="+mn-cs"/>
            </a:rPr>
            <a:t> </a:t>
          </a:r>
          <a:r>
            <a:rPr lang="en-US" sz="1100" b="0" i="0">
              <a:solidFill>
                <a:schemeClr val="dk1"/>
              </a:solidFill>
              <a:effectLst/>
              <a:latin typeface="+mn-lt"/>
              <a:ea typeface="+mn-ea"/>
              <a:cs typeface="+mn-cs"/>
            </a:rPr>
            <a:t>Accountant for review</a:t>
          </a:r>
          <a:r>
            <a:rPr lang="en-US" sz="1100" b="0" i="0" baseline="0">
              <a:solidFill>
                <a:schemeClr val="dk1"/>
              </a:solidFill>
              <a:effectLst/>
              <a:latin typeface="+mn-lt"/>
              <a:ea typeface="+mn-ea"/>
              <a:cs typeface="+mn-cs"/>
            </a:rPr>
            <a:t> of availability and allowability of other OSU cost share sources.</a:t>
          </a:r>
          <a:r>
            <a:rPr lang="en-US"/>
            <a:t> </a:t>
          </a:r>
        </a:p>
        <a:p>
          <a:pPr marL="228600" marR="0" lvl="0" indent="-228600" algn="l" defTabSz="914400" eaLnBrk="1" fontAlgn="auto" latinLnBrk="0" hangingPunct="1">
            <a:lnSpc>
              <a:spcPct val="100000"/>
            </a:lnSpc>
            <a:spcBef>
              <a:spcPts val="600"/>
            </a:spcBef>
            <a:spcAft>
              <a:spcPts val="0"/>
            </a:spcAft>
            <a:buClrTx/>
            <a:buSzTx/>
            <a:buFontTx/>
            <a:buNone/>
            <a:tabLst/>
            <a:defRPr/>
          </a:pPr>
          <a:r>
            <a:rPr lang="en-US" sz="1100" b="0" i="0">
              <a:solidFill>
                <a:schemeClr val="dk1"/>
              </a:solidFill>
              <a:effectLst/>
              <a:latin typeface="+mn-lt"/>
              <a:ea typeface="+mn-ea"/>
              <a:cs typeface="+mn-cs"/>
            </a:rPr>
            <a:t>3.   If any third party cost sharing is proposed, the PI will work with the Proposal Manager to request commitment letter(s) with the required details.</a:t>
          </a:r>
          <a:r>
            <a:rPr lang="en-US" sz="1100">
              <a:solidFill>
                <a:schemeClr val="dk1"/>
              </a:solidFill>
              <a:effectLst/>
              <a:latin typeface="+mn-lt"/>
              <a:ea typeface="+mn-ea"/>
              <a:cs typeface="+mn-cs"/>
            </a:rPr>
            <a:t> </a:t>
          </a:r>
          <a:r>
            <a:rPr lang="en-US" sz="1100" b="1">
              <a:solidFill>
                <a:schemeClr val="dk1"/>
              </a:solidFill>
              <a:effectLst/>
              <a:latin typeface="+mn-lt"/>
              <a:ea typeface="+mn-ea"/>
              <a:cs typeface="+mn-cs"/>
            </a:rPr>
            <a:t>CAUTION: </a:t>
          </a:r>
          <a:r>
            <a:rPr lang="en-US" sz="1100">
              <a:solidFill>
                <a:schemeClr val="dk1"/>
              </a:solidFill>
              <a:effectLst/>
              <a:latin typeface="+mn-lt"/>
              <a:ea typeface="+mn-ea"/>
              <a:cs typeface="+mn-cs"/>
            </a:rPr>
            <a:t>If any third party cannot meet its stated obligation for cost sharing, then the PI's School becomes the back-stop funding source for this</a:t>
          </a:r>
          <a:r>
            <a:rPr lang="en-US" sz="1100" baseline="0">
              <a:solidFill>
                <a:schemeClr val="dk1"/>
              </a:solidFill>
              <a:effectLst/>
              <a:latin typeface="+mn-lt"/>
              <a:ea typeface="+mn-ea"/>
              <a:cs typeface="+mn-cs"/>
            </a:rPr>
            <a:t> committed cost share</a:t>
          </a:r>
          <a:r>
            <a:rPr lang="en-US" sz="1100">
              <a:solidFill>
                <a:schemeClr val="dk1"/>
              </a:solidFill>
              <a:effectLst/>
              <a:latin typeface="+mn-lt"/>
              <a:ea typeface="+mn-ea"/>
              <a:cs typeface="+mn-cs"/>
            </a:rPr>
            <a:t>. </a:t>
          </a:r>
          <a:endParaRPr lang="en-US">
            <a:effectLst/>
          </a:endParaRPr>
        </a:p>
        <a:p>
          <a:pPr marL="228600" indent="-228600" algn="l">
            <a:spcBef>
              <a:spcPts val="600"/>
            </a:spcBef>
          </a:pPr>
          <a:r>
            <a:rPr lang="en-US" sz="1100" b="0" i="0" u="none" strike="noStrike">
              <a:solidFill>
                <a:schemeClr val="dk1"/>
              </a:solidFill>
              <a:effectLst/>
              <a:latin typeface="+mn-lt"/>
              <a:ea typeface="+mn-ea"/>
              <a:cs typeface="+mn-cs"/>
            </a:rPr>
            <a:t>4.   The Proposal Manager will finalize the cost share authorization forms and obtain all appropriate signatures.</a:t>
          </a:r>
          <a:r>
            <a:rPr lang="en-US"/>
            <a:t> </a:t>
          </a:r>
        </a:p>
        <a:p>
          <a:pPr marL="228600" indent="-228600" algn="l">
            <a:spcBef>
              <a:spcPts val="600"/>
            </a:spcBef>
          </a:pPr>
          <a:r>
            <a:rPr lang="en-US" sz="1100" b="0" i="0" u="none" strike="noStrike">
              <a:solidFill>
                <a:schemeClr val="dk1"/>
              </a:solidFill>
              <a:effectLst/>
              <a:latin typeface="+mn-lt"/>
              <a:ea typeface="+mn-ea"/>
              <a:cs typeface="+mn-cs"/>
            </a:rPr>
            <a:t>5.   The Proposal Manager will upload the signed cost share forms to Cayuse </a:t>
          </a:r>
          <a:r>
            <a:rPr lang="en-US" sz="1100" b="0" i="0">
              <a:solidFill>
                <a:schemeClr val="dk1"/>
              </a:solidFill>
              <a:effectLst/>
              <a:latin typeface="+mn-lt"/>
              <a:ea typeface="+mn-ea"/>
              <a:cs typeface="+mn-cs"/>
            </a:rPr>
            <a:t>under Proposal Attachments</a:t>
          </a:r>
          <a:r>
            <a:rPr lang="en-US" sz="1100" b="0" i="0" u="none" strike="noStrike">
              <a:solidFill>
                <a:schemeClr val="dk1"/>
              </a:solidFill>
              <a:effectLst/>
              <a:latin typeface="+mn-lt"/>
              <a:ea typeface="+mn-ea"/>
              <a:cs typeface="+mn-cs"/>
            </a:rPr>
            <a:t>, including any third party cost sharing commitment letter.</a:t>
          </a:r>
          <a:r>
            <a:rPr lang="en-US"/>
            <a:t> </a:t>
          </a:r>
        </a:p>
        <a:p>
          <a:pPr marL="228600" marR="0" lvl="0" indent="-228600" algn="l" defTabSz="914400" eaLnBrk="1" fontAlgn="auto" latinLnBrk="0" hangingPunct="1">
            <a:lnSpc>
              <a:spcPct val="100000"/>
            </a:lnSpc>
            <a:spcBef>
              <a:spcPts val="600"/>
            </a:spcBef>
            <a:spcAft>
              <a:spcPts val="0"/>
            </a:spcAft>
            <a:buClrTx/>
            <a:buSzTx/>
            <a:buFontTx/>
            <a:buNone/>
            <a:tabLst/>
            <a:defRPr/>
          </a:pPr>
          <a:r>
            <a:rPr lang="en-US" sz="1100"/>
            <a:t>6.   </a:t>
          </a:r>
          <a:r>
            <a:rPr lang="en-US" sz="1100" b="1">
              <a:solidFill>
                <a:schemeClr val="dk1"/>
              </a:solidFill>
              <a:effectLst/>
              <a:latin typeface="+mn-lt"/>
              <a:ea typeface="+mn-ea"/>
              <a:cs typeface="+mn-cs"/>
            </a:rPr>
            <a:t>For voluntary cost sharing, evidence that cost sharing is a basis for competitiveness is required. </a:t>
          </a:r>
          <a:r>
            <a:rPr lang="en-US" sz="1100" b="0">
              <a:solidFill>
                <a:schemeClr val="dk1"/>
              </a:solidFill>
              <a:effectLst/>
              <a:latin typeface="+mn-lt"/>
              <a:ea typeface="+mn-ea"/>
              <a:cs typeface="+mn-cs"/>
            </a:rPr>
            <a:t>In</a:t>
          </a:r>
          <a:r>
            <a:rPr lang="en-US" sz="1100" b="0" baseline="0">
              <a:solidFill>
                <a:schemeClr val="dk1"/>
              </a:solidFill>
              <a:effectLst/>
              <a:latin typeface="+mn-lt"/>
              <a:ea typeface="+mn-ea"/>
              <a:cs typeface="+mn-cs"/>
            </a:rPr>
            <a:t> Cayuse, p</a:t>
          </a:r>
          <a:r>
            <a:rPr lang="en-US" sz="1100">
              <a:solidFill>
                <a:schemeClr val="dk1"/>
              </a:solidFill>
              <a:effectLst/>
              <a:latin typeface="+mn-lt"/>
              <a:ea typeface="+mn-ea"/>
              <a:cs typeface="+mn-cs"/>
            </a:rPr>
            <a:t>lease indicate specific language from the funding</a:t>
          </a:r>
          <a:r>
            <a:rPr lang="en-US" sz="1100" baseline="0">
              <a:solidFill>
                <a:schemeClr val="dk1"/>
              </a:solidFill>
              <a:effectLst/>
              <a:latin typeface="+mn-lt"/>
              <a:ea typeface="+mn-ea"/>
              <a:cs typeface="+mn-cs"/>
            </a:rPr>
            <a:t> opportunity</a:t>
          </a:r>
          <a:r>
            <a:rPr lang="en-US" sz="1100">
              <a:solidFill>
                <a:schemeClr val="dk1"/>
              </a:solidFill>
              <a:effectLst/>
              <a:latin typeface="+mn-lt"/>
              <a:ea typeface="+mn-ea"/>
              <a:cs typeface="+mn-cs"/>
            </a:rPr>
            <a:t> or published FAQs stating that voluntary cost sharing or other university commitment will</a:t>
          </a:r>
          <a:r>
            <a:rPr lang="en-US" sz="1100" baseline="0">
              <a:solidFill>
                <a:schemeClr val="dk1"/>
              </a:solidFill>
              <a:effectLst/>
              <a:latin typeface="+mn-lt"/>
              <a:ea typeface="+mn-ea"/>
              <a:cs typeface="+mn-cs"/>
            </a:rPr>
            <a:t> be considered as part of the evaluation criteria. </a:t>
          </a:r>
          <a:endParaRPr lang="en-US" sz="1100"/>
        </a:p>
      </xdr:txBody>
    </xdr:sp>
    <xdr:clientData/>
  </xdr:oneCellAnchor>
</xdr:wsDr>
</file>

<file path=xl/drawings/drawing8.xml><?xml version="1.0" encoding="utf-8"?>
<xdr:wsDr xmlns:xdr="http://schemas.openxmlformats.org/drawingml/2006/spreadsheetDrawing" xmlns:a="http://schemas.openxmlformats.org/drawingml/2006/main">
  <xdr:oneCellAnchor>
    <xdr:from>
      <xdr:col>0</xdr:col>
      <xdr:colOff>0</xdr:colOff>
      <xdr:row>25</xdr:row>
      <xdr:rowOff>91439</xdr:rowOff>
    </xdr:from>
    <xdr:ext cx="6545580" cy="3042285"/>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0" y="5520689"/>
          <a:ext cx="6545580" cy="304228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nSpc>
              <a:spcPct val="100000"/>
            </a:lnSpc>
            <a:spcBef>
              <a:spcPts val="600"/>
            </a:spcBef>
            <a:spcAft>
              <a:spcPts val="0"/>
            </a:spcAft>
          </a:pPr>
          <a:r>
            <a:rPr lang="en-US" sz="1100" b="1"/>
            <a:t>Things</a:t>
          </a:r>
          <a:r>
            <a:rPr lang="en-US" sz="1100" b="1" baseline="0"/>
            <a:t> to Note:</a:t>
          </a:r>
          <a:endParaRPr lang="en-US" sz="1100" b="1"/>
        </a:p>
        <a:p>
          <a:pPr marL="228600" indent="-228600">
            <a:lnSpc>
              <a:spcPct val="100000"/>
            </a:lnSpc>
            <a:spcBef>
              <a:spcPts val="0"/>
            </a:spcBef>
            <a:spcAft>
              <a:spcPts val="0"/>
            </a:spcAft>
          </a:pPr>
          <a:r>
            <a:rPr lang="en-US" sz="1100">
              <a:solidFill>
                <a:schemeClr val="dk1"/>
              </a:solidFill>
              <a:effectLst/>
              <a:latin typeface="+mn-lt"/>
              <a:ea typeface="+mn-ea"/>
              <a:cs typeface="+mn-cs"/>
            </a:rPr>
            <a:t>1.   If any </a:t>
          </a:r>
          <a:r>
            <a:rPr lang="en-US" sz="1100" b="1">
              <a:solidFill>
                <a:schemeClr val="dk1"/>
              </a:solidFill>
              <a:effectLst/>
              <a:latin typeface="+mn-lt"/>
              <a:ea typeface="+mn-ea"/>
              <a:cs typeface="+mn-cs"/>
            </a:rPr>
            <a:t>third party </a:t>
          </a:r>
          <a:r>
            <a:rPr lang="en-US" sz="1100">
              <a:solidFill>
                <a:schemeClr val="dk1"/>
              </a:solidFill>
              <a:effectLst/>
              <a:latin typeface="+mn-lt"/>
              <a:ea typeface="+mn-ea"/>
              <a:cs typeface="+mn-cs"/>
            </a:rPr>
            <a:t>cannot meet its stated obligation for cost sharing, then the Lead PI's Unit becomes the back-stop funding source for this</a:t>
          </a:r>
          <a:r>
            <a:rPr lang="en-US" sz="1100" baseline="0">
              <a:solidFill>
                <a:schemeClr val="dk1"/>
              </a:solidFill>
              <a:effectLst/>
              <a:latin typeface="+mn-lt"/>
              <a:ea typeface="+mn-ea"/>
              <a:cs typeface="+mn-cs"/>
            </a:rPr>
            <a:t> committed cost share</a:t>
          </a:r>
          <a:r>
            <a:rPr lang="en-US" sz="1100">
              <a:solidFill>
                <a:schemeClr val="dk1"/>
              </a:solidFill>
              <a:effectLst/>
              <a:latin typeface="+mn-lt"/>
              <a:ea typeface="+mn-ea"/>
              <a:cs typeface="+mn-cs"/>
            </a:rPr>
            <a:t>. </a:t>
          </a:r>
        </a:p>
        <a:p>
          <a:pPr marL="228600" marR="0" lvl="0" indent="-22860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2.   </a:t>
          </a:r>
          <a:r>
            <a:rPr lang="en-US" sz="1100" baseline="0">
              <a:solidFill>
                <a:schemeClr val="dk1"/>
              </a:solidFill>
              <a:effectLst/>
              <a:latin typeface="+mn-lt"/>
              <a:ea typeface="+mn-ea"/>
              <a:cs typeface="+mn-cs"/>
            </a:rPr>
            <a:t>College</a:t>
          </a:r>
          <a:r>
            <a:rPr lang="en-US" sz="1100">
              <a:solidFill>
                <a:schemeClr val="dk1"/>
              </a:solidFill>
              <a:effectLst/>
              <a:latin typeface="+mn-lt"/>
              <a:ea typeface="+mn-ea"/>
              <a:cs typeface="+mn-cs"/>
            </a:rPr>
            <a:t> of Engineering cost sharing funds </a:t>
          </a:r>
          <a:r>
            <a:rPr lang="en-US" sz="1100" baseline="0">
              <a:solidFill>
                <a:schemeClr val="dk1"/>
              </a:solidFill>
              <a:effectLst/>
              <a:latin typeface="+mn-lt"/>
              <a:ea typeface="+mn-ea"/>
              <a:cs typeface="+mn-cs"/>
            </a:rPr>
            <a:t>will not be </a:t>
          </a:r>
          <a:r>
            <a:rPr lang="en-US" sz="1100">
              <a:solidFill>
                <a:schemeClr val="dk1"/>
              </a:solidFill>
              <a:effectLst/>
              <a:latin typeface="+mn-lt"/>
              <a:ea typeface="+mn-ea"/>
              <a:cs typeface="+mn-cs"/>
            </a:rPr>
            <a:t>provided</a:t>
          </a:r>
          <a:r>
            <a:rPr lang="en-US" sz="1100" baseline="0">
              <a:solidFill>
                <a:schemeClr val="dk1"/>
              </a:solidFill>
              <a:effectLst/>
              <a:latin typeface="+mn-lt"/>
              <a:ea typeface="+mn-ea"/>
              <a:cs typeface="+mn-cs"/>
            </a:rPr>
            <a:t> </a:t>
          </a:r>
          <a:r>
            <a:rPr lang="en-US" sz="1100" b="1">
              <a:solidFill>
                <a:schemeClr val="dk1"/>
              </a:solidFill>
              <a:effectLst/>
              <a:latin typeface="+mn-lt"/>
              <a:ea typeface="+mn-ea"/>
              <a:cs typeface="+mn-cs"/>
            </a:rPr>
            <a:t>if other funds become available during</a:t>
          </a:r>
          <a:r>
            <a:rPr lang="en-US" sz="1100" b="1" baseline="0">
              <a:solidFill>
                <a:schemeClr val="dk1"/>
              </a:solidFill>
              <a:effectLst/>
              <a:latin typeface="+mn-lt"/>
              <a:ea typeface="+mn-ea"/>
              <a:cs typeface="+mn-cs"/>
            </a:rPr>
            <a:t> the project</a:t>
          </a:r>
          <a:r>
            <a:rPr lang="en-US" sz="1100" b="1">
              <a:solidFill>
                <a:schemeClr val="dk1"/>
              </a:solidFill>
              <a:effectLst/>
              <a:latin typeface="+mn-lt"/>
              <a:ea typeface="+mn-ea"/>
              <a:cs typeface="+mn-cs"/>
            </a:rPr>
            <a:t> </a:t>
          </a:r>
          <a:r>
            <a:rPr lang="en-US" sz="1100">
              <a:solidFill>
                <a:schemeClr val="dk1"/>
              </a:solidFill>
              <a:effectLst/>
              <a:latin typeface="+mn-lt"/>
              <a:ea typeface="+mn-ea"/>
              <a:cs typeface="+mn-cs"/>
            </a:rPr>
            <a:t>to satisfy the required cost sharing. </a:t>
          </a:r>
        </a:p>
        <a:p>
          <a:pPr marL="228600" marR="0" lvl="0" indent="-22860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3.   </a:t>
          </a:r>
          <a:r>
            <a:rPr lang="en-US" sz="1100" b="1">
              <a:solidFill>
                <a:schemeClr val="dk1"/>
              </a:solidFill>
              <a:effectLst/>
              <a:latin typeface="+mn-lt"/>
              <a:ea typeface="+mn-ea"/>
              <a:cs typeface="+mn-cs"/>
            </a:rPr>
            <a:t>Voluntary cost share </a:t>
          </a:r>
          <a:r>
            <a:rPr lang="en-US" sz="1100" b="0">
              <a:solidFill>
                <a:schemeClr val="dk1"/>
              </a:solidFill>
              <a:effectLst/>
              <a:latin typeface="+mn-lt"/>
              <a:ea typeface="+mn-ea"/>
              <a:cs typeface="+mn-cs"/>
            </a:rPr>
            <a:t>is</a:t>
          </a:r>
          <a:r>
            <a:rPr lang="en-US" sz="1100" b="0" baseline="0">
              <a:solidFill>
                <a:schemeClr val="dk1"/>
              </a:solidFill>
              <a:effectLst/>
              <a:latin typeface="+mn-lt"/>
              <a:ea typeface="+mn-ea"/>
              <a:cs typeface="+mn-cs"/>
            </a:rPr>
            <a:t> allowed but generally discouraged</a:t>
          </a:r>
          <a:r>
            <a:rPr lang="en-US" sz="1100" baseline="0">
              <a:solidFill>
                <a:schemeClr val="dk1"/>
              </a:solidFill>
              <a:effectLst/>
              <a:latin typeface="+mn-lt"/>
              <a:ea typeface="+mn-ea"/>
              <a:cs typeface="+mn-cs"/>
            </a:rPr>
            <a:t>. </a:t>
          </a:r>
        </a:p>
        <a:p>
          <a:pPr marL="228600" marR="0" lvl="0" indent="-22860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4.   </a:t>
          </a:r>
          <a:r>
            <a:rPr lang="en-US" sz="1100" b="1" u="none" baseline="0">
              <a:solidFill>
                <a:schemeClr val="dk1"/>
              </a:solidFill>
              <a:effectLst/>
              <a:latin typeface="+mn-lt"/>
              <a:ea typeface="+mn-ea"/>
              <a:cs typeface="+mn-cs"/>
            </a:rPr>
            <a:t>Unrecovered F&amp;A</a:t>
          </a:r>
          <a:r>
            <a:rPr lang="en-US" sz="1100" b="0" u="none" baseline="0">
              <a:solidFill>
                <a:schemeClr val="dk1"/>
              </a:solidFill>
              <a:effectLst/>
              <a:latin typeface="+mn-lt"/>
              <a:ea typeface="+mn-ea"/>
              <a:cs typeface="+mn-cs"/>
            </a:rPr>
            <a:t> refers to the difference in total indirect costs for this project between the sponsor-limited IDC rate and OSU's federal research F&amp;A rate. </a:t>
          </a:r>
        </a:p>
        <a:p>
          <a:pPr marL="228600" marR="0" lvl="0" indent="-228600" defTabSz="914400" eaLnBrk="1" fontAlgn="auto" latinLnBrk="0" hangingPunct="1">
            <a:lnSpc>
              <a:spcPct val="100000"/>
            </a:lnSpc>
            <a:spcBef>
              <a:spcPts val="0"/>
            </a:spcBef>
            <a:spcAft>
              <a:spcPts val="0"/>
            </a:spcAft>
            <a:buClrTx/>
            <a:buSzTx/>
            <a:buFontTx/>
            <a:buNone/>
            <a:tabLst/>
            <a:defRPr/>
          </a:pPr>
          <a:endParaRPr lang="en-US" sz="1100" b="0" u="none" baseline="0">
            <a:solidFill>
              <a:schemeClr val="dk1"/>
            </a:solidFill>
            <a:effectLst/>
            <a:latin typeface="+mn-lt"/>
            <a:ea typeface="+mn-ea"/>
            <a:cs typeface="+mn-cs"/>
          </a:endParaRPr>
        </a:p>
        <a:p>
          <a:pPr marL="228600" marR="0" lvl="0" indent="-228600" defTabSz="914400" eaLnBrk="1" fontAlgn="auto" latinLnBrk="0" hangingPunct="1">
            <a:lnSpc>
              <a:spcPct val="100000"/>
            </a:lnSpc>
            <a:spcBef>
              <a:spcPts val="0"/>
            </a:spcBef>
            <a:spcAft>
              <a:spcPts val="0"/>
            </a:spcAft>
            <a:buClrTx/>
            <a:buSzTx/>
            <a:buFontTx/>
            <a:buNone/>
            <a:tabLst/>
            <a:defRPr/>
          </a:pPr>
          <a:r>
            <a:rPr lang="en-US" sz="1200" b="1" u="none" baseline="0">
              <a:solidFill>
                <a:schemeClr val="accent2">
                  <a:lumMod val="75000"/>
                </a:schemeClr>
              </a:solidFill>
              <a:effectLst/>
              <a:latin typeface="+mn-lt"/>
              <a:ea typeface="+mn-ea"/>
              <a:cs typeface="+mn-cs"/>
            </a:rPr>
            <a:t>For Beaver Research Hub: Cost Share Designated Worktags for AY faculty time, by COE School:</a:t>
          </a:r>
        </a:p>
        <a:p>
          <a:pPr marL="228600" marR="0" lvl="0" indent="-228600" defTabSz="914400" eaLnBrk="1" fontAlgn="auto" latinLnBrk="0" hangingPunct="1">
            <a:lnSpc>
              <a:spcPct val="100000"/>
            </a:lnSpc>
            <a:spcBef>
              <a:spcPts val="0"/>
            </a:spcBef>
            <a:spcAft>
              <a:spcPts val="0"/>
            </a:spcAft>
            <a:buClrTx/>
            <a:buSzTx/>
            <a:buFontTx/>
            <a:buNone/>
            <a:tabLst/>
            <a:defRPr/>
          </a:pPr>
          <a:r>
            <a:rPr lang="en-US" sz="1100">
              <a:solidFill>
                <a:schemeClr val="accent2">
                  <a:lumMod val="75000"/>
                </a:schemeClr>
              </a:solidFill>
            </a:rPr>
            <a:t>CBEE	DN002708	 (was ECB025)</a:t>
          </a:r>
        </a:p>
        <a:p>
          <a:pPr marL="228600" marR="0" lvl="0" indent="-228600" defTabSz="914400" eaLnBrk="1" fontAlgn="auto" latinLnBrk="0" hangingPunct="1">
            <a:lnSpc>
              <a:spcPct val="100000"/>
            </a:lnSpc>
            <a:spcBef>
              <a:spcPts val="0"/>
            </a:spcBef>
            <a:spcAft>
              <a:spcPts val="0"/>
            </a:spcAft>
            <a:buClrTx/>
            <a:buSzTx/>
            <a:buFontTx/>
            <a:buNone/>
            <a:tabLst/>
            <a:defRPr/>
          </a:pPr>
          <a:r>
            <a:rPr lang="en-US" sz="1100">
              <a:solidFill>
                <a:schemeClr val="accent2">
                  <a:lumMod val="75000"/>
                </a:schemeClr>
              </a:solidFill>
            </a:rPr>
            <a:t>CCE		DN002626	 (was ECC025)</a:t>
          </a:r>
        </a:p>
        <a:p>
          <a:pPr marL="228600" marR="0" lvl="0" indent="-228600" defTabSz="914400" eaLnBrk="1" fontAlgn="auto" latinLnBrk="0" hangingPunct="1">
            <a:lnSpc>
              <a:spcPct val="100000"/>
            </a:lnSpc>
            <a:spcBef>
              <a:spcPts val="0"/>
            </a:spcBef>
            <a:spcAft>
              <a:spcPts val="0"/>
            </a:spcAft>
            <a:buClrTx/>
            <a:buSzTx/>
            <a:buFontTx/>
            <a:buNone/>
            <a:tabLst/>
            <a:defRPr/>
          </a:pPr>
          <a:r>
            <a:rPr lang="en-US" sz="1100">
              <a:solidFill>
                <a:schemeClr val="accent2">
                  <a:lumMod val="75000"/>
                </a:schemeClr>
              </a:solidFill>
            </a:rPr>
            <a:t>EECS	DN002676	 (was ESE025)</a:t>
          </a:r>
        </a:p>
        <a:p>
          <a:pPr marL="228600" marR="0" lvl="0" indent="-228600" defTabSz="914400" eaLnBrk="1" fontAlgn="auto" latinLnBrk="0" hangingPunct="1">
            <a:lnSpc>
              <a:spcPct val="100000"/>
            </a:lnSpc>
            <a:spcBef>
              <a:spcPts val="0"/>
            </a:spcBef>
            <a:spcAft>
              <a:spcPts val="0"/>
            </a:spcAft>
            <a:buClrTx/>
            <a:buSzTx/>
            <a:buFontTx/>
            <a:buNone/>
            <a:tabLst/>
            <a:defRPr/>
          </a:pPr>
          <a:r>
            <a:rPr lang="en-US" sz="1100">
              <a:solidFill>
                <a:schemeClr val="accent2">
                  <a:lumMod val="75000"/>
                </a:schemeClr>
              </a:solidFill>
            </a:rPr>
            <a:t>MIME	DN002687	 (was EMM025)</a:t>
          </a:r>
        </a:p>
        <a:p>
          <a:pPr marL="228600" marR="0" lvl="0" indent="-228600" defTabSz="914400" eaLnBrk="1" fontAlgn="auto" latinLnBrk="0" hangingPunct="1">
            <a:lnSpc>
              <a:spcPct val="100000"/>
            </a:lnSpc>
            <a:spcBef>
              <a:spcPts val="0"/>
            </a:spcBef>
            <a:spcAft>
              <a:spcPts val="0"/>
            </a:spcAft>
            <a:buClrTx/>
            <a:buSzTx/>
            <a:buFontTx/>
            <a:buNone/>
            <a:tabLst/>
            <a:defRPr/>
          </a:pPr>
          <a:r>
            <a:rPr lang="en-US" sz="1100">
              <a:solidFill>
                <a:schemeClr val="accent2">
                  <a:lumMod val="75000"/>
                </a:schemeClr>
              </a:solidFill>
            </a:rPr>
            <a:t>NSE		DN002653	 (was ENS025)</a:t>
          </a:r>
        </a:p>
        <a:p>
          <a:pPr marL="228600" marR="0" lvl="0" indent="-228600" defTabSz="914400" eaLnBrk="1" fontAlgn="auto" latinLnBrk="0" hangingPunct="1">
            <a:lnSpc>
              <a:spcPct val="100000"/>
            </a:lnSpc>
            <a:spcBef>
              <a:spcPts val="0"/>
            </a:spcBef>
            <a:spcAft>
              <a:spcPts val="0"/>
            </a:spcAft>
            <a:buClrTx/>
            <a:buSzTx/>
            <a:buFontTx/>
            <a:buNone/>
            <a:tabLst/>
            <a:defRPr/>
          </a:pPr>
          <a:r>
            <a:rPr lang="en-US" sz="1100">
              <a:solidFill>
                <a:schemeClr val="accent2">
                  <a:lumMod val="75000"/>
                </a:schemeClr>
              </a:solidFill>
            </a:rPr>
            <a:t>COE cost</a:t>
          </a:r>
          <a:r>
            <a:rPr lang="en-US" sz="1100" baseline="0">
              <a:solidFill>
                <a:schemeClr val="accent2">
                  <a:lumMod val="75000"/>
                </a:schemeClr>
              </a:solidFill>
            </a:rPr>
            <a:t> share</a:t>
          </a:r>
          <a:r>
            <a:rPr lang="en-US" sz="1100">
              <a:solidFill>
                <a:schemeClr val="accent2">
                  <a:lumMod val="75000"/>
                </a:schemeClr>
              </a:solidFill>
            </a:rPr>
            <a:t>	DN002618	 (was ENG006)</a:t>
          </a:r>
        </a:p>
        <a:p>
          <a:pPr marL="228600" marR="0" lvl="0" indent="-228600" defTabSz="914400" eaLnBrk="1" fontAlgn="auto" latinLnBrk="0" hangingPunct="1">
            <a:lnSpc>
              <a:spcPct val="100000"/>
            </a:lnSpc>
            <a:spcBef>
              <a:spcPts val="0"/>
            </a:spcBef>
            <a:spcAft>
              <a:spcPts val="0"/>
            </a:spcAft>
            <a:buClrTx/>
            <a:buSzTx/>
            <a:buFontTx/>
            <a:buNone/>
            <a:tabLst/>
            <a:defRPr/>
          </a:pPr>
          <a:endParaRPr lang="en-US" sz="1050">
            <a:solidFill>
              <a:schemeClr val="accent2">
                <a:lumMod val="75000"/>
              </a:schemeClr>
            </a:solidFill>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11</xdr:col>
      <xdr:colOff>38100</xdr:colOff>
      <xdr:row>4</xdr:row>
      <xdr:rowOff>15240</xdr:rowOff>
    </xdr:from>
    <xdr:to>
      <xdr:col>14</xdr:col>
      <xdr:colOff>495300</xdr:colOff>
      <xdr:row>19</xdr:row>
      <xdr:rowOff>91440</xdr:rowOff>
    </xdr:to>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7528560" y="807720"/>
          <a:ext cx="3802380" cy="2727960"/>
        </a:xfrm>
        <a:prstGeom prst="rect">
          <a:avLst/>
        </a:prstGeom>
        <a:solidFill>
          <a:schemeClr val="accent5">
            <a:lumMod val="20000"/>
            <a:lumOff val="80000"/>
          </a:schemeClr>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baseline="0">
              <a:solidFill>
                <a:schemeClr val="dk1"/>
              </a:solidFill>
              <a:effectLst/>
              <a:latin typeface="+mn-lt"/>
              <a:ea typeface="+mn-ea"/>
              <a:cs typeface="+mn-cs"/>
            </a:rPr>
            <a:t>HOW TO USE THIS PAGE:</a:t>
          </a:r>
        </a:p>
        <a:p>
          <a:endParaRPr lang="en-US" b="1">
            <a:effectLst/>
          </a:endParaRPr>
        </a:p>
        <a:p>
          <a:r>
            <a:rPr lang="en-US" sz="1100" b="1" baseline="0">
              <a:solidFill>
                <a:schemeClr val="dk1"/>
              </a:solidFill>
              <a:effectLst/>
              <a:latin typeface="+mn-lt"/>
              <a:ea typeface="+mn-ea"/>
              <a:cs typeface="+mn-cs"/>
            </a:rPr>
            <a:t>1. Enter the Org # in the orange box above to automatically update all Unit details (typically 1-6, in order on Budget tab).</a:t>
          </a:r>
        </a:p>
        <a:p>
          <a:endParaRPr lang="en-US" sz="1100" b="1" baseline="0">
            <a:solidFill>
              <a:schemeClr val="dk1"/>
            </a:solidFill>
            <a:effectLst/>
            <a:latin typeface="+mn-lt"/>
            <a:ea typeface="+mn-ea"/>
            <a:cs typeface="+mn-cs"/>
          </a:endParaRPr>
        </a:p>
        <a:p>
          <a:r>
            <a:rPr lang="en-US" sz="1100" b="1" baseline="0">
              <a:solidFill>
                <a:schemeClr val="dk1"/>
              </a:solidFill>
              <a:effectLst/>
              <a:latin typeface="+mn-lt"/>
              <a:ea typeface="+mn-ea"/>
              <a:cs typeface="+mn-cs"/>
            </a:rPr>
            <a:t>2. Enter any Source details (D11) and Comments for Unit Head (text box at row 47). </a:t>
          </a:r>
        </a:p>
        <a:p>
          <a:endParaRPr lang="en-US" b="1">
            <a:effectLst/>
          </a:endParaRPr>
        </a:p>
        <a:p>
          <a:r>
            <a:rPr lang="en-US" sz="1100" b="1" baseline="0">
              <a:solidFill>
                <a:schemeClr val="dk1"/>
              </a:solidFill>
              <a:effectLst/>
              <a:latin typeface="+mn-lt"/>
              <a:ea typeface="+mn-ea"/>
              <a:cs typeface="+mn-cs"/>
            </a:rPr>
            <a:t>3. Filter the AY Months table by Unit (B34), then print this page to PDF for signature. </a:t>
          </a:r>
        </a:p>
        <a:p>
          <a:endParaRPr lang="en-US" sz="1100" b="1" baseline="0">
            <a:solidFill>
              <a:schemeClr val="dk1"/>
            </a:solidFill>
            <a:effectLst/>
            <a:latin typeface="+mn-lt"/>
            <a:ea typeface="+mn-ea"/>
            <a:cs typeface="+mn-cs"/>
          </a:endParaRPr>
        </a:p>
        <a:p>
          <a:r>
            <a:rPr lang="en-US" sz="1100" b="1" baseline="0">
              <a:solidFill>
                <a:schemeClr val="dk1"/>
              </a:solidFill>
              <a:effectLst/>
              <a:latin typeface="+mn-lt"/>
              <a:ea typeface="+mn-ea"/>
              <a:cs typeface="+mn-cs"/>
            </a:rPr>
            <a:t>4. Change the Org #, AY Months filter, and Comments for next cost share organization. </a:t>
          </a:r>
        </a:p>
        <a:p>
          <a:endParaRPr lang="en-US" sz="1100" b="1" baseline="0">
            <a:solidFill>
              <a:schemeClr val="dk1"/>
            </a:solidFill>
            <a:effectLst/>
            <a:latin typeface="+mn-lt"/>
            <a:ea typeface="+mn-ea"/>
            <a:cs typeface="+mn-cs"/>
          </a:endParaRPr>
        </a:p>
        <a:p>
          <a:r>
            <a:rPr lang="en-US" sz="1100" b="1" baseline="0">
              <a:solidFill>
                <a:schemeClr val="dk1"/>
              </a:solidFill>
              <a:effectLst/>
              <a:latin typeface="+mn-lt"/>
              <a:ea typeface="+mn-ea"/>
              <a:cs typeface="+mn-cs"/>
            </a:rPr>
            <a:t>5. Unrecovered F&amp;A (typically org 7) has a separate page.</a:t>
          </a:r>
        </a:p>
      </xdr:txBody>
    </xdr:sp>
    <xdr:clientData/>
  </xdr:twoCellAnchor>
  <xdr:twoCellAnchor>
    <xdr:from>
      <xdr:col>11</xdr:col>
      <xdr:colOff>83820</xdr:colOff>
      <xdr:row>25</xdr:row>
      <xdr:rowOff>53340</xdr:rowOff>
    </xdr:from>
    <xdr:to>
      <xdr:col>15</xdr:col>
      <xdr:colOff>53340</xdr:colOff>
      <xdr:row>45</xdr:row>
      <xdr:rowOff>83820</xdr:rowOff>
    </xdr:to>
    <xdr:sp macro="" textlink="">
      <xdr:nvSpPr>
        <xdr:cNvPr id="3" name="TextBox 2">
          <a:extLst>
            <a:ext uri="{FF2B5EF4-FFF2-40B4-BE49-F238E27FC236}">
              <a16:creationId xmlns:a16="http://schemas.microsoft.com/office/drawing/2014/main" id="{00000000-0008-0000-0E00-000003000000}"/>
            </a:ext>
          </a:extLst>
        </xdr:cNvPr>
        <xdr:cNvSpPr txBox="1"/>
      </xdr:nvSpPr>
      <xdr:spPr>
        <a:xfrm>
          <a:off x="8572500" y="4244340"/>
          <a:ext cx="3970020" cy="39014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a:t>Cyndy's notes:</a:t>
          </a:r>
        </a:p>
        <a:p>
          <a:r>
            <a:rPr lang="en-US" sz="1100" baseline="0"/>
            <a:t>Offset calculation assumptions for Total Cost Share by Unit: </a:t>
          </a:r>
        </a:p>
        <a:p>
          <a:r>
            <a:rPr lang="en-US" sz="1100" baseline="0"/>
            <a:t>* Year 1 is in the 3rd column of this tab.</a:t>
          </a:r>
        </a:p>
        <a:p>
          <a:r>
            <a:rPr lang="en-US" sz="1100" baseline="0"/>
            <a:t>* First org is in row 10 of this tab.</a:t>
          </a:r>
        </a:p>
        <a:p>
          <a:r>
            <a:rPr lang="en-US" sz="1100" baseline="0"/>
            <a:t>* Cost share orgs are 8 columns apart on the Budget tab.</a:t>
          </a:r>
        </a:p>
        <a:p>
          <a:endParaRPr lang="en-US" sz="1100" baseline="0"/>
        </a:p>
        <a:p>
          <a:r>
            <a:rPr lang="en-US" sz="1100" baseline="0"/>
            <a:t>Offset calculation assumptions for Details by Year for Unit:</a:t>
          </a:r>
        </a:p>
        <a:p>
          <a:r>
            <a:rPr lang="en-US" sz="1100" baseline="0"/>
            <a:t>* Year 1 is in the 3rd column of this tab.</a:t>
          </a:r>
        </a:p>
        <a:p>
          <a:r>
            <a:rPr lang="en-US" sz="1100" baseline="0"/>
            <a:t>* Cost share orgs are 8 columns apart on the Budget tab.</a:t>
          </a:r>
        </a:p>
        <a:p>
          <a:endParaRPr lang="en-US" sz="1100" baseline="0"/>
        </a:p>
        <a:p>
          <a:r>
            <a:rPr lang="en-US" sz="1100"/>
            <a:t>Offset calculation assumptions for AY months: </a:t>
          </a:r>
        </a:p>
        <a:p>
          <a:r>
            <a:rPr lang="en-US" sz="1100"/>
            <a:t>* Year 1 is in the 3rd column of this tab.</a:t>
          </a:r>
        </a:p>
        <a:p>
          <a:r>
            <a:rPr lang="en-US" sz="1100"/>
            <a:t>* First PI is in row 37 of this tab.</a:t>
          </a:r>
        </a:p>
        <a:p>
          <a:r>
            <a:rPr lang="en-US" sz="1100"/>
            <a:t>* Co-PIs are 14 rows apart on the Senior Personnel tab.</a:t>
          </a:r>
        </a:p>
        <a:p>
          <a:endParaRPr lang="en-US" sz="1100"/>
        </a:p>
        <a:p>
          <a:r>
            <a:rPr lang="en-US" sz="1100" i="1"/>
            <a:t>Other changes:</a:t>
          </a:r>
        </a:p>
        <a:p>
          <a:pPr eaLnBrk="1" fontAlgn="auto" latinLnBrk="0" hangingPunct="1"/>
          <a:r>
            <a:rPr lang="en-US" sz="1100">
              <a:solidFill>
                <a:schemeClr val="dk1"/>
              </a:solidFill>
              <a:effectLst/>
              <a:latin typeface="+mn-lt"/>
              <a:ea typeface="+mn-ea"/>
              <a:cs typeface="+mn-cs"/>
            </a:rPr>
            <a:t>Updated</a:t>
          </a:r>
          <a:r>
            <a:rPr lang="en-US" sz="1100" baseline="0">
              <a:solidFill>
                <a:schemeClr val="dk1"/>
              </a:solidFill>
              <a:effectLst/>
              <a:latin typeface="+mn-lt"/>
              <a:ea typeface="+mn-ea"/>
              <a:cs typeface="+mn-cs"/>
            </a:rPr>
            <a:t> drop down list for Unit. Added to Senior Personnel, Other Personnel, and GA tabs.  A</a:t>
          </a:r>
          <a:r>
            <a:rPr lang="en-US" sz="1100" b="0" baseline="0">
              <a:solidFill>
                <a:schemeClr val="dk1"/>
              </a:solidFill>
              <a:effectLst/>
              <a:latin typeface="+mn-lt"/>
              <a:ea typeface="+mn-ea"/>
              <a:cs typeface="+mn-cs"/>
            </a:rPr>
            <a:t>llows entry of other units or external orgs not on the drop down list, with a warning message.  This simplifies filtering Personnel by Unit on this cost share form. </a:t>
          </a:r>
          <a:endParaRPr lang="en-US" sz="1100"/>
        </a:p>
      </xdr:txBody>
    </xdr:sp>
    <xdr:clientData/>
  </xdr:twoCellAnchor>
  <xdr:oneCellAnchor>
    <xdr:from>
      <xdr:col>0</xdr:col>
      <xdr:colOff>76200</xdr:colOff>
      <xdr:row>64</xdr:row>
      <xdr:rowOff>182880</xdr:rowOff>
    </xdr:from>
    <xdr:ext cx="7286625" cy="941070"/>
    <xdr:sp macro="" textlink="">
      <xdr:nvSpPr>
        <xdr:cNvPr id="5" name="TextBox 4">
          <a:extLst>
            <a:ext uri="{FF2B5EF4-FFF2-40B4-BE49-F238E27FC236}">
              <a16:creationId xmlns:a16="http://schemas.microsoft.com/office/drawing/2014/main" id="{00000000-0008-0000-0E00-000005000000}"/>
            </a:ext>
          </a:extLst>
        </xdr:cNvPr>
        <xdr:cNvSpPr txBox="1"/>
      </xdr:nvSpPr>
      <xdr:spPr>
        <a:xfrm>
          <a:off x="76200" y="9517380"/>
          <a:ext cx="7286625" cy="941070"/>
        </a:xfrm>
        <a:prstGeom prst="rect">
          <a:avLst/>
        </a:prstGeom>
        <a:solidFill>
          <a:schemeClr val="lt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Approved Changes: </a:t>
          </a:r>
          <a:r>
            <a:rPr lang="en-US" sz="1100">
              <a:solidFill>
                <a:schemeClr val="dk1"/>
              </a:solidFill>
              <a:effectLst/>
              <a:latin typeface="+mn-lt"/>
              <a:ea typeface="+mn-ea"/>
              <a:cs typeface="+mn-cs"/>
            </a:rPr>
            <a:t>If this cost share budget changes before submission, I hereby approve the following minor</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changes: </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(1) any decreased cost share amounts, (2) any indirect cost changes, (3) any</a:t>
          </a:r>
          <a:r>
            <a:rPr lang="en-US" sz="1100" baseline="0">
              <a:solidFill>
                <a:schemeClr val="dk1"/>
              </a:solidFill>
              <a:effectLst/>
              <a:latin typeface="+mn-lt"/>
              <a:ea typeface="+mn-ea"/>
              <a:cs typeface="+mn-cs"/>
            </a:rPr>
            <a:t> increased cost share from faculty time up to </a:t>
          </a:r>
          <a:r>
            <a:rPr lang="en-US" sz="1100">
              <a:solidFill>
                <a:schemeClr val="dk1"/>
              </a:solidFill>
              <a:effectLst/>
              <a:latin typeface="+mn-lt"/>
              <a:ea typeface="+mn-ea"/>
              <a:cs typeface="+mn-cs"/>
            </a:rPr>
            <a:t>a total of 1.0</a:t>
          </a:r>
          <a:r>
            <a:rPr lang="en-US" sz="1100" baseline="0">
              <a:solidFill>
                <a:schemeClr val="dk1"/>
              </a:solidFill>
              <a:effectLst/>
              <a:latin typeface="+mn-lt"/>
              <a:ea typeface="+mn-ea"/>
              <a:cs typeface="+mn-cs"/>
            </a:rPr>
            <a:t> month</a:t>
          </a:r>
          <a:r>
            <a:rPr lang="en-US" sz="1100">
              <a:solidFill>
                <a:schemeClr val="dk1"/>
              </a:solidFill>
              <a:effectLst/>
              <a:latin typeface="+mn-lt"/>
              <a:ea typeface="+mn-ea"/>
              <a:cs typeface="+mn-cs"/>
            </a:rPr>
            <a:t> </a:t>
          </a:r>
          <a:r>
            <a:rPr lang="en-US" sz="1100" baseline="0">
              <a:solidFill>
                <a:schemeClr val="dk1"/>
              </a:solidFill>
              <a:effectLst/>
              <a:latin typeface="+mn-lt"/>
              <a:ea typeface="+mn-ea"/>
              <a:cs typeface="+mn-cs"/>
            </a:rPr>
            <a:t>per year per faculty or </a:t>
          </a:r>
          <a:r>
            <a:rPr lang="en-US" sz="1100">
              <a:solidFill>
                <a:schemeClr val="dk1"/>
              </a:solidFill>
              <a:effectLst/>
              <a:latin typeface="+mn-lt"/>
              <a:ea typeface="+mn-ea"/>
              <a:cs typeface="+mn-cs"/>
            </a:rPr>
            <a:t>an additional 0.25 month/year/faculty, whichever is</a:t>
          </a:r>
          <a:r>
            <a:rPr lang="en-US" sz="1100" baseline="0">
              <a:solidFill>
                <a:schemeClr val="dk1"/>
              </a:solidFill>
              <a:effectLst/>
              <a:latin typeface="+mn-lt"/>
              <a:ea typeface="+mn-ea"/>
              <a:cs typeface="+mn-cs"/>
            </a:rPr>
            <a:t> greater, and (4) any</a:t>
          </a:r>
          <a:r>
            <a:rPr lang="en-US" sz="1100">
              <a:solidFill>
                <a:schemeClr val="dk1"/>
              </a:solidFill>
              <a:effectLst/>
              <a:latin typeface="+mn-lt"/>
              <a:ea typeface="+mn-ea"/>
              <a:cs typeface="+mn-cs"/>
            </a:rPr>
            <a:t> increase up to $1,000 in any other (non-faculty-time) cost share category. </a:t>
          </a:r>
        </a:p>
        <a:p>
          <a:endParaRPr lang="en-US" sz="1100" b="1"/>
        </a:p>
      </xdr:txBody>
    </xdr:sp>
    <xdr:clientData/>
  </xdr:oneCellAnchor>
</xdr:wsDr>
</file>

<file path=xl/drawings/drawing10.xml><?xml version="1.0" encoding="utf-8"?>
<xdr:wsDr xmlns:xdr="http://schemas.openxmlformats.org/drawingml/2006/spreadsheetDrawing" xmlns:a="http://schemas.openxmlformats.org/drawingml/2006/main">
  <xdr:twoCellAnchor>
    <xdr:from>
      <xdr:col>11</xdr:col>
      <xdr:colOff>0</xdr:colOff>
      <xdr:row>4</xdr:row>
      <xdr:rowOff>30480</xdr:rowOff>
    </xdr:from>
    <xdr:to>
      <xdr:col>14</xdr:col>
      <xdr:colOff>190500</xdr:colOff>
      <xdr:row>32</xdr:row>
      <xdr:rowOff>22860</xdr:rowOff>
    </xdr:to>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7490460" y="822960"/>
          <a:ext cx="3535680" cy="2415540"/>
        </a:xfrm>
        <a:prstGeom prst="rect">
          <a:avLst/>
        </a:prstGeom>
        <a:solidFill>
          <a:schemeClr val="accent5">
            <a:lumMod val="20000"/>
            <a:lumOff val="80000"/>
          </a:schemeClr>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baseline="0">
              <a:solidFill>
                <a:schemeClr val="dk1"/>
              </a:solidFill>
              <a:effectLst/>
              <a:latin typeface="+mn-lt"/>
              <a:ea typeface="+mn-ea"/>
              <a:cs typeface="+mn-cs"/>
            </a:rPr>
            <a:t>HOW TO USE THIS PAGE:</a:t>
          </a:r>
        </a:p>
        <a:p>
          <a:endParaRPr lang="en-US" sz="1100" b="1" baseline="0">
            <a:solidFill>
              <a:schemeClr val="dk1"/>
            </a:solidFill>
            <a:effectLst/>
            <a:latin typeface="+mn-lt"/>
            <a:ea typeface="+mn-ea"/>
            <a:cs typeface="+mn-cs"/>
          </a:endParaRPr>
        </a:p>
        <a:p>
          <a:r>
            <a:rPr lang="en-US" sz="1100" b="1" baseline="0">
              <a:solidFill>
                <a:schemeClr val="dk1"/>
              </a:solidFill>
              <a:effectLst/>
              <a:latin typeface="+mn-lt"/>
              <a:ea typeface="+mn-ea"/>
              <a:cs typeface="+mn-cs"/>
            </a:rPr>
            <a:t>This is a special page for Unrecovered F&amp;A Costs only (when sponsor has limited the IDC rate). </a:t>
          </a:r>
        </a:p>
        <a:p>
          <a:endParaRPr lang="en-US" b="1">
            <a:effectLst/>
          </a:endParaRPr>
        </a:p>
        <a:p>
          <a:r>
            <a:rPr lang="en-US" sz="1100" b="1" baseline="0">
              <a:solidFill>
                <a:schemeClr val="dk1"/>
              </a:solidFill>
              <a:effectLst/>
              <a:latin typeface="+mn-lt"/>
              <a:ea typeface="+mn-ea"/>
              <a:cs typeface="+mn-cs"/>
            </a:rPr>
            <a:t>1. Enter the last Org # in the orange box for Unrecovered F&amp;A (normally 7 unless extra cost share sources have been added). Most tables have been hidden on this page.</a:t>
          </a:r>
        </a:p>
        <a:p>
          <a:endParaRPr lang="en-US" sz="1100" b="1" baseline="0">
            <a:solidFill>
              <a:schemeClr val="dk1"/>
            </a:solidFill>
            <a:effectLst/>
            <a:latin typeface="+mn-lt"/>
            <a:ea typeface="+mn-ea"/>
            <a:cs typeface="+mn-cs"/>
          </a:endParaRPr>
        </a:p>
        <a:p>
          <a:r>
            <a:rPr lang="en-US" sz="1100" b="1" baseline="0">
              <a:solidFill>
                <a:schemeClr val="dk1"/>
              </a:solidFill>
              <a:effectLst/>
              <a:latin typeface="+mn-lt"/>
              <a:ea typeface="+mn-ea"/>
              <a:cs typeface="+mn-cs"/>
            </a:rPr>
            <a:t>2. Unrecovered F&amp;A can be approved by OSRAA, not by other Unit heads. Print this page to PDF and upload to Cayuse unsigned. </a:t>
          </a:r>
        </a:p>
      </xdr:txBody>
    </xdr:sp>
    <xdr:clientData/>
  </xdr:twoCellAnchor>
  <xdr:twoCellAnchor>
    <xdr:from>
      <xdr:col>0</xdr:col>
      <xdr:colOff>22860</xdr:colOff>
      <xdr:row>51</xdr:row>
      <xdr:rowOff>160020</xdr:rowOff>
    </xdr:from>
    <xdr:to>
      <xdr:col>8</xdr:col>
      <xdr:colOff>685800</xdr:colOff>
      <xdr:row>54</xdr:row>
      <xdr:rowOff>167640</xdr:rowOff>
    </xdr:to>
    <xdr:sp macro="" textlink="">
      <xdr:nvSpPr>
        <xdr:cNvPr id="3" name="TextBox 2">
          <a:extLst>
            <a:ext uri="{FF2B5EF4-FFF2-40B4-BE49-F238E27FC236}">
              <a16:creationId xmlns:a16="http://schemas.microsoft.com/office/drawing/2014/main" id="{00000000-0008-0000-0F00-000003000000}"/>
            </a:ext>
          </a:extLst>
        </xdr:cNvPr>
        <xdr:cNvSpPr txBox="1"/>
      </xdr:nvSpPr>
      <xdr:spPr>
        <a:xfrm>
          <a:off x="22860" y="3733800"/>
          <a:ext cx="654558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Comments:</a:t>
          </a:r>
          <a:r>
            <a:rPr lang="en-US" sz="1200" b="1" baseline="0"/>
            <a:t> </a:t>
          </a:r>
          <a:r>
            <a:rPr lang="en-US" sz="1100" b="0" baseline="0"/>
            <a:t> </a:t>
          </a:r>
          <a:endParaRPr lang="en-US" sz="1100" b="1"/>
        </a:p>
      </xdr:txBody>
    </xdr:sp>
    <xdr:clientData/>
  </xdr:twoCellAnchor>
</xdr:wsDr>
</file>

<file path=xl/persons/person.xml><?xml version="1.0" encoding="utf-8"?>
<personList xmlns="http://schemas.microsoft.com/office/spreadsheetml/2018/threadedcomments" xmlns:x="http://schemas.openxmlformats.org/spreadsheetml/2006/main">
  <person displayName="Cyndy Kelchner" id="{52FC61EE-08AE-4FCE-AF03-8ECF59CAAFE8}" userId="Cyndy Kelchner" providerId="None"/>
  <person displayName="Kelchner, Cyndy" id="{D231FCED-11B0-4BE1-9450-82C9F4D2FFE9}" userId="S::kelchnec@oregonstate.edu::250c7ef6-4a1f-4936-a04a-5aaf788b8ba6" providerId="AD"/>
  <person displayName="Kokenyesi, Robert S" id="{925476B2-E793-4FCA-A58F-CE3E5B6CEDE8}" userId="S::kykynesr@oregonstate.edu::e2f4c2b6-e21a-49d4-b967-46d22e1a8876"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Titles" displayName="Table_Titles" ref="A3:A9" totalsRowShown="0" headerRowDxfId="109" dataDxfId="108">
  <autoFilter ref="A3:A9" xr:uid="{00000000-0009-0000-0100-000002000000}"/>
  <tableColumns count="1">
    <tableColumn id="1" xr3:uid="{00000000-0010-0000-0100-000001000000}" name="SP_Titles" dataDxfId="10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_Travel" displayName="Table_Travel" ref="J9:L13" totalsRowShown="0" headerRowDxfId="106" dataDxfId="104" headerRowBorderDxfId="105" tableBorderDxfId="103" totalsRowBorderDxfId="102">
  <autoFilter ref="J9:L13" xr:uid="{00000000-0009-0000-0100-000003000000}"/>
  <tableColumns count="3">
    <tableColumn id="1" xr3:uid="{00000000-0010-0000-0200-000001000000}" name="Destination" dataDxfId="101"/>
    <tableColumn id="2" xr3:uid="{00000000-0010-0000-0200-000002000000}" name="Per Diem" dataDxfId="100" dataCellStyle="Currency"/>
    <tableColumn id="3" xr3:uid="{00000000-0010-0000-0200-000003000000}" name="Lodging" dataDxfId="99" dataCellStyle="Currency"/>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_Units" displayName="Table_Units" ref="D39:F56" totalsRowShown="0" headerRowDxfId="98" dataDxfId="97">
  <autoFilter ref="D39:F56" xr:uid="{00000000-0009-0000-0100-000004000000}"/>
  <tableColumns count="3">
    <tableColumn id="1" xr3:uid="{00000000-0010-0000-0300-000001000000}" name="Unit" dataDxfId="96"/>
    <tableColumn id="2" xr3:uid="{00000000-0010-0000-0300-000002000000}" name="GA_Salary_x000a_PhD" dataDxfId="95"/>
    <tableColumn id="3" xr3:uid="{00000000-0010-0000-0300-000003000000}" name="GA_Salary_x000a_MS" dataDxfId="9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_ApptMo" displayName="Table_ApptMo" ref="H28:H32" totalsRowShown="0" headerRowDxfId="93" dataDxfId="92">
  <autoFilter ref="H28:H32" xr:uid="{00000000-0009-0000-0100-000005000000}"/>
  <sortState xmlns:xlrd2="http://schemas.microsoft.com/office/spreadsheetml/2017/richdata2" ref="H29:H32">
    <sortCondition descending="1" ref="H28:H32"/>
  </sortState>
  <tableColumns count="1">
    <tableColumn id="1" xr3:uid="{00000000-0010-0000-0400-000001000000}" name="ApptMonths" dataDxfId="91"/>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_ApptFTE" displayName="Table_ApptFTE" ref="H8:H12" totalsRowShown="0" headerRowDxfId="90" dataDxfId="89">
  <autoFilter ref="H8:H12" xr:uid="{00000000-0009-0000-0100-000006000000}"/>
  <tableColumns count="1">
    <tableColumn id="1" xr3:uid="{00000000-0010-0000-0500-000001000000}" name="ApptFTE" dataDxfId="88"/>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_GALevel" displayName="Table_GALevel" ref="H35:H37" totalsRowShown="0" headerRowDxfId="87" dataDxfId="86">
  <autoFilter ref="H35:H37" xr:uid="{00000000-0009-0000-0100-000007000000}"/>
  <tableColumns count="1">
    <tableColumn id="1" xr3:uid="{00000000-0010-0000-0600-000001000000}" name="GA_Level" dataDxfId="85"/>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_TravelDest" displayName="Table_TravelDest" ref="J2:J4" totalsRowShown="0" headerRowDxfId="84" dataDxfId="83">
  <autoFilter ref="J2:J4" xr:uid="{00000000-0009-0000-0100-000009000000}"/>
  <tableColumns count="1">
    <tableColumn id="1" xr3:uid="{00000000-0010-0000-0800-000001000000}" name="TravelDest" dataDxfId="8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_GA_FTE" displayName="Table_GA_FTE" ref="H21:H25" totalsRowShown="0" headerRowDxfId="81" dataDxfId="80">
  <autoFilter ref="H21:H25" xr:uid="{00000000-0009-0000-0100-00000C000000}"/>
  <tableColumns count="1">
    <tableColumn id="1" xr3:uid="{00000000-0010-0000-0B00-000001000000}" name="GA_FTE" dataDxfId="79"/>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C000000}" name="Table_FA_Base" displayName="Table_FA_Base" ref="A25:A27" totalsRowShown="0" headerRowDxfId="78" dataDxfId="77">
  <autoFilter ref="A25:A27" xr:uid="{00000000-0009-0000-0100-000001000000}"/>
  <tableColumns count="1">
    <tableColumn id="1" xr3:uid="{00000000-0010-0000-0C00-000001000000}" name="Base for F&amp;A" dataDxfId="7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D000000}" name="Table_FA_rate" displayName="Table_FA_rate" ref="A30:B40" totalsRowShown="0" headerRowDxfId="75" dataDxfId="73" headerRowBorderDxfId="74" tableBorderDxfId="72">
  <autoFilter ref="A30:B40" xr:uid="{00000000-0009-0000-0100-00000D000000}"/>
  <sortState xmlns:xlrd2="http://schemas.microsoft.com/office/spreadsheetml/2017/richdata2" ref="A31:B39">
    <sortCondition descending="1" ref="B30:B39"/>
  </sortState>
  <tableColumns count="2">
    <tableColumn id="1" xr3:uid="{00000000-0010-0000-0D00-000001000000}" name="Rates from OSU's F&amp;A rate agreement" dataDxfId="71"/>
    <tableColumn id="2" xr3:uid="{00000000-0010-0000-0D00-000002000000}" name="Rates" dataDxfId="70"/>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E000000}" name="Table_CostShare" displayName="Table_CostShare" ref="A20:A22" totalsRowShown="0" headerRowDxfId="69" dataDxfId="68">
  <autoFilter ref="A20:A22" xr:uid="{00000000-0009-0000-0100-00000E000000}"/>
  <tableColumns count="1">
    <tableColumn id="1" xr3:uid="{00000000-0010-0000-0E00-000001000000}" name="CostShare" dataDxfId="67"/>
  </tableColumns>
  <tableStyleInfo name="TableStyleMedium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le_Deadline" displayName="Table_Deadline" ref="L2:L4" totalsRowShown="0" headerRowDxfId="66" dataDxfId="64" headerRowBorderDxfId="65" tableBorderDxfId="63" totalsRowBorderDxfId="62">
  <autoFilter ref="L2:L4" xr:uid="{00000000-0009-0000-0100-000010000000}"/>
  <tableColumns count="1">
    <tableColumn id="1" xr3:uid="{00000000-0010-0000-0F00-000001000000}" name="Deadline" dataDxfId="61"/>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Table_FacApptMo" displayName="Table_FacApptMo" ref="H3:H5" totalsRowShown="0" headerRowDxfId="60" dataDxfId="59">
  <autoFilter ref="H3:H5" xr:uid="{00000000-0009-0000-0100-000011000000}"/>
  <tableColumns count="1">
    <tableColumn id="1" xr3:uid="{00000000-0010-0000-1000-000001000000}" name="Faculty ApptFTE" dataDxfId="58"/>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able_GrantCoord" displayName="Table_GrantCoord" ref="A12:A17" totalsRowShown="0" headerRowDxfId="57" dataDxfId="56">
  <autoFilter ref="A12:A17" xr:uid="{00000000-0009-0000-0100-000012000000}"/>
  <tableColumns count="1">
    <tableColumn id="1" xr3:uid="{00000000-0010-0000-1100-000001000000}" name="Grant Coordinators" dataDxfId="55"/>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Table_EffortType" displayName="Table_EffortType" ref="H15:H18" totalsRowShown="0" headerRowDxfId="54" dataDxfId="53">
  <autoFilter ref="H15:H18" xr:uid="{00000000-0009-0000-0100-000018000000}"/>
  <tableColumns count="1">
    <tableColumn id="1" xr3:uid="{00000000-0010-0000-1700-000001000000}" name="Effort Type" dataDxfId="52"/>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EA1B3F0B-AD2B-4BBB-87D5-8623173C66A4}" name="Table25" displayName="Table25" ref="D59:F67" totalsRowShown="0" headerRowDxfId="51" dataDxfId="50">
  <autoFilter ref="D59:F67" xr:uid="{8A9742F8-3646-46D9-AD87-0B1409DED197}"/>
  <tableColumns count="3">
    <tableColumn id="1" xr3:uid="{D3A32746-AAEF-4F9D-AD71-0CE44FA5BB37}" name="Category" dataDxfId="49"/>
    <tableColumn id="2" xr3:uid="{92E781B8-07C4-46F3-ADD1-35F75C22A2C5}" name="Years Exp." dataDxfId="48"/>
    <tableColumn id="3" xr3:uid="{7556426F-780C-41EB-9054-25D42376C7A0}" name="Annual Stipend" dataDxfId="47"/>
  </tableColumns>
  <tableStyleInfo name="TableStyleMedium5"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29AC57B-D427-411D-B58C-D939D7235FF9}" name="Table27" displayName="Table27" ref="J22:L26" totalsRowShown="0" headerRowDxfId="46" dataDxfId="45">
  <autoFilter ref="J22:L26" xr:uid="{A8538A53-040C-4FE3-BC9B-19F8F017F8EB}"/>
  <tableColumns count="3">
    <tableColumn id="1" xr3:uid="{4221F8E0-7633-4FEE-88FA-2901568FCA51}" name="Effective Date" dataDxfId="44"/>
    <tableColumn id="2" xr3:uid="{82628E49-26F7-41DA-8F27-15FB60CF8DCC}" name="Statewide Mimimum" dataDxfId="43"/>
    <tableColumn id="3" xr3:uid="{41F27010-28A0-4846-9555-DFA3E4FF1145}" name="PDX Metro Area" dataDxfId="42">
      <calculatedColumnFormula>Table27[[#This Row],[Statewide Mimimum]]+1.25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227A443-BE9F-49DF-A9F7-970732124D72}" name="Table_CostShareWorktag" displayName="Table_CostShareWorktag" ref="D30:F36" totalsRowShown="0" headerRowDxfId="41" dataDxfId="40">
  <autoFilter ref="D30:F36" xr:uid="{E9D9C49E-3EC0-4F50-945C-4CFD360257F6}"/>
  <sortState xmlns:xlrd2="http://schemas.microsoft.com/office/spreadsheetml/2017/richdata2" ref="D31:F35">
    <sortCondition ref="D30:D35"/>
  </sortState>
  <tableColumns count="3">
    <tableColumn id="1" xr3:uid="{29990CA3-EA83-4E21-A5C3-45EA5849E254}" name="COE School" dataDxfId="39"/>
    <tableColumn id="2" xr3:uid="{0B846D77-8765-4F0A-A601-30DBD371A241}" name="CS Worktag" dataDxfId="38"/>
    <tableColumn id="3" xr3:uid="{4A542888-7ECD-483E-A0D1-832A29305781}" name="Index (old)" dataDxfId="37"/>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41B794-5F91-4913-AC07-AA66478869E7}" name="Table29" displayName="Table29" ref="J16:L18" totalsRowShown="0" headerRowDxfId="36" dataDxfId="35">
  <autoFilter ref="J16:L18" xr:uid="{2FF67CAB-9FAF-4F34-AFBA-6FCAB4A9801C}"/>
  <tableColumns count="3">
    <tableColumn id="1" xr3:uid="{AEAB4CA0-AB35-499D-8FC2-A5B61D91F669}" name="TravelMileage" dataDxfId="34"/>
    <tableColumn id="2" xr3:uid="{19B1B192-0A91-4B64-8B45-EA9EB6911992}" name="MileRate" dataDxfId="33"/>
    <tableColumn id="3" xr3:uid="{CE7BB7C9-B25C-4CA9-9C82-50BBC90D8A8B}" name="Updated" dataDxfId="32"/>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590F7F49-4FCD-4541-BBEC-FE61FA598AC2}" name="Table31" displayName="Table31" ref="A48:B51" totalsRowShown="0" headerRowDxfId="31" dataDxfId="30">
  <autoFilter ref="A48:B51" xr:uid="{590F7F49-4FCD-4541-BBEC-FE61FA598AC2}"/>
  <tableColumns count="2">
    <tableColumn id="1" xr3:uid="{23E64E01-DDCF-48C9-9FD9-71E53ED2E7EF}" name="2025 NIH Salary Cap" dataDxfId="29"/>
    <tableColumn id="2" xr3:uid="{751D3B2F-80F7-46D1-9AAA-20802AF2275F}" name="Column1" dataDxfId="28"/>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55B3C69-DDE7-4AC3-A032-11A6C93FBFA7}" name="TableFringePool" displayName="TableFringePool" ref="D9:E15" totalsRowShown="0" headerRowDxfId="27" dataDxfId="26">
  <autoFilter ref="D9:E15" xr:uid="{C55B3C69-DDE7-4AC3-A032-11A6C93FBFA7}"/>
  <tableColumns count="2">
    <tableColumn id="1" xr3:uid="{38195A69-A0CA-483E-85AB-299DCE82E99C}" name="Position Classification" dataDxfId="25"/>
    <tableColumn id="2" xr3:uid="{D66E304A-8C64-4212-B977-B79D85C10217}" name="Fringe Pool Rate" dataDxfId="24"/>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18000000}" name="Table_CostShareSummary" displayName="Table_CostShareSummary" ref="A17:I25" totalsRowCount="1" headerRowDxfId="21" dataDxfId="20" totalsRowDxfId="19">
  <tableColumns count="9">
    <tableColumn id="1" xr3:uid="{00000000-0010-0000-1800-000001000000}" name="Unit" totalsRowLabel="Total" dataDxfId="18" totalsRowDxfId="17">
      <calculatedColumnFormula>OFFSET(Budget!$N$10,0,(COLUMN()-1+(ROW()-ROW($A$18))*8))</calculatedColumnFormula>
    </tableColumn>
    <tableColumn id="2" xr3:uid="{00000000-0010-0000-1800-000002000000}" name="%" totalsRowFunction="sum" dataDxfId="16" totalsRowDxfId="15" dataCellStyle="Percent">
      <calculatedColumnFormula>IFERROR(IF($C$10='Reference Sheet'!$A$22,Budget!$K304/$C$12,Budget!$K$304/$I$12),0)</calculatedColumnFormula>
    </tableColumn>
    <tableColumn id="3" xr3:uid="{00000000-0010-0000-1800-000003000000}" name="YEAR 1" totalsRowFunction="sum" dataDxfId="14" totalsRowDxfId="13">
      <calculatedColumnFormula>OFFSET(Budget!$N$295,0,(COLUMN()-3+(ROW()-ROW($A$18))*8))</calculatedColumnFormula>
    </tableColumn>
    <tableColumn id="4" xr3:uid="{00000000-0010-0000-1800-000004000000}" name="YEAR 2" totalsRowFunction="sum" dataDxfId="12" totalsRowDxfId="11">
      <calculatedColumnFormula>OFFSET(Budget!$N$295,0,(COLUMN()-3+(ROW()-ROW($A$18))*8))</calculatedColumnFormula>
    </tableColumn>
    <tableColumn id="5" xr3:uid="{00000000-0010-0000-1800-000005000000}" name="YEAR 3" totalsRowFunction="sum" dataDxfId="10" totalsRowDxfId="9">
      <calculatedColumnFormula>OFFSET(Budget!$N$295,0,(COLUMN()-3+(ROW()-ROW($A$18))*8))</calculatedColumnFormula>
    </tableColumn>
    <tableColumn id="6" xr3:uid="{00000000-0010-0000-1800-000006000000}" name="YEAR 4" totalsRowFunction="sum" dataDxfId="8" totalsRowDxfId="7">
      <calculatedColumnFormula>OFFSET(Budget!$N$295,0,(COLUMN()-3+(ROW()-ROW($A$18))*8))</calculatedColumnFormula>
    </tableColumn>
    <tableColumn id="7" xr3:uid="{00000000-0010-0000-1800-000007000000}" name="YEAR 5" totalsRowFunction="sum" dataDxfId="6" totalsRowDxfId="5">
      <calculatedColumnFormula>OFFSET(Budget!$N$295,0,(COLUMN()-3+(ROW()-ROW($A$18))*8))</calculatedColumnFormula>
    </tableColumn>
    <tableColumn id="8" xr3:uid="{00000000-0010-0000-1800-000008000000}" name="YEAR 6" totalsRowFunction="sum" dataDxfId="4" totalsRowDxfId="3">
      <calculatedColumnFormula>OFFSET(Budget!$N$295,0,(COLUMN()-3+(ROW()-ROW($A$18))*8))</calculatedColumnFormula>
    </tableColumn>
    <tableColumn id="9" xr3:uid="{00000000-0010-0000-1800-000009000000}" name="TOTAL" totalsRowFunction="sum" dataDxfId="2" totalsRowDxfId="1">
      <calculatedColumnFormula>SUM(C18:H18)</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I135" dT="2026-08-08T00:02:48.78" personId="{D231FCED-11B0-4BE1-9450-82C9F4D2FFE9}" id="{3CA2418F-576F-41CE-9786-DB87FAA1AEF7}">
    <text>Formula to copy Total from correct row above, in case it gets deleted:
=INDEX(I$108:I$117,INT((ROW()-135)/3)+1)</text>
  </threadedComment>
</ThreadedComments>
</file>

<file path=xl/threadedComments/threadedComment2.xml><?xml version="1.0" encoding="utf-8"?>
<ThreadedComments xmlns="http://schemas.microsoft.com/office/spreadsheetml/2018/threadedcomments" xmlns:x="http://schemas.openxmlformats.org/spreadsheetml/2006/main">
  <threadedComment ref="C296" dT="2024-04-09T00:13:19.85" personId="{52FC61EE-08AE-4FCE-AF03-8ECF59CAAFE8}" id="{38B50A9B-17CB-4C8B-827E-3AD3CAB95614}">
    <text>This section is only filled out if you select YES use Unrecovered Indirect Costs, on the Data Input tab.</text>
  </threadedComment>
</ThreadedComments>
</file>

<file path=xl/threadedComments/threadedComment3.xml><?xml version="1.0" encoding="utf-8"?>
<ThreadedComments xmlns="http://schemas.microsoft.com/office/spreadsheetml/2018/threadedcomments" xmlns:x="http://schemas.openxmlformats.org/spreadsheetml/2006/main">
  <threadedComment ref="E7" dT="2025-09-03T22:39:21.87" personId="{D231FCED-11B0-4BE1-9450-82C9F4D2FFE9}" id="{E61F0940-531D-4215-BEAB-BCE348394D70}">
    <text>In-kind cannot be more than total cash contribution from sponsor.</text>
  </threadedComment>
  <threadedComment ref="E8" dT="2025-09-03T22:49:07.96" personId="{D231FCED-11B0-4BE1-9450-82C9F4D2FFE9}" id="{2191D5F6-ED73-4E43-897C-4A01358BE21A}">
    <text>The OMI fee is preferably paid by industry separately. The fee amount is only listed here for convenience since it is not part of OSU's budget.  
If necessary, the OMI fee (dues) can be paid from the industry budget by OSU, but that option requires indirects on the fee and thus costs more overall. 
** OMI never matches any OMI dues, regardless of payment method. **</text>
  </threadedComment>
  <threadedComment ref="G10" dT="2025-08-07T23:30:40.11" personId="{D231FCED-11B0-4BE1-9450-82C9F4D2FFE9}" id="{7362D217-B3C8-4D15-BE74-688F13BE9E4E}">
    <text>OMI Share should be 100% of Sponsor Funds (1:1 match)</text>
  </threadedComment>
  <threadedComment ref="G15" dT="2025-08-07T20:29:07.26" personId="{925476B2-E793-4FCA-A58F-CE3E5B6CEDE8}" id="{5068DE7E-17A1-45E1-BB27-8C362EF5C481}">
    <text>Range 0-1, with 0 - all on industry side; 1- all on OMI side</text>
  </threadedComment>
</ThreadedComments>
</file>

<file path=xl/threadedComments/threadedComment4.xml><?xml version="1.0" encoding="utf-8"?>
<ThreadedComments xmlns="http://schemas.microsoft.com/office/spreadsheetml/2018/threadedcomments" xmlns:x="http://schemas.openxmlformats.org/spreadsheetml/2006/main">
  <threadedComment ref="AA2" dT="2026-08-07T19:40:36.47" personId="{D231FCED-11B0-4BE1-9450-82C9F4D2FFE9}" id="{E99825D0-8758-4909-9744-11B50E39E1BA}">
    <text>Escalation logic: If the project starts before the end of the Effective Date Range, use the Current Rate. If the project starts after the extended start date limit , then add 2 x Annual Escalation (2%), Otherwise add 2%.</text>
  </threadedComment>
</ThreadedComments>
</file>

<file path=xl/threadedComments/threadedComment5.xml><?xml version="1.0" encoding="utf-8"?>
<ThreadedComments xmlns="http://schemas.microsoft.com/office/spreadsheetml/2018/threadedcomments" xmlns:x="http://schemas.openxmlformats.org/spreadsheetml/2006/main">
  <threadedComment ref="W6" dT="2026-08-07T19:40:36.47" personId="{D231FCED-11B0-4BE1-9450-82C9F4D2FFE9}" id="{66045647-F0C5-4D73-91B3-5A081DF09D87}">
    <text>Escalation logic: If the project starts before the end of the Effective Date Range, use the Current Rate. If the project starts after the extended start date limit , then add 2 x Annual Escalation (2%), Otherwise add 2%.</text>
  </threadedComment>
  <threadedComment ref="V8" dT="2026-08-07T20:52:26.97" personId="{D231FCED-11B0-4BE1-9450-82C9F4D2FFE9}" id="{58A0AB58-534D-40C6-B404-301063239AE5}">
    <text>*No escalation is applied to student fringe benefits.</text>
  </threadedComment>
</ThreadedComments>
</file>

<file path=xl/threadedComments/threadedComment6.xml><?xml version="1.0" encoding="utf-8"?>
<ThreadedComments xmlns="http://schemas.microsoft.com/office/spreadsheetml/2018/threadedcomments" xmlns:x="http://schemas.openxmlformats.org/spreadsheetml/2006/main">
  <threadedComment ref="Q5" dT="2026-08-07T21:34:20.31" personId="{D231FCED-11B0-4BE1-9450-82C9F4D2FFE9}" id="{C97F6425-9CF4-4DB5-B0BE-E2ECC1B9B35E}">
    <text>OPE Rate Escalation logic: If the project starts before the end of the Effective Date Range, use the current rate. If the project starts after the extended start date limit, then add 2 x annual escalation, Otherwise add 1 x annual escalation.</text>
  </threadedComment>
  <threadedComment ref="V5" dT="2026-08-07T21:37:09.60" personId="{D231FCED-11B0-4BE1-9450-82C9F4D2FFE9}" id="{D9F94180-AC47-4ED8-8006-31315688AA4D}">
    <text>Assumes same across all budget years</text>
  </threadedComment>
</ThreadedComments>
</file>

<file path=xl/threadedComments/threadedComment7.xml><?xml version="1.0" encoding="utf-8"?>
<ThreadedComments xmlns="http://schemas.microsoft.com/office/spreadsheetml/2018/threadedcomments" xmlns:x="http://schemas.openxmlformats.org/spreadsheetml/2006/main">
  <threadedComment ref="B7" dT="2026-01-16T23:24:42.69" personId="{D231FCED-11B0-4BE1-9450-82C9F4D2FFE9}" id="{A946DDC0-3EB4-4825-AD49-9956075F6E21}">
    <text>Travel days only get 75% per diem, per GSA guidelines. Calculation updated Jan26 (subtract 0.5 from number of days when nights&gt;0).</text>
  </threadedComment>
  <threadedComment ref="B22" dT="2026-01-16T23:24:42.69" personId="{D231FCED-11B0-4BE1-9450-82C9F4D2FFE9}" id="{C67D4797-B93A-4F1F-AB46-556A357CBD0A}">
    <text>Travel days only get 75% per diem, per GSA guidelines. Calculation updated Jan26 (subtract 0.5 from number of days when nights&gt;0).</text>
  </threadedComment>
  <threadedComment ref="B37" dT="2026-01-16T23:24:42.69" personId="{D231FCED-11B0-4BE1-9450-82C9F4D2FFE9}" id="{229A8CA1-525E-4DC7-B0EC-1056F5688E36}">
    <text>Travel days only get 75% per diem, per GSA guidelines. Calculation updated Jan26 (subtract 0.5 from number of days when nights&gt;0).</text>
  </threadedComment>
  <threadedComment ref="B52" dT="2026-01-16T23:24:42.69" personId="{D231FCED-11B0-4BE1-9450-82C9F4D2FFE9}" id="{97946A10-88A2-431E-90C5-FDDCDBBF6A8B}">
    <text>Travel days only get 75% per diem, per GSA guidelines. Calculation updated Jan26 (subtract 0.5 from number of days when nights&gt;0).</text>
  </threadedComment>
  <threadedComment ref="B67" dT="2026-01-16T23:24:42.69" personId="{D231FCED-11B0-4BE1-9450-82C9F4D2FFE9}" id="{52AE5A49-ED5E-4B81-BAEF-FE41AB27D0E5}">
    <text>Travel days only get 75% per diem, per GSA guidelines. Calculation updated Jan26 (subtract 0.5 from number of days when nights&gt;0).</text>
  </threadedComment>
  <threadedComment ref="B82" dT="2026-01-16T23:24:42.69" personId="{D231FCED-11B0-4BE1-9450-82C9F4D2FFE9}" id="{C90BE762-8BB9-4AEC-94B3-7798D2AD86B8}">
    <text>Travel days only get 75% per diem, per GSA guidelines. Calculation updated Jan26 (subtract 0.5 from number of days when nights&gt;0).</text>
  </threadedComment>
  <threadedComment ref="B97" dT="2026-01-16T23:24:42.69" personId="{D231FCED-11B0-4BE1-9450-82C9F4D2FFE9}" id="{EFD92534-87E4-47FE-A634-6491688B1888}">
    <text>Travel days only get 75% per diem, per GSA guidelines. Calculation updated Jan26 (subtract 0.5 from number of days when nights&gt;0).</text>
  </threadedComment>
  <threadedComment ref="B112" dT="2026-01-16T23:24:42.69" personId="{D231FCED-11B0-4BE1-9450-82C9F4D2FFE9}" id="{644EC289-C251-4BFB-AFCC-E2705DAF7EE0}">
    <text>Travel days only get 75% per diem, per GSA guidelines. Calculation updated Jan26 (subtract 0.5 from number of days when nights&gt;0).</text>
  </threadedComment>
  <threadedComment ref="B127" dT="2026-01-16T23:24:42.69" personId="{D231FCED-11B0-4BE1-9450-82C9F4D2FFE9}" id="{2ADA4F29-DFC6-4F24-B693-7B9BDF445DE7}">
    <text>Travel days only get 75% per diem, per GSA guidelines. Calculation updated Jan26 (subtract 0.5 from number of days when nights&gt;0).</text>
  </threadedComment>
  <threadedComment ref="B142" dT="2026-01-16T23:24:42.69" personId="{D231FCED-11B0-4BE1-9450-82C9F4D2FFE9}" id="{E39A38DC-A784-4076-9A76-79C8D3121562}">
    <text>Travel days only get 75% per diem, per GSA guidelines. Calculation updated Jan26 (subtract 0.5 from number of days when nights&gt;0).</text>
  </threadedComment>
  <threadedComment ref="B157" dT="2026-01-16T23:24:42.69" personId="{D231FCED-11B0-4BE1-9450-82C9F4D2FFE9}" id="{3218F344-55F2-4D1A-899C-329E8A4C7DA8}">
    <text>Travel days only get 75% per diem, per GSA guidelines. Calculation updated Jan26 (subtract 0.5 from number of days when nights&gt;0).</text>
  </threadedComment>
  <threadedComment ref="B172" dT="2026-01-16T23:24:42.69" personId="{D231FCED-11B0-4BE1-9450-82C9F4D2FFE9}" id="{18662683-5823-4865-932A-B0C9F37F0237}">
    <text>Travel days only get 75% per diem, per GSA guidelines. Calculation updated Jan26 (subtract 0.5 from number of days when nights&gt;0).</text>
  </threadedComment>
  <threadedComment ref="B187" dT="2026-01-16T23:24:42.69" personId="{D231FCED-11B0-4BE1-9450-82C9F4D2FFE9}" id="{740F5AE5-892C-4440-8DCC-BF1AADA5FAE1}">
    <text>Travel days only get 75% per diem, per GSA guidelines. Calculation updated Jan26 (subtract 0.5 from number of days when nights&gt;0).</text>
  </threadedComment>
  <threadedComment ref="B202" dT="2026-01-16T23:24:42.69" personId="{D231FCED-11B0-4BE1-9450-82C9F4D2FFE9}" id="{9CD09A29-3EF5-4ACA-BDCE-9DC97D0FC52F}">
    <text>Travel days only get 75% per diem, per GSA guidelines. Calculation updated Jan26 (subtract 0.5 from number of days when nights&gt;0).</text>
  </threadedComment>
  <threadedComment ref="B217" dT="2026-01-16T23:24:42.69" personId="{D231FCED-11B0-4BE1-9450-82C9F4D2FFE9}" id="{29B6F396-0E11-4D7F-B3FA-BF4E8B531A68}">
    <text>Travel days only get 75% per diem, per GSA guidelines. Calculation updated Jan26 (subtract 0.5 from number of days when nights&gt;0).</text>
  </threadedComment>
</ThreadedComments>
</file>

<file path=xl/threadedComments/threadedComment8.xml><?xml version="1.0" encoding="utf-8"?>
<ThreadedComments xmlns="http://schemas.microsoft.com/office/spreadsheetml/2018/threadedcomments" xmlns:x="http://schemas.openxmlformats.org/spreadsheetml/2006/main">
  <threadedComment ref="B30" dT="2026-03-15T15:22:45.91" personId="{D231FCED-11B0-4BE1-9450-82C9F4D2FFE9}" id="{403B5AD1-6157-479F-8E8B-165F42B3FE4E}">
    <text>Updated March 2026. New rates backdated to July 2025. New MTDC and off-campus definitions effective July 2026.</text>
  </threadedComment>
  <threadedComment ref="O45" dT="2025-07-19T00:59:49.31" personId="{D231FCED-11B0-4BE1-9450-82C9F4D2FFE9}" id="{90F1AEE7-4D89-4E3F-88C7-DE417F9886A3}">
    <text>No longer has separate tuition rate for MPH students.</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17/10/relationships/threadedComment" Target="../threadedComments/threadedComment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microsoft.com/office/2017/10/relationships/threadedComment" Target="../threadedComments/threadedComment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 Id="rId4" Type="http://schemas.microsoft.com/office/2017/10/relationships/threadedComment" Target="../threadedComments/threadedComment4.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hr.oregonstate.edu/main/documents/student-pay-rate-guidelines" TargetMode="External"/><Relationship Id="rId1" Type="http://schemas.openxmlformats.org/officeDocument/2006/relationships/hyperlink" Target="https://hr.oregonstate.edu/policies-procedures/administrators/classification-compensation/new-oregon-minimum-wage-rate-summary" TargetMode="External"/><Relationship Id="rId6" Type="http://schemas.microsoft.com/office/2017/10/relationships/threadedComment" Target="../threadedComments/threadedComment5.xm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0.bin"/><Relationship Id="rId7" Type="http://schemas.microsoft.com/office/2017/10/relationships/threadedComment" Target="../threadedComments/threadedComment6.xml"/><Relationship Id="rId2" Type="http://schemas.openxmlformats.org/officeDocument/2006/relationships/hyperlink" Target="http://fa.oregonstate.edu/budget/tuition-fees" TargetMode="External"/><Relationship Id="rId1" Type="http://schemas.openxmlformats.org/officeDocument/2006/relationships/hyperlink" Target="https://fa.oregonstate.edu/budget/tuition-fees" TargetMode="External"/><Relationship Id="rId6" Type="http://schemas.openxmlformats.org/officeDocument/2006/relationships/comments" Target="../comments7.xml"/><Relationship Id="rId5" Type="http://schemas.openxmlformats.org/officeDocument/2006/relationships/vmlDrawing" Target="../drawings/vmlDrawing7.vml"/><Relationship Id="rId4"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8" Type="http://schemas.microsoft.com/office/2017/10/relationships/threadedComment" Target="../threadedComments/threadedComment7.xml"/><Relationship Id="rId3" Type="http://schemas.openxmlformats.org/officeDocument/2006/relationships/hyperlink" Target="https://www.travel.dod.mil/travel-transportation-rates/per-diem/per-diem-rate-lookup/" TargetMode="External"/><Relationship Id="rId7" Type="http://schemas.openxmlformats.org/officeDocument/2006/relationships/comments" Target="../comments8.xml"/><Relationship Id="rId2" Type="http://schemas.openxmlformats.org/officeDocument/2006/relationships/hyperlink" Target="https://fa.oregonstate.edu/controllers-unit" TargetMode="External"/><Relationship Id="rId1" Type="http://schemas.openxmlformats.org/officeDocument/2006/relationships/hyperlink" Target="https://fa.oregonstate.edu/controllers-unit/travel-and-expense" TargetMode="External"/><Relationship Id="rId6" Type="http://schemas.openxmlformats.org/officeDocument/2006/relationships/vmlDrawing" Target="../drawings/vmlDrawing8.vml"/><Relationship Id="rId5" Type="http://schemas.openxmlformats.org/officeDocument/2006/relationships/printerSettings" Target="../printerSettings/printerSettings11.bin"/><Relationship Id="rId4" Type="http://schemas.openxmlformats.org/officeDocument/2006/relationships/hyperlink" Target="https://www.irs.gov/tax-professionals/standard-mileage-rates" TargetMode="External"/></Relationships>
</file>

<file path=xl/worksheets/_rels/sheet18.xml.rels><?xml version="1.0" encoding="UTF-8" standalone="yes"?>
<Relationships xmlns="http://schemas.openxmlformats.org/package/2006/relationships"><Relationship Id="rId13" Type="http://schemas.openxmlformats.org/officeDocument/2006/relationships/hyperlink" Target="mailto:proposals@ceoas.oregonstate.edu" TargetMode="External"/><Relationship Id="rId18" Type="http://schemas.openxmlformats.org/officeDocument/2006/relationships/hyperlink" Target="https://health.oregonstate.edu/research/support/resources" TargetMode="External"/><Relationship Id="rId26" Type="http://schemas.openxmlformats.org/officeDocument/2006/relationships/table" Target="../tables/table2.xml"/><Relationship Id="rId39" Type="http://schemas.openxmlformats.org/officeDocument/2006/relationships/table" Target="../tables/table15.xml"/><Relationship Id="rId21" Type="http://schemas.openxmlformats.org/officeDocument/2006/relationships/hyperlink" Target="mailto:COS.proposals@oregonstate.edu" TargetMode="External"/><Relationship Id="rId34" Type="http://schemas.openxmlformats.org/officeDocument/2006/relationships/table" Target="../tables/table10.xml"/><Relationship Id="rId42" Type="http://schemas.openxmlformats.org/officeDocument/2006/relationships/table" Target="../tables/table18.xml"/><Relationship Id="rId47" Type="http://schemas.microsoft.com/office/2017/10/relationships/threadedComment" Target="../threadedComments/threadedComment8.xml"/><Relationship Id="rId7" Type="http://schemas.openxmlformats.org/officeDocument/2006/relationships/hyperlink" Target="https://fa.oregonstate.edu/budget/tuition-fees" TargetMode="External"/><Relationship Id="rId2" Type="http://schemas.openxmlformats.org/officeDocument/2006/relationships/hyperlink" Target="http://fa.oregonstate.edu/budget/tuition-fees" TargetMode="External"/><Relationship Id="rId16" Type="http://schemas.openxmlformats.org/officeDocument/2006/relationships/hyperlink" Target="https://www.forestry.oregonstate.edu/employees/proposal-support" TargetMode="External"/><Relationship Id="rId29" Type="http://schemas.openxmlformats.org/officeDocument/2006/relationships/table" Target="../tables/table5.xml"/><Relationship Id="rId1" Type="http://schemas.openxmlformats.org/officeDocument/2006/relationships/hyperlink" Target="http://research.oregonstate.edu/osraa/forms-and-rates/facilities-administration-information-and-rates" TargetMode="External"/><Relationship Id="rId6" Type="http://schemas.openxmlformats.org/officeDocument/2006/relationships/hyperlink" Target="https://www.niaid.nih.gov/grants-contracts/salary-cap-stipends" TargetMode="External"/><Relationship Id="rId11" Type="http://schemas.openxmlformats.org/officeDocument/2006/relationships/hyperlink" Target="mailto:CAS.Proposals@oregonstate.edu" TargetMode="External"/><Relationship Id="rId24" Type="http://schemas.openxmlformats.org/officeDocument/2006/relationships/vmlDrawing" Target="../drawings/vmlDrawing9.vml"/><Relationship Id="rId32" Type="http://schemas.openxmlformats.org/officeDocument/2006/relationships/table" Target="../tables/table8.xml"/><Relationship Id="rId37" Type="http://schemas.openxmlformats.org/officeDocument/2006/relationships/table" Target="../tables/table13.xml"/><Relationship Id="rId40" Type="http://schemas.openxmlformats.org/officeDocument/2006/relationships/table" Target="../tables/table16.xml"/><Relationship Id="rId45" Type="http://schemas.openxmlformats.org/officeDocument/2006/relationships/table" Target="../tables/table21.xml"/><Relationship Id="rId5" Type="http://schemas.openxmlformats.org/officeDocument/2006/relationships/hyperlink" Target="https://tuition-calculator.fa.oregonstate.edu/25-26_tuition.html" TargetMode="External"/><Relationship Id="rId15" Type="http://schemas.openxmlformats.org/officeDocument/2006/relationships/hyperlink" Target="mailto:Gina.Betcher@oregonstate.edu" TargetMode="External"/><Relationship Id="rId23" Type="http://schemas.openxmlformats.org/officeDocument/2006/relationships/drawing" Target="../drawings/drawing5.xml"/><Relationship Id="rId28" Type="http://schemas.openxmlformats.org/officeDocument/2006/relationships/table" Target="../tables/table4.xml"/><Relationship Id="rId36" Type="http://schemas.openxmlformats.org/officeDocument/2006/relationships/table" Target="../tables/table12.xml"/><Relationship Id="rId10" Type="http://schemas.openxmlformats.org/officeDocument/2006/relationships/hyperlink" Target="https://agsci.oregonstate.edu/mycas/researchers/research-toolbox" TargetMode="External"/><Relationship Id="rId19" Type="http://schemas.openxmlformats.org/officeDocument/2006/relationships/hyperlink" Target="mailto:Catherine.Clevinger@oregonstate.edu" TargetMode="External"/><Relationship Id="rId31" Type="http://schemas.openxmlformats.org/officeDocument/2006/relationships/table" Target="../tables/table7.xml"/><Relationship Id="rId44" Type="http://schemas.openxmlformats.org/officeDocument/2006/relationships/table" Target="../tables/table20.xml"/><Relationship Id="rId4" Type="http://schemas.openxmlformats.org/officeDocument/2006/relationships/hyperlink" Target="https://www.irs.gov/tax-professionals/standard-mileage-rates" TargetMode="External"/><Relationship Id="rId9" Type="http://schemas.openxmlformats.org/officeDocument/2006/relationships/hyperlink" Target="https://www.irs.gov/pub/irs-drop/n-25-54.pdf" TargetMode="External"/><Relationship Id="rId14" Type="http://schemas.openxmlformats.org/officeDocument/2006/relationships/hyperlink" Target="https://liberalarts.oregonstate.edu/research-support/budget-development-tools-and-resources" TargetMode="External"/><Relationship Id="rId22" Type="http://schemas.openxmlformats.org/officeDocument/2006/relationships/printerSettings" Target="../printerSettings/printerSettings12.bin"/><Relationship Id="rId27" Type="http://schemas.openxmlformats.org/officeDocument/2006/relationships/table" Target="../tables/table3.xml"/><Relationship Id="rId30" Type="http://schemas.openxmlformats.org/officeDocument/2006/relationships/table" Target="../tables/table6.xml"/><Relationship Id="rId35" Type="http://schemas.openxmlformats.org/officeDocument/2006/relationships/table" Target="../tables/table11.xml"/><Relationship Id="rId43" Type="http://schemas.openxmlformats.org/officeDocument/2006/relationships/table" Target="../tables/table19.xml"/><Relationship Id="rId8" Type="http://schemas.openxmlformats.org/officeDocument/2006/relationships/hyperlink" Target="https://fa.oregonstate.edu/budget/tuition-fees" TargetMode="External"/><Relationship Id="rId3" Type="http://schemas.openxmlformats.org/officeDocument/2006/relationships/hyperlink" Target="https://www.travel.dod.mil/Travel-Transportation-Rates/Per-Diem/Per-Diem-Rate-Lookup/" TargetMode="External"/><Relationship Id="rId12" Type="http://schemas.openxmlformats.org/officeDocument/2006/relationships/hyperlink" Target="https://ceoas.oregonstate.edu/proposal-fss-budget" TargetMode="External"/><Relationship Id="rId17" Type="http://schemas.openxmlformats.org/officeDocument/2006/relationships/hyperlink" Target="mailto:Melora.Park@oregonstate.edu" TargetMode="External"/><Relationship Id="rId25" Type="http://schemas.openxmlformats.org/officeDocument/2006/relationships/table" Target="../tables/table1.xml"/><Relationship Id="rId33" Type="http://schemas.openxmlformats.org/officeDocument/2006/relationships/table" Target="../tables/table9.xml"/><Relationship Id="rId38" Type="http://schemas.openxmlformats.org/officeDocument/2006/relationships/table" Target="../tables/table14.xml"/><Relationship Id="rId46" Type="http://schemas.openxmlformats.org/officeDocument/2006/relationships/comments" Target="../comments9.xml"/><Relationship Id="rId20" Type="http://schemas.openxmlformats.org/officeDocument/2006/relationships/hyperlink" Target="https://internal.science.oregonstate.edu/rdu/proposal-support" TargetMode="External"/><Relationship Id="rId41" Type="http://schemas.openxmlformats.org/officeDocument/2006/relationships/table" Target="../tables/table17.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8.xml"/><Relationship Id="rId1" Type="http://schemas.openxmlformats.org/officeDocument/2006/relationships/printerSettings" Target="../printerSettings/printerSettings15.bin"/><Relationship Id="rId5" Type="http://schemas.openxmlformats.org/officeDocument/2006/relationships/comments" Target="../comments10.xml"/><Relationship Id="rId4" Type="http://schemas.openxmlformats.org/officeDocument/2006/relationships/table" Target="../tables/table22.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16.bin"/><Relationship Id="rId4" Type="http://schemas.openxmlformats.org/officeDocument/2006/relationships/comments" Target="../comments1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0.xml"/><Relationship Id="rId1" Type="http://schemas.openxmlformats.org/officeDocument/2006/relationships/printerSettings" Target="../printerSettings/printerSettings17.bin"/><Relationship Id="rId4" Type="http://schemas.openxmlformats.org/officeDocument/2006/relationships/comments" Target="../comments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79998168889431442"/>
  </sheetPr>
  <dimension ref="A1:AJ164"/>
  <sheetViews>
    <sheetView showGridLines="0" zoomScale="140" zoomScaleNormal="140" workbookViewId="0">
      <pane xSplit="2" ySplit="10" topLeftCell="C51" activePane="bottomRight" state="frozen"/>
      <selection pane="topRight" activeCell="C1" sqref="C1"/>
      <selection pane="bottomLeft" activeCell="A11" sqref="A11"/>
      <selection pane="bottomRight" activeCell="B68" sqref="B68"/>
    </sheetView>
  </sheetViews>
  <sheetFormatPr defaultColWidth="9.140625" defaultRowHeight="15" customHeight="1" x14ac:dyDescent="0.25"/>
  <cols>
    <col min="1" max="1" width="4" customWidth="1"/>
    <col min="2" max="2" width="24.5703125" customWidth="1"/>
    <col min="3" max="3" width="11.28515625" customWidth="1"/>
    <col min="4" max="4" width="11.140625" style="40" customWidth="1"/>
    <col min="5" max="5" width="13.140625" customWidth="1"/>
    <col min="6" max="6" width="9.5703125" customWidth="1"/>
    <col min="7" max="7" width="7.140625" customWidth="1"/>
    <col min="8" max="8" width="11.28515625" customWidth="1"/>
    <col min="9" max="9" width="12.85546875" customWidth="1"/>
    <col min="10" max="14" width="12.85546875" hidden="1" customWidth="1"/>
    <col min="15" max="15" width="19.28515625" customWidth="1"/>
    <col min="16" max="16" width="13.28515625" customWidth="1"/>
    <col min="17" max="17" width="12.28515625" customWidth="1"/>
    <col min="18" max="18" width="12.7109375" customWidth="1"/>
    <col min="19" max="19" width="32.28515625" customWidth="1"/>
    <col min="20" max="21" width="9" customWidth="1"/>
    <col min="22" max="22" width="9.85546875" customWidth="1"/>
    <col min="23" max="23" width="12.85546875" customWidth="1"/>
    <col min="24" max="28" width="12.85546875" hidden="1" customWidth="1"/>
    <col min="29" max="29" width="8.85546875" customWidth="1"/>
    <col min="30" max="30" width="10.42578125" hidden="1" customWidth="1"/>
    <col min="31" max="36" width="12.85546875" hidden="1" customWidth="1"/>
  </cols>
  <sheetData>
    <row r="1" spans="1:36" s="503" customFormat="1" ht="15" customHeight="1" thickBot="1" x14ac:dyDescent="0.3">
      <c r="A1" s="1823" t="s">
        <v>466</v>
      </c>
      <c r="B1" s="1823"/>
      <c r="C1" s="2945"/>
      <c r="D1" s="912"/>
      <c r="E1" s="1794"/>
      <c r="F1" s="1795"/>
      <c r="G1" s="1795"/>
      <c r="H1" s="1795"/>
      <c r="I1" s="2514" t="s">
        <v>789</v>
      </c>
      <c r="AC1"/>
    </row>
    <row r="2" spans="1:36" s="503" customFormat="1" ht="15" customHeight="1" x14ac:dyDescent="0.25">
      <c r="B2" s="2946" t="s">
        <v>62</v>
      </c>
      <c r="C2" s="2947" t="s">
        <v>1095</v>
      </c>
      <c r="E2" s="1796" t="s">
        <v>337</v>
      </c>
      <c r="F2" s="1881">
        <v>46310</v>
      </c>
      <c r="G2" s="1882" t="s">
        <v>513</v>
      </c>
      <c r="H2" s="1795"/>
      <c r="I2" s="2515" t="s">
        <v>788</v>
      </c>
      <c r="R2" s="1970"/>
      <c r="S2" s="1971" t="s">
        <v>390</v>
      </c>
      <c r="AC2"/>
    </row>
    <row r="3" spans="1:36" s="503" customFormat="1" ht="15" customHeight="1" thickBot="1" x14ac:dyDescent="0.3">
      <c r="B3" s="2948" t="s">
        <v>1039</v>
      </c>
      <c r="C3" s="2949" t="s">
        <v>1092</v>
      </c>
      <c r="E3" s="1797" t="s">
        <v>294</v>
      </c>
      <c r="F3" s="1824"/>
      <c r="G3" s="1795"/>
      <c r="H3" s="1795"/>
      <c r="R3" s="2939"/>
      <c r="S3" s="1972" t="s">
        <v>463</v>
      </c>
      <c r="AC3"/>
    </row>
    <row r="4" spans="1:36" s="503" customFormat="1" ht="15" customHeight="1" x14ac:dyDescent="0.25">
      <c r="B4" s="2948" t="s">
        <v>272</v>
      </c>
      <c r="C4" s="2950">
        <v>46478</v>
      </c>
      <c r="E4" s="1797" t="s">
        <v>567</v>
      </c>
      <c r="F4" s="1824" t="s">
        <v>569</v>
      </c>
      <c r="G4" s="1795"/>
      <c r="H4" s="1795"/>
      <c r="I4" s="1798" t="s">
        <v>273</v>
      </c>
      <c r="J4" s="1799"/>
      <c r="K4" s="1799"/>
      <c r="L4" s="1799"/>
      <c r="M4" s="1799"/>
      <c r="N4" s="1799"/>
      <c r="O4" s="2076" t="s">
        <v>304</v>
      </c>
      <c r="P4" s="2621"/>
      <c r="Q4" s="847"/>
      <c r="R4" s="1801">
        <f>IF($R$2&gt;0,Budget!$L$311,0)</f>
        <v>0</v>
      </c>
      <c r="S4" s="1802" t="s">
        <v>535</v>
      </c>
      <c r="AC4"/>
    </row>
    <row r="5" spans="1:36" s="503" customFormat="1" ht="15" customHeight="1" thickBot="1" x14ac:dyDescent="0.3">
      <c r="B5" s="2948" t="s">
        <v>577</v>
      </c>
      <c r="C5" s="2951">
        <v>12</v>
      </c>
      <c r="E5" s="1795"/>
      <c r="F5" s="1795"/>
      <c r="G5" s="1795"/>
      <c r="H5" s="1795"/>
      <c r="I5" s="1865" t="s">
        <v>580</v>
      </c>
      <c r="J5" s="1866" t="s">
        <v>581</v>
      </c>
      <c r="K5" s="1866" t="s">
        <v>582</v>
      </c>
      <c r="L5" s="1866" t="s">
        <v>583</v>
      </c>
      <c r="M5" s="1866" t="s">
        <v>584</v>
      </c>
      <c r="N5" s="1866" t="s">
        <v>585</v>
      </c>
      <c r="O5" s="1803"/>
      <c r="P5" s="1800"/>
      <c r="R5" s="1804">
        <f>IF($R$2&gt;0,Budget!$M$311,0)</f>
        <v>0</v>
      </c>
      <c r="S5" s="1805" t="s">
        <v>536</v>
      </c>
      <c r="AC5"/>
    </row>
    <row r="6" spans="1:36" s="503" customFormat="1" ht="15" customHeight="1" thickBot="1" x14ac:dyDescent="0.3">
      <c r="B6" s="2952" t="s">
        <v>274</v>
      </c>
      <c r="C6" s="2953">
        <f>DATE(YEAR(C4),MONTH(C4)+C5,DAY(C4))-1</f>
        <v>46843</v>
      </c>
      <c r="I6" s="3004">
        <f ca="1">Budget!J295</f>
        <v>50000.337972000001</v>
      </c>
      <c r="J6" s="3005">
        <f ca="1">Budget!EM$295</f>
        <v>0</v>
      </c>
      <c r="K6" s="3005">
        <f ca="1">Budget!EN$295</f>
        <v>0</v>
      </c>
      <c r="L6" s="3005">
        <f ca="1">Budget!EO$295</f>
        <v>0</v>
      </c>
      <c r="M6" s="3005">
        <f ca="1">Budget!EP$295</f>
        <v>0</v>
      </c>
      <c r="N6" s="3005">
        <f ca="1">Budget!EQ$295</f>
        <v>0</v>
      </c>
      <c r="O6" s="3006">
        <f ca="1">SUM(I6:N6)</f>
        <v>50000.337972000001</v>
      </c>
      <c r="P6" s="2622">
        <f ca="1">O7-O6</f>
        <v>-50000.337972000001</v>
      </c>
      <c r="Q6" s="2596" t="s">
        <v>831</v>
      </c>
      <c r="R6" s="2313">
        <f ca="1">Budget!L9</f>
        <v>0</v>
      </c>
      <c r="S6" s="503" t="s">
        <v>640</v>
      </c>
      <c r="AC6"/>
    </row>
    <row r="7" spans="1:36" s="503" customFormat="1" ht="15" customHeight="1" thickBot="1" x14ac:dyDescent="0.3">
      <c r="B7" s="2954" t="s">
        <v>731</v>
      </c>
      <c r="C7" s="2955">
        <v>46241</v>
      </c>
      <c r="D7" s="2433" t="s">
        <v>1036</v>
      </c>
      <c r="E7" s="2434"/>
      <c r="F7" s="2434"/>
      <c r="G7" s="2434"/>
      <c r="H7" s="1808" t="s">
        <v>338</v>
      </c>
      <c r="I7" s="3007"/>
      <c r="J7" s="3008"/>
      <c r="K7" s="3008"/>
      <c r="L7" s="3008"/>
      <c r="M7" s="3008"/>
      <c r="N7" s="3008"/>
      <c r="O7" s="3009">
        <f>SUM(I7:N7)</f>
        <v>0</v>
      </c>
      <c r="Q7" s="2597" t="s">
        <v>832</v>
      </c>
      <c r="R7" s="1806"/>
      <c r="AC7"/>
    </row>
    <row r="8" spans="1:36" s="503" customFormat="1" ht="15" customHeight="1" thickBot="1" x14ac:dyDescent="0.3">
      <c r="B8" s="847"/>
      <c r="D8" s="1807"/>
      <c r="G8" s="1809"/>
      <c r="H8" s="1809" t="s">
        <v>333</v>
      </c>
      <c r="I8" s="1831">
        <f>IF($C$5&lt;12,IF($C$5&gt;0,$C$5-0,0),12)</f>
        <v>12</v>
      </c>
      <c r="J8" s="1831">
        <f>IF($C$5&lt;24,IF($C$5&gt;12,$C$5-12,0),12)</f>
        <v>0</v>
      </c>
      <c r="K8" s="1831">
        <f>IF($C$5&lt;36,IF($C$5&gt;24,$C$5-24,0),12)</f>
        <v>0</v>
      </c>
      <c r="L8" s="1831">
        <f>IF($C$5&lt;48,IF($C$5&gt;36,$C$5-36,0),12)</f>
        <v>0</v>
      </c>
      <c r="M8" s="1831">
        <f>IF($C$5&lt;60,IF($C$5&gt;48,$C$5-48,0),12)</f>
        <v>0</v>
      </c>
      <c r="N8" s="1831">
        <f>IF($C$5&lt;72,IF($C$5&gt;60,$C$5-60,0),12)</f>
        <v>0</v>
      </c>
      <c r="O8" s="1832">
        <f>SUM(I8:N8)</f>
        <v>12</v>
      </c>
      <c r="AC8"/>
    </row>
    <row r="9" spans="1:36" ht="15" customHeight="1" thickBot="1" x14ac:dyDescent="0.3">
      <c r="P9" s="1810" t="s">
        <v>579</v>
      </c>
      <c r="Q9" s="1811"/>
      <c r="R9" s="1812"/>
      <c r="S9" s="1813" t="s">
        <v>293</v>
      </c>
      <c r="T9" s="503"/>
      <c r="U9" s="503"/>
      <c r="V9" s="503"/>
    </row>
    <row r="10" spans="1:36" s="770" customFormat="1" ht="45.75" thickBot="1" x14ac:dyDescent="0.3">
      <c r="B10" s="2956" t="s">
        <v>510</v>
      </c>
      <c r="C10" s="2957" t="s">
        <v>340</v>
      </c>
      <c r="D10" s="1939" t="s">
        <v>1073</v>
      </c>
      <c r="E10" s="1939" t="s">
        <v>511</v>
      </c>
      <c r="F10" s="2192" t="s">
        <v>276</v>
      </c>
      <c r="G10" s="1939" t="s">
        <v>576</v>
      </c>
      <c r="H10" s="1939" t="s">
        <v>575</v>
      </c>
      <c r="I10" s="1968" t="s">
        <v>598</v>
      </c>
      <c r="J10" s="1968" t="s">
        <v>599</v>
      </c>
      <c r="K10" s="1968" t="s">
        <v>600</v>
      </c>
      <c r="L10" s="1968" t="s">
        <v>601</v>
      </c>
      <c r="M10" s="1968" t="s">
        <v>602</v>
      </c>
      <c r="N10" s="1966" t="s">
        <v>603</v>
      </c>
      <c r="O10" s="1964" t="s">
        <v>586</v>
      </c>
      <c r="P10" s="1969" t="s">
        <v>370</v>
      </c>
      <c r="Q10" s="1968" t="s">
        <v>281</v>
      </c>
      <c r="R10" s="1973" t="s">
        <v>282</v>
      </c>
      <c r="S10" s="2203" t="s">
        <v>784</v>
      </c>
      <c r="T10" s="2204" t="s">
        <v>572</v>
      </c>
      <c r="U10" s="922"/>
      <c r="V10" s="1976" t="s">
        <v>575</v>
      </c>
      <c r="W10" s="1822" t="s">
        <v>598</v>
      </c>
      <c r="X10" s="1822" t="s">
        <v>599</v>
      </c>
      <c r="Y10" s="1822" t="s">
        <v>600</v>
      </c>
      <c r="Z10" s="1822" t="s">
        <v>601</v>
      </c>
      <c r="AA10" s="1822" t="s">
        <v>602</v>
      </c>
      <c r="AB10" s="1879" t="s">
        <v>603</v>
      </c>
      <c r="AC10"/>
      <c r="AD10" s="1976" t="s">
        <v>575</v>
      </c>
      <c r="AE10" s="1822" t="s">
        <v>598</v>
      </c>
      <c r="AF10" s="1822" t="s">
        <v>599</v>
      </c>
      <c r="AG10" s="1822" t="s">
        <v>600</v>
      </c>
      <c r="AH10" s="1822" t="s">
        <v>601</v>
      </c>
      <c r="AI10" s="1822" t="s">
        <v>602</v>
      </c>
      <c r="AJ10" s="1879" t="s">
        <v>603</v>
      </c>
    </row>
    <row r="11" spans="1:36" ht="15" customHeight="1" thickBot="1" x14ac:dyDescent="0.3">
      <c r="A11" s="1950">
        <v>1</v>
      </c>
      <c r="B11" s="2958" t="s">
        <v>1096</v>
      </c>
      <c r="C11" s="2580" t="s">
        <v>74</v>
      </c>
      <c r="D11" s="3071" t="s">
        <v>1066</v>
      </c>
      <c r="E11" s="1926">
        <f>85008*1.03</f>
        <v>87558.24</v>
      </c>
      <c r="F11" s="2334">
        <v>1</v>
      </c>
      <c r="G11" s="2135">
        <v>12</v>
      </c>
      <c r="H11" s="2330">
        <v>2</v>
      </c>
      <c r="I11" s="2194">
        <v>2.2999999999999998</v>
      </c>
      <c r="J11" s="2194"/>
      <c r="K11" s="2194"/>
      <c r="L11" s="2194"/>
      <c r="M11" s="2194"/>
      <c r="N11" s="2194"/>
      <c r="O11" s="2315">
        <f ca="1">SUM(Budget!J14,Budget!J29,Budget!J87,Budget!J102)</f>
        <v>25290.467971999999</v>
      </c>
      <c r="P11" s="2195">
        <f ca="1">'Calc - SENIOR PERS'!L11</f>
        <v>7296.52</v>
      </c>
      <c r="Q11" s="2196">
        <f ca="1">'Calc - SENIOR PERS'!C18</f>
        <v>2.2999999999999998</v>
      </c>
      <c r="R11" s="2197">
        <f ca="1">'Calc - SENIOR PERS'!F18</f>
        <v>0.19166666666666665</v>
      </c>
      <c r="S11" s="2198" t="s">
        <v>783</v>
      </c>
      <c r="T11" s="2199"/>
      <c r="U11" s="1870"/>
      <c r="V11" s="1977"/>
      <c r="W11" s="2194"/>
      <c r="X11" s="2194"/>
      <c r="Y11" s="2194"/>
      <c r="Z11" s="2194"/>
      <c r="AA11" s="2194"/>
      <c r="AB11" s="1826"/>
      <c r="AD11" s="1977"/>
      <c r="AE11" s="2194"/>
      <c r="AF11" s="2194"/>
      <c r="AG11" s="2194"/>
      <c r="AH11" s="2194"/>
      <c r="AI11" s="2194"/>
      <c r="AJ11" s="1826"/>
    </row>
    <row r="12" spans="1:36" ht="15" hidden="1" customHeight="1" x14ac:dyDescent="0.25">
      <c r="A12" s="1950">
        <v>2</v>
      </c>
      <c r="B12" s="2958"/>
      <c r="C12" s="2580"/>
      <c r="D12" s="3071" t="s">
        <v>1066</v>
      </c>
      <c r="E12" s="1926"/>
      <c r="F12" s="2606">
        <v>1</v>
      </c>
      <c r="G12" s="2135">
        <v>9</v>
      </c>
      <c r="H12" s="2330"/>
      <c r="I12" s="2194"/>
      <c r="J12" s="2194"/>
      <c r="K12" s="2194"/>
      <c r="L12" s="2194"/>
      <c r="M12" s="2194"/>
      <c r="N12" s="2194"/>
      <c r="O12" s="2316">
        <f ca="1">SUM(Budget!J15,Budget!J30,Budget!J88,Budget!J103)</f>
        <v>0</v>
      </c>
      <c r="P12" s="1814">
        <f ca="1">'Calc - SENIOR PERS'!L25</f>
        <v>0</v>
      </c>
      <c r="Q12" s="1815">
        <f ca="1">'Calc - SENIOR PERS'!C32</f>
        <v>0</v>
      </c>
      <c r="R12" s="2189">
        <f ca="1">'Calc - SENIOR PERS'!F32</f>
        <v>0</v>
      </c>
      <c r="S12" s="2193"/>
      <c r="T12" s="2200"/>
      <c r="U12" s="1870"/>
      <c r="V12" s="2395"/>
      <c r="W12" s="2194"/>
      <c r="X12" s="2194"/>
      <c r="Y12" s="2194"/>
      <c r="Z12" s="2194"/>
      <c r="AA12" s="2194"/>
      <c r="AB12" s="2393"/>
      <c r="AD12" s="2395"/>
      <c r="AE12" s="2194"/>
      <c r="AF12" s="2194"/>
      <c r="AG12" s="2194"/>
      <c r="AH12" s="2194"/>
      <c r="AI12" s="2194"/>
      <c r="AJ12" s="2393"/>
    </row>
    <row r="13" spans="1:36" ht="15" hidden="1" customHeight="1" x14ac:dyDescent="0.25">
      <c r="A13" s="1950">
        <v>3</v>
      </c>
      <c r="B13" s="2958"/>
      <c r="C13" s="2580"/>
      <c r="D13" s="3071" t="s">
        <v>1066</v>
      </c>
      <c r="E13" s="1926"/>
      <c r="F13" s="2606">
        <v>1</v>
      </c>
      <c r="G13" s="2135">
        <v>9</v>
      </c>
      <c r="H13" s="2330"/>
      <c r="I13" s="2194"/>
      <c r="J13" s="2194"/>
      <c r="K13" s="2194"/>
      <c r="L13" s="2194"/>
      <c r="M13" s="2194"/>
      <c r="N13" s="2194"/>
      <c r="O13" s="2316">
        <f ca="1">SUM(Budget!J16,Budget!J31,Budget!J89,Budget!J104)</f>
        <v>0</v>
      </c>
      <c r="P13" s="1814">
        <f ca="1">'Calc - SENIOR PERS'!L39</f>
        <v>0</v>
      </c>
      <c r="Q13" s="1815">
        <f ca="1">'Calc - SENIOR PERS'!C46</f>
        <v>0</v>
      </c>
      <c r="R13" s="2189">
        <f ca="1">'Calc - SENIOR PERS'!F46</f>
        <v>0</v>
      </c>
      <c r="S13" s="2193"/>
      <c r="T13" s="2200"/>
      <c r="U13" s="1870"/>
      <c r="V13" s="2395"/>
      <c r="W13" s="2194"/>
      <c r="X13" s="2194"/>
      <c r="Y13" s="2194"/>
      <c r="Z13" s="2194"/>
      <c r="AA13" s="2194"/>
      <c r="AB13" s="2393"/>
      <c r="AD13" s="2395"/>
      <c r="AE13" s="2194"/>
      <c r="AF13" s="2194"/>
      <c r="AG13" s="2194"/>
      <c r="AH13" s="2194"/>
      <c r="AI13" s="2194"/>
      <c r="AJ13" s="2393"/>
    </row>
    <row r="14" spans="1:36" ht="15" hidden="1" customHeight="1" x14ac:dyDescent="0.25">
      <c r="A14" s="1950">
        <v>4</v>
      </c>
      <c r="B14" s="2958"/>
      <c r="C14" s="2580"/>
      <c r="D14" s="3071" t="s">
        <v>1066</v>
      </c>
      <c r="E14" s="1926"/>
      <c r="F14" s="2334">
        <v>1</v>
      </c>
      <c r="G14" s="2135">
        <v>9</v>
      </c>
      <c r="H14" s="2330"/>
      <c r="I14" s="2194"/>
      <c r="J14" s="2194"/>
      <c r="K14" s="2194"/>
      <c r="L14" s="2194"/>
      <c r="M14" s="2194"/>
      <c r="N14" s="2194"/>
      <c r="O14" s="2316">
        <f ca="1">SUM(Budget!J17,Budget!J32,Budget!J90,Budget!J105)</f>
        <v>0</v>
      </c>
      <c r="P14" s="1814">
        <f ca="1">'Calc - SENIOR PERS'!L53</f>
        <v>0</v>
      </c>
      <c r="Q14" s="1815">
        <f ca="1">'Calc - SENIOR PERS'!C60</f>
        <v>0</v>
      </c>
      <c r="R14" s="2189">
        <f ca="1">'Calc - SENIOR PERS'!F60</f>
        <v>0</v>
      </c>
      <c r="S14" s="2193"/>
      <c r="T14" s="2200"/>
      <c r="U14" s="1870"/>
      <c r="V14" s="2395"/>
      <c r="W14" s="2194"/>
      <c r="X14" s="2194"/>
      <c r="Y14" s="2194"/>
      <c r="Z14" s="2194"/>
      <c r="AA14" s="2194"/>
      <c r="AB14" s="2393"/>
      <c r="AD14" s="2395"/>
      <c r="AE14" s="2194"/>
      <c r="AF14" s="2194"/>
      <c r="AG14" s="2194"/>
      <c r="AH14" s="2194"/>
      <c r="AI14" s="2194"/>
      <c r="AJ14" s="2393"/>
    </row>
    <row r="15" spans="1:36" ht="15" hidden="1" customHeight="1" x14ac:dyDescent="0.25">
      <c r="A15" s="1950">
        <v>5</v>
      </c>
      <c r="B15" s="2958"/>
      <c r="C15" s="2580"/>
      <c r="D15" s="3071" t="s">
        <v>1066</v>
      </c>
      <c r="E15" s="1926"/>
      <c r="F15" s="2606">
        <v>1</v>
      </c>
      <c r="G15" s="2135">
        <v>9</v>
      </c>
      <c r="H15" s="2330"/>
      <c r="I15" s="2194"/>
      <c r="J15" s="2194"/>
      <c r="K15" s="2194"/>
      <c r="L15" s="2194"/>
      <c r="M15" s="2194"/>
      <c r="N15" s="2194"/>
      <c r="O15" s="2316">
        <f ca="1">SUM(Budget!J18,Budget!J33,Budget!J91,Budget!J106)</f>
        <v>0</v>
      </c>
      <c r="P15" s="1814">
        <f ca="1">'Calc - SENIOR PERS'!L67</f>
        <v>0</v>
      </c>
      <c r="Q15" s="1815">
        <f ca="1">'Calc - SENIOR PERS'!C74</f>
        <v>0</v>
      </c>
      <c r="R15" s="2189">
        <f ca="1">'Calc - SENIOR PERS'!F74</f>
        <v>0</v>
      </c>
      <c r="S15" s="2193"/>
      <c r="T15" s="2200"/>
      <c r="U15" s="1870"/>
      <c r="V15" s="2395"/>
      <c r="W15" s="2194"/>
      <c r="X15" s="2194"/>
      <c r="Y15" s="2194"/>
      <c r="Z15" s="2194"/>
      <c r="AA15" s="2194"/>
      <c r="AB15" s="2393"/>
      <c r="AD15" s="2395"/>
      <c r="AE15" s="2194"/>
      <c r="AF15" s="2194"/>
      <c r="AG15" s="2194"/>
      <c r="AH15" s="2194"/>
      <c r="AI15" s="2194"/>
      <c r="AJ15" s="2393"/>
    </row>
    <row r="16" spans="1:36" ht="15" hidden="1" customHeight="1" x14ac:dyDescent="0.25">
      <c r="A16" s="1950">
        <v>6</v>
      </c>
      <c r="B16" s="2958"/>
      <c r="C16" s="2580"/>
      <c r="D16" s="3071" t="s">
        <v>1066</v>
      </c>
      <c r="E16" s="1926"/>
      <c r="F16" s="2606">
        <v>1</v>
      </c>
      <c r="G16" s="2135">
        <v>9</v>
      </c>
      <c r="H16" s="2330"/>
      <c r="I16" s="2194"/>
      <c r="J16" s="2194"/>
      <c r="K16" s="2194"/>
      <c r="L16" s="2194"/>
      <c r="M16" s="2194"/>
      <c r="N16" s="2194"/>
      <c r="O16" s="2316">
        <f ca="1">SUM(Budget!J19,Budget!J34,Budget!J92,Budget!J107)</f>
        <v>0</v>
      </c>
      <c r="P16" s="1814">
        <f ca="1">'Calc - SENIOR PERS'!L81</f>
        <v>0</v>
      </c>
      <c r="Q16" s="1815">
        <f ca="1">'Calc - SENIOR PERS'!C88</f>
        <v>0</v>
      </c>
      <c r="R16" s="2189">
        <f ca="1">'Calc - SENIOR PERS'!F88</f>
        <v>0</v>
      </c>
      <c r="S16" s="2193"/>
      <c r="T16" s="2200"/>
      <c r="U16" s="1870"/>
      <c r="V16" s="2395"/>
      <c r="W16" s="2194"/>
      <c r="X16" s="2194"/>
      <c r="Y16" s="2194"/>
      <c r="Z16" s="2194"/>
      <c r="AA16" s="2194"/>
      <c r="AB16" s="2393"/>
      <c r="AD16" s="2395"/>
      <c r="AE16" s="2194"/>
      <c r="AF16" s="2194"/>
      <c r="AG16" s="2194"/>
      <c r="AH16" s="2194"/>
      <c r="AI16" s="2194"/>
      <c r="AJ16" s="2393"/>
    </row>
    <row r="17" spans="1:36" ht="15" hidden="1" customHeight="1" x14ac:dyDescent="0.25">
      <c r="A17" s="1950">
        <v>7</v>
      </c>
      <c r="B17" s="2958"/>
      <c r="C17" s="2580"/>
      <c r="D17" s="3071" t="s">
        <v>1066</v>
      </c>
      <c r="E17" s="1926"/>
      <c r="F17" s="2334">
        <v>1</v>
      </c>
      <c r="G17" s="2135">
        <v>9</v>
      </c>
      <c r="H17" s="2330"/>
      <c r="I17" s="2194"/>
      <c r="J17" s="2194"/>
      <c r="K17" s="2194"/>
      <c r="L17" s="2194"/>
      <c r="M17" s="2194"/>
      <c r="N17" s="2194"/>
      <c r="O17" s="2316">
        <f ca="1">SUM(Budget!J20,Budget!J35,Budget!J93,Budget!J108)</f>
        <v>0</v>
      </c>
      <c r="P17" s="1814">
        <f ca="1">'Calc - SENIOR PERS'!L95</f>
        <v>0</v>
      </c>
      <c r="Q17" s="1815">
        <f ca="1">'Calc - SENIOR PERS'!C102</f>
        <v>0</v>
      </c>
      <c r="R17" s="2189">
        <f ca="1">'Calc - SENIOR PERS'!F102</f>
        <v>0</v>
      </c>
      <c r="S17" s="2193"/>
      <c r="T17" s="2200"/>
      <c r="U17" s="1870"/>
      <c r="V17" s="2395"/>
      <c r="W17" s="2194"/>
      <c r="X17" s="2194"/>
      <c r="Y17" s="2194"/>
      <c r="Z17" s="2194"/>
      <c r="AA17" s="2194"/>
      <c r="AB17" s="2393"/>
      <c r="AD17" s="2395"/>
      <c r="AE17" s="2194"/>
      <c r="AF17" s="2194"/>
      <c r="AG17" s="2194"/>
      <c r="AH17" s="2194"/>
      <c r="AI17" s="2194"/>
      <c r="AJ17" s="2393"/>
    </row>
    <row r="18" spans="1:36" ht="15" hidden="1" customHeight="1" x14ac:dyDescent="0.25">
      <c r="A18" s="1950">
        <v>8</v>
      </c>
      <c r="B18" s="2958"/>
      <c r="C18" s="2580"/>
      <c r="D18" s="3071" t="s">
        <v>1066</v>
      </c>
      <c r="E18" s="1926"/>
      <c r="F18" s="2606">
        <v>1</v>
      </c>
      <c r="G18" s="2135">
        <v>9</v>
      </c>
      <c r="H18" s="2330"/>
      <c r="I18" s="2194"/>
      <c r="J18" s="2194"/>
      <c r="K18" s="2194"/>
      <c r="L18" s="2194"/>
      <c r="M18" s="2194"/>
      <c r="N18" s="2194"/>
      <c r="O18" s="2316">
        <f ca="1">SUM(Budget!J21,Budget!J36,Budget!J94,Budget!J109)</f>
        <v>0</v>
      </c>
      <c r="P18" s="1814">
        <f ca="1">'Calc - SENIOR PERS'!L109</f>
        <v>0</v>
      </c>
      <c r="Q18" s="1815">
        <f ca="1">'Calc - SENIOR PERS'!C116</f>
        <v>0</v>
      </c>
      <c r="R18" s="2189">
        <f ca="1">'Calc - SENIOR PERS'!F116</f>
        <v>0</v>
      </c>
      <c r="S18" s="2193"/>
      <c r="T18" s="2200"/>
      <c r="U18" s="1870"/>
      <c r="V18" s="2395"/>
      <c r="W18" s="2194"/>
      <c r="X18" s="2194"/>
      <c r="Y18" s="2194"/>
      <c r="Z18" s="2194"/>
      <c r="AA18" s="2194"/>
      <c r="AB18" s="2393"/>
      <c r="AD18" s="2395"/>
      <c r="AE18" s="2194"/>
      <c r="AF18" s="2194"/>
      <c r="AG18" s="2194"/>
      <c r="AH18" s="2194"/>
      <c r="AI18" s="2194"/>
      <c r="AJ18" s="2393"/>
    </row>
    <row r="19" spans="1:36" ht="15" hidden="1" customHeight="1" x14ac:dyDescent="0.25">
      <c r="A19" s="1950">
        <v>9</v>
      </c>
      <c r="B19" s="2958"/>
      <c r="C19" s="2580"/>
      <c r="D19" s="3071" t="s">
        <v>1066</v>
      </c>
      <c r="E19" s="1926"/>
      <c r="F19" s="2606">
        <v>1</v>
      </c>
      <c r="G19" s="2135">
        <v>9</v>
      </c>
      <c r="H19" s="2330"/>
      <c r="I19" s="2194"/>
      <c r="J19" s="2194"/>
      <c r="K19" s="2194"/>
      <c r="L19" s="2194"/>
      <c r="M19" s="2194"/>
      <c r="N19" s="2194"/>
      <c r="O19" s="2316">
        <f ca="1">SUM(Budget!J22,Budget!J37,Budget!J95,Budget!J110)</f>
        <v>0</v>
      </c>
      <c r="P19" s="1814">
        <f ca="1">'Calc - SENIOR PERS'!L123</f>
        <v>0</v>
      </c>
      <c r="Q19" s="1815">
        <f ca="1">'Calc - SENIOR PERS'!C130</f>
        <v>0</v>
      </c>
      <c r="R19" s="2189">
        <f ca="1">'Calc - SENIOR PERS'!F130</f>
        <v>0</v>
      </c>
      <c r="S19" s="2193"/>
      <c r="T19" s="2200"/>
      <c r="U19" s="1870"/>
      <c r="V19" s="2395"/>
      <c r="W19" s="1825"/>
      <c r="X19" s="1825"/>
      <c r="Y19" s="1825"/>
      <c r="Z19" s="1825"/>
      <c r="AA19" s="1825"/>
      <c r="AB19" s="1826"/>
      <c r="AD19" s="2395"/>
      <c r="AE19" s="1825"/>
      <c r="AF19" s="1825"/>
      <c r="AG19" s="1825"/>
      <c r="AH19" s="1825"/>
      <c r="AI19" s="1825"/>
      <c r="AJ19" s="1826"/>
    </row>
    <row r="20" spans="1:36" ht="15" hidden="1" customHeight="1" x14ac:dyDescent="0.25">
      <c r="A20" s="1950">
        <v>10</v>
      </c>
      <c r="B20" s="2958"/>
      <c r="C20" s="2580"/>
      <c r="D20" s="3071" t="s">
        <v>1066</v>
      </c>
      <c r="E20" s="1926"/>
      <c r="F20" s="2334">
        <v>1</v>
      </c>
      <c r="G20" s="2135">
        <v>9</v>
      </c>
      <c r="H20" s="2330"/>
      <c r="I20" s="2194"/>
      <c r="J20" s="2194"/>
      <c r="K20" s="2194"/>
      <c r="L20" s="2194"/>
      <c r="M20" s="2194"/>
      <c r="N20" s="2194"/>
      <c r="O20" s="2316">
        <f ca="1">SUM(Budget!J23,Budget!J38,Budget!J96,Budget!J111)</f>
        <v>0</v>
      </c>
      <c r="P20" s="2137">
        <f ca="1">'Calc - SENIOR PERS'!L137</f>
        <v>0</v>
      </c>
      <c r="Q20" s="2138">
        <f ca="1">'Calc - SENIOR PERS'!C144</f>
        <v>0</v>
      </c>
      <c r="R20" s="2190">
        <f ca="1">'Calc - SENIOR PERS'!F144</f>
        <v>0</v>
      </c>
      <c r="S20" s="2193"/>
      <c r="T20" s="2200"/>
      <c r="U20" s="1870"/>
      <c r="V20" s="2395"/>
      <c r="W20" s="1825"/>
      <c r="X20" s="1825"/>
      <c r="Y20" s="1825"/>
      <c r="Z20" s="1825"/>
      <c r="AA20" s="1825"/>
      <c r="AB20" s="1826"/>
      <c r="AD20" s="2395"/>
      <c r="AE20" s="1825"/>
      <c r="AF20" s="1825"/>
      <c r="AG20" s="1825"/>
      <c r="AH20" s="1825"/>
      <c r="AI20" s="1825"/>
      <c r="AJ20" s="1826"/>
    </row>
    <row r="21" spans="1:36" ht="15" hidden="1" customHeight="1" x14ac:dyDescent="0.25">
      <c r="A21" s="1950">
        <v>11</v>
      </c>
      <c r="B21" s="2958"/>
      <c r="C21" s="2580"/>
      <c r="D21" s="3071" t="s">
        <v>1066</v>
      </c>
      <c r="E21" s="1926"/>
      <c r="F21" s="2606">
        <v>1</v>
      </c>
      <c r="G21" s="2135">
        <v>9</v>
      </c>
      <c r="H21" s="2330"/>
      <c r="I21" s="2194"/>
      <c r="J21" s="2194"/>
      <c r="K21" s="2194"/>
      <c r="L21" s="2194"/>
      <c r="M21" s="2194"/>
      <c r="N21" s="2194"/>
      <c r="O21" s="2316">
        <f ca="1">SUM(Budget!J24,Budget!J39,Budget!J97,Budget!J112)</f>
        <v>0</v>
      </c>
      <c r="P21" s="1814">
        <f ca="1">'Calc - SENIOR PERS'!L138</f>
        <v>0</v>
      </c>
      <c r="Q21" s="1815">
        <f ca="1">'Calc - SENIOR PERS'!C158</f>
        <v>0</v>
      </c>
      <c r="R21" s="2189">
        <f ca="1">'Calc - SENIOR PERS'!F158</f>
        <v>0</v>
      </c>
      <c r="S21" s="2193"/>
      <c r="T21" s="2200"/>
      <c r="U21" s="1870"/>
      <c r="V21" s="2395"/>
      <c r="W21" s="1825"/>
      <c r="X21" s="1825"/>
      <c r="Y21" s="1825"/>
      <c r="Z21" s="1825"/>
      <c r="AA21" s="1825"/>
      <c r="AB21" s="1826"/>
      <c r="AD21" s="2395"/>
      <c r="AE21" s="1825"/>
      <c r="AF21" s="1825"/>
      <c r="AG21" s="1825"/>
      <c r="AH21" s="1825"/>
      <c r="AI21" s="1825"/>
      <c r="AJ21" s="1826"/>
    </row>
    <row r="22" spans="1:36" ht="15" hidden="1" customHeight="1" x14ac:dyDescent="0.25">
      <c r="A22" s="1950">
        <v>12</v>
      </c>
      <c r="B22" s="2958"/>
      <c r="C22" s="2580"/>
      <c r="D22" s="3071" t="s">
        <v>1066</v>
      </c>
      <c r="E22" s="1926"/>
      <c r="F22" s="2606">
        <v>1</v>
      </c>
      <c r="G22" s="2135">
        <v>9</v>
      </c>
      <c r="H22" s="2330"/>
      <c r="I22" s="2194"/>
      <c r="J22" s="2194"/>
      <c r="K22" s="2194"/>
      <c r="L22" s="2194"/>
      <c r="M22" s="2194"/>
      <c r="N22" s="2194"/>
      <c r="O22" s="2316">
        <f ca="1">SUM(Budget!J25,Budget!J40,Budget!J98,Budget!J113)</f>
        <v>0</v>
      </c>
      <c r="P22" s="1814">
        <f ca="1">'Calc - SENIOR PERS'!L139</f>
        <v>0</v>
      </c>
      <c r="Q22" s="1815">
        <f ca="1">'Calc - SENIOR PERS'!C172</f>
        <v>0</v>
      </c>
      <c r="R22" s="2189">
        <f ca="1">'Calc - SENIOR PERS'!F172</f>
        <v>0</v>
      </c>
      <c r="S22" s="2193"/>
      <c r="T22" s="2200"/>
      <c r="U22" s="1870"/>
      <c r="V22" s="2395"/>
      <c r="W22" s="1825"/>
      <c r="X22" s="1825"/>
      <c r="Y22" s="1825"/>
      <c r="Z22" s="1825"/>
      <c r="AA22" s="1825"/>
      <c r="AB22" s="1826"/>
      <c r="AD22" s="2395"/>
      <c r="AE22" s="1825"/>
      <c r="AF22" s="1825"/>
      <c r="AG22" s="1825"/>
      <c r="AH22" s="1825"/>
      <c r="AI22" s="1825"/>
      <c r="AJ22" s="1826"/>
    </row>
    <row r="23" spans="1:36" ht="15" hidden="1" customHeight="1" x14ac:dyDescent="0.25">
      <c r="A23" s="1950">
        <v>13</v>
      </c>
      <c r="B23" s="2958"/>
      <c r="C23" s="2580"/>
      <c r="D23" s="3071" t="s">
        <v>1066</v>
      </c>
      <c r="E23" s="1926"/>
      <c r="F23" s="2334">
        <v>1</v>
      </c>
      <c r="G23" s="2135">
        <v>9</v>
      </c>
      <c r="H23" s="2330"/>
      <c r="I23" s="2194"/>
      <c r="J23" s="2194"/>
      <c r="K23" s="2194"/>
      <c r="L23" s="2194"/>
      <c r="M23" s="2194"/>
      <c r="N23" s="2194"/>
      <c r="O23" s="2316">
        <f ca="1">SUM(Budget!J26,Budget!J41,Budget!J99,Budget!J114)</f>
        <v>0</v>
      </c>
      <c r="P23" s="1814">
        <f ca="1">'Calc - SENIOR PERS'!L140</f>
        <v>0</v>
      </c>
      <c r="Q23" s="1815">
        <f ca="1">'Calc - SENIOR PERS'!C186</f>
        <v>0</v>
      </c>
      <c r="R23" s="2189">
        <f ca="1">'Calc - SENIOR PERS'!F186</f>
        <v>0</v>
      </c>
      <c r="S23" s="2193"/>
      <c r="T23" s="2200"/>
      <c r="U23" s="1870"/>
      <c r="V23" s="2395"/>
      <c r="W23" s="1825"/>
      <c r="X23" s="1825"/>
      <c r="Y23" s="1825"/>
      <c r="Z23" s="1825"/>
      <c r="AA23" s="1825"/>
      <c r="AB23" s="1826"/>
      <c r="AD23" s="2395"/>
      <c r="AE23" s="1825"/>
      <c r="AF23" s="1825"/>
      <c r="AG23" s="1825"/>
      <c r="AH23" s="1825"/>
      <c r="AI23" s="1825"/>
      <c r="AJ23" s="1826"/>
    </row>
    <row r="24" spans="1:36" ht="15" hidden="1" customHeight="1" x14ac:dyDescent="0.25">
      <c r="A24" s="1950">
        <v>14</v>
      </c>
      <c r="B24" s="2958"/>
      <c r="C24" s="2580"/>
      <c r="D24" s="3071" t="s">
        <v>1066</v>
      </c>
      <c r="E24" s="1926"/>
      <c r="F24" s="2606">
        <v>1</v>
      </c>
      <c r="G24" s="2135">
        <v>9</v>
      </c>
      <c r="H24" s="2330"/>
      <c r="I24" s="2194"/>
      <c r="J24" s="2194"/>
      <c r="K24" s="2194"/>
      <c r="L24" s="2194"/>
      <c r="M24" s="2194"/>
      <c r="N24" s="2194"/>
      <c r="O24" s="2316">
        <f ca="1">SUM(Budget!J27,Budget!J42,Budget!J100,Budget!J115)</f>
        <v>0</v>
      </c>
      <c r="P24" s="1814">
        <f ca="1">'Calc - SENIOR PERS'!L141</f>
        <v>0</v>
      </c>
      <c r="Q24" s="1815">
        <f ca="1">'Calc - SENIOR PERS'!C200</f>
        <v>0</v>
      </c>
      <c r="R24" s="2189">
        <f ca="1">'Calc - SENIOR PERS'!F200</f>
        <v>0</v>
      </c>
      <c r="S24" s="2193"/>
      <c r="T24" s="2200"/>
      <c r="U24" s="1870"/>
      <c r="V24" s="2395"/>
      <c r="W24" s="1825"/>
      <c r="X24" s="1825"/>
      <c r="Y24" s="1825"/>
      <c r="Z24" s="1825"/>
      <c r="AA24" s="1825"/>
      <c r="AB24" s="1826"/>
      <c r="AD24" s="2395"/>
      <c r="AE24" s="1825"/>
      <c r="AF24" s="1825"/>
      <c r="AG24" s="1825"/>
      <c r="AH24" s="1825"/>
      <c r="AI24" s="1825"/>
      <c r="AJ24" s="1826"/>
    </row>
    <row r="25" spans="1:36" ht="15" hidden="1" customHeight="1" thickBot="1" x14ac:dyDescent="0.3">
      <c r="A25" s="1950">
        <v>15</v>
      </c>
      <c r="B25" s="2958"/>
      <c r="C25" s="2580"/>
      <c r="D25" s="3071" t="s">
        <v>1066</v>
      </c>
      <c r="E25" s="1926"/>
      <c r="F25" s="2606">
        <v>1</v>
      </c>
      <c r="G25" s="2136">
        <v>9</v>
      </c>
      <c r="H25" s="2330"/>
      <c r="I25" s="2194"/>
      <c r="J25" s="2194"/>
      <c r="K25" s="2194"/>
      <c r="L25" s="2194"/>
      <c r="M25" s="2194"/>
      <c r="N25" s="2194"/>
      <c r="O25" s="2319">
        <f ca="1">SUM(Budget!J28,Budget!J43,Budget!J101,Budget!J116)</f>
        <v>0</v>
      </c>
      <c r="P25" s="1816">
        <f ca="1">'Calc - SENIOR PERS'!L142</f>
        <v>0</v>
      </c>
      <c r="Q25" s="1817">
        <f ca="1">'Calc - SENIOR PERS'!C214</f>
        <v>0</v>
      </c>
      <c r="R25" s="2191">
        <f ca="1">'Calc - SENIOR PERS'!F214</f>
        <v>0</v>
      </c>
      <c r="S25" s="2201"/>
      <c r="T25" s="2202"/>
      <c r="U25" s="1870"/>
      <c r="V25" s="2395"/>
      <c r="W25" s="1825"/>
      <c r="X25" s="1825"/>
      <c r="Y25" s="1825"/>
      <c r="Z25" s="1825"/>
      <c r="AA25" s="1825"/>
      <c r="AB25" s="1826"/>
      <c r="AD25" s="2395"/>
      <c r="AE25" s="1825"/>
      <c r="AF25" s="1825"/>
      <c r="AG25" s="1825"/>
      <c r="AH25" s="1825"/>
      <c r="AI25" s="1825"/>
      <c r="AJ25" s="1826"/>
    </row>
    <row r="26" spans="1:36" ht="15" customHeight="1" thickBot="1" x14ac:dyDescent="0.3">
      <c r="B26" s="2205"/>
      <c r="C26" s="2206"/>
      <c r="D26" s="2207"/>
      <c r="E26" s="2206"/>
      <c r="F26" s="2208"/>
      <c r="G26" s="2208"/>
      <c r="H26" s="2208"/>
      <c r="I26" s="2206"/>
      <c r="J26" s="2206"/>
      <c r="K26" s="2206"/>
      <c r="L26" s="2206"/>
      <c r="M26" s="2206"/>
      <c r="N26" s="2206"/>
      <c r="O26" s="2209"/>
      <c r="P26" s="2320">
        <f ca="1">SUM(P11:P25)</f>
        <v>7296.52</v>
      </c>
      <c r="Q26" s="2321">
        <f ca="1">SUM(Q11:Q25)</f>
        <v>2.2999999999999998</v>
      </c>
      <c r="R26" s="2322">
        <f ca="1">SUM(R11:R25)</f>
        <v>0.19166666666666665</v>
      </c>
      <c r="S26" s="2210"/>
      <c r="T26" s="2211"/>
      <c r="U26" s="1870"/>
      <c r="V26" s="1978"/>
      <c r="W26" s="1818"/>
      <c r="X26" s="1818"/>
      <c r="Y26" s="1818"/>
      <c r="Z26" s="1818"/>
      <c r="AA26" s="1818"/>
      <c r="AB26" s="1819"/>
      <c r="AD26" s="1978"/>
      <c r="AE26" s="1818"/>
      <c r="AF26" s="1818"/>
      <c r="AG26" s="1818"/>
      <c r="AH26" s="1818"/>
      <c r="AI26" s="1818"/>
      <c r="AJ26" s="1819"/>
    </row>
    <row r="27" spans="1:36" ht="15" customHeight="1" thickBot="1" x14ac:dyDescent="0.3">
      <c r="B27" s="817"/>
      <c r="C27" s="448"/>
      <c r="D27" s="883"/>
      <c r="E27" s="448"/>
      <c r="F27" s="1955"/>
      <c r="G27" s="1955"/>
      <c r="H27" s="1955"/>
      <c r="I27" s="448"/>
      <c r="J27" s="448"/>
      <c r="K27" s="448"/>
      <c r="L27" s="448"/>
      <c r="M27" s="448"/>
      <c r="N27" s="448"/>
      <c r="O27" s="1943"/>
      <c r="P27" s="1956"/>
      <c r="Q27" s="448"/>
      <c r="R27" s="1957"/>
      <c r="S27" s="110"/>
      <c r="T27" s="1870"/>
      <c r="U27" s="1870"/>
      <c r="V27" s="1955"/>
      <c r="W27" s="448"/>
      <c r="X27" s="448"/>
      <c r="Y27" s="448"/>
      <c r="Z27" s="448"/>
      <c r="AA27" s="448"/>
      <c r="AB27" s="448"/>
      <c r="AD27" s="1955"/>
      <c r="AE27" s="448"/>
      <c r="AF27" s="448"/>
      <c r="AG27" s="448"/>
      <c r="AH27" s="448"/>
      <c r="AI27" s="448"/>
      <c r="AJ27" s="448"/>
    </row>
    <row r="28" spans="1:36" s="770" customFormat="1" ht="45.75" thickBot="1" x14ac:dyDescent="0.3">
      <c r="A28" s="1959"/>
      <c r="B28" s="2956" t="s">
        <v>297</v>
      </c>
      <c r="C28" s="2920" t="s">
        <v>340</v>
      </c>
      <c r="D28" s="2078"/>
      <c r="E28" s="1928" t="s">
        <v>578</v>
      </c>
      <c r="F28" s="1928" t="s">
        <v>276</v>
      </c>
      <c r="G28" s="1928" t="s">
        <v>576</v>
      </c>
      <c r="H28" s="1927" t="s">
        <v>336</v>
      </c>
      <c r="I28" s="1963" t="s">
        <v>587</v>
      </c>
      <c r="J28" s="1963" t="s">
        <v>588</v>
      </c>
      <c r="K28" s="1963" t="s">
        <v>589</v>
      </c>
      <c r="L28" s="1963" t="s">
        <v>590</v>
      </c>
      <c r="M28" s="1963" t="s">
        <v>591</v>
      </c>
      <c r="N28" s="1984" t="s">
        <v>592</v>
      </c>
      <c r="O28" s="1964" t="s">
        <v>368</v>
      </c>
      <c r="P28" s="1965" t="s">
        <v>647</v>
      </c>
      <c r="Q28" s="2579"/>
      <c r="R28" s="2578"/>
      <c r="S28" s="2592" t="s">
        <v>833</v>
      </c>
      <c r="AC28"/>
    </row>
    <row r="29" spans="1:36" ht="15" hidden="1" customHeight="1" x14ac:dyDescent="0.25">
      <c r="A29" s="1950">
        <v>1</v>
      </c>
      <c r="B29" s="2959" t="s">
        <v>1016</v>
      </c>
      <c r="C29" s="2583" t="s">
        <v>71</v>
      </c>
      <c r="D29" s="2077"/>
      <c r="E29" s="2330" t="s">
        <v>61</v>
      </c>
      <c r="F29" s="2194">
        <v>0.4</v>
      </c>
      <c r="G29" s="2330">
        <v>9</v>
      </c>
      <c r="H29" s="2330">
        <v>1</v>
      </c>
      <c r="I29" s="2330"/>
      <c r="J29" s="2330"/>
      <c r="K29" s="2330"/>
      <c r="L29" s="2330"/>
      <c r="M29" s="2330"/>
      <c r="N29" s="2330"/>
      <c r="O29" s="2315">
        <f ca="1">SUM(Budget!J47,Budget!J118,Budget!J228)</f>
        <v>0</v>
      </c>
      <c r="P29" s="1962">
        <f ca="1">'Calc - GRAD ASST'!I11</f>
        <v>2463.7600000000002</v>
      </c>
      <c r="Q29" s="2566" t="str">
        <f ca="1">IF(COUNTIF(OFFSET('Calc - GRAD ASST'!$O$11:$O$16,29*(A29-1),0),"*Mismatch*")&gt;0,"Mismatch - check tuition","")</f>
        <v/>
      </c>
      <c r="R29" s="2567"/>
      <c r="S29" s="2558"/>
      <c r="T29" s="1764"/>
      <c r="U29" s="1764"/>
      <c r="V29" s="1764"/>
      <c r="W29" s="1764"/>
      <c r="X29" s="1764"/>
      <c r="Y29" s="1764"/>
      <c r="Z29" s="1764"/>
    </row>
    <row r="30" spans="1:36" ht="15" hidden="1" customHeight="1" x14ac:dyDescent="0.25">
      <c r="A30" s="1950">
        <v>2</v>
      </c>
      <c r="B30" s="2959" t="s">
        <v>555</v>
      </c>
      <c r="C30" s="2583"/>
      <c r="D30" s="2077"/>
      <c r="E30" s="2330"/>
      <c r="F30" s="2194">
        <v>0.49</v>
      </c>
      <c r="G30" s="2330"/>
      <c r="H30" s="2330"/>
      <c r="I30" s="2330"/>
      <c r="J30" s="2330"/>
      <c r="K30" s="2330"/>
      <c r="L30" s="2330"/>
      <c r="M30" s="2330"/>
      <c r="N30" s="2330"/>
      <c r="O30" s="2316">
        <f ca="1">SUM(Budget!J48,Budget!J119,Budget!J232)</f>
        <v>0</v>
      </c>
      <c r="P30" s="1820">
        <f ca="1">'Calc - GRAD ASST'!I40</f>
        <v>0</v>
      </c>
      <c r="Q30" s="2568" t="str">
        <f ca="1">IF(COUNTIF(OFFSET('Calc - GRAD ASST'!$O$11:$O$16,29*(A30-1),0),"*Mismatch*")&gt;0,"Mismatch - check tuition","")</f>
        <v/>
      </c>
      <c r="R30" s="2569"/>
      <c r="S30" s="2559"/>
      <c r="T30" s="1764"/>
      <c r="X30" s="1764"/>
      <c r="Y30" s="1764"/>
      <c r="Z30" s="1764"/>
    </row>
    <row r="31" spans="1:36" ht="15" hidden="1" customHeight="1" x14ac:dyDescent="0.25">
      <c r="A31" s="1950">
        <v>3</v>
      </c>
      <c r="B31" s="2959" t="s">
        <v>556</v>
      </c>
      <c r="C31" s="2583"/>
      <c r="D31" s="2077"/>
      <c r="E31" s="2330"/>
      <c r="F31" s="2194">
        <v>0.49</v>
      </c>
      <c r="G31" s="2330">
        <v>12</v>
      </c>
      <c r="H31" s="2330"/>
      <c r="I31" s="2330"/>
      <c r="J31" s="2330"/>
      <c r="K31" s="2330"/>
      <c r="L31" s="2330"/>
      <c r="M31" s="2330"/>
      <c r="N31" s="2330"/>
      <c r="O31" s="2316">
        <f ca="1">SUM(Budget!J49,Budget!J120,Budget!J236)</f>
        <v>0</v>
      </c>
      <c r="P31" s="1820">
        <f ca="1">'Calc - GRAD ASST'!I69</f>
        <v>0</v>
      </c>
      <c r="Q31" s="2568" t="str">
        <f ca="1">IF(COUNTIF(OFFSET('Calc - GRAD ASST'!$O$11:$O$16,29*(A31-1),0),"*Mismatch*")&gt;0,"Mismatch - check tuition","")</f>
        <v/>
      </c>
      <c r="R31" s="2569"/>
      <c r="S31" s="2559"/>
      <c r="T31" s="1764"/>
      <c r="X31" s="1764"/>
      <c r="Y31" s="1764"/>
      <c r="Z31" s="1764"/>
    </row>
    <row r="32" spans="1:36" ht="15" hidden="1" customHeight="1" x14ac:dyDescent="0.25">
      <c r="A32" s="1950">
        <v>4</v>
      </c>
      <c r="B32" s="2959" t="s">
        <v>557</v>
      </c>
      <c r="C32" s="2583"/>
      <c r="D32" s="2077"/>
      <c r="E32" s="2330"/>
      <c r="F32" s="2194">
        <v>0.49</v>
      </c>
      <c r="G32" s="2330">
        <v>12</v>
      </c>
      <c r="H32" s="2330"/>
      <c r="I32" s="2330"/>
      <c r="J32" s="2330"/>
      <c r="K32" s="2330"/>
      <c r="L32" s="2330"/>
      <c r="M32" s="2330"/>
      <c r="N32" s="2330"/>
      <c r="O32" s="2316">
        <f ca="1">SUM(Budget!J50,Budget!J121,Budget!J240)</f>
        <v>0</v>
      </c>
      <c r="P32" s="1820">
        <f ca="1">'Calc - GRAD ASST'!I98</f>
        <v>0</v>
      </c>
      <c r="Q32" s="2568" t="str">
        <f ca="1">IF(COUNTIF(OFFSET('Calc - GRAD ASST'!$O$11:$O$16,29*(A32-1),0),"*Mismatch*")&gt;0,"Mismatch - check tuition","")</f>
        <v/>
      </c>
      <c r="R32" s="2569"/>
      <c r="S32" s="2559"/>
      <c r="T32" s="1764"/>
      <c r="X32" s="1764"/>
      <c r="Y32" s="1764"/>
      <c r="Z32" s="1764"/>
    </row>
    <row r="33" spans="1:29" ht="15" hidden="1" customHeight="1" x14ac:dyDescent="0.25">
      <c r="A33" s="1950">
        <v>5</v>
      </c>
      <c r="B33" s="2959" t="s">
        <v>558</v>
      </c>
      <c r="C33" s="2583"/>
      <c r="D33" s="2077"/>
      <c r="E33" s="2330"/>
      <c r="F33" s="2194">
        <v>0.49</v>
      </c>
      <c r="G33" s="2330">
        <v>12</v>
      </c>
      <c r="H33" s="2330"/>
      <c r="I33" s="2330"/>
      <c r="J33" s="2330"/>
      <c r="K33" s="2330"/>
      <c r="L33" s="2330"/>
      <c r="M33" s="2330"/>
      <c r="N33" s="2330"/>
      <c r="O33" s="2317">
        <f ca="1">SUM(Budget!J51,Budget!J122,Budget!J244)</f>
        <v>0</v>
      </c>
      <c r="P33" s="1820">
        <f ca="1">'Calc - GRAD ASST'!I127</f>
        <v>0</v>
      </c>
      <c r="Q33" s="2568" t="str">
        <f ca="1">IF(COUNTIF(OFFSET('Calc - GRAD ASST'!$O$11:$O$16,29*(A33-1),0),"*Mismatch*")&gt;0,"Mismatch - check tuition","")</f>
        <v/>
      </c>
      <c r="R33" s="2569"/>
      <c r="S33" s="2559"/>
      <c r="T33" s="1764"/>
      <c r="X33" s="1764"/>
      <c r="Y33" s="1764"/>
      <c r="Z33" s="1764"/>
    </row>
    <row r="34" spans="1:29" ht="15" hidden="1" customHeight="1" x14ac:dyDescent="0.25">
      <c r="A34" s="1950">
        <v>6</v>
      </c>
      <c r="B34" s="2959" t="s">
        <v>559</v>
      </c>
      <c r="C34" s="2583"/>
      <c r="D34" s="2077"/>
      <c r="E34" s="2330"/>
      <c r="F34" s="2194">
        <v>0.49</v>
      </c>
      <c r="G34" s="2330">
        <v>12</v>
      </c>
      <c r="H34" s="2330"/>
      <c r="I34" s="2330"/>
      <c r="J34" s="2330"/>
      <c r="K34" s="2330"/>
      <c r="L34" s="2330"/>
      <c r="M34" s="2330"/>
      <c r="N34" s="2330"/>
      <c r="O34" s="2317">
        <f ca="1">SUM(Budget!J52,Budget!J123,Budget!J248)</f>
        <v>0</v>
      </c>
      <c r="P34" s="1821">
        <f ca="1">'Calc - GRAD ASST'!I156</f>
        <v>0</v>
      </c>
      <c r="Q34" s="2570" t="str">
        <f ca="1">IF(COUNTIF(OFFSET('Calc - GRAD ASST'!$O$11:$O$16,29*(A34-1),0),"*Mismatch*")&gt;0,"Mismatch - check tuition","")</f>
        <v/>
      </c>
      <c r="R34" s="2569"/>
      <c r="S34" s="2559"/>
      <c r="T34" s="1764"/>
      <c r="X34" s="1764"/>
      <c r="Y34" s="1764"/>
      <c r="Z34" s="1764"/>
    </row>
    <row r="35" spans="1:29" ht="15" hidden="1" customHeight="1" x14ac:dyDescent="0.25">
      <c r="A35" s="1950">
        <v>7</v>
      </c>
      <c r="B35" s="2959" t="s">
        <v>560</v>
      </c>
      <c r="C35" s="2583"/>
      <c r="D35" s="2077"/>
      <c r="E35" s="2330"/>
      <c r="F35" s="2194">
        <v>0.49</v>
      </c>
      <c r="G35" s="2330">
        <v>12</v>
      </c>
      <c r="H35" s="2330"/>
      <c r="I35" s="2330"/>
      <c r="J35" s="2330"/>
      <c r="K35" s="2330"/>
      <c r="L35" s="2330"/>
      <c r="M35" s="2330"/>
      <c r="N35" s="2330"/>
      <c r="O35" s="2317">
        <f ca="1">SUM(Budget!J53,Budget!J124,Budget!J252)</f>
        <v>0</v>
      </c>
      <c r="P35" s="1821">
        <f ca="1">'Calc - GRAD ASST'!I185</f>
        <v>0</v>
      </c>
      <c r="Q35" s="2570" t="str">
        <f ca="1">IF(COUNTIF(OFFSET('Calc - GRAD ASST'!$O$11:$O$16,29*(A35-1),0),"*Mismatch*")&gt;0,"Mismatch - check tuition","")</f>
        <v/>
      </c>
      <c r="R35" s="2569"/>
      <c r="S35" s="2559"/>
      <c r="T35" s="1764"/>
      <c r="X35" s="1764"/>
      <c r="Y35" s="1764"/>
      <c r="Z35" s="1764"/>
    </row>
    <row r="36" spans="1:29" ht="15" hidden="1" customHeight="1" x14ac:dyDescent="0.25">
      <c r="A36" s="1950">
        <v>8</v>
      </c>
      <c r="B36" s="2959" t="s">
        <v>561</v>
      </c>
      <c r="C36" s="2583"/>
      <c r="D36" s="2077"/>
      <c r="E36" s="2330"/>
      <c r="F36" s="2194">
        <v>0.49</v>
      </c>
      <c r="G36" s="2330">
        <v>12</v>
      </c>
      <c r="H36" s="2330"/>
      <c r="I36" s="2330"/>
      <c r="J36" s="2330"/>
      <c r="K36" s="2330"/>
      <c r="L36" s="2330"/>
      <c r="M36" s="2330"/>
      <c r="N36" s="2330"/>
      <c r="O36" s="2317">
        <f ca="1">SUM(Budget!J54,Budget!J125,Budget!J256)</f>
        <v>0</v>
      </c>
      <c r="P36" s="1821">
        <f ca="1">'Calc - GRAD ASST'!I214</f>
        <v>0</v>
      </c>
      <c r="Q36" s="2570" t="str">
        <f ca="1">IF(COUNTIF(OFFSET('Calc - GRAD ASST'!$O$11:$O$16,29*(A36-1),0),"*Mismatch*")&gt;0,"Mismatch - check tuition","")</f>
        <v/>
      </c>
      <c r="R36" s="2569"/>
      <c r="S36" s="2559"/>
      <c r="T36" s="1764"/>
      <c r="X36" s="1764"/>
      <c r="Y36" s="1764"/>
      <c r="Z36" s="1764"/>
    </row>
    <row r="37" spans="1:29" ht="15" hidden="1" customHeight="1" x14ac:dyDescent="0.25">
      <c r="A37" s="1950">
        <v>9</v>
      </c>
      <c r="B37" s="2959" t="s">
        <v>562</v>
      </c>
      <c r="C37" s="2583"/>
      <c r="D37" s="2077"/>
      <c r="E37" s="2330"/>
      <c r="F37" s="2194">
        <v>0.49</v>
      </c>
      <c r="G37" s="2330">
        <v>12</v>
      </c>
      <c r="H37" s="2330"/>
      <c r="I37" s="2330"/>
      <c r="J37" s="2330"/>
      <c r="K37" s="2330"/>
      <c r="L37" s="2330"/>
      <c r="M37" s="2330"/>
      <c r="N37" s="2330"/>
      <c r="O37" s="2317">
        <f ca="1">SUM(Budget!J55,Budget!J126,Budget!J260)</f>
        <v>0</v>
      </c>
      <c r="P37" s="1821">
        <f ca="1">'Calc - GRAD ASST'!I243</f>
        <v>0</v>
      </c>
      <c r="Q37" s="2570" t="str">
        <f ca="1">IF(COUNTIF(OFFSET('Calc - GRAD ASST'!$O$11:$O$16,29*(A37-1),0),"*Mismatch*")&gt;0,"Mismatch - check tuition","")</f>
        <v/>
      </c>
      <c r="R37" s="2569"/>
      <c r="S37" s="2559"/>
      <c r="T37" s="1764"/>
      <c r="X37" s="1764"/>
      <c r="Y37" s="1764"/>
      <c r="Z37" s="1764"/>
    </row>
    <row r="38" spans="1:29" ht="15" hidden="1" customHeight="1" x14ac:dyDescent="0.25">
      <c r="A38" s="1950">
        <v>10</v>
      </c>
      <c r="B38" s="2959" t="s">
        <v>493</v>
      </c>
      <c r="C38" s="2583"/>
      <c r="D38" s="2077"/>
      <c r="E38" s="2330"/>
      <c r="F38" s="2194">
        <v>0.49</v>
      </c>
      <c r="G38" s="2330">
        <v>12</v>
      </c>
      <c r="H38" s="2330"/>
      <c r="I38" s="2330"/>
      <c r="J38" s="2330"/>
      <c r="K38" s="2330"/>
      <c r="L38" s="2330"/>
      <c r="M38" s="2330"/>
      <c r="N38" s="2330"/>
      <c r="O38" s="2317">
        <f ca="1">SUM(Budget!J56,Budget!J127,Budget!J264)</f>
        <v>0</v>
      </c>
      <c r="P38" s="1821">
        <f ca="1">'Calc - GRAD ASST'!I272</f>
        <v>0</v>
      </c>
      <c r="Q38" s="2570" t="str">
        <f ca="1">IF(COUNTIF(OFFSET('Calc - GRAD ASST'!$O$11:$O$16,29*(A38-1),0),"*Mismatch*")&gt;0,"Mismatch - check tuition","")</f>
        <v/>
      </c>
      <c r="R38" s="2569"/>
      <c r="S38" s="2559"/>
      <c r="T38" s="1764"/>
      <c r="X38" s="1764"/>
      <c r="Y38" s="1764"/>
      <c r="Z38" s="1764"/>
    </row>
    <row r="39" spans="1:29" ht="15" hidden="1" customHeight="1" x14ac:dyDescent="0.25">
      <c r="A39" s="1950">
        <v>11</v>
      </c>
      <c r="B39" s="2959" t="s">
        <v>494</v>
      </c>
      <c r="C39" s="2583"/>
      <c r="D39" s="2077"/>
      <c r="E39" s="2330"/>
      <c r="F39" s="2194">
        <v>0.49</v>
      </c>
      <c r="G39" s="2330">
        <v>12</v>
      </c>
      <c r="H39" s="2330"/>
      <c r="I39" s="2330"/>
      <c r="J39" s="2330"/>
      <c r="K39" s="2330"/>
      <c r="L39" s="2330"/>
      <c r="M39" s="2330"/>
      <c r="N39" s="2330"/>
      <c r="O39" s="2317">
        <f ca="1">SUM(Budget!J57,Budget!J128,Budget!J268)</f>
        <v>0</v>
      </c>
      <c r="P39" s="1821">
        <f ca="1">'Calc - GRAD ASST'!I301</f>
        <v>0</v>
      </c>
      <c r="Q39" s="2570" t="str">
        <f ca="1">IF(COUNTIF(OFFSET('Calc - GRAD ASST'!$O$11:$O$16,29*(A39-1),0),"*Mismatch*")&gt;0,"Mismatch - check tuition","")</f>
        <v/>
      </c>
      <c r="R39" s="2569"/>
      <c r="S39" s="2559"/>
      <c r="T39" s="1764"/>
      <c r="U39" s="1764"/>
      <c r="V39" s="1764"/>
      <c r="W39" s="1764"/>
      <c r="X39" s="1764"/>
      <c r="Y39" s="1764"/>
      <c r="Z39" s="1764"/>
    </row>
    <row r="40" spans="1:29" ht="15" hidden="1" customHeight="1" x14ac:dyDescent="0.25">
      <c r="A40" s="1950">
        <v>12</v>
      </c>
      <c r="B40" s="2959" t="s">
        <v>495</v>
      </c>
      <c r="C40" s="2583"/>
      <c r="D40" s="2077"/>
      <c r="E40" s="2330"/>
      <c r="F40" s="2194">
        <v>0.49</v>
      </c>
      <c r="G40" s="2330">
        <v>12</v>
      </c>
      <c r="H40" s="2330"/>
      <c r="I40" s="2330"/>
      <c r="J40" s="2330"/>
      <c r="K40" s="2330"/>
      <c r="L40" s="2330"/>
      <c r="M40" s="2330"/>
      <c r="N40" s="2330"/>
      <c r="O40" s="2317">
        <f ca="1">SUM(Budget!J58,Budget!J129,Budget!J272)</f>
        <v>0</v>
      </c>
      <c r="P40" s="1821">
        <f ca="1">'Calc - GRAD ASST'!I330</f>
        <v>0</v>
      </c>
      <c r="Q40" s="2570" t="str">
        <f ca="1">IF(COUNTIF(OFFSET('Calc - GRAD ASST'!$O$11:$O$16,29*(A40-1),0),"*Mismatch*")&gt;0,"Mismatch - check tuition","")</f>
        <v/>
      </c>
      <c r="R40" s="2569"/>
      <c r="S40" s="2559"/>
      <c r="T40" s="1764"/>
      <c r="U40" s="1764"/>
      <c r="V40" s="1764"/>
      <c r="W40" s="1764"/>
      <c r="X40" s="1764"/>
      <c r="Y40" s="1764"/>
      <c r="Z40" s="1764"/>
    </row>
    <row r="41" spans="1:29" ht="15" hidden="1" customHeight="1" x14ac:dyDescent="0.25">
      <c r="A41" s="1950">
        <v>13</v>
      </c>
      <c r="B41" s="2959" t="s">
        <v>496</v>
      </c>
      <c r="C41" s="2583"/>
      <c r="D41" s="2077"/>
      <c r="E41" s="2330"/>
      <c r="F41" s="2194">
        <v>0.49</v>
      </c>
      <c r="G41" s="2330">
        <v>12</v>
      </c>
      <c r="H41" s="2330"/>
      <c r="I41" s="2330"/>
      <c r="J41" s="2330"/>
      <c r="K41" s="2330"/>
      <c r="L41" s="2330"/>
      <c r="M41" s="2330"/>
      <c r="N41" s="2330"/>
      <c r="O41" s="2317">
        <f ca="1">SUM(Budget!J59,Budget!J130,Budget!J276)</f>
        <v>0</v>
      </c>
      <c r="P41" s="1821">
        <f ca="1">'Calc - GRAD ASST'!I359</f>
        <v>0</v>
      </c>
      <c r="Q41" s="2570" t="str">
        <f ca="1">IF(COUNTIF(OFFSET('Calc - GRAD ASST'!$O$11:$O$16,29*(A41-1),0),"*Mismatch*")&gt;0,"Mismatch - check tuition","")</f>
        <v/>
      </c>
      <c r="R41" s="2569"/>
      <c r="S41" s="2559"/>
      <c r="T41" s="1764"/>
      <c r="U41" s="1764"/>
      <c r="V41" s="1764"/>
      <c r="W41" s="1764"/>
      <c r="X41" s="1764"/>
      <c r="Y41" s="1764"/>
      <c r="Z41" s="1764"/>
    </row>
    <row r="42" spans="1:29" ht="15" hidden="1" customHeight="1" x14ac:dyDescent="0.25">
      <c r="A42" s="1950">
        <v>14</v>
      </c>
      <c r="B42" s="2959" t="s">
        <v>497</v>
      </c>
      <c r="C42" s="2583"/>
      <c r="D42" s="2077"/>
      <c r="E42" s="2330"/>
      <c r="F42" s="2194">
        <v>0.49</v>
      </c>
      <c r="G42" s="2330">
        <v>12</v>
      </c>
      <c r="H42" s="2330"/>
      <c r="I42" s="2330"/>
      <c r="J42" s="2330"/>
      <c r="K42" s="2330"/>
      <c r="L42" s="2330"/>
      <c r="M42" s="2330"/>
      <c r="N42" s="2330"/>
      <c r="O42" s="2317">
        <f ca="1">SUM(Budget!J60,Budget!J131,Budget!J280)</f>
        <v>0</v>
      </c>
      <c r="P42" s="1821">
        <f ca="1">'Calc - GRAD ASST'!I388</f>
        <v>0</v>
      </c>
      <c r="Q42" s="2570" t="str">
        <f ca="1">IF(COUNTIF(OFFSET('Calc - GRAD ASST'!$O$11:$O$16,29*(A42-1),0),"*Mismatch*")&gt;0,"Mismatch - check tuition","")</f>
        <v/>
      </c>
      <c r="R42" s="2569"/>
      <c r="S42" s="2559"/>
      <c r="T42" s="1764"/>
      <c r="U42" s="1764"/>
      <c r="V42" s="1764"/>
      <c r="W42" s="1764"/>
      <c r="X42" s="1764"/>
      <c r="Y42" s="1764"/>
      <c r="Z42" s="1764"/>
    </row>
    <row r="43" spans="1:29" ht="15" hidden="1" customHeight="1" thickBot="1" x14ac:dyDescent="0.3">
      <c r="A43" s="1950">
        <v>15</v>
      </c>
      <c r="B43" s="2959" t="s">
        <v>498</v>
      </c>
      <c r="C43" s="2583"/>
      <c r="D43" s="2077"/>
      <c r="E43" s="2330"/>
      <c r="F43" s="2194">
        <v>0.49</v>
      </c>
      <c r="G43" s="2330">
        <v>12</v>
      </c>
      <c r="H43" s="2330"/>
      <c r="I43" s="2330"/>
      <c r="J43" s="2330"/>
      <c r="K43" s="2330"/>
      <c r="L43" s="2330"/>
      <c r="M43" s="2330"/>
      <c r="N43" s="2330"/>
      <c r="O43" s="2318">
        <f ca="1">SUM(Budget!J61,Budget!J132,Budget!J284)</f>
        <v>0</v>
      </c>
      <c r="P43" s="1961">
        <f ca="1">'Calc - GRAD ASST'!I417</f>
        <v>0</v>
      </c>
      <c r="Q43" s="2571" t="str">
        <f ca="1">IF(COUNTIF(OFFSET('Calc - GRAD ASST'!$O$11:$O$16,29*(A43-1),0),"*Mismatch*")&gt;0,"Mismatch - check tuition","")</f>
        <v/>
      </c>
      <c r="R43" s="2572"/>
      <c r="S43" s="2560"/>
      <c r="T43" s="1764"/>
      <c r="U43" s="1764"/>
      <c r="V43" s="1764"/>
      <c r="W43" s="1764"/>
      <c r="X43" s="1764"/>
      <c r="Y43" s="1764"/>
      <c r="Z43" s="1764"/>
    </row>
    <row r="44" spans="1:29" ht="15" customHeight="1" thickBot="1" x14ac:dyDescent="0.3">
      <c r="B44" s="448"/>
      <c r="C44" s="817"/>
      <c r="D44" s="1958"/>
      <c r="E44" s="448"/>
      <c r="F44" s="448"/>
      <c r="G44" s="448"/>
      <c r="H44" s="448"/>
      <c r="I44" s="448"/>
      <c r="J44" s="448"/>
      <c r="K44" s="448"/>
      <c r="L44" s="448"/>
      <c r="M44" s="448"/>
      <c r="N44" s="448"/>
      <c r="O44" s="448"/>
      <c r="P44" s="448"/>
      <c r="Q44" s="448"/>
      <c r="S44" s="1951"/>
      <c r="T44" s="1764"/>
      <c r="U44" s="1764"/>
      <c r="V44" s="1764"/>
      <c r="W44" s="1764"/>
      <c r="X44" s="1764"/>
      <c r="Y44" s="1764"/>
      <c r="Z44" s="1764"/>
    </row>
    <row r="45" spans="1:29" s="770" customFormat="1" ht="45.75" thickBot="1" x14ac:dyDescent="0.3">
      <c r="B45" s="2956" t="s">
        <v>574</v>
      </c>
      <c r="C45" s="2960" t="s">
        <v>340</v>
      </c>
      <c r="D45" s="2585" t="s">
        <v>597</v>
      </c>
      <c r="E45" s="2990" t="s">
        <v>1023</v>
      </c>
      <c r="F45" s="2586"/>
      <c r="G45" s="2587"/>
      <c r="H45" s="2587"/>
      <c r="I45" s="1968" t="s">
        <v>1058</v>
      </c>
      <c r="J45" s="1968" t="s">
        <v>1059</v>
      </c>
      <c r="K45" s="1968" t="s">
        <v>1060</v>
      </c>
      <c r="L45" s="1968" t="s">
        <v>1061</v>
      </c>
      <c r="M45" s="1968" t="s">
        <v>1062</v>
      </c>
      <c r="N45" s="1968" t="s">
        <v>1063</v>
      </c>
      <c r="O45" s="1964" t="s">
        <v>586</v>
      </c>
      <c r="P45" s="1965" t="s">
        <v>647</v>
      </c>
      <c r="Q45" s="2589"/>
      <c r="R45" s="2590"/>
      <c r="S45" s="2592" t="s">
        <v>833</v>
      </c>
      <c r="T45" s="1880"/>
      <c r="U45" s="1880"/>
      <c r="V45" s="1880"/>
      <c r="W45" s="1880"/>
      <c r="X45" s="1880"/>
      <c r="Y45" s="1880"/>
      <c r="Z45" s="1880"/>
      <c r="AC45"/>
    </row>
    <row r="46" spans="1:29" ht="15" hidden="1" customHeight="1" x14ac:dyDescent="0.25">
      <c r="A46" s="331">
        <v>1</v>
      </c>
      <c r="B46" s="2961" t="s">
        <v>826</v>
      </c>
      <c r="C46" s="2580"/>
      <c r="D46" s="1827">
        <f>'Reference Sheet'!$K$23</f>
        <v>15.55</v>
      </c>
      <c r="E46" s="2991"/>
      <c r="F46" s="2581"/>
      <c r="G46" s="2582"/>
      <c r="H46" s="2582"/>
      <c r="I46" s="2330"/>
      <c r="J46" s="2330"/>
      <c r="K46" s="2330"/>
      <c r="L46" s="2330"/>
      <c r="M46" s="2330"/>
      <c r="N46" s="2330"/>
      <c r="O46" s="2315">
        <f>'Calc - OTHER PERS'!H230+'Calc - OTHER PERS'!J230</f>
        <v>0</v>
      </c>
      <c r="P46" s="3001">
        <f>'Calc - OTHER PERS'!G224</f>
        <v>2776.1399450000004</v>
      </c>
      <c r="Q46" s="2598"/>
      <c r="R46" s="2564"/>
      <c r="S46" s="2584"/>
      <c r="T46" s="1764"/>
      <c r="U46" s="1764"/>
      <c r="V46" s="1764"/>
      <c r="W46" s="1764"/>
      <c r="X46" s="1764"/>
      <c r="Y46" s="1764"/>
      <c r="Z46" s="1764"/>
    </row>
    <row r="47" spans="1:29" ht="15" hidden="1" customHeight="1" x14ac:dyDescent="0.25">
      <c r="A47" s="331">
        <v>2</v>
      </c>
      <c r="B47" s="2962" t="s">
        <v>827</v>
      </c>
      <c r="C47" s="1833"/>
      <c r="D47" s="1827">
        <f>'Reference Sheet'!$K$23</f>
        <v>15.55</v>
      </c>
      <c r="E47" s="2992"/>
      <c r="F47" s="2233"/>
      <c r="G47" s="1883"/>
      <c r="H47" s="1883"/>
      <c r="I47" s="2330"/>
      <c r="J47" s="2330"/>
      <c r="K47" s="2330"/>
      <c r="L47" s="2330"/>
      <c r="M47" s="2330"/>
      <c r="N47" s="2330"/>
      <c r="O47" s="2316">
        <f>'Calc - OTHER PERS'!H243+'Calc - OTHER PERS'!J243</f>
        <v>0</v>
      </c>
      <c r="P47" s="1814">
        <f>'Calc - OTHER PERS'!G237</f>
        <v>2776.1399450000004</v>
      </c>
      <c r="Q47" s="2507"/>
      <c r="R47" s="2565"/>
      <c r="S47" s="2559"/>
      <c r="T47" s="1764"/>
      <c r="U47" s="1764"/>
      <c r="V47" s="1764"/>
      <c r="W47" s="1764"/>
      <c r="X47" s="1764"/>
      <c r="Y47" s="1764"/>
      <c r="Z47" s="1764"/>
    </row>
    <row r="48" spans="1:29" ht="15" hidden="1" customHeight="1" thickBot="1" x14ac:dyDescent="0.3">
      <c r="A48" s="331">
        <v>3</v>
      </c>
      <c r="B48" s="2963" t="s">
        <v>828</v>
      </c>
      <c r="C48" s="1833"/>
      <c r="D48" s="1827">
        <f>'Reference Sheet'!$K$23</f>
        <v>15.55</v>
      </c>
      <c r="E48" s="2993"/>
      <c r="F48" s="2234"/>
      <c r="G48" s="1818"/>
      <c r="H48" s="1818"/>
      <c r="I48" s="2330"/>
      <c r="J48" s="2330"/>
      <c r="K48" s="2330"/>
      <c r="L48" s="2330"/>
      <c r="M48" s="2330"/>
      <c r="N48" s="2330"/>
      <c r="O48" s="2319">
        <f>'Calc - OTHER PERS'!H256+'Calc - OTHER PERS'!J256</f>
        <v>0</v>
      </c>
      <c r="P48" s="1816">
        <f>'Calc - OTHER PERS'!G250</f>
        <v>2776.1399450000004</v>
      </c>
      <c r="Q48" s="2505"/>
      <c r="R48" s="2599"/>
      <c r="S48" s="2560"/>
      <c r="T48" s="1764"/>
      <c r="U48" s="1764"/>
      <c r="V48" s="1764"/>
      <c r="W48" s="1764"/>
      <c r="X48" s="1764"/>
      <c r="Y48" s="1764"/>
      <c r="Z48" s="1764"/>
    </row>
    <row r="49" spans="1:29" ht="15" customHeight="1" thickBot="1" x14ac:dyDescent="0.3">
      <c r="B49" s="1952"/>
      <c r="C49" s="1952"/>
      <c r="D49" s="1953"/>
      <c r="E49" s="1952"/>
      <c r="F49" s="1952"/>
      <c r="G49" s="1952"/>
      <c r="H49" s="1952"/>
      <c r="I49" s="1952"/>
      <c r="J49" s="1952"/>
      <c r="K49" s="1952"/>
      <c r="L49" s="1952"/>
      <c r="M49" s="1952"/>
      <c r="N49" s="1952"/>
      <c r="O49" s="1952"/>
      <c r="P49" s="1952"/>
      <c r="Q49" s="1952"/>
      <c r="R49" s="1952"/>
      <c r="S49" s="2518"/>
      <c r="T49" s="1764"/>
      <c r="U49" s="1764"/>
      <c r="V49" s="2392" t="s">
        <v>635</v>
      </c>
      <c r="W49" s="1764"/>
      <c r="X49" s="1764"/>
      <c r="Y49" s="1764"/>
      <c r="Z49" s="1764"/>
    </row>
    <row r="50" spans="1:29" s="770" customFormat="1" ht="45.75" thickBot="1" x14ac:dyDescent="0.3">
      <c r="B50" s="2964" t="s">
        <v>133</v>
      </c>
      <c r="C50" s="2965" t="s">
        <v>340</v>
      </c>
      <c r="D50" s="2987" t="s">
        <v>1023</v>
      </c>
      <c r="E50" s="1933" t="s">
        <v>511</v>
      </c>
      <c r="F50" s="1933" t="s">
        <v>276</v>
      </c>
      <c r="G50" s="1933" t="s">
        <v>576</v>
      </c>
      <c r="H50" s="1939" t="s">
        <v>1073</v>
      </c>
      <c r="I50" s="1932" t="s">
        <v>598</v>
      </c>
      <c r="J50" s="1932" t="s">
        <v>599</v>
      </c>
      <c r="K50" s="1932" t="s">
        <v>600</v>
      </c>
      <c r="L50" s="1932" t="s">
        <v>601</v>
      </c>
      <c r="M50" s="1932" t="s">
        <v>602</v>
      </c>
      <c r="N50" s="1932" t="s">
        <v>603</v>
      </c>
      <c r="O50" s="1964" t="s">
        <v>586</v>
      </c>
      <c r="P50" s="2591" t="s">
        <v>370</v>
      </c>
      <c r="Q50" s="2588"/>
      <c r="R50" s="2590"/>
      <c r="S50" s="2592" t="s">
        <v>833</v>
      </c>
      <c r="V50" s="1976" t="s">
        <v>575</v>
      </c>
      <c r="W50" s="1822" t="s">
        <v>598</v>
      </c>
      <c r="X50" s="1822" t="s">
        <v>599</v>
      </c>
      <c r="Y50" s="1822" t="s">
        <v>600</v>
      </c>
      <c r="Z50" s="1822" t="s">
        <v>601</v>
      </c>
      <c r="AA50" s="1822" t="s">
        <v>602</v>
      </c>
      <c r="AB50" s="1879" t="s">
        <v>603</v>
      </c>
      <c r="AC50"/>
    </row>
    <row r="51" spans="1:29" ht="15" customHeight="1" x14ac:dyDescent="0.25">
      <c r="A51" s="331">
        <v>1</v>
      </c>
      <c r="B51" s="2959" t="s">
        <v>1097</v>
      </c>
      <c r="C51" s="2580" t="s">
        <v>74</v>
      </c>
      <c r="D51" s="2988"/>
      <c r="E51" s="2079">
        <v>65000</v>
      </c>
      <c r="F51" s="2334">
        <v>1</v>
      </c>
      <c r="G51" s="2330">
        <v>12</v>
      </c>
      <c r="H51" s="3071" t="s">
        <v>1067</v>
      </c>
      <c r="I51" s="2194">
        <v>3</v>
      </c>
      <c r="J51" s="2194"/>
      <c r="K51" s="2194"/>
      <c r="L51" s="2194"/>
      <c r="M51" s="2194"/>
      <c r="N51" s="2194"/>
      <c r="O51" s="2315">
        <f ca="1">Budget!J63+Budget!J134</f>
        <v>21320</v>
      </c>
      <c r="P51" s="2573">
        <f ca="1">'Calc - OTHER PERS'!$H$11</f>
        <v>5416.666666666667</v>
      </c>
      <c r="Q51" s="2600"/>
      <c r="R51" s="2564"/>
      <c r="S51" s="2558"/>
      <c r="V51" s="1977"/>
      <c r="W51" s="2194"/>
      <c r="X51" s="2194"/>
      <c r="Y51" s="2194"/>
      <c r="Z51" s="2194"/>
      <c r="AA51" s="2194"/>
      <c r="AB51" s="2393"/>
    </row>
    <row r="52" spans="1:29" ht="15" hidden="1" customHeight="1" x14ac:dyDescent="0.25">
      <c r="A52" s="331">
        <v>2</v>
      </c>
      <c r="B52" s="2959"/>
      <c r="C52" s="2580"/>
      <c r="D52" s="2988"/>
      <c r="E52" s="2079"/>
      <c r="F52" s="2334">
        <v>1</v>
      </c>
      <c r="G52" s="2330">
        <v>12</v>
      </c>
      <c r="H52" s="3071"/>
      <c r="I52" s="2194"/>
      <c r="J52" s="2194"/>
      <c r="K52" s="2194"/>
      <c r="L52" s="2194"/>
      <c r="M52" s="2194"/>
      <c r="N52" s="2194"/>
      <c r="O52" s="2379">
        <f ca="1">Budget!J64+Budget!J135</f>
        <v>0</v>
      </c>
      <c r="P52" s="2574">
        <f ca="1">OFFSET('Calc - OTHER PERS'!$H$11,(ROW()-ROW($P$51))*14,0)</f>
        <v>0</v>
      </c>
      <c r="Q52" s="2601"/>
      <c r="R52" s="2565"/>
      <c r="S52" s="2562"/>
      <c r="V52" s="1977"/>
      <c r="W52" s="2194"/>
      <c r="X52" s="2194"/>
      <c r="Y52" s="2194"/>
      <c r="Z52" s="2194"/>
      <c r="AA52" s="2194"/>
      <c r="AB52" s="2393"/>
    </row>
    <row r="53" spans="1:29" ht="15" hidden="1" customHeight="1" x14ac:dyDescent="0.25">
      <c r="A53" s="331">
        <v>3</v>
      </c>
      <c r="B53" s="2959"/>
      <c r="C53" s="2580"/>
      <c r="D53" s="2988"/>
      <c r="E53" s="2079"/>
      <c r="F53" s="2334">
        <v>1</v>
      </c>
      <c r="G53" s="2330">
        <v>12</v>
      </c>
      <c r="H53" s="3071"/>
      <c r="I53" s="2194"/>
      <c r="J53" s="2194"/>
      <c r="K53" s="2194"/>
      <c r="L53" s="2194"/>
      <c r="M53" s="2194"/>
      <c r="N53" s="2194"/>
      <c r="O53" s="2316">
        <f ca="1">Budget!J65+Budget!J136</f>
        <v>0</v>
      </c>
      <c r="P53" s="2575">
        <f ca="1">OFFSET('Calc - OTHER PERS'!$H$11,(ROW()-ROW($P$51))*14,0)</f>
        <v>0</v>
      </c>
      <c r="Q53" s="2601"/>
      <c r="R53" s="2565"/>
      <c r="S53" s="2559"/>
      <c r="V53" s="1977"/>
      <c r="W53" s="2194"/>
      <c r="X53" s="2194"/>
      <c r="Y53" s="2194"/>
      <c r="Z53" s="2194"/>
      <c r="AA53" s="2194"/>
      <c r="AB53" s="2393"/>
    </row>
    <row r="54" spans="1:29" ht="15" hidden="1" customHeight="1" x14ac:dyDescent="0.25">
      <c r="A54" s="331">
        <v>4</v>
      </c>
      <c r="B54" s="2959"/>
      <c r="C54" s="2580"/>
      <c r="D54" s="2988"/>
      <c r="E54" s="2079"/>
      <c r="F54" s="2334">
        <v>1</v>
      </c>
      <c r="G54" s="2330">
        <v>12</v>
      </c>
      <c r="H54" s="3071"/>
      <c r="I54" s="2194"/>
      <c r="J54" s="2194"/>
      <c r="K54" s="2194"/>
      <c r="L54" s="2194"/>
      <c r="M54" s="2194"/>
      <c r="N54" s="2194"/>
      <c r="O54" s="2316">
        <f ca="1">Budget!J66+Budget!J137</f>
        <v>0</v>
      </c>
      <c r="P54" s="2575">
        <f ca="1">OFFSET('Calc - OTHER PERS'!$H$11,(ROW()-ROW($P$51))*14,0)</f>
        <v>0</v>
      </c>
      <c r="Q54" s="2601"/>
      <c r="R54" s="2565"/>
      <c r="S54" s="2561"/>
      <c r="V54" s="1977"/>
      <c r="W54" s="2194"/>
      <c r="X54" s="2194"/>
      <c r="Y54" s="2194"/>
      <c r="Z54" s="2194"/>
      <c r="AA54" s="2194"/>
      <c r="AB54" s="2393"/>
    </row>
    <row r="55" spans="1:29" ht="15" hidden="1" customHeight="1" x14ac:dyDescent="0.25">
      <c r="A55" s="331">
        <v>5</v>
      </c>
      <c r="B55" s="2959"/>
      <c r="C55" s="2580"/>
      <c r="D55" s="2988"/>
      <c r="E55" s="2079"/>
      <c r="F55" s="2334">
        <v>1</v>
      </c>
      <c r="G55" s="2330">
        <v>12</v>
      </c>
      <c r="H55" s="3071"/>
      <c r="I55" s="2194"/>
      <c r="J55" s="2194"/>
      <c r="K55" s="2194"/>
      <c r="L55" s="2194"/>
      <c r="M55" s="2194"/>
      <c r="N55" s="2194"/>
      <c r="O55" s="2316">
        <f ca="1">Budget!J67+Budget!J138</f>
        <v>0</v>
      </c>
      <c r="P55" s="2575">
        <f ca="1">OFFSET('Calc - OTHER PERS'!$H$11,(ROW()-ROW($P$51))*14,0)</f>
        <v>0</v>
      </c>
      <c r="Q55" s="2601"/>
      <c r="R55" s="2565"/>
      <c r="S55" s="2559"/>
      <c r="V55" s="1977"/>
      <c r="W55" s="2194"/>
      <c r="X55" s="2194"/>
      <c r="Y55" s="2194"/>
      <c r="Z55" s="2194"/>
      <c r="AA55" s="2194"/>
      <c r="AB55" s="2393"/>
    </row>
    <row r="56" spans="1:29" ht="15" hidden="1" customHeight="1" x14ac:dyDescent="0.25">
      <c r="A56" s="331">
        <v>6</v>
      </c>
      <c r="B56" s="2959"/>
      <c r="C56" s="2580"/>
      <c r="D56" s="2988"/>
      <c r="E56" s="2079"/>
      <c r="F56" s="2334">
        <v>1</v>
      </c>
      <c r="G56" s="2330">
        <v>12</v>
      </c>
      <c r="H56" s="3071"/>
      <c r="I56" s="2194"/>
      <c r="J56" s="2194"/>
      <c r="K56" s="2194"/>
      <c r="L56" s="2194"/>
      <c r="M56" s="2194"/>
      <c r="N56" s="2194"/>
      <c r="O56" s="2316">
        <f ca="1">Budget!J68+Budget!J139</f>
        <v>0</v>
      </c>
      <c r="P56" s="2575">
        <f ca="1">OFFSET('Calc - OTHER PERS'!$H$11,(ROW()-ROW($P$51))*14,0)</f>
        <v>0</v>
      </c>
      <c r="Q56" s="2601"/>
      <c r="R56" s="2565"/>
      <c r="S56" s="2562"/>
      <c r="V56" s="1977"/>
      <c r="W56" s="2194"/>
      <c r="X56" s="2194"/>
      <c r="Y56" s="2194"/>
      <c r="Z56" s="2194"/>
      <c r="AA56" s="2194"/>
      <c r="AB56" s="2393"/>
    </row>
    <row r="57" spans="1:29" ht="15" hidden="1" customHeight="1" x14ac:dyDescent="0.25">
      <c r="A57" s="331">
        <v>7</v>
      </c>
      <c r="B57" s="2959"/>
      <c r="C57" s="2580"/>
      <c r="D57" s="2988"/>
      <c r="E57" s="2079"/>
      <c r="F57" s="2334">
        <v>1</v>
      </c>
      <c r="G57" s="2330">
        <v>12</v>
      </c>
      <c r="H57" s="3071"/>
      <c r="I57" s="2194"/>
      <c r="J57" s="2194"/>
      <c r="K57" s="2194"/>
      <c r="L57" s="2194"/>
      <c r="M57" s="2194"/>
      <c r="N57" s="2194"/>
      <c r="O57" s="2316">
        <f ca="1">Budget!J69+Budget!J140</f>
        <v>0</v>
      </c>
      <c r="P57" s="2575">
        <f ca="1">OFFSET('Calc - OTHER PERS'!$H$11,(ROW()-ROW($P$51))*14,0)</f>
        <v>0</v>
      </c>
      <c r="Q57" s="2601"/>
      <c r="R57" s="2565"/>
      <c r="S57" s="2559"/>
      <c r="V57" s="1977"/>
      <c r="W57" s="2194"/>
      <c r="X57" s="2194"/>
      <c r="Y57" s="2194"/>
      <c r="Z57" s="2194"/>
      <c r="AA57" s="2194"/>
      <c r="AB57" s="2393"/>
    </row>
    <row r="58" spans="1:29" ht="15" hidden="1" customHeight="1" x14ac:dyDescent="0.25">
      <c r="A58" s="331">
        <v>8</v>
      </c>
      <c r="B58" s="2959"/>
      <c r="C58" s="2580"/>
      <c r="D58" s="2988"/>
      <c r="E58" s="2079"/>
      <c r="F58" s="2334">
        <v>1</v>
      </c>
      <c r="G58" s="2330">
        <v>12</v>
      </c>
      <c r="H58" s="3071"/>
      <c r="I58" s="2194"/>
      <c r="J58" s="2194"/>
      <c r="K58" s="2194"/>
      <c r="L58" s="2194"/>
      <c r="M58" s="2194"/>
      <c r="N58" s="2194"/>
      <c r="O58" s="2316">
        <f ca="1">Budget!J70+Budget!J141</f>
        <v>0</v>
      </c>
      <c r="P58" s="2575">
        <f ca="1">OFFSET('Calc - OTHER PERS'!$H$11,(ROW()-ROW($P$51))*14,0)</f>
        <v>0</v>
      </c>
      <c r="Q58" s="2601"/>
      <c r="R58" s="2565"/>
      <c r="S58" s="2559"/>
      <c r="V58" s="1977"/>
      <c r="W58" s="2194"/>
      <c r="X58" s="2194"/>
      <c r="Y58" s="2194"/>
      <c r="Z58" s="2194"/>
      <c r="AA58" s="2194"/>
      <c r="AB58" s="2393"/>
    </row>
    <row r="59" spans="1:29" ht="15" hidden="1" customHeight="1" x14ac:dyDescent="0.25">
      <c r="A59" s="331">
        <v>9</v>
      </c>
      <c r="B59" s="2959"/>
      <c r="C59" s="2580"/>
      <c r="D59" s="2988"/>
      <c r="E59" s="2079"/>
      <c r="F59" s="2334">
        <v>1</v>
      </c>
      <c r="G59" s="2330">
        <v>12</v>
      </c>
      <c r="H59" s="3071"/>
      <c r="I59" s="2194"/>
      <c r="J59" s="2194"/>
      <c r="K59" s="2194"/>
      <c r="L59" s="2194"/>
      <c r="M59" s="2194"/>
      <c r="N59" s="2194"/>
      <c r="O59" s="2316">
        <f ca="1">Budget!J71+Budget!J142</f>
        <v>0</v>
      </c>
      <c r="P59" s="2575">
        <f ca="1">OFFSET('Calc - OTHER PERS'!$H$11,(ROW()-ROW($P$51))*14,0)</f>
        <v>0</v>
      </c>
      <c r="Q59" s="2601"/>
      <c r="R59" s="2565"/>
      <c r="S59" s="2562"/>
      <c r="V59" s="1977"/>
      <c r="W59" s="1825"/>
      <c r="X59" s="1825"/>
      <c r="Y59" s="1825"/>
      <c r="Z59" s="1825"/>
      <c r="AA59" s="1825"/>
      <c r="AB59" s="1826"/>
    </row>
    <row r="60" spans="1:29" ht="15" hidden="1" customHeight="1" x14ac:dyDescent="0.25">
      <c r="A60" s="331">
        <v>10</v>
      </c>
      <c r="B60" s="2959"/>
      <c r="C60" s="2580"/>
      <c r="D60" s="2988"/>
      <c r="E60" s="2079"/>
      <c r="F60" s="2334">
        <v>1</v>
      </c>
      <c r="G60" s="2330">
        <v>12</v>
      </c>
      <c r="H60" s="3071"/>
      <c r="I60" s="2194"/>
      <c r="J60" s="2194"/>
      <c r="K60" s="2194"/>
      <c r="L60" s="2194"/>
      <c r="M60" s="2194"/>
      <c r="N60" s="2194"/>
      <c r="O60" s="2316">
        <f ca="1">Budget!J755+Budget!J143</f>
        <v>0</v>
      </c>
      <c r="P60" s="2575">
        <f ca="1">OFFSET('Calc - OTHER PERS'!$H$11,(ROW()-ROW($P$51))*14,0)</f>
        <v>0</v>
      </c>
      <c r="Q60" s="2601"/>
      <c r="R60" s="2565"/>
      <c r="S60" s="2559"/>
      <c r="V60" s="1977"/>
      <c r="W60" s="1825"/>
      <c r="X60" s="1825"/>
      <c r="Y60" s="1825"/>
      <c r="Z60" s="1825"/>
      <c r="AA60" s="1825"/>
      <c r="AB60" s="1826"/>
    </row>
    <row r="61" spans="1:29" ht="15" hidden="1" customHeight="1" x14ac:dyDescent="0.25">
      <c r="A61" s="331">
        <v>11</v>
      </c>
      <c r="B61" s="2959"/>
      <c r="C61" s="2580"/>
      <c r="D61" s="2988"/>
      <c r="E61" s="2079"/>
      <c r="F61" s="2334">
        <v>1</v>
      </c>
      <c r="G61" s="2330">
        <v>12</v>
      </c>
      <c r="H61" s="3071"/>
      <c r="I61" s="2194"/>
      <c r="J61" s="2194"/>
      <c r="K61" s="2194"/>
      <c r="L61" s="2194"/>
      <c r="M61" s="2194"/>
      <c r="N61" s="2194"/>
      <c r="O61" s="2316">
        <f ca="1">Budget!J73+Budget!J144</f>
        <v>0</v>
      </c>
      <c r="P61" s="2575">
        <f ca="1">OFFSET('Calc - OTHER PERS'!$H$11,(ROW()-ROW($P$51))*14,0)</f>
        <v>0</v>
      </c>
      <c r="Q61" s="2601"/>
      <c r="R61" s="2565"/>
      <c r="S61" s="2561"/>
      <c r="V61" s="1977"/>
      <c r="W61" s="2194"/>
      <c r="X61" s="2194"/>
      <c r="Y61" s="2194"/>
      <c r="Z61" s="2194"/>
      <c r="AA61" s="2194"/>
      <c r="AB61" s="2393"/>
    </row>
    <row r="62" spans="1:29" ht="15" hidden="1" customHeight="1" x14ac:dyDescent="0.25">
      <c r="A62" s="331">
        <v>12</v>
      </c>
      <c r="B62" s="2959"/>
      <c r="C62" s="2580"/>
      <c r="D62" s="2988"/>
      <c r="E62" s="2079"/>
      <c r="F62" s="2334">
        <v>1</v>
      </c>
      <c r="G62" s="2330">
        <v>12</v>
      </c>
      <c r="H62" s="3071"/>
      <c r="I62" s="2194"/>
      <c r="J62" s="2194"/>
      <c r="K62" s="2194"/>
      <c r="L62" s="2194"/>
      <c r="M62" s="2194"/>
      <c r="N62" s="2194"/>
      <c r="O62" s="2316">
        <f ca="1">Budget!J74+Budget!J145</f>
        <v>0</v>
      </c>
      <c r="P62" s="2575">
        <f ca="1">OFFSET('Calc - OTHER PERS'!$H$11,(ROW()-ROW($P$51))*14,0)</f>
        <v>0</v>
      </c>
      <c r="Q62" s="2601"/>
      <c r="R62" s="2565"/>
      <c r="S62" s="2559"/>
      <c r="V62" s="1977"/>
      <c r="W62" s="2194"/>
      <c r="X62" s="2194"/>
      <c r="Y62" s="2194"/>
      <c r="Z62" s="2194"/>
      <c r="AA62" s="2194"/>
      <c r="AB62" s="2393"/>
    </row>
    <row r="63" spans="1:29" ht="15" hidden="1" customHeight="1" x14ac:dyDescent="0.25">
      <c r="A63" s="331">
        <v>13</v>
      </c>
      <c r="B63" s="2959"/>
      <c r="C63" s="2580"/>
      <c r="D63" s="2988"/>
      <c r="E63" s="2079"/>
      <c r="F63" s="2334">
        <v>1</v>
      </c>
      <c r="G63" s="2330">
        <v>12</v>
      </c>
      <c r="H63" s="3071"/>
      <c r="I63" s="2194"/>
      <c r="J63" s="2194"/>
      <c r="K63" s="2194"/>
      <c r="L63" s="2194"/>
      <c r="M63" s="2194"/>
      <c r="N63" s="2194"/>
      <c r="O63" s="2380">
        <f ca="1">Budget!J75+Budget!J146</f>
        <v>0</v>
      </c>
      <c r="P63" s="2576">
        <f ca="1">OFFSET('Calc - OTHER PERS'!$H$11,(ROW()-ROW($P$51))*14,0)</f>
        <v>0</v>
      </c>
      <c r="Q63" s="2601"/>
      <c r="R63" s="2565"/>
      <c r="S63" s="2562"/>
      <c r="V63" s="1977"/>
      <c r="W63" s="2194"/>
      <c r="X63" s="2194"/>
      <c r="Y63" s="2194"/>
      <c r="Z63" s="2194"/>
      <c r="AA63" s="2194"/>
      <c r="AB63" s="2393"/>
    </row>
    <row r="64" spans="1:29" ht="15" hidden="1" customHeight="1" x14ac:dyDescent="0.25">
      <c r="A64" s="331">
        <v>14</v>
      </c>
      <c r="B64" s="2959"/>
      <c r="C64" s="2580"/>
      <c r="D64" s="2988"/>
      <c r="E64" s="2079"/>
      <c r="F64" s="2334">
        <v>1</v>
      </c>
      <c r="G64" s="2330">
        <v>12</v>
      </c>
      <c r="H64" s="3071"/>
      <c r="I64" s="2194"/>
      <c r="J64" s="2194"/>
      <c r="K64" s="2194"/>
      <c r="L64" s="2194"/>
      <c r="M64" s="2194"/>
      <c r="N64" s="2194"/>
      <c r="O64" s="2316">
        <f ca="1">Budget!J76+Budget!J147</f>
        <v>0</v>
      </c>
      <c r="P64" s="2575">
        <f ca="1">OFFSET('Calc - OTHER PERS'!$H$11,(ROW()-ROW($P$51))*14,0)</f>
        <v>0</v>
      </c>
      <c r="Q64" s="2601"/>
      <c r="R64" s="2565"/>
      <c r="S64" s="2559"/>
      <c r="V64" s="1977"/>
      <c r="W64" s="2194"/>
      <c r="X64" s="2194"/>
      <c r="Y64" s="2194"/>
      <c r="Z64" s="2194"/>
      <c r="AA64" s="2194"/>
      <c r="AB64" s="2393"/>
    </row>
    <row r="65" spans="1:28" ht="15" hidden="1" customHeight="1" thickBot="1" x14ac:dyDescent="0.3">
      <c r="A65" s="331">
        <v>15</v>
      </c>
      <c r="B65" s="2966"/>
      <c r="C65" s="1954"/>
      <c r="D65" s="2989"/>
      <c r="E65" s="2080"/>
      <c r="F65" s="2335">
        <v>1</v>
      </c>
      <c r="G65" s="1924">
        <v>12</v>
      </c>
      <c r="H65" s="3072"/>
      <c r="I65" s="2194"/>
      <c r="J65" s="2194"/>
      <c r="K65" s="2194"/>
      <c r="L65" s="2194"/>
      <c r="M65" s="2194"/>
      <c r="N65" s="2194"/>
      <c r="O65" s="2319">
        <f ca="1">Budget!J77+Budget!J148</f>
        <v>0</v>
      </c>
      <c r="P65" s="2577">
        <f ca="1">OFFSET('Calc - OTHER PERS'!$H$11,(ROW()-ROW($P$51))*14,0)</f>
        <v>0</v>
      </c>
      <c r="Q65" s="2602"/>
      <c r="R65" s="2599"/>
      <c r="S65" s="2563"/>
      <c r="V65" s="2390"/>
      <c r="W65" s="1967"/>
      <c r="X65" s="1967"/>
      <c r="Y65" s="1967"/>
      <c r="Z65" s="1967"/>
      <c r="AA65" s="1967"/>
      <c r="AB65" s="2394"/>
    </row>
    <row r="66" spans="1:28" ht="15" customHeight="1" thickBot="1" x14ac:dyDescent="0.3">
      <c r="B66" s="1952"/>
      <c r="C66" s="1952"/>
      <c r="D66" s="883"/>
      <c r="E66" s="448"/>
      <c r="F66" s="448"/>
      <c r="G66" s="448"/>
      <c r="H66" s="1952"/>
      <c r="I66" s="448"/>
      <c r="J66" s="448"/>
      <c r="K66" s="448"/>
      <c r="L66" s="448"/>
      <c r="M66" s="448"/>
      <c r="N66" s="448"/>
      <c r="O66" s="448"/>
      <c r="P66" s="448"/>
      <c r="Q66" s="448"/>
      <c r="R66" s="448"/>
      <c r="S66" s="110"/>
    </row>
    <row r="67" spans="1:28" s="770" customFormat="1" ht="45.75" thickBot="1" x14ac:dyDescent="0.3">
      <c r="B67" s="2967" t="s">
        <v>532</v>
      </c>
      <c r="C67" s="2968" t="s">
        <v>857</v>
      </c>
      <c r="D67" s="1928" t="s">
        <v>363</v>
      </c>
      <c r="E67" s="1929" t="s">
        <v>112</v>
      </c>
      <c r="F67" s="1929" t="s">
        <v>23</v>
      </c>
      <c r="G67" s="1927" t="s">
        <v>122</v>
      </c>
      <c r="H67" s="1927" t="s">
        <v>658</v>
      </c>
      <c r="I67" s="1927" t="s">
        <v>858</v>
      </c>
      <c r="J67" s="1927" t="s">
        <v>859</v>
      </c>
      <c r="K67" s="1927" t="s">
        <v>860</v>
      </c>
      <c r="L67" s="1927" t="s">
        <v>861</v>
      </c>
      <c r="M67" s="1927" t="s">
        <v>862</v>
      </c>
      <c r="N67" s="1927" t="s">
        <v>863</v>
      </c>
      <c r="O67" s="1930" t="s">
        <v>790</v>
      </c>
      <c r="P67" s="1885" t="s">
        <v>791</v>
      </c>
      <c r="Q67" s="1931" t="s">
        <v>593</v>
      </c>
      <c r="R67" s="2662" t="s">
        <v>833</v>
      </c>
      <c r="S67" s="2590"/>
      <c r="AB67"/>
    </row>
    <row r="68" spans="1:28" ht="15" customHeight="1" x14ac:dyDescent="0.25">
      <c r="A68" s="1950">
        <v>1</v>
      </c>
      <c r="B68" s="2969" t="s">
        <v>362</v>
      </c>
      <c r="C68" s="2970" t="s">
        <v>491</v>
      </c>
      <c r="D68" s="2330">
        <v>1</v>
      </c>
      <c r="E68" s="2330">
        <v>4</v>
      </c>
      <c r="F68" s="1926">
        <v>600</v>
      </c>
      <c r="G68" s="1926">
        <v>550</v>
      </c>
      <c r="H68" s="2330"/>
      <c r="I68" s="2330">
        <v>1</v>
      </c>
      <c r="J68" s="2330"/>
      <c r="K68" s="2330"/>
      <c r="L68" s="2330"/>
      <c r="M68" s="2330"/>
      <c r="N68" s="2330"/>
      <c r="O68" s="2081">
        <f ca="1">'Calc - TRAVEL'!$N18 + 'Calc - TRAVEL'!$P18</f>
        <v>2489.87</v>
      </c>
      <c r="P68" s="1483">
        <f ca="1">'Calc - TRAVEL'!$N18</f>
        <v>2489.87</v>
      </c>
      <c r="Q68" s="2082">
        <f ca="1">'Calc - TRAVEL'!$N12</f>
        <v>2489.87</v>
      </c>
      <c r="R68" s="2663"/>
      <c r="S68" s="2666"/>
    </row>
    <row r="69" spans="1:28" ht="15" hidden="1" customHeight="1" x14ac:dyDescent="0.25">
      <c r="A69" s="1950">
        <v>2</v>
      </c>
      <c r="B69" s="2969"/>
      <c r="C69" s="2970"/>
      <c r="D69" s="2330"/>
      <c r="E69" s="2330"/>
      <c r="F69" s="1926"/>
      <c r="G69" s="1926"/>
      <c r="H69" s="2330"/>
      <c r="I69" s="2330"/>
      <c r="J69" s="2330"/>
      <c r="K69" s="2330"/>
      <c r="L69" s="2330"/>
      <c r="M69" s="2330"/>
      <c r="N69" s="2330"/>
      <c r="O69" s="2083">
        <f ca="1">'Calc - TRAVEL'!$N33 + 'Calc - TRAVEL'!$P33</f>
        <v>0</v>
      </c>
      <c r="P69" s="1489">
        <f ca="1">'Calc - TRAVEL'!$N33</f>
        <v>0</v>
      </c>
      <c r="Q69" s="2084">
        <f ca="1">'Calc - TRAVEL'!$N27</f>
        <v>0</v>
      </c>
      <c r="R69" s="2612"/>
      <c r="S69" s="2664"/>
    </row>
    <row r="70" spans="1:28" ht="15" hidden="1" customHeight="1" x14ac:dyDescent="0.25">
      <c r="A70" s="1950">
        <v>3</v>
      </c>
      <c r="B70" s="2969"/>
      <c r="C70" s="2970"/>
      <c r="D70" s="2330"/>
      <c r="E70" s="2330"/>
      <c r="F70" s="1926"/>
      <c r="G70" s="1926"/>
      <c r="H70" s="2330"/>
      <c r="I70" s="2330"/>
      <c r="J70" s="2330"/>
      <c r="K70" s="2330"/>
      <c r="L70" s="2330"/>
      <c r="M70" s="2330"/>
      <c r="N70" s="2330"/>
      <c r="O70" s="2083">
        <f ca="1">'Calc - TRAVEL'!$N48 + 'Calc - TRAVEL'!$P48</f>
        <v>0</v>
      </c>
      <c r="P70" s="1489">
        <f ca="1">'Calc - TRAVEL'!$N48</f>
        <v>0</v>
      </c>
      <c r="Q70" s="2084">
        <f ca="1">'Calc - TRAVEL'!$N42</f>
        <v>0</v>
      </c>
      <c r="R70" s="2612"/>
      <c r="S70" s="2664"/>
    </row>
    <row r="71" spans="1:28" ht="15" hidden="1" customHeight="1" x14ac:dyDescent="0.25">
      <c r="A71" s="1950">
        <v>4</v>
      </c>
      <c r="B71" s="2969"/>
      <c r="C71" s="2970"/>
      <c r="D71" s="2330"/>
      <c r="E71" s="2330"/>
      <c r="F71" s="1926"/>
      <c r="G71" s="1926"/>
      <c r="H71" s="2330"/>
      <c r="I71" s="2330"/>
      <c r="J71" s="2330"/>
      <c r="K71" s="2330"/>
      <c r="L71" s="2330"/>
      <c r="M71" s="2330"/>
      <c r="N71" s="2330"/>
      <c r="O71" s="2083">
        <f ca="1">'Calc - TRAVEL'!$N63 + 'Calc - TRAVEL'!$P63</f>
        <v>0</v>
      </c>
      <c r="P71" s="1489">
        <f ca="1">'Calc - TRAVEL'!$N63</f>
        <v>0</v>
      </c>
      <c r="Q71" s="2084">
        <f ca="1">'Calc - TRAVEL'!$N57</f>
        <v>0</v>
      </c>
      <c r="R71" s="2612"/>
      <c r="S71" s="2664"/>
    </row>
    <row r="72" spans="1:28" ht="15" hidden="1" customHeight="1" x14ac:dyDescent="0.25">
      <c r="A72" s="1950">
        <v>5</v>
      </c>
      <c r="B72" s="2969"/>
      <c r="C72" s="2970"/>
      <c r="D72" s="2330"/>
      <c r="E72" s="2330"/>
      <c r="F72" s="1926"/>
      <c r="G72" s="1926"/>
      <c r="H72" s="2330"/>
      <c r="I72" s="2330"/>
      <c r="J72" s="2330"/>
      <c r="K72" s="2330"/>
      <c r="L72" s="2330"/>
      <c r="M72" s="2330"/>
      <c r="N72" s="2330"/>
      <c r="O72" s="2083">
        <f ca="1">'Calc - TRAVEL'!$N78 + 'Calc - TRAVEL'!$P78</f>
        <v>0</v>
      </c>
      <c r="P72" s="1489">
        <f ca="1">'Calc - TRAVEL'!$N78</f>
        <v>0</v>
      </c>
      <c r="Q72" s="2084">
        <f ca="1">'Calc - TRAVEL'!$N72</f>
        <v>0</v>
      </c>
      <c r="R72" s="2612"/>
      <c r="S72" s="2664"/>
    </row>
    <row r="73" spans="1:28" ht="15" hidden="1" customHeight="1" x14ac:dyDescent="0.25">
      <c r="A73" s="1950">
        <v>6</v>
      </c>
      <c r="B73" s="2969"/>
      <c r="C73" s="2970"/>
      <c r="D73" s="2330"/>
      <c r="E73" s="2330"/>
      <c r="F73" s="1926"/>
      <c r="G73" s="1926"/>
      <c r="H73" s="2330"/>
      <c r="I73" s="2330"/>
      <c r="J73" s="2330"/>
      <c r="K73" s="2330"/>
      <c r="L73" s="2330"/>
      <c r="M73" s="2330"/>
      <c r="N73" s="2330"/>
      <c r="O73" s="2085">
        <f ca="1">'Calc - TRAVEL'!$N93 + 'Calc - TRAVEL'!$P93</f>
        <v>0</v>
      </c>
      <c r="P73" s="1489">
        <f ca="1">'Calc - TRAVEL'!$N93</f>
        <v>0</v>
      </c>
      <c r="Q73" s="2086">
        <f ca="1">'Calc - TRAVEL'!$N87</f>
        <v>0</v>
      </c>
      <c r="R73" s="2612"/>
      <c r="S73" s="2664"/>
    </row>
    <row r="74" spans="1:28" ht="15" hidden="1" customHeight="1" x14ac:dyDescent="0.25">
      <c r="A74" s="1950">
        <v>7</v>
      </c>
      <c r="B74" s="2969"/>
      <c r="C74" s="2970"/>
      <c r="D74" s="2330"/>
      <c r="E74" s="2330"/>
      <c r="F74" s="1926"/>
      <c r="G74" s="1926"/>
      <c r="H74" s="2330"/>
      <c r="I74" s="2330"/>
      <c r="J74" s="2330"/>
      <c r="K74" s="2330"/>
      <c r="L74" s="2330"/>
      <c r="M74" s="2330"/>
      <c r="N74" s="2330"/>
      <c r="O74" s="2085">
        <f ca="1">'Calc - TRAVEL'!$N108 + 'Calc - TRAVEL'!$P108</f>
        <v>0</v>
      </c>
      <c r="P74" s="1489">
        <f ca="1">'Calc - TRAVEL'!$N108</f>
        <v>0</v>
      </c>
      <c r="Q74" s="2086">
        <f ca="1">'Calc - TRAVEL'!$N102</f>
        <v>0</v>
      </c>
      <c r="R74" s="2612"/>
      <c r="S74" s="2664"/>
    </row>
    <row r="75" spans="1:28" ht="15" hidden="1" customHeight="1" x14ac:dyDescent="0.25">
      <c r="A75" s="1950">
        <v>8</v>
      </c>
      <c r="B75" s="2969"/>
      <c r="C75" s="2970"/>
      <c r="D75" s="2330"/>
      <c r="E75" s="2330"/>
      <c r="F75" s="1926"/>
      <c r="G75" s="1926"/>
      <c r="H75" s="2330"/>
      <c r="I75" s="2330"/>
      <c r="J75" s="2330"/>
      <c r="K75" s="2330"/>
      <c r="L75" s="2330"/>
      <c r="M75" s="2330"/>
      <c r="N75" s="2330"/>
      <c r="O75" s="2085">
        <f ca="1">'Calc - TRAVEL'!$N123 + 'Calc - TRAVEL'!$P123</f>
        <v>0</v>
      </c>
      <c r="P75" s="1489">
        <f ca="1">'Calc - TRAVEL'!$N123</f>
        <v>0</v>
      </c>
      <c r="Q75" s="2086">
        <f ca="1">'Calc - TRAVEL'!$N117</f>
        <v>0</v>
      </c>
      <c r="R75" s="2612"/>
      <c r="S75" s="2664"/>
    </row>
    <row r="76" spans="1:28" ht="15" hidden="1" customHeight="1" x14ac:dyDescent="0.25">
      <c r="A76" s="1950">
        <v>9</v>
      </c>
      <c r="B76" s="2969"/>
      <c r="C76" s="2970"/>
      <c r="D76" s="2330"/>
      <c r="E76" s="2330"/>
      <c r="F76" s="1926"/>
      <c r="G76" s="1926"/>
      <c r="H76" s="2330"/>
      <c r="I76" s="2330"/>
      <c r="J76" s="2330"/>
      <c r="K76" s="2330"/>
      <c r="L76" s="2330"/>
      <c r="M76" s="2330"/>
      <c r="N76" s="2330"/>
      <c r="O76" s="2085">
        <f ca="1">'Calc - TRAVEL'!$N138 + 'Calc - TRAVEL'!$P138</f>
        <v>0</v>
      </c>
      <c r="P76" s="1489">
        <f ca="1">'Calc - TRAVEL'!$N138</f>
        <v>0</v>
      </c>
      <c r="Q76" s="2086">
        <f ca="1">'Calc - TRAVEL'!$N132</f>
        <v>0</v>
      </c>
      <c r="R76" s="2612"/>
      <c r="S76" s="2664"/>
    </row>
    <row r="77" spans="1:28" ht="15" hidden="1" customHeight="1" x14ac:dyDescent="0.25">
      <c r="A77" s="1950">
        <v>10</v>
      </c>
      <c r="B77" s="2969"/>
      <c r="C77" s="2970"/>
      <c r="D77" s="2330"/>
      <c r="E77" s="2330"/>
      <c r="F77" s="1926"/>
      <c r="G77" s="1926"/>
      <c r="H77" s="2330"/>
      <c r="I77" s="2330"/>
      <c r="J77" s="2330"/>
      <c r="K77" s="2330"/>
      <c r="L77" s="2330"/>
      <c r="M77" s="2330"/>
      <c r="N77" s="2330"/>
      <c r="O77" s="2085">
        <f ca="1">'Calc - TRAVEL'!$N153 + 'Calc - TRAVEL'!$P153</f>
        <v>0</v>
      </c>
      <c r="P77" s="1489">
        <f ca="1">'Calc - TRAVEL'!$N153</f>
        <v>0</v>
      </c>
      <c r="Q77" s="2086">
        <f ca="1">'Calc - TRAVEL'!$N147</f>
        <v>0</v>
      </c>
      <c r="R77" s="2612"/>
      <c r="S77" s="2664"/>
    </row>
    <row r="78" spans="1:28" ht="15" hidden="1" customHeight="1" x14ac:dyDescent="0.25">
      <c r="A78" s="1950">
        <v>11</v>
      </c>
      <c r="B78" s="2969"/>
      <c r="C78" s="2970"/>
      <c r="D78" s="2330"/>
      <c r="E78" s="2330"/>
      <c r="F78" s="1926"/>
      <c r="G78" s="1926"/>
      <c r="H78" s="2330"/>
      <c r="I78" s="2330"/>
      <c r="J78" s="2330"/>
      <c r="K78" s="2330"/>
      <c r="L78" s="2330"/>
      <c r="M78" s="2330"/>
      <c r="N78" s="2330"/>
      <c r="O78" s="2083">
        <f ca="1">'Calc - TRAVEL'!$N168 + 'Calc - TRAVEL'!$P168</f>
        <v>0</v>
      </c>
      <c r="P78" s="1489">
        <f ca="1">'Calc - TRAVEL'!$N168</f>
        <v>0</v>
      </c>
      <c r="Q78" s="2084">
        <f ca="1">'Calc - TRAVEL'!$N162</f>
        <v>0</v>
      </c>
      <c r="R78" s="2612"/>
      <c r="S78" s="2664"/>
    </row>
    <row r="79" spans="1:28" ht="15" hidden="1" customHeight="1" x14ac:dyDescent="0.25">
      <c r="A79" s="1950">
        <v>12</v>
      </c>
      <c r="B79" s="2969"/>
      <c r="C79" s="2970"/>
      <c r="D79" s="2330"/>
      <c r="E79" s="2330"/>
      <c r="F79" s="1926"/>
      <c r="G79" s="1926"/>
      <c r="H79" s="2330"/>
      <c r="I79" s="2330"/>
      <c r="J79" s="2330"/>
      <c r="K79" s="2330"/>
      <c r="L79" s="2330"/>
      <c r="M79" s="2330"/>
      <c r="N79" s="2330"/>
      <c r="O79" s="2085">
        <f ca="1">'Calc - TRAVEL'!$N183 + 'Calc - TRAVEL'!$P183</f>
        <v>0</v>
      </c>
      <c r="P79" s="1489">
        <f ca="1">'Calc - TRAVEL'!$N183</f>
        <v>0</v>
      </c>
      <c r="Q79" s="2086">
        <f ca="1">'Calc - TRAVEL'!$N177</f>
        <v>0</v>
      </c>
      <c r="R79" s="2612"/>
      <c r="S79" s="2664"/>
    </row>
    <row r="80" spans="1:28" ht="15" hidden="1" customHeight="1" x14ac:dyDescent="0.25">
      <c r="A80" s="1950">
        <v>13</v>
      </c>
      <c r="B80" s="2969"/>
      <c r="C80" s="2970"/>
      <c r="D80" s="2330"/>
      <c r="E80" s="2330"/>
      <c r="F80" s="1926"/>
      <c r="G80" s="1926"/>
      <c r="H80" s="2330"/>
      <c r="I80" s="2330"/>
      <c r="J80" s="2330"/>
      <c r="K80" s="2330"/>
      <c r="L80" s="2330"/>
      <c r="M80" s="2330"/>
      <c r="N80" s="2330"/>
      <c r="O80" s="2085">
        <f ca="1">'Calc - TRAVEL'!$N198 + 'Calc - TRAVEL'!$P198</f>
        <v>0</v>
      </c>
      <c r="P80" s="1489">
        <f ca="1">'Calc - TRAVEL'!$N198</f>
        <v>0</v>
      </c>
      <c r="Q80" s="2086">
        <f ca="1">'Calc - TRAVEL'!$N192</f>
        <v>0</v>
      </c>
      <c r="R80" s="2612"/>
      <c r="S80" s="2664"/>
    </row>
    <row r="81" spans="1:19" ht="15" hidden="1" customHeight="1" x14ac:dyDescent="0.25">
      <c r="A81" s="1950">
        <v>14</v>
      </c>
      <c r="B81" s="2969"/>
      <c r="C81" s="2970"/>
      <c r="D81" s="2330"/>
      <c r="E81" s="2330"/>
      <c r="F81" s="1926"/>
      <c r="G81" s="1926"/>
      <c r="H81" s="2330"/>
      <c r="I81" s="2330"/>
      <c r="J81" s="2330"/>
      <c r="K81" s="2330"/>
      <c r="L81" s="2330"/>
      <c r="M81" s="2330"/>
      <c r="N81" s="2330"/>
      <c r="O81" s="2085">
        <f ca="1">'Calc - TRAVEL'!$N213 + 'Calc - TRAVEL'!$P213</f>
        <v>0</v>
      </c>
      <c r="P81" s="1489">
        <f ca="1">'Calc - TRAVEL'!$N213</f>
        <v>0</v>
      </c>
      <c r="Q81" s="2086">
        <f ca="1">'Calc - TRAVEL'!$N207</f>
        <v>0</v>
      </c>
      <c r="R81" s="2612"/>
      <c r="S81" s="2664"/>
    </row>
    <row r="82" spans="1:19" ht="15" hidden="1" customHeight="1" thickBot="1" x14ac:dyDescent="0.3">
      <c r="A82" s="1950">
        <v>15</v>
      </c>
      <c r="B82" s="2971"/>
      <c r="C82" s="2972"/>
      <c r="D82" s="1924"/>
      <c r="E82" s="1924"/>
      <c r="F82" s="2476"/>
      <c r="G82" s="2476"/>
      <c r="H82" s="1924"/>
      <c r="I82" s="1924"/>
      <c r="J82" s="1924"/>
      <c r="K82" s="1924"/>
      <c r="L82" s="1924"/>
      <c r="M82" s="1924"/>
      <c r="N82" s="1925"/>
      <c r="O82" s="2087">
        <f ca="1">'Calc - TRAVEL'!$N228 + 'Calc - TRAVEL'!$P228</f>
        <v>0</v>
      </c>
      <c r="P82" s="1513">
        <f ca="1">'Calc - TRAVEL'!$N228</f>
        <v>0</v>
      </c>
      <c r="Q82" s="2088">
        <f ca="1">'Calc - TRAVEL'!$N222</f>
        <v>0</v>
      </c>
      <c r="R82" s="2613"/>
      <c r="S82" s="2665"/>
    </row>
    <row r="83" spans="1:19" ht="15" customHeight="1" thickBot="1" x14ac:dyDescent="0.3">
      <c r="B83" s="448"/>
      <c r="C83" s="448"/>
      <c r="D83" s="883"/>
      <c r="E83" s="448"/>
      <c r="F83" s="448"/>
      <c r="G83" s="448"/>
      <c r="H83" s="448"/>
      <c r="I83" s="448"/>
      <c r="J83" s="448"/>
      <c r="K83" s="448"/>
      <c r="L83" s="448"/>
      <c r="M83" s="448"/>
      <c r="N83" s="448"/>
      <c r="O83" s="448"/>
      <c r="P83" s="448"/>
      <c r="Q83" s="448"/>
      <c r="R83" s="448"/>
      <c r="S83" s="1830"/>
    </row>
    <row r="84" spans="1:19" ht="15.75" thickBot="1" x14ac:dyDescent="0.3">
      <c r="B84" s="2973" t="s">
        <v>146</v>
      </c>
      <c r="C84" s="2994" t="s">
        <v>1034</v>
      </c>
      <c r="D84" s="1834"/>
      <c r="E84" s="668"/>
      <c r="F84" s="1884"/>
      <c r="G84" s="1884"/>
      <c r="H84" s="1835"/>
      <c r="I84" s="1944" t="s">
        <v>594</v>
      </c>
      <c r="J84" s="1945" t="s">
        <v>149</v>
      </c>
      <c r="K84" s="1945" t="s">
        <v>150</v>
      </c>
      <c r="L84" s="1945" t="s">
        <v>151</v>
      </c>
      <c r="M84" s="1945" t="s">
        <v>595</v>
      </c>
      <c r="N84" s="1946" t="s">
        <v>596</v>
      </c>
      <c r="O84" s="1974" t="s">
        <v>605</v>
      </c>
      <c r="P84" s="2604" t="s">
        <v>833</v>
      </c>
      <c r="Q84" s="1936"/>
      <c r="R84" s="1936"/>
      <c r="S84" s="2595"/>
    </row>
    <row r="85" spans="1:19" ht="15" hidden="1" customHeight="1" x14ac:dyDescent="0.25">
      <c r="A85" s="1950">
        <v>1</v>
      </c>
      <c r="B85" s="2974"/>
      <c r="C85" s="2497"/>
      <c r="D85" s="2496"/>
      <c r="E85" s="2497"/>
      <c r="F85" s="2497"/>
      <c r="G85" s="2498"/>
      <c r="H85" s="2499" t="s">
        <v>295</v>
      </c>
      <c r="I85" s="1947"/>
      <c r="J85" s="1947"/>
      <c r="K85" s="1947"/>
      <c r="L85" s="1947"/>
      <c r="M85" s="1947"/>
      <c r="N85" s="1947"/>
      <c r="O85" s="2315">
        <f>Budget!$J$159</f>
        <v>0</v>
      </c>
      <c r="P85" s="2607"/>
      <c r="Q85" s="2598"/>
      <c r="R85" s="2598"/>
      <c r="S85" s="2603"/>
    </row>
    <row r="86" spans="1:19" ht="15" hidden="1" customHeight="1" x14ac:dyDescent="0.25">
      <c r="A86" s="1950">
        <v>2</v>
      </c>
      <c r="B86" s="2958"/>
      <c r="C86" s="1661"/>
      <c r="D86" s="2501"/>
      <c r="E86" s="1661"/>
      <c r="F86" s="1661"/>
      <c r="G86" s="1661"/>
      <c r="H86" s="1868"/>
      <c r="I86" s="1828"/>
      <c r="J86" s="1828"/>
      <c r="K86" s="1828"/>
      <c r="L86" s="1828"/>
      <c r="M86" s="1828"/>
      <c r="N86" s="1829"/>
      <c r="O86" s="2316">
        <f>Budget!$J160</f>
        <v>0</v>
      </c>
      <c r="P86" s="2608"/>
      <c r="Q86" s="2507"/>
      <c r="R86" s="2507"/>
      <c r="S86" s="2508"/>
    </row>
    <row r="87" spans="1:19" ht="15" hidden="1" customHeight="1" x14ac:dyDescent="0.25">
      <c r="A87" s="1950">
        <v>3</v>
      </c>
      <c r="B87" s="2958"/>
      <c r="C87" s="1661"/>
      <c r="D87" s="2501"/>
      <c r="E87" s="1661"/>
      <c r="F87" s="1661"/>
      <c r="G87" s="1661"/>
      <c r="H87" s="1868"/>
      <c r="I87" s="1828"/>
      <c r="J87" s="1828"/>
      <c r="K87" s="1828"/>
      <c r="L87" s="1828"/>
      <c r="M87" s="1828"/>
      <c r="N87" s="1829"/>
      <c r="O87" s="2316">
        <f>Budget!$J161</f>
        <v>0</v>
      </c>
      <c r="P87" s="2608"/>
      <c r="Q87" s="2507"/>
      <c r="R87" s="2507"/>
      <c r="S87" s="2508"/>
    </row>
    <row r="88" spans="1:19" ht="15" hidden="1" customHeight="1" x14ac:dyDescent="0.25">
      <c r="A88" s="1950">
        <v>4</v>
      </c>
      <c r="B88" s="2958"/>
      <c r="C88" s="1661"/>
      <c r="D88" s="2501"/>
      <c r="E88" s="1661"/>
      <c r="F88" s="1661"/>
      <c r="G88" s="1661"/>
      <c r="H88" s="1868"/>
      <c r="I88" s="1828"/>
      <c r="J88" s="1828"/>
      <c r="K88" s="1828"/>
      <c r="L88" s="1828"/>
      <c r="M88" s="1828"/>
      <c r="N88" s="1829"/>
      <c r="O88" s="2316">
        <f>Budget!$J162</f>
        <v>0</v>
      </c>
      <c r="P88" s="2608"/>
      <c r="Q88" s="2507"/>
      <c r="R88" s="2507"/>
      <c r="S88" s="2508"/>
    </row>
    <row r="89" spans="1:19" ht="15" hidden="1" customHeight="1" x14ac:dyDescent="0.25">
      <c r="A89" s="1950">
        <v>5</v>
      </c>
      <c r="B89" s="2958"/>
      <c r="C89" s="1661"/>
      <c r="D89" s="2501"/>
      <c r="E89" s="1661"/>
      <c r="F89" s="1661"/>
      <c r="G89" s="1661"/>
      <c r="H89" s="1868"/>
      <c r="I89" s="1828"/>
      <c r="J89" s="1828"/>
      <c r="K89" s="1828"/>
      <c r="L89" s="1828"/>
      <c r="M89" s="1828"/>
      <c r="N89" s="1829"/>
      <c r="O89" s="2316">
        <f>Budget!$J163</f>
        <v>0</v>
      </c>
      <c r="P89" s="2608"/>
      <c r="Q89" s="2507"/>
      <c r="R89" s="2507"/>
      <c r="S89" s="2508"/>
    </row>
    <row r="90" spans="1:19" ht="15" hidden="1" customHeight="1" thickBot="1" x14ac:dyDescent="0.3">
      <c r="A90" s="1950">
        <v>6</v>
      </c>
      <c r="B90" s="2975"/>
      <c r="C90" s="2503"/>
      <c r="D90" s="2502"/>
      <c r="E90" s="2503"/>
      <c r="F90" s="2503"/>
      <c r="G90" s="2503"/>
      <c r="H90" s="2504"/>
      <c r="I90" s="1948"/>
      <c r="J90" s="1948"/>
      <c r="K90" s="1948"/>
      <c r="L90" s="1948"/>
      <c r="M90" s="1948"/>
      <c r="N90" s="1949"/>
      <c r="O90" s="2319">
        <f>Budget!$J$164</f>
        <v>0</v>
      </c>
      <c r="P90" s="2609"/>
      <c r="Q90" s="2505"/>
      <c r="R90" s="2505"/>
      <c r="S90" s="2506"/>
    </row>
    <row r="91" spans="1:19" ht="15" customHeight="1" thickBot="1" x14ac:dyDescent="0.3">
      <c r="B91" s="817"/>
      <c r="C91" s="226"/>
      <c r="I91" s="1942"/>
      <c r="J91" s="1942"/>
      <c r="K91" s="1942"/>
      <c r="L91" s="1942"/>
      <c r="M91" s="1942"/>
      <c r="N91" s="1942"/>
      <c r="O91" s="1943"/>
      <c r="P91" s="1943"/>
      <c r="Q91" s="448"/>
      <c r="R91" s="448"/>
      <c r="S91" s="110"/>
    </row>
    <row r="92" spans="1:19" ht="15.75" thickBot="1" x14ac:dyDescent="0.3">
      <c r="B92" s="2976" t="s">
        <v>39</v>
      </c>
      <c r="C92" s="1936"/>
      <c r="D92" s="1935"/>
      <c r="E92" s="1936"/>
      <c r="F92" s="1937"/>
      <c r="G92" s="1937"/>
      <c r="H92" s="1938"/>
      <c r="I92" s="1939" t="s">
        <v>594</v>
      </c>
      <c r="J92" s="1940" t="s">
        <v>149</v>
      </c>
      <c r="K92" s="1940" t="s">
        <v>150</v>
      </c>
      <c r="L92" s="1940" t="s">
        <v>151</v>
      </c>
      <c r="M92" s="1940" t="s">
        <v>595</v>
      </c>
      <c r="N92" s="1941" t="s">
        <v>596</v>
      </c>
      <c r="O92" s="1975" t="s">
        <v>605</v>
      </c>
      <c r="P92" s="2604" t="s">
        <v>833</v>
      </c>
      <c r="Q92" s="1936"/>
      <c r="R92" s="1936"/>
      <c r="S92" s="2595"/>
    </row>
    <row r="93" spans="1:19" ht="15" customHeight="1" x14ac:dyDescent="0.25">
      <c r="B93" s="2977" t="s">
        <v>277</v>
      </c>
      <c r="C93" s="2497"/>
      <c r="D93" s="2496"/>
      <c r="E93" s="2497"/>
      <c r="F93" s="2497"/>
      <c r="G93" s="2498"/>
      <c r="H93" s="2499" t="s">
        <v>295</v>
      </c>
      <c r="I93" s="1934">
        <v>900</v>
      </c>
      <c r="J93" s="1934"/>
      <c r="K93" s="1934"/>
      <c r="L93" s="1934"/>
      <c r="M93" s="1934"/>
      <c r="N93" s="1934"/>
      <c r="O93" s="2315">
        <f>Budget!$J$180</f>
        <v>900</v>
      </c>
      <c r="P93" s="2607"/>
      <c r="Q93" s="2507"/>
      <c r="R93" s="2507"/>
      <c r="S93" s="2508"/>
    </row>
    <row r="94" spans="1:19" ht="15" hidden="1" customHeight="1" x14ac:dyDescent="0.25">
      <c r="B94" s="2978" t="s">
        <v>563</v>
      </c>
      <c r="C94" s="1661"/>
      <c r="D94" s="2501"/>
      <c r="E94" s="1661"/>
      <c r="F94" s="1661"/>
      <c r="G94" s="1661"/>
      <c r="H94" s="1868"/>
      <c r="I94" s="1828"/>
      <c r="J94" s="1828"/>
      <c r="K94" s="1828"/>
      <c r="L94" s="1828"/>
      <c r="M94" s="1828"/>
      <c r="N94" s="1828"/>
      <c r="O94" s="2316">
        <f>Budget!$J$181</f>
        <v>0</v>
      </c>
      <c r="P94" s="2608"/>
      <c r="Q94" s="2507"/>
      <c r="R94" s="2507"/>
      <c r="S94" s="2508"/>
    </row>
    <row r="95" spans="1:19" ht="15" hidden="1" customHeight="1" x14ac:dyDescent="0.25">
      <c r="B95" s="2979" t="s">
        <v>8</v>
      </c>
      <c r="C95" s="1661"/>
      <c r="D95" s="2501"/>
      <c r="E95" s="1661"/>
      <c r="F95" s="1661"/>
      <c r="G95" s="1661"/>
      <c r="H95" s="1868"/>
      <c r="I95" s="2491"/>
      <c r="J95" s="2491"/>
      <c r="K95" s="2491"/>
      <c r="L95" s="2491"/>
      <c r="M95" s="2491"/>
      <c r="N95" s="2492"/>
      <c r="O95" s="2379">
        <f>Budget!$J$182</f>
        <v>0</v>
      </c>
      <c r="P95" s="2608"/>
      <c r="Q95" s="2507"/>
      <c r="R95" s="2507"/>
      <c r="S95" s="2508"/>
    </row>
    <row r="96" spans="1:19" ht="15" hidden="1" customHeight="1" x14ac:dyDescent="0.25">
      <c r="B96" s="2979" t="s">
        <v>238</v>
      </c>
      <c r="C96" s="1661"/>
      <c r="D96" s="2501"/>
      <c r="E96" s="1661"/>
      <c r="F96" s="1661"/>
      <c r="G96" s="1661"/>
      <c r="H96" s="1868"/>
      <c r="I96" s="2491"/>
      <c r="J96" s="2491"/>
      <c r="K96" s="2491"/>
      <c r="L96" s="2491"/>
      <c r="M96" s="2491"/>
      <c r="N96" s="2492"/>
      <c r="O96" s="2379">
        <f>Budget!$J$183</f>
        <v>0</v>
      </c>
      <c r="P96" s="2608"/>
      <c r="Q96" s="2507"/>
      <c r="R96" s="2507"/>
      <c r="S96" s="2508"/>
    </row>
    <row r="97" spans="1:19" ht="15" hidden="1" customHeight="1" x14ac:dyDescent="0.25">
      <c r="B97" s="2979" t="s">
        <v>565</v>
      </c>
      <c r="C97" s="2458"/>
      <c r="D97" s="2493"/>
      <c r="E97" s="936"/>
      <c r="F97" s="936"/>
      <c r="G97" s="936"/>
      <c r="H97" s="1874"/>
      <c r="I97" s="2491"/>
      <c r="J97" s="2491"/>
      <c r="K97" s="2491"/>
      <c r="L97" s="2491"/>
      <c r="M97" s="2491"/>
      <c r="N97" s="2492"/>
      <c r="O97" s="2316">
        <f>Budget!$J215</f>
        <v>0</v>
      </c>
      <c r="P97" s="2608"/>
      <c r="Q97" s="2494"/>
      <c r="R97" s="2494"/>
      <c r="S97" s="2495"/>
    </row>
    <row r="98" spans="1:19" ht="15" hidden="1" customHeight="1" x14ac:dyDescent="0.25">
      <c r="B98" s="2978" t="s">
        <v>781</v>
      </c>
      <c r="C98" s="902"/>
      <c r="D98" s="2501"/>
      <c r="E98" s="1661"/>
      <c r="F98" s="1661"/>
      <c r="G98" s="1661"/>
      <c r="H98" s="1868"/>
      <c r="I98" s="1828"/>
      <c r="J98" s="1828"/>
      <c r="K98" s="1828"/>
      <c r="L98" s="1828"/>
      <c r="M98" s="1828"/>
      <c r="N98" s="1829"/>
      <c r="O98" s="2316">
        <f>Budget!$J216</f>
        <v>0</v>
      </c>
      <c r="P98" s="2608"/>
      <c r="Q98" s="2507"/>
      <c r="R98" s="2507"/>
      <c r="S98" s="2508"/>
    </row>
    <row r="99" spans="1:19" ht="15" hidden="1" customHeight="1" x14ac:dyDescent="0.25">
      <c r="B99" s="2980" t="s">
        <v>776</v>
      </c>
      <c r="C99" s="902"/>
      <c r="D99" s="2501"/>
      <c r="E99" s="1661"/>
      <c r="F99" s="1661"/>
      <c r="G99" s="1661"/>
      <c r="H99" s="1868"/>
      <c r="I99" s="1828"/>
      <c r="J99" s="1828"/>
      <c r="K99" s="1828"/>
      <c r="L99" s="1828"/>
      <c r="M99" s="1828"/>
      <c r="N99" s="1829"/>
      <c r="O99" s="2316">
        <f>Budget!$J217</f>
        <v>0</v>
      </c>
      <c r="P99" s="2610" t="s">
        <v>777</v>
      </c>
      <c r="Q99" s="2507"/>
      <c r="R99" s="2507"/>
      <c r="S99" s="2508"/>
    </row>
    <row r="100" spans="1:19" ht="15" hidden="1" customHeight="1" x14ac:dyDescent="0.25">
      <c r="A100" s="1950">
        <v>1</v>
      </c>
      <c r="B100" s="2958" t="s">
        <v>564</v>
      </c>
      <c r="C100" s="902"/>
      <c r="D100" s="2501"/>
      <c r="E100" s="1661"/>
      <c r="F100" s="1661"/>
      <c r="G100" s="1661"/>
      <c r="H100" s="1868"/>
      <c r="I100" s="1828"/>
      <c r="J100" s="1828"/>
      <c r="K100" s="1828"/>
      <c r="L100" s="1828"/>
      <c r="M100" s="1828"/>
      <c r="N100" s="1829"/>
      <c r="O100" s="2316">
        <f>Budget!$J218</f>
        <v>0</v>
      </c>
      <c r="P100" s="2608"/>
      <c r="Q100" s="2507"/>
      <c r="R100" s="2507"/>
      <c r="S100" s="2508"/>
    </row>
    <row r="101" spans="1:19" ht="15" hidden="1" customHeight="1" x14ac:dyDescent="0.25">
      <c r="A101" s="1950">
        <v>2</v>
      </c>
      <c r="B101" s="2958" t="s">
        <v>564</v>
      </c>
      <c r="C101" s="902"/>
      <c r="D101" s="2501"/>
      <c r="E101" s="1661"/>
      <c r="F101" s="1661"/>
      <c r="G101" s="1661"/>
      <c r="H101" s="1868"/>
      <c r="I101" s="1828"/>
      <c r="J101" s="1828"/>
      <c r="K101" s="1828"/>
      <c r="L101" s="1828"/>
      <c r="M101" s="1828"/>
      <c r="N101" s="1829"/>
      <c r="O101" s="2316">
        <f>Budget!$J219</f>
        <v>0</v>
      </c>
      <c r="P101" s="2608"/>
      <c r="Q101" s="2507"/>
      <c r="R101" s="2507"/>
      <c r="S101" s="2508"/>
    </row>
    <row r="102" spans="1:19" ht="15" hidden="1" customHeight="1" x14ac:dyDescent="0.25">
      <c r="A102" s="1950">
        <v>3</v>
      </c>
      <c r="B102" s="2958" t="s">
        <v>564</v>
      </c>
      <c r="C102" s="902"/>
      <c r="D102" s="2501"/>
      <c r="E102" s="1661"/>
      <c r="F102" s="1661"/>
      <c r="G102" s="1661"/>
      <c r="H102" s="1868"/>
      <c r="I102" s="1828"/>
      <c r="J102" s="1828"/>
      <c r="K102" s="1828"/>
      <c r="L102" s="1828"/>
      <c r="M102" s="1828"/>
      <c r="N102" s="1829"/>
      <c r="O102" s="2316">
        <f>Budget!$J220</f>
        <v>0</v>
      </c>
      <c r="P102" s="2608"/>
      <c r="Q102" s="2507"/>
      <c r="R102" s="2507"/>
      <c r="S102" s="2508"/>
    </row>
    <row r="103" spans="1:19" ht="15" hidden="1" customHeight="1" x14ac:dyDescent="0.25">
      <c r="A103" s="1950">
        <v>4</v>
      </c>
      <c r="B103" s="2958" t="s">
        <v>564</v>
      </c>
      <c r="C103" s="902"/>
      <c r="D103" s="2501"/>
      <c r="E103" s="1661"/>
      <c r="F103" s="1661"/>
      <c r="G103" s="1661"/>
      <c r="H103" s="1868"/>
      <c r="I103" s="1828"/>
      <c r="J103" s="1828"/>
      <c r="K103" s="1828"/>
      <c r="L103" s="1828"/>
      <c r="M103" s="1828"/>
      <c r="N103" s="1829"/>
      <c r="O103" s="2316">
        <f>Budget!$J221</f>
        <v>0</v>
      </c>
      <c r="P103" s="2608"/>
      <c r="Q103" s="2507"/>
      <c r="R103" s="2507"/>
      <c r="S103" s="2508"/>
    </row>
    <row r="104" spans="1:19" ht="15" hidden="1" customHeight="1" x14ac:dyDescent="0.25">
      <c r="A104" s="1950">
        <v>5</v>
      </c>
      <c r="B104" s="2958" t="s">
        <v>564</v>
      </c>
      <c r="C104" s="902"/>
      <c r="D104" s="2501"/>
      <c r="E104" s="1661"/>
      <c r="F104" s="1661"/>
      <c r="G104" s="1661"/>
      <c r="H104" s="1868"/>
      <c r="I104" s="1828"/>
      <c r="J104" s="1828"/>
      <c r="K104" s="1828"/>
      <c r="L104" s="1828"/>
      <c r="M104" s="1828"/>
      <c r="N104" s="1829"/>
      <c r="O104" s="2316">
        <f>Budget!$J222</f>
        <v>0</v>
      </c>
      <c r="P104" s="2608"/>
      <c r="Q104" s="2507"/>
      <c r="R104" s="2507"/>
      <c r="S104" s="2508"/>
    </row>
    <row r="105" spans="1:19" ht="15" hidden="1" customHeight="1" thickBot="1" x14ac:dyDescent="0.3">
      <c r="A105" s="1950">
        <v>6</v>
      </c>
      <c r="B105" s="2975" t="s">
        <v>564</v>
      </c>
      <c r="C105" s="2981"/>
      <c r="D105" s="2502"/>
      <c r="E105" s="2503"/>
      <c r="F105" s="2503"/>
      <c r="G105" s="2503"/>
      <c r="H105" s="2504"/>
      <c r="I105" s="1948"/>
      <c r="J105" s="1948"/>
      <c r="K105" s="1948"/>
      <c r="L105" s="1948"/>
      <c r="M105" s="1948"/>
      <c r="N105" s="1949"/>
      <c r="O105" s="2319">
        <f>Budget!$J223</f>
        <v>0</v>
      </c>
      <c r="P105" s="2609"/>
      <c r="Q105" s="2505"/>
      <c r="R105" s="2505"/>
      <c r="S105" s="2506"/>
    </row>
    <row r="106" spans="1:19" ht="15" customHeight="1" thickBot="1" x14ac:dyDescent="0.3">
      <c r="I106" s="448"/>
      <c r="J106" s="448"/>
      <c r="K106" s="448"/>
      <c r="L106" s="448"/>
      <c r="M106" s="448"/>
      <c r="N106" s="448"/>
      <c r="O106" s="448"/>
      <c r="P106" s="448"/>
      <c r="Q106" s="448"/>
      <c r="R106" s="448"/>
      <c r="S106" s="110"/>
    </row>
    <row r="107" spans="1:19" ht="15.75" thickBot="1" x14ac:dyDescent="0.3">
      <c r="B107" s="2976" t="s">
        <v>374</v>
      </c>
      <c r="C107" s="2995" t="s">
        <v>1035</v>
      </c>
      <c r="D107" s="1935"/>
      <c r="E107" s="1936"/>
      <c r="F107" s="1937"/>
      <c r="G107" s="1937"/>
      <c r="H107" s="1938"/>
      <c r="I107" s="1939" t="s">
        <v>594</v>
      </c>
      <c r="J107" s="1940" t="s">
        <v>149</v>
      </c>
      <c r="K107" s="1940" t="s">
        <v>150</v>
      </c>
      <c r="L107" s="1940" t="s">
        <v>151</v>
      </c>
      <c r="M107" s="1940" t="s">
        <v>595</v>
      </c>
      <c r="N107" s="1941" t="s">
        <v>596</v>
      </c>
      <c r="O107" s="1975" t="s">
        <v>605</v>
      </c>
      <c r="P107" s="2604" t="s">
        <v>833</v>
      </c>
      <c r="Q107" s="1936"/>
      <c r="R107" s="1936"/>
      <c r="S107" s="2595"/>
    </row>
    <row r="108" spans="1:19" ht="15" hidden="1" customHeight="1" x14ac:dyDescent="0.25">
      <c r="B108" s="2982"/>
      <c r="C108" s="3168" t="s">
        <v>1089</v>
      </c>
      <c r="D108" s="2496"/>
      <c r="E108" s="2497"/>
      <c r="F108" s="2497"/>
      <c r="G108" s="2498"/>
      <c r="H108" s="1868"/>
      <c r="I108" s="1934"/>
      <c r="J108" s="1934"/>
      <c r="K108" s="1934"/>
      <c r="L108" s="1934"/>
      <c r="M108" s="1934"/>
      <c r="N108" s="1934"/>
      <c r="O108" s="2315">
        <f>Budget!J186</f>
        <v>0</v>
      </c>
      <c r="P108" s="2611"/>
      <c r="Q108" s="2593"/>
      <c r="R108" s="2593"/>
      <c r="S108" s="2594"/>
    </row>
    <row r="109" spans="1:19" ht="15" hidden="1" customHeight="1" x14ac:dyDescent="0.25">
      <c r="B109" s="2982"/>
      <c r="C109" s="1661"/>
      <c r="D109" s="2501"/>
      <c r="E109" s="1661"/>
      <c r="F109" s="1661"/>
      <c r="G109" s="1661"/>
      <c r="H109" s="1868"/>
      <c r="I109" s="1934"/>
      <c r="J109" s="1934"/>
      <c r="K109" s="1934"/>
      <c r="L109" s="1934"/>
      <c r="M109" s="1934"/>
      <c r="N109" s="1934"/>
      <c r="O109" s="2316">
        <f>Budget!J189</f>
        <v>0</v>
      </c>
      <c r="P109" s="2612"/>
      <c r="Q109" s="2507"/>
      <c r="R109" s="2507"/>
      <c r="S109" s="2508"/>
    </row>
    <row r="110" spans="1:19" ht="15" hidden="1" customHeight="1" x14ac:dyDescent="0.25">
      <c r="B110" s="2982"/>
      <c r="C110" s="1661"/>
      <c r="D110" s="2501"/>
      <c r="E110" s="1661"/>
      <c r="F110" s="1661"/>
      <c r="G110" s="1661"/>
      <c r="H110" s="1868"/>
      <c r="I110" s="1934"/>
      <c r="J110" s="1934"/>
      <c r="K110" s="1934"/>
      <c r="L110" s="1934"/>
      <c r="M110" s="1934"/>
      <c r="N110" s="1934"/>
      <c r="O110" s="2379">
        <f>Budget!J192</f>
        <v>0</v>
      </c>
      <c r="P110" s="2612"/>
      <c r="Q110" s="2507"/>
      <c r="R110" s="2507"/>
      <c r="S110" s="2508"/>
    </row>
    <row r="111" spans="1:19" ht="15" hidden="1" customHeight="1" x14ac:dyDescent="0.25">
      <c r="B111" s="2982"/>
      <c r="C111" s="1661"/>
      <c r="D111" s="2501"/>
      <c r="E111" s="1661"/>
      <c r="F111" s="1661"/>
      <c r="G111" s="1661"/>
      <c r="H111" s="1868"/>
      <c r="I111" s="1934"/>
      <c r="J111" s="1934"/>
      <c r="K111" s="1934"/>
      <c r="L111" s="1934"/>
      <c r="M111" s="1934"/>
      <c r="N111" s="1934"/>
      <c r="O111" s="2379">
        <f>Budget!J195</f>
        <v>0</v>
      </c>
      <c r="P111" s="2612"/>
      <c r="Q111" s="2507"/>
      <c r="R111" s="2507"/>
      <c r="S111" s="2508"/>
    </row>
    <row r="112" spans="1:19" ht="15" hidden="1" customHeight="1" x14ac:dyDescent="0.25">
      <c r="B112" s="2983"/>
      <c r="C112" s="2458"/>
      <c r="D112" s="2493"/>
      <c r="E112" s="936"/>
      <c r="F112" s="936"/>
      <c r="G112" s="936"/>
      <c r="H112" s="1874"/>
      <c r="I112" s="1934"/>
      <c r="J112" s="1934"/>
      <c r="K112" s="1934"/>
      <c r="L112" s="1934"/>
      <c r="M112" s="1934"/>
      <c r="N112" s="1934"/>
      <c r="O112" s="2379">
        <f>Budget!J198</f>
        <v>0</v>
      </c>
      <c r="P112" s="2610"/>
      <c r="Q112" s="2494"/>
      <c r="R112" s="2494"/>
      <c r="S112" s="2495"/>
    </row>
    <row r="113" spans="2:29" ht="15" hidden="1" customHeight="1" x14ac:dyDescent="0.25">
      <c r="B113" s="2958"/>
      <c r="C113" s="902"/>
      <c r="D113" s="2501"/>
      <c r="E113" s="1661"/>
      <c r="F113" s="1661"/>
      <c r="G113" s="1661"/>
      <c r="H113" s="1868"/>
      <c r="I113" s="1934"/>
      <c r="J113" s="1934"/>
      <c r="K113" s="1934"/>
      <c r="L113" s="1934"/>
      <c r="M113" s="1934"/>
      <c r="N113" s="1934"/>
      <c r="O113" s="2379">
        <f>Budget!J201</f>
        <v>0</v>
      </c>
      <c r="P113" s="2612"/>
      <c r="Q113" s="2507"/>
      <c r="R113" s="2507"/>
      <c r="S113" s="2508"/>
    </row>
    <row r="114" spans="2:29" ht="15" hidden="1" customHeight="1" x14ac:dyDescent="0.25">
      <c r="B114" s="2983"/>
      <c r="C114" s="1661"/>
      <c r="D114" s="2501"/>
      <c r="E114" s="1661"/>
      <c r="F114" s="1661"/>
      <c r="G114" s="1661"/>
      <c r="H114" s="1868"/>
      <c r="I114" s="1934"/>
      <c r="J114" s="1934"/>
      <c r="K114" s="1934"/>
      <c r="L114" s="1934"/>
      <c r="M114" s="1934"/>
      <c r="N114" s="1934"/>
      <c r="O114" s="2379">
        <f>Budget!J204</f>
        <v>0</v>
      </c>
      <c r="P114" s="2612"/>
      <c r="Q114" s="2507"/>
      <c r="R114" s="2507"/>
      <c r="S114" s="2508"/>
    </row>
    <row r="115" spans="2:29" ht="15" hidden="1" customHeight="1" x14ac:dyDescent="0.25">
      <c r="B115" s="2983"/>
      <c r="C115" s="2458"/>
      <c r="D115" s="2493"/>
      <c r="E115" s="936"/>
      <c r="F115" s="936"/>
      <c r="G115" s="936"/>
      <c r="H115" s="1874"/>
      <c r="I115" s="1934"/>
      <c r="J115" s="1934"/>
      <c r="K115" s="1934"/>
      <c r="L115" s="1934"/>
      <c r="M115" s="1934"/>
      <c r="N115" s="1934"/>
      <c r="O115" s="2379">
        <f>Budget!J207</f>
        <v>0</v>
      </c>
      <c r="P115" s="2610"/>
      <c r="Q115" s="2494"/>
      <c r="R115" s="2494"/>
      <c r="S115" s="2495"/>
    </row>
    <row r="116" spans="2:29" ht="15" hidden="1" customHeight="1" x14ac:dyDescent="0.25">
      <c r="B116" s="2958"/>
      <c r="C116" s="902"/>
      <c r="D116" s="2501"/>
      <c r="E116" s="1661"/>
      <c r="F116" s="1661"/>
      <c r="G116" s="1661"/>
      <c r="H116" s="1868"/>
      <c r="I116" s="1934"/>
      <c r="J116" s="1934"/>
      <c r="K116" s="1934"/>
      <c r="L116" s="1934"/>
      <c r="M116" s="1934"/>
      <c r="N116" s="1934"/>
      <c r="O116" s="2379">
        <f>Budget!J210</f>
        <v>0</v>
      </c>
      <c r="P116" s="2612"/>
      <c r="Q116" s="2507"/>
      <c r="R116" s="2507"/>
      <c r="S116" s="2508"/>
    </row>
    <row r="117" spans="2:29" ht="15" hidden="1" customHeight="1" thickBot="1" x14ac:dyDescent="0.3">
      <c r="B117" s="2975"/>
      <c r="C117" s="2981"/>
      <c r="D117" s="2502"/>
      <c r="E117" s="2503"/>
      <c r="F117" s="2503"/>
      <c r="G117" s="2503"/>
      <c r="H117" s="2504"/>
      <c r="I117" s="2605"/>
      <c r="J117" s="2605"/>
      <c r="K117" s="2605"/>
      <c r="L117" s="2605"/>
      <c r="M117" s="2605"/>
      <c r="N117" s="2605"/>
      <c r="O117" s="2319">
        <f>Budget!J213</f>
        <v>0</v>
      </c>
      <c r="P117" s="2613"/>
      <c r="Q117" s="2505"/>
      <c r="R117" s="2505"/>
      <c r="S117" s="2506"/>
    </row>
    <row r="118" spans="2:29" ht="15" customHeight="1" thickBot="1" x14ac:dyDescent="0.3">
      <c r="I118" s="448"/>
      <c r="J118" s="448"/>
      <c r="K118" s="448"/>
      <c r="L118" s="448"/>
      <c r="M118" s="448"/>
      <c r="N118" s="448"/>
      <c r="O118" s="448"/>
      <c r="P118" s="448"/>
      <c r="Q118" s="448"/>
      <c r="R118" s="448"/>
      <c r="S118" s="110"/>
    </row>
    <row r="119" spans="2:29" ht="15.75" thickBot="1" x14ac:dyDescent="0.3">
      <c r="B119" s="2976" t="s">
        <v>159</v>
      </c>
      <c r="C119" s="1936"/>
      <c r="D119" s="1935"/>
      <c r="E119" s="1936"/>
      <c r="F119" s="1937"/>
      <c r="G119" s="1937"/>
      <c r="H119" s="1938"/>
      <c r="I119" s="1939" t="s">
        <v>594</v>
      </c>
      <c r="J119" s="1940" t="s">
        <v>149</v>
      </c>
      <c r="K119" s="1940" t="s">
        <v>150</v>
      </c>
      <c r="L119" s="1940" t="s">
        <v>151</v>
      </c>
      <c r="M119" s="1940" t="s">
        <v>595</v>
      </c>
      <c r="N119" s="1941" t="s">
        <v>596</v>
      </c>
      <c r="O119" s="1975" t="s">
        <v>605</v>
      </c>
      <c r="P119" s="2604" t="s">
        <v>833</v>
      </c>
      <c r="Q119" s="1936"/>
      <c r="R119" s="1936"/>
      <c r="S119" s="2595"/>
    </row>
    <row r="120" spans="2:29" ht="15" hidden="1" customHeight="1" x14ac:dyDescent="0.25">
      <c r="B120" s="2977" t="s">
        <v>11</v>
      </c>
      <c r="C120" s="2497"/>
      <c r="D120" s="2496"/>
      <c r="E120" s="2497"/>
      <c r="F120" s="2497"/>
      <c r="G120" s="2498"/>
      <c r="H120" s="2499" t="s">
        <v>295</v>
      </c>
      <c r="I120" s="1934"/>
      <c r="J120" s="1934"/>
      <c r="K120" s="1934"/>
      <c r="L120" s="1934"/>
      <c r="M120" s="1934"/>
      <c r="N120" s="1934"/>
      <c r="O120" s="2315">
        <f>Budget!J173</f>
        <v>0</v>
      </c>
      <c r="P120" s="2611"/>
      <c r="Q120" s="2593"/>
      <c r="R120" s="2593"/>
      <c r="S120" s="2594"/>
    </row>
    <row r="121" spans="2:29" ht="15" hidden="1" customHeight="1" x14ac:dyDescent="0.25">
      <c r="B121" s="2978" t="s">
        <v>12</v>
      </c>
      <c r="C121" s="1661"/>
      <c r="D121" s="2501"/>
      <c r="E121" s="1661"/>
      <c r="F121" s="1661"/>
      <c r="G121" s="1661"/>
      <c r="H121" s="1868"/>
      <c r="I121" s="1934"/>
      <c r="J121" s="1934"/>
      <c r="K121" s="1934"/>
      <c r="L121" s="1934"/>
      <c r="M121" s="1934"/>
      <c r="N121" s="1934"/>
      <c r="O121" s="2316">
        <f>Budget!J174</f>
        <v>0</v>
      </c>
      <c r="P121" s="2612"/>
      <c r="Q121" s="2507"/>
      <c r="R121" s="2507"/>
      <c r="S121" s="2508"/>
    </row>
    <row r="122" spans="2:29" ht="15" hidden="1" customHeight="1" x14ac:dyDescent="0.25">
      <c r="B122" s="2979" t="s">
        <v>13</v>
      </c>
      <c r="C122" s="1661"/>
      <c r="D122" s="2501"/>
      <c r="E122" s="1661"/>
      <c r="F122" s="1661"/>
      <c r="G122" s="1661"/>
      <c r="H122" s="1868"/>
      <c r="I122" s="1934"/>
      <c r="J122" s="1934"/>
      <c r="K122" s="1934"/>
      <c r="L122" s="1934"/>
      <c r="M122" s="1934"/>
      <c r="N122" s="1934"/>
      <c r="O122" s="2316">
        <f>Budget!J175</f>
        <v>0</v>
      </c>
      <c r="P122" s="2612"/>
      <c r="Q122" s="2507"/>
      <c r="R122" s="2507"/>
      <c r="S122" s="2508"/>
    </row>
    <row r="123" spans="2:29" ht="15" hidden="1" customHeight="1" thickBot="1" x14ac:dyDescent="0.3">
      <c r="B123" s="2984" t="s">
        <v>142</v>
      </c>
      <c r="C123" s="2503"/>
      <c r="D123" s="2502"/>
      <c r="E123" s="2503"/>
      <c r="F123" s="2503"/>
      <c r="G123" s="2503"/>
      <c r="H123" s="2504"/>
      <c r="I123" s="2605"/>
      <c r="J123" s="2605"/>
      <c r="K123" s="2605"/>
      <c r="L123" s="2605"/>
      <c r="M123" s="2605"/>
      <c r="N123" s="2605"/>
      <c r="O123" s="2319">
        <f>Budget!J176</f>
        <v>0</v>
      </c>
      <c r="P123" s="2613"/>
      <c r="Q123" s="2505"/>
      <c r="R123" s="2505"/>
      <c r="S123" s="2506"/>
    </row>
    <row r="124" spans="2:29" ht="15" customHeight="1" thickBot="1" x14ac:dyDescent="0.3">
      <c r="B124" s="817"/>
      <c r="C124" s="226"/>
      <c r="I124" s="1942"/>
      <c r="J124" s="1942"/>
      <c r="K124" s="1942"/>
      <c r="L124" s="1942"/>
      <c r="M124" s="1942"/>
      <c r="N124" s="1942"/>
      <c r="O124" s="1943"/>
      <c r="P124" s="1943"/>
      <c r="Q124" s="448"/>
      <c r="R124" s="448"/>
      <c r="S124" s="110"/>
    </row>
    <row r="125" spans="2:29" s="770" customFormat="1" ht="15" customHeight="1" thickBot="1" x14ac:dyDescent="0.3">
      <c r="B125" s="2973" t="s">
        <v>573</v>
      </c>
      <c r="C125" s="1960"/>
      <c r="D125" s="2073"/>
      <c r="E125" s="2074" t="s">
        <v>292</v>
      </c>
      <c r="F125" s="1985">
        <v>0</v>
      </c>
      <c r="G125" s="1960" t="s">
        <v>639</v>
      </c>
      <c r="H125" s="2614" t="s">
        <v>526</v>
      </c>
      <c r="I125" s="2438">
        <f ca="1">Budget!J290</f>
        <v>50000.337972000001</v>
      </c>
      <c r="J125" s="2439">
        <f ca="1">Budget!EM$290</f>
        <v>0</v>
      </c>
      <c r="K125" s="2439">
        <f ca="1">Budget!EN$290</f>
        <v>0</v>
      </c>
      <c r="L125" s="2439">
        <f ca="1">Budget!EO$290</f>
        <v>0</v>
      </c>
      <c r="M125" s="2439">
        <f ca="1">Budget!EP$290</f>
        <v>0</v>
      </c>
      <c r="N125" s="2439">
        <f ca="1">Budget!EQ$290</f>
        <v>0</v>
      </c>
      <c r="O125" s="2440">
        <f ca="1">SUM(I125:N125)</f>
        <v>50000.337972000001</v>
      </c>
      <c r="P125" s="859" t="s">
        <v>753</v>
      </c>
      <c r="Q125" s="2443"/>
      <c r="R125" s="2443"/>
      <c r="S125" s="2444"/>
      <c r="AC125"/>
    </row>
    <row r="126" spans="2:29" ht="15" customHeight="1" thickBot="1" x14ac:dyDescent="0.3">
      <c r="B126" s="1697"/>
      <c r="C126" s="1676"/>
      <c r="D126" s="2075" t="s">
        <v>349</v>
      </c>
      <c r="E126" s="1986" t="s">
        <v>351</v>
      </c>
      <c r="F126" s="2615"/>
      <c r="G126" s="2616"/>
      <c r="H126" s="2616"/>
      <c r="I126" s="2436">
        <f ca="1">Budget!EL$292</f>
        <v>50000</v>
      </c>
      <c r="J126" s="2437">
        <f ca="1">Budget!EM$292</f>
        <v>0</v>
      </c>
      <c r="K126" s="2437">
        <f ca="1">Budget!EN$292</f>
        <v>0</v>
      </c>
      <c r="L126" s="2437">
        <f ca="1">Budget!EO$292</f>
        <v>0</v>
      </c>
      <c r="M126" s="2437">
        <f ca="1">Budget!EP$292</f>
        <v>0</v>
      </c>
      <c r="N126" s="2437">
        <f ca="1">Budget!EQ$292</f>
        <v>0</v>
      </c>
      <c r="O126" s="2437">
        <f ca="1">SUM(I126:N126)</f>
        <v>50000</v>
      </c>
      <c r="P126" s="2441" t="s">
        <v>792</v>
      </c>
      <c r="Q126" s="770"/>
      <c r="R126" s="770"/>
      <c r="S126" s="2442"/>
    </row>
    <row r="127" spans="2:29" ht="15" customHeight="1" thickBot="1" x14ac:dyDescent="0.3">
      <c r="B127" s="847"/>
      <c r="I127" s="2445">
        <f ca="1">Budget!EL$293</f>
        <v>0</v>
      </c>
      <c r="J127" s="2446">
        <f ca="1">Budget!EM$293</f>
        <v>0</v>
      </c>
      <c r="K127" s="2446">
        <f ca="1">Budget!EN$293</f>
        <v>0</v>
      </c>
      <c r="L127" s="2446">
        <f ca="1">Budget!EO$293</f>
        <v>0</v>
      </c>
      <c r="M127" s="2446">
        <f ca="1">Budget!EP$293</f>
        <v>0</v>
      </c>
      <c r="N127" s="2446">
        <f ca="1">Budget!EQ$293</f>
        <v>0</v>
      </c>
      <c r="O127" s="2447">
        <f ca="1">SUM(I127:N127)</f>
        <v>0</v>
      </c>
      <c r="P127" s="2448" t="s">
        <v>646</v>
      </c>
      <c r="Q127" s="1676"/>
      <c r="R127" s="1676"/>
      <c r="S127" s="1698"/>
    </row>
    <row r="128" spans="2:29" ht="15" customHeight="1" x14ac:dyDescent="0.25">
      <c r="B128" s="503" t="s">
        <v>369</v>
      </c>
      <c r="I128" s="2066">
        <f ca="1">Budget!J295</f>
        <v>50000.337972000001</v>
      </c>
      <c r="J128" s="2066">
        <f ca="1">Budget!EM$295</f>
        <v>0</v>
      </c>
      <c r="K128" s="2066">
        <f ca="1">Budget!EN$295</f>
        <v>0</v>
      </c>
      <c r="L128" s="2066">
        <f ca="1">Budget!EO$295</f>
        <v>0</v>
      </c>
      <c r="M128" s="2066">
        <f ca="1">Budget!EP$295</f>
        <v>0</v>
      </c>
      <c r="N128" s="2066">
        <f ca="1">Budget!EQ$295</f>
        <v>0</v>
      </c>
      <c r="O128" s="2066">
        <f ca="1">SUM(I128:N128)</f>
        <v>50000.337972000001</v>
      </c>
      <c r="P128" s="1140" t="s">
        <v>467</v>
      </c>
    </row>
    <row r="129" spans="4:17" ht="15" customHeight="1" x14ac:dyDescent="0.25">
      <c r="I129" s="2456">
        <f ca="1">Budget!BR295</f>
        <v>0</v>
      </c>
      <c r="J129" s="2456">
        <f ca="1">Budget!BS295</f>
        <v>0</v>
      </c>
      <c r="K129" s="2456">
        <f ca="1">Budget!BT295</f>
        <v>0</v>
      </c>
      <c r="L129" s="2456">
        <f ca="1">Budget!BU295</f>
        <v>0</v>
      </c>
      <c r="M129" s="2456">
        <f ca="1">Budget!BV295</f>
        <v>0</v>
      </c>
      <c r="N129" s="2456">
        <f ca="1">Budget!BW295</f>
        <v>0</v>
      </c>
      <c r="O129" s="2456">
        <f ca="1">SUM(I129:N129)</f>
        <v>0</v>
      </c>
      <c r="P129" s="448" t="s">
        <v>414</v>
      </c>
    </row>
    <row r="130" spans="4:17" ht="15" customHeight="1" x14ac:dyDescent="0.25">
      <c r="I130" s="2457">
        <f t="shared" ref="I130:O130" ca="1" si="0">SUM(I128:I129)</f>
        <v>50000.337972000001</v>
      </c>
      <c r="J130" s="2457">
        <f t="shared" ca="1" si="0"/>
        <v>0</v>
      </c>
      <c r="K130" s="2457">
        <f t="shared" ca="1" si="0"/>
        <v>0</v>
      </c>
      <c r="L130" s="2457">
        <f t="shared" ca="1" si="0"/>
        <v>0</v>
      </c>
      <c r="M130" s="2457">
        <f t="shared" ca="1" si="0"/>
        <v>0</v>
      </c>
      <c r="N130" s="2457">
        <f t="shared" ca="1" si="0"/>
        <v>0</v>
      </c>
      <c r="O130" s="2457">
        <f t="shared" ca="1" si="0"/>
        <v>50000.337972000001</v>
      </c>
      <c r="P130" s="2458" t="s">
        <v>259</v>
      </c>
      <c r="Q130" s="936"/>
    </row>
    <row r="132" spans="4:17" ht="15" customHeight="1" x14ac:dyDescent="0.25">
      <c r="O132" s="2516">
        <f ca="1">SUM($O11:$O65,$O68:$O82,$O85:$O123)</f>
        <v>50000.337972000001</v>
      </c>
      <c r="P132" s="2517" t="s">
        <v>793</v>
      </c>
    </row>
    <row r="133" spans="4:17" ht="15" customHeight="1" thickBot="1" x14ac:dyDescent="0.3">
      <c r="D133"/>
    </row>
    <row r="134" spans="4:17" ht="15" customHeight="1" x14ac:dyDescent="0.25">
      <c r="E134" s="3169" t="s">
        <v>1087</v>
      </c>
      <c r="F134" s="3156"/>
      <c r="G134" s="3156"/>
      <c r="H134" s="3153"/>
      <c r="I134" s="3154" t="s">
        <v>594</v>
      </c>
      <c r="J134" s="3155" t="s">
        <v>149</v>
      </c>
      <c r="K134" s="3155" t="s">
        <v>150</v>
      </c>
      <c r="L134" s="3155" t="s">
        <v>151</v>
      </c>
      <c r="M134" s="3155" t="s">
        <v>595</v>
      </c>
      <c r="N134" s="3155" t="s">
        <v>596</v>
      </c>
      <c r="O134" s="781" t="s">
        <v>605</v>
      </c>
      <c r="P134" s="3158" t="s">
        <v>833</v>
      </c>
      <c r="Q134" s="2497"/>
    </row>
    <row r="135" spans="4:17" ht="15" customHeight="1" x14ac:dyDescent="0.25">
      <c r="D135" s="509"/>
      <c r="E135" s="3152" cm="1">
        <f t="array" ref="E135">INDEX($B$108:$B$117,INT((ROWS($E$135:E135)-1)/3)+1)</f>
        <v>0</v>
      </c>
      <c r="F135" s="3163"/>
      <c r="G135" s="936"/>
      <c r="H135" s="3159" t="s">
        <v>1088</v>
      </c>
      <c r="I135" s="3161" cm="1">
        <f t="array" ref="I135">INDEX(I$108:I$117,INT((ROW()-135)/3)+1)</f>
        <v>0</v>
      </c>
      <c r="J135" s="3161" cm="1">
        <f t="array" ref="J135">INDEX(J$108:J$117,INT((ROW()-135)/3)+1)</f>
        <v>0</v>
      </c>
      <c r="K135" s="3161" cm="1">
        <f t="array" ref="K135">INDEX(K$108:K$117,INT((ROW()-135)/3)+1)</f>
        <v>0</v>
      </c>
      <c r="L135" s="3161" cm="1">
        <f t="array" ref="L135">INDEX(L$108:L$117,INT((ROW()-135)/3)+1)</f>
        <v>0</v>
      </c>
      <c r="M135" s="3161" cm="1">
        <f t="array" ref="M135">INDEX(M$108:M$117,INT((ROW()-135)/3)+1)</f>
        <v>0</v>
      </c>
      <c r="N135" s="3161" cm="1">
        <f t="array" ref="N135">INDEX(N$108:N$117,INT((ROW()-135)/3)+1)</f>
        <v>0</v>
      </c>
      <c r="O135" s="3161">
        <f>SUM(I135:N135)</f>
        <v>0</v>
      </c>
      <c r="P135" s="3076">
        <f>E135</f>
        <v>0</v>
      </c>
      <c r="Q135" s="936"/>
    </row>
    <row r="136" spans="4:17" ht="15" customHeight="1" x14ac:dyDescent="0.25">
      <c r="E136" s="3164" cm="1">
        <f t="array" ref="E136">INDEX($B$108:$B$117,INT((ROWS($E$135:E136)-1)/3)+1)</f>
        <v>0</v>
      </c>
      <c r="F136" s="3165"/>
      <c r="H136" s="3157" t="s">
        <v>972</v>
      </c>
      <c r="I136" s="3162">
        <f>I135-I137</f>
        <v>0</v>
      </c>
      <c r="J136" s="3162">
        <f t="shared" ref="J136:N136" si="1">J135-J137</f>
        <v>0</v>
      </c>
      <c r="K136" s="3162">
        <f t="shared" si="1"/>
        <v>0</v>
      </c>
      <c r="L136" s="3162">
        <f t="shared" si="1"/>
        <v>0</v>
      </c>
      <c r="M136" s="3162">
        <f t="shared" si="1"/>
        <v>0</v>
      </c>
      <c r="N136" s="3162">
        <f t="shared" si="1"/>
        <v>0</v>
      </c>
      <c r="O136" s="3161">
        <f t="shared" ref="O136:O164" si="2">SUM(I136:N136)</f>
        <v>0</v>
      </c>
      <c r="P136" s="3191"/>
    </row>
    <row r="137" spans="4:17" ht="15" customHeight="1" x14ac:dyDescent="0.25">
      <c r="E137" s="3166" cm="1">
        <f t="array" ref="E137">INDEX($B$108:$B$117,INT((ROWS($E$135:E137)-1)/3)+1)</f>
        <v>0</v>
      </c>
      <c r="F137" s="3167"/>
      <c r="G137" s="924"/>
      <c r="H137" s="3157" t="s">
        <v>359</v>
      </c>
      <c r="I137" s="3160"/>
      <c r="J137" s="3160"/>
      <c r="K137" s="3160"/>
      <c r="L137" s="3160"/>
      <c r="M137" s="3160"/>
      <c r="N137" s="3160"/>
      <c r="O137" s="3161">
        <f t="shared" si="2"/>
        <v>0</v>
      </c>
      <c r="P137" s="3192"/>
      <c r="Q137" s="924"/>
    </row>
    <row r="138" spans="4:17" ht="15" customHeight="1" x14ac:dyDescent="0.25">
      <c r="E138" s="3152" cm="1">
        <f t="array" ref="E138">INDEX($B$108:$B$117,INT((ROWS($E$135:E138)-1)/3)+1)</f>
        <v>0</v>
      </c>
      <c r="F138" s="3163"/>
      <c r="G138" s="936"/>
      <c r="H138" s="3159" t="s">
        <v>1088</v>
      </c>
      <c r="I138" s="3161" cm="1">
        <f t="array" ref="I138">INDEX(I$108:I$117,INT((ROW()-135)/3)+1)</f>
        <v>0</v>
      </c>
      <c r="J138" s="3161" cm="1">
        <f t="array" ref="J138">INDEX(J$108:J$117,INT((ROW()-135)/3)+1)</f>
        <v>0</v>
      </c>
      <c r="K138" s="3161" cm="1">
        <f t="array" ref="K138">INDEX(K$108:K$117,INT((ROW()-135)/3)+1)</f>
        <v>0</v>
      </c>
      <c r="L138" s="3161" cm="1">
        <f t="array" ref="L138">INDEX(L$108:L$117,INT((ROW()-135)/3)+1)</f>
        <v>0</v>
      </c>
      <c r="M138" s="3161" cm="1">
        <f t="array" ref="M138">INDEX(M$108:M$117,INT((ROW()-135)/3)+1)</f>
        <v>0</v>
      </c>
      <c r="N138" s="3161" cm="1">
        <f t="array" ref="N138">INDEX(N$108:N$117,INT((ROW()-135)/3)+1)</f>
        <v>0</v>
      </c>
      <c r="O138" s="3161">
        <f t="shared" si="2"/>
        <v>0</v>
      </c>
      <c r="P138" s="3076">
        <f t="shared" ref="P138" si="3">E138</f>
        <v>0</v>
      </c>
      <c r="Q138" s="936"/>
    </row>
    <row r="139" spans="4:17" ht="15" customHeight="1" x14ac:dyDescent="0.25">
      <c r="E139" s="3164" cm="1">
        <f t="array" ref="E139">INDEX($B$108:$B$117,INT((ROWS($E$135:E139)-1)/3)+1)</f>
        <v>0</v>
      </c>
      <c r="F139" s="3165"/>
      <c r="H139" s="3157" t="s">
        <v>972</v>
      </c>
      <c r="I139" s="3162">
        <f>I138-I140</f>
        <v>0</v>
      </c>
      <c r="J139" s="3162">
        <f t="shared" ref="J139:N139" si="4">J138-J140</f>
        <v>0</v>
      </c>
      <c r="K139" s="3162">
        <f t="shared" si="4"/>
        <v>0</v>
      </c>
      <c r="L139" s="3162">
        <f t="shared" si="4"/>
        <v>0</v>
      </c>
      <c r="M139" s="3162">
        <f t="shared" si="4"/>
        <v>0</v>
      </c>
      <c r="N139" s="3162">
        <f t="shared" si="4"/>
        <v>0</v>
      </c>
      <c r="O139" s="3161">
        <f t="shared" si="2"/>
        <v>0</v>
      </c>
      <c r="P139" s="3191"/>
    </row>
    <row r="140" spans="4:17" ht="15" customHeight="1" x14ac:dyDescent="0.25">
      <c r="E140" s="3166" cm="1">
        <f t="array" ref="E140">INDEX($B$108:$B$117,INT((ROWS($E$135:E140)-1)/3)+1)</f>
        <v>0</v>
      </c>
      <c r="F140" s="3167"/>
      <c r="G140" s="924"/>
      <c r="H140" s="3157" t="s">
        <v>359</v>
      </c>
      <c r="I140" s="3160"/>
      <c r="J140" s="3160"/>
      <c r="K140" s="3160"/>
      <c r="L140" s="3160"/>
      <c r="M140" s="3160"/>
      <c r="N140" s="3160"/>
      <c r="O140" s="3161">
        <f t="shared" si="2"/>
        <v>0</v>
      </c>
      <c r="P140" s="3192"/>
      <c r="Q140" s="924"/>
    </row>
    <row r="141" spans="4:17" ht="15" customHeight="1" x14ac:dyDescent="0.25">
      <c r="E141" s="3152" cm="1">
        <f t="array" ref="E141">INDEX($B$108:$B$117,INT((ROWS($E$135:E141)-1)/3)+1)</f>
        <v>0</v>
      </c>
      <c r="F141" s="3163"/>
      <c r="G141" s="936"/>
      <c r="H141" s="3159" t="s">
        <v>1088</v>
      </c>
      <c r="I141" s="3161" cm="1">
        <f t="array" ref="I141">INDEX(I$108:I$117,INT((ROW()-135)/3)+1)</f>
        <v>0</v>
      </c>
      <c r="J141" s="3161" cm="1">
        <f t="array" ref="J141">INDEX(J$108:J$117,INT((ROW()-135)/3)+1)</f>
        <v>0</v>
      </c>
      <c r="K141" s="3161" cm="1">
        <f t="array" ref="K141">INDEX(K$108:K$117,INT((ROW()-135)/3)+1)</f>
        <v>0</v>
      </c>
      <c r="L141" s="3161" cm="1">
        <f t="array" ref="L141">INDEX(L$108:L$117,INT((ROW()-135)/3)+1)</f>
        <v>0</v>
      </c>
      <c r="M141" s="3161" cm="1">
        <f t="array" ref="M141">INDEX(M$108:M$117,INT((ROW()-135)/3)+1)</f>
        <v>0</v>
      </c>
      <c r="N141" s="3161" cm="1">
        <f t="array" ref="N141">INDEX(N$108:N$117,INT((ROW()-135)/3)+1)</f>
        <v>0</v>
      </c>
      <c r="O141" s="3161">
        <f t="shared" si="2"/>
        <v>0</v>
      </c>
      <c r="P141" s="3076">
        <f t="shared" ref="P141" si="5">E141</f>
        <v>0</v>
      </c>
      <c r="Q141" s="936"/>
    </row>
    <row r="142" spans="4:17" ht="15" customHeight="1" x14ac:dyDescent="0.25">
      <c r="E142" s="3164" cm="1">
        <f t="array" ref="E142">INDEX($B$108:$B$117,INT((ROWS($E$135:E142)-1)/3)+1)</f>
        <v>0</v>
      </c>
      <c r="F142" s="3165"/>
      <c r="H142" s="3157" t="s">
        <v>972</v>
      </c>
      <c r="I142" s="3162">
        <f t="shared" ref="I142" si="6">I141-I143</f>
        <v>0</v>
      </c>
      <c r="J142" s="3162">
        <f t="shared" ref="J142" si="7">J141-J143</f>
        <v>0</v>
      </c>
      <c r="K142" s="3162">
        <f t="shared" ref="K142" si="8">K141-K143</f>
        <v>0</v>
      </c>
      <c r="L142" s="3162">
        <f t="shared" ref="L142" si="9">L141-L143</f>
        <v>0</v>
      </c>
      <c r="M142" s="3162">
        <f t="shared" ref="M142" si="10">M141-M143</f>
        <v>0</v>
      </c>
      <c r="N142" s="3162">
        <f t="shared" ref="N142" si="11">N141-N143</f>
        <v>0</v>
      </c>
      <c r="O142" s="3161">
        <f t="shared" si="2"/>
        <v>0</v>
      </c>
      <c r="P142" s="3191"/>
    </row>
    <row r="143" spans="4:17" ht="15" customHeight="1" x14ac:dyDescent="0.25">
      <c r="E143" s="3166" cm="1">
        <f t="array" ref="E143">INDEX($B$108:$B$117,INT((ROWS($E$135:E143)-1)/3)+1)</f>
        <v>0</v>
      </c>
      <c r="F143" s="3167"/>
      <c r="G143" s="924"/>
      <c r="H143" s="3157" t="s">
        <v>359</v>
      </c>
      <c r="I143" s="3160"/>
      <c r="J143" s="3160"/>
      <c r="K143" s="3160"/>
      <c r="L143" s="3160"/>
      <c r="M143" s="3160"/>
      <c r="N143" s="3160"/>
      <c r="O143" s="3161">
        <f t="shared" si="2"/>
        <v>0</v>
      </c>
      <c r="P143" s="3192"/>
      <c r="Q143" s="924"/>
    </row>
    <row r="144" spans="4:17" ht="15" customHeight="1" x14ac:dyDescent="0.25">
      <c r="E144" s="3152" cm="1">
        <f t="array" ref="E144">INDEX($B$108:$B$117,INT((ROWS($E$135:E144)-1)/3)+1)</f>
        <v>0</v>
      </c>
      <c r="F144" s="3163"/>
      <c r="G144" s="936"/>
      <c r="H144" s="3159" t="s">
        <v>1088</v>
      </c>
      <c r="I144" s="3161" cm="1">
        <f t="array" ref="I144">INDEX(I$108:I$117,INT((ROW()-135)/3)+1)</f>
        <v>0</v>
      </c>
      <c r="J144" s="3161" cm="1">
        <f t="array" ref="J144">INDEX(J$108:J$117,INT((ROW()-135)/3)+1)</f>
        <v>0</v>
      </c>
      <c r="K144" s="3161" cm="1">
        <f t="array" ref="K144">INDEX(K$108:K$117,INT((ROW()-135)/3)+1)</f>
        <v>0</v>
      </c>
      <c r="L144" s="3161" cm="1">
        <f t="array" ref="L144">INDEX(L$108:L$117,INT((ROW()-135)/3)+1)</f>
        <v>0</v>
      </c>
      <c r="M144" s="3161" cm="1">
        <f t="array" ref="M144">INDEX(M$108:M$117,INT((ROW()-135)/3)+1)</f>
        <v>0</v>
      </c>
      <c r="N144" s="3161" cm="1">
        <f t="array" ref="N144">INDEX(N$108:N$117,INT((ROW()-135)/3)+1)</f>
        <v>0</v>
      </c>
      <c r="O144" s="3161">
        <f t="shared" si="2"/>
        <v>0</v>
      </c>
      <c r="P144" s="3076">
        <f t="shared" ref="P144" si="12">E144</f>
        <v>0</v>
      </c>
      <c r="Q144" s="936"/>
    </row>
    <row r="145" spans="5:17" ht="15" customHeight="1" x14ac:dyDescent="0.25">
      <c r="E145" s="3164" cm="1">
        <f t="array" ref="E145">INDEX($B$108:$B$117,INT((ROWS($E$135:E145)-1)/3)+1)</f>
        <v>0</v>
      </c>
      <c r="F145" s="3165"/>
      <c r="H145" s="3157" t="s">
        <v>972</v>
      </c>
      <c r="I145" s="3162">
        <f t="shared" ref="I145" si="13">I144-I146</f>
        <v>0</v>
      </c>
      <c r="J145" s="3162">
        <f t="shared" ref="J145" si="14">J144-J146</f>
        <v>0</v>
      </c>
      <c r="K145" s="3162">
        <f t="shared" ref="K145" si="15">K144-K146</f>
        <v>0</v>
      </c>
      <c r="L145" s="3162">
        <f t="shared" ref="L145" si="16">L144-L146</f>
        <v>0</v>
      </c>
      <c r="M145" s="3162">
        <f t="shared" ref="M145" si="17">M144-M146</f>
        <v>0</v>
      </c>
      <c r="N145" s="3162">
        <f t="shared" ref="N145" si="18">N144-N146</f>
        <v>0</v>
      </c>
      <c r="O145" s="3161">
        <f t="shared" si="2"/>
        <v>0</v>
      </c>
      <c r="P145" s="3191"/>
    </row>
    <row r="146" spans="5:17" ht="15" customHeight="1" x14ac:dyDescent="0.25">
      <c r="E146" s="3166" cm="1">
        <f t="array" ref="E146">INDEX($B$108:$B$117,INT((ROWS($E$135:E146)-1)/3)+1)</f>
        <v>0</v>
      </c>
      <c r="F146" s="3167"/>
      <c r="G146" s="924"/>
      <c r="H146" s="3157" t="s">
        <v>359</v>
      </c>
      <c r="I146" s="3160"/>
      <c r="J146" s="3160"/>
      <c r="K146" s="3160"/>
      <c r="L146" s="3160"/>
      <c r="M146" s="3160"/>
      <c r="N146" s="3160"/>
      <c r="O146" s="3161">
        <f t="shared" si="2"/>
        <v>0</v>
      </c>
      <c r="P146" s="3192"/>
      <c r="Q146" s="924"/>
    </row>
    <row r="147" spans="5:17" ht="15" customHeight="1" x14ac:dyDescent="0.25">
      <c r="E147" s="3152" cm="1">
        <f t="array" ref="E147">INDEX($B$108:$B$117,INT((ROWS($E$135:E147)-1)/3)+1)</f>
        <v>0</v>
      </c>
      <c r="F147" s="3163"/>
      <c r="G147" s="936"/>
      <c r="H147" s="3159" t="s">
        <v>1088</v>
      </c>
      <c r="I147" s="3161" cm="1">
        <f t="array" ref="I147">INDEX(I$108:I$117,INT((ROW()-135)/3)+1)</f>
        <v>0</v>
      </c>
      <c r="J147" s="3161" cm="1">
        <f t="array" ref="J147">INDEX(J$108:J$117,INT((ROW()-135)/3)+1)</f>
        <v>0</v>
      </c>
      <c r="K147" s="3161" cm="1">
        <f t="array" ref="K147">INDEX(K$108:K$117,INT((ROW()-135)/3)+1)</f>
        <v>0</v>
      </c>
      <c r="L147" s="3161" cm="1">
        <f t="array" ref="L147">INDEX(L$108:L$117,INT((ROW()-135)/3)+1)</f>
        <v>0</v>
      </c>
      <c r="M147" s="3161" cm="1">
        <f t="array" ref="M147">INDEX(M$108:M$117,INT((ROW()-135)/3)+1)</f>
        <v>0</v>
      </c>
      <c r="N147" s="3161" cm="1">
        <f t="array" ref="N147">INDEX(N$108:N$117,INT((ROW()-135)/3)+1)</f>
        <v>0</v>
      </c>
      <c r="O147" s="3161">
        <f t="shared" si="2"/>
        <v>0</v>
      </c>
      <c r="P147" s="3076">
        <f t="shared" ref="P147" si="19">E147</f>
        <v>0</v>
      </c>
      <c r="Q147" s="936"/>
    </row>
    <row r="148" spans="5:17" ht="15" customHeight="1" x14ac:dyDescent="0.25">
      <c r="E148" s="3164" cm="1">
        <f t="array" ref="E148">INDEX($B$108:$B$117,INT((ROWS($E$135:E148)-1)/3)+1)</f>
        <v>0</v>
      </c>
      <c r="F148" s="3165"/>
      <c r="H148" s="3157" t="s">
        <v>972</v>
      </c>
      <c r="I148" s="3162">
        <f t="shared" ref="I148" si="20">I147-I149</f>
        <v>0</v>
      </c>
      <c r="J148" s="3162">
        <f t="shared" ref="J148" si="21">J147-J149</f>
        <v>0</v>
      </c>
      <c r="K148" s="3162">
        <f t="shared" ref="K148" si="22">K147-K149</f>
        <v>0</v>
      </c>
      <c r="L148" s="3162">
        <f t="shared" ref="L148" si="23">L147-L149</f>
        <v>0</v>
      </c>
      <c r="M148" s="3162">
        <f t="shared" ref="M148" si="24">M147-M149</f>
        <v>0</v>
      </c>
      <c r="N148" s="3162">
        <f t="shared" ref="N148" si="25">N147-N149</f>
        <v>0</v>
      </c>
      <c r="O148" s="3161">
        <f t="shared" si="2"/>
        <v>0</v>
      </c>
      <c r="P148" s="3191"/>
    </row>
    <row r="149" spans="5:17" ht="15" customHeight="1" x14ac:dyDescent="0.25">
      <c r="E149" s="3166" cm="1">
        <f t="array" ref="E149">INDEX($B$108:$B$117,INT((ROWS($E$135:E149)-1)/3)+1)</f>
        <v>0</v>
      </c>
      <c r="F149" s="3167"/>
      <c r="G149" s="924"/>
      <c r="H149" s="3157" t="s">
        <v>359</v>
      </c>
      <c r="I149" s="3160"/>
      <c r="J149" s="3160"/>
      <c r="K149" s="3160"/>
      <c r="L149" s="3160"/>
      <c r="M149" s="3160"/>
      <c r="N149" s="3160"/>
      <c r="O149" s="3161">
        <f t="shared" si="2"/>
        <v>0</v>
      </c>
      <c r="P149" s="3192"/>
      <c r="Q149" s="924"/>
    </row>
    <row r="150" spans="5:17" ht="15" customHeight="1" x14ac:dyDescent="0.25">
      <c r="E150" s="3152" cm="1">
        <f t="array" ref="E150">INDEX($B$108:$B$117,INT((ROWS($E$135:E150)-1)/3)+1)</f>
        <v>0</v>
      </c>
      <c r="F150" s="3163"/>
      <c r="G150" s="936"/>
      <c r="H150" s="3159" t="s">
        <v>1088</v>
      </c>
      <c r="I150" s="3161" cm="1">
        <f t="array" ref="I150">INDEX(I$108:I$117,INT((ROW()-135)/3)+1)</f>
        <v>0</v>
      </c>
      <c r="J150" s="3161" cm="1">
        <f t="array" ref="J150">INDEX(J$108:J$117,INT((ROW()-135)/3)+1)</f>
        <v>0</v>
      </c>
      <c r="K150" s="3161" cm="1">
        <f t="array" ref="K150">INDEX(K$108:K$117,INT((ROW()-135)/3)+1)</f>
        <v>0</v>
      </c>
      <c r="L150" s="3161" cm="1">
        <f t="array" ref="L150">INDEX(L$108:L$117,INT((ROW()-135)/3)+1)</f>
        <v>0</v>
      </c>
      <c r="M150" s="3161" cm="1">
        <f t="array" ref="M150">INDEX(M$108:M$117,INT((ROW()-135)/3)+1)</f>
        <v>0</v>
      </c>
      <c r="N150" s="3161" cm="1">
        <f t="array" ref="N150">INDEX(N$108:N$117,INT((ROW()-135)/3)+1)</f>
        <v>0</v>
      </c>
      <c r="O150" s="3161">
        <f t="shared" si="2"/>
        <v>0</v>
      </c>
      <c r="P150" s="3076">
        <f t="shared" ref="P150" si="26">E150</f>
        <v>0</v>
      </c>
      <c r="Q150" s="936"/>
    </row>
    <row r="151" spans="5:17" ht="15" customHeight="1" x14ac:dyDescent="0.25">
      <c r="E151" s="3164" cm="1">
        <f t="array" ref="E151">INDEX($B$108:$B$117,INT((ROWS($E$135:E151)-1)/3)+1)</f>
        <v>0</v>
      </c>
      <c r="F151" s="3165"/>
      <c r="H151" s="3157" t="s">
        <v>972</v>
      </c>
      <c r="I151" s="3162">
        <f t="shared" ref="I151" si="27">I150-I152</f>
        <v>0</v>
      </c>
      <c r="J151" s="3162">
        <f t="shared" ref="J151" si="28">J150-J152</f>
        <v>0</v>
      </c>
      <c r="K151" s="3162">
        <f t="shared" ref="K151" si="29">K150-K152</f>
        <v>0</v>
      </c>
      <c r="L151" s="3162">
        <f t="shared" ref="L151" si="30">L150-L152</f>
        <v>0</v>
      </c>
      <c r="M151" s="3162">
        <f t="shared" ref="M151" si="31">M150-M152</f>
        <v>0</v>
      </c>
      <c r="N151" s="3162">
        <f t="shared" ref="N151" si="32">N150-N152</f>
        <v>0</v>
      </c>
      <c r="O151" s="3161">
        <f t="shared" si="2"/>
        <v>0</v>
      </c>
      <c r="P151" s="3191"/>
    </row>
    <row r="152" spans="5:17" ht="15" customHeight="1" x14ac:dyDescent="0.25">
      <c r="E152" s="3166" cm="1">
        <f t="array" ref="E152">INDEX($B$108:$B$117,INT((ROWS($E$135:E152)-1)/3)+1)</f>
        <v>0</v>
      </c>
      <c r="F152" s="3167"/>
      <c r="G152" s="924"/>
      <c r="H152" s="3157" t="s">
        <v>359</v>
      </c>
      <c r="I152" s="3160"/>
      <c r="J152" s="3160"/>
      <c r="K152" s="3160"/>
      <c r="L152" s="3160"/>
      <c r="M152" s="3160"/>
      <c r="N152" s="3160"/>
      <c r="O152" s="3161">
        <f t="shared" si="2"/>
        <v>0</v>
      </c>
      <c r="P152" s="3192"/>
      <c r="Q152" s="924"/>
    </row>
    <row r="153" spans="5:17" ht="15" customHeight="1" x14ac:dyDescent="0.25">
      <c r="E153" s="3152" cm="1">
        <f t="array" ref="E153">INDEX($B$108:$B$117,INT((ROWS($E$135:E153)-1)/3)+1)</f>
        <v>0</v>
      </c>
      <c r="F153" s="3163"/>
      <c r="G153" s="936"/>
      <c r="H153" s="3159" t="s">
        <v>1088</v>
      </c>
      <c r="I153" s="3161" cm="1">
        <f t="array" ref="I153">INDEX(I$108:I$117,INT((ROW()-135)/3)+1)</f>
        <v>0</v>
      </c>
      <c r="J153" s="3161" cm="1">
        <f t="array" ref="J153">INDEX(J$108:J$117,INT((ROW()-135)/3)+1)</f>
        <v>0</v>
      </c>
      <c r="K153" s="3161" cm="1">
        <f t="array" ref="K153">INDEX(K$108:K$117,INT((ROW()-135)/3)+1)</f>
        <v>0</v>
      </c>
      <c r="L153" s="3161" cm="1">
        <f t="array" ref="L153">INDEX(L$108:L$117,INT((ROW()-135)/3)+1)</f>
        <v>0</v>
      </c>
      <c r="M153" s="3161" cm="1">
        <f t="array" ref="M153">INDEX(M$108:M$117,INT((ROW()-135)/3)+1)</f>
        <v>0</v>
      </c>
      <c r="N153" s="3161" cm="1">
        <f t="array" ref="N153">INDEX(N$108:N$117,INT((ROW()-135)/3)+1)</f>
        <v>0</v>
      </c>
      <c r="O153" s="3161">
        <f t="shared" si="2"/>
        <v>0</v>
      </c>
      <c r="P153" s="3076">
        <f t="shared" ref="P153" si="33">E153</f>
        <v>0</v>
      </c>
      <c r="Q153" s="936"/>
    </row>
    <row r="154" spans="5:17" ht="15" customHeight="1" x14ac:dyDescent="0.25">
      <c r="E154" s="3164" cm="1">
        <f t="array" ref="E154">INDEX($B$108:$B$117,INT((ROWS($E$135:E154)-1)/3)+1)</f>
        <v>0</v>
      </c>
      <c r="F154" s="3165"/>
      <c r="H154" s="3157" t="s">
        <v>972</v>
      </c>
      <c r="I154" s="3162">
        <f t="shared" ref="I154" si="34">I153-I155</f>
        <v>0</v>
      </c>
      <c r="J154" s="3162">
        <f t="shared" ref="J154" si="35">J153-J155</f>
        <v>0</v>
      </c>
      <c r="K154" s="3162">
        <f t="shared" ref="K154" si="36">K153-K155</f>
        <v>0</v>
      </c>
      <c r="L154" s="3162">
        <f t="shared" ref="L154" si="37">L153-L155</f>
        <v>0</v>
      </c>
      <c r="M154" s="3162">
        <f t="shared" ref="M154" si="38">M153-M155</f>
        <v>0</v>
      </c>
      <c r="N154" s="3162">
        <f t="shared" ref="N154" si="39">N153-N155</f>
        <v>0</v>
      </c>
      <c r="O154" s="3161">
        <f t="shared" si="2"/>
        <v>0</v>
      </c>
      <c r="P154" s="3191"/>
    </row>
    <row r="155" spans="5:17" ht="15" customHeight="1" x14ac:dyDescent="0.25">
      <c r="E155" s="3166" cm="1">
        <f t="array" ref="E155">INDEX($B$108:$B$117,INT((ROWS($E$135:E155)-1)/3)+1)</f>
        <v>0</v>
      </c>
      <c r="F155" s="3167"/>
      <c r="G155" s="924"/>
      <c r="H155" s="3157" t="s">
        <v>359</v>
      </c>
      <c r="I155" s="3160"/>
      <c r="J155" s="3160"/>
      <c r="K155" s="3160"/>
      <c r="L155" s="3160"/>
      <c r="M155" s="3160"/>
      <c r="N155" s="3160"/>
      <c r="O155" s="3161">
        <f t="shared" si="2"/>
        <v>0</v>
      </c>
      <c r="P155" s="3192"/>
      <c r="Q155" s="924"/>
    </row>
    <row r="156" spans="5:17" ht="15" customHeight="1" x14ac:dyDescent="0.25">
      <c r="E156" s="3152" cm="1">
        <f t="array" ref="E156">INDEX($B$108:$B$117,INT((ROWS($E$135:E156)-1)/3)+1)</f>
        <v>0</v>
      </c>
      <c r="F156" s="3163"/>
      <c r="G156" s="936"/>
      <c r="H156" s="3159" t="s">
        <v>1088</v>
      </c>
      <c r="I156" s="3161" cm="1">
        <f t="array" ref="I156">INDEX(I$108:I$117,INT((ROW()-135)/3)+1)</f>
        <v>0</v>
      </c>
      <c r="J156" s="3161" cm="1">
        <f t="array" ref="J156">INDEX(J$108:J$117,INT((ROW()-135)/3)+1)</f>
        <v>0</v>
      </c>
      <c r="K156" s="3161" cm="1">
        <f t="array" ref="K156">INDEX(K$108:K$117,INT((ROW()-135)/3)+1)</f>
        <v>0</v>
      </c>
      <c r="L156" s="3161" cm="1">
        <f t="array" ref="L156">INDEX(L$108:L$117,INT((ROW()-135)/3)+1)</f>
        <v>0</v>
      </c>
      <c r="M156" s="3161" cm="1">
        <f t="array" ref="M156">INDEX(M$108:M$117,INT((ROW()-135)/3)+1)</f>
        <v>0</v>
      </c>
      <c r="N156" s="3161" cm="1">
        <f t="array" ref="N156">INDEX(N$108:N$117,INT((ROW()-135)/3)+1)</f>
        <v>0</v>
      </c>
      <c r="O156" s="3161">
        <f t="shared" si="2"/>
        <v>0</v>
      </c>
      <c r="P156" s="3076">
        <f t="shared" ref="P156" si="40">E156</f>
        <v>0</v>
      </c>
      <c r="Q156" s="936"/>
    </row>
    <row r="157" spans="5:17" ht="15" customHeight="1" x14ac:dyDescent="0.25">
      <c r="E157" s="3164" cm="1">
        <f t="array" ref="E157">INDEX($B$108:$B$117,INT((ROWS($E$135:E157)-1)/3)+1)</f>
        <v>0</v>
      </c>
      <c r="F157" s="3165"/>
      <c r="H157" s="3157" t="s">
        <v>972</v>
      </c>
      <c r="I157" s="3162">
        <f t="shared" ref="I157" si="41">I156-I158</f>
        <v>0</v>
      </c>
      <c r="J157" s="3162">
        <f t="shared" ref="J157" si="42">J156-J158</f>
        <v>0</v>
      </c>
      <c r="K157" s="3162">
        <f t="shared" ref="K157" si="43">K156-K158</f>
        <v>0</v>
      </c>
      <c r="L157" s="3162">
        <f t="shared" ref="L157" si="44">L156-L158</f>
        <v>0</v>
      </c>
      <c r="M157" s="3162">
        <f t="shared" ref="M157" si="45">M156-M158</f>
        <v>0</v>
      </c>
      <c r="N157" s="3162">
        <f t="shared" ref="N157" si="46">N156-N158</f>
        <v>0</v>
      </c>
      <c r="O157" s="3161">
        <f t="shared" si="2"/>
        <v>0</v>
      </c>
      <c r="P157" s="3191"/>
    </row>
    <row r="158" spans="5:17" ht="15" customHeight="1" x14ac:dyDescent="0.25">
      <c r="E158" s="3166" cm="1">
        <f t="array" ref="E158">INDEX($B$108:$B$117,INT((ROWS($E$135:E158)-1)/3)+1)</f>
        <v>0</v>
      </c>
      <c r="F158" s="3167"/>
      <c r="G158" s="924"/>
      <c r="H158" s="3157" t="s">
        <v>359</v>
      </c>
      <c r="I158" s="3160"/>
      <c r="J158" s="3160"/>
      <c r="K158" s="3160"/>
      <c r="L158" s="3160"/>
      <c r="M158" s="3160"/>
      <c r="N158" s="3160"/>
      <c r="O158" s="3161">
        <f t="shared" si="2"/>
        <v>0</v>
      </c>
      <c r="P158" s="3192"/>
      <c r="Q158" s="924"/>
    </row>
    <row r="159" spans="5:17" ht="15" customHeight="1" x14ac:dyDescent="0.25">
      <c r="E159" s="3152" cm="1">
        <f t="array" ref="E159">INDEX($B$108:$B$117,INT((ROWS($E$135:E159)-1)/3)+1)</f>
        <v>0</v>
      </c>
      <c r="F159" s="3163"/>
      <c r="G159" s="936"/>
      <c r="H159" s="3159" t="s">
        <v>1088</v>
      </c>
      <c r="I159" s="3161" cm="1">
        <f t="array" ref="I159">INDEX(I$108:I$117,INT((ROW()-135)/3)+1)</f>
        <v>0</v>
      </c>
      <c r="J159" s="3161" cm="1">
        <f t="array" ref="J159">INDEX(J$108:J$117,INT((ROW()-135)/3)+1)</f>
        <v>0</v>
      </c>
      <c r="K159" s="3161" cm="1">
        <f t="array" ref="K159">INDEX(K$108:K$117,INT((ROW()-135)/3)+1)</f>
        <v>0</v>
      </c>
      <c r="L159" s="3161" cm="1">
        <f t="array" ref="L159">INDEX(L$108:L$117,INT((ROW()-135)/3)+1)</f>
        <v>0</v>
      </c>
      <c r="M159" s="3161" cm="1">
        <f t="array" ref="M159">INDEX(M$108:M$117,INT((ROW()-135)/3)+1)</f>
        <v>0</v>
      </c>
      <c r="N159" s="3161" cm="1">
        <f t="array" ref="N159">INDEX(N$108:N$117,INT((ROW()-135)/3)+1)</f>
        <v>0</v>
      </c>
      <c r="O159" s="3161">
        <f t="shared" si="2"/>
        <v>0</v>
      </c>
      <c r="P159" s="3076">
        <f t="shared" ref="P159" si="47">E159</f>
        <v>0</v>
      </c>
      <c r="Q159" s="936"/>
    </row>
    <row r="160" spans="5:17" ht="15" customHeight="1" x14ac:dyDescent="0.25">
      <c r="E160" s="3164" cm="1">
        <f t="array" ref="E160">INDEX($B$108:$B$117,INT((ROWS($E$135:E160)-1)/3)+1)</f>
        <v>0</v>
      </c>
      <c r="F160" s="3165"/>
      <c r="H160" s="3157" t="s">
        <v>972</v>
      </c>
      <c r="I160" s="3162">
        <f t="shared" ref="I160" si="48">I159-I161</f>
        <v>0</v>
      </c>
      <c r="J160" s="3162">
        <f t="shared" ref="J160" si="49">J159-J161</f>
        <v>0</v>
      </c>
      <c r="K160" s="3162">
        <f t="shared" ref="K160" si="50">K159-K161</f>
        <v>0</v>
      </c>
      <c r="L160" s="3162">
        <f t="shared" ref="L160" si="51">L159-L161</f>
        <v>0</v>
      </c>
      <c r="M160" s="3162">
        <f t="shared" ref="M160" si="52">M159-M161</f>
        <v>0</v>
      </c>
      <c r="N160" s="3162">
        <f t="shared" ref="N160" si="53">N159-N161</f>
        <v>0</v>
      </c>
      <c r="O160" s="3161">
        <f t="shared" si="2"/>
        <v>0</v>
      </c>
      <c r="P160" s="3191"/>
    </row>
    <row r="161" spans="5:17" ht="15" customHeight="1" x14ac:dyDescent="0.25">
      <c r="E161" s="3166" cm="1">
        <f t="array" ref="E161">INDEX($B$108:$B$117,INT((ROWS($E$135:E161)-1)/3)+1)</f>
        <v>0</v>
      </c>
      <c r="F161" s="3167"/>
      <c r="G161" s="924"/>
      <c r="H161" s="3157" t="s">
        <v>359</v>
      </c>
      <c r="I161" s="3160"/>
      <c r="J161" s="3160"/>
      <c r="K161" s="3160"/>
      <c r="L161" s="3160"/>
      <c r="M161" s="3160"/>
      <c r="N161" s="3160"/>
      <c r="O161" s="3161">
        <f t="shared" si="2"/>
        <v>0</v>
      </c>
      <c r="P161" s="3192"/>
      <c r="Q161" s="924"/>
    </row>
    <row r="162" spans="5:17" ht="15" customHeight="1" x14ac:dyDescent="0.25">
      <c r="E162" s="3152" cm="1">
        <f t="array" ref="E162">INDEX($B$108:$B$117,INT((ROWS($E$135:E162)-1)/3)+1)</f>
        <v>0</v>
      </c>
      <c r="F162" s="3163"/>
      <c r="G162" s="936"/>
      <c r="H162" s="3159" t="s">
        <v>1088</v>
      </c>
      <c r="I162" s="3161" cm="1">
        <f t="array" ref="I162">INDEX(I$108:I$117,INT((ROW()-135)/3)+1)</f>
        <v>0</v>
      </c>
      <c r="J162" s="3161" cm="1">
        <f t="array" ref="J162">INDEX(J$108:J$117,INT((ROW()-135)/3)+1)</f>
        <v>0</v>
      </c>
      <c r="K162" s="3161" cm="1">
        <f t="array" ref="K162">INDEX(K$108:K$117,INT((ROW()-135)/3)+1)</f>
        <v>0</v>
      </c>
      <c r="L162" s="3161" cm="1">
        <f t="array" ref="L162">INDEX(L$108:L$117,INT((ROW()-135)/3)+1)</f>
        <v>0</v>
      </c>
      <c r="M162" s="3161" cm="1">
        <f t="array" ref="M162">INDEX(M$108:M$117,INT((ROW()-135)/3)+1)</f>
        <v>0</v>
      </c>
      <c r="N162" s="3161" cm="1">
        <f t="array" ref="N162">INDEX(N$108:N$117,INT((ROW()-135)/3)+1)</f>
        <v>0</v>
      </c>
      <c r="O162" s="3161">
        <f t="shared" si="2"/>
        <v>0</v>
      </c>
      <c r="P162" s="3076">
        <f t="shared" ref="P162" si="54">E162</f>
        <v>0</v>
      </c>
      <c r="Q162" s="936"/>
    </row>
    <row r="163" spans="5:17" ht="15" customHeight="1" x14ac:dyDescent="0.25">
      <c r="E163" s="3164" cm="1">
        <f t="array" ref="E163">INDEX($B$108:$B$117,INT((ROWS($E$135:E163)-1)/3)+1)</f>
        <v>0</v>
      </c>
      <c r="F163" s="3165"/>
      <c r="H163" s="3157" t="s">
        <v>972</v>
      </c>
      <c r="I163" s="3162">
        <f t="shared" ref="I163" si="55">I162-I164</f>
        <v>0</v>
      </c>
      <c r="J163" s="3162">
        <f t="shared" ref="J163" si="56">J162-J164</f>
        <v>0</v>
      </c>
      <c r="K163" s="3162">
        <f t="shared" ref="K163" si="57">K162-K164</f>
        <v>0</v>
      </c>
      <c r="L163" s="3162">
        <f t="shared" ref="L163" si="58">L162-L164</f>
        <v>0</v>
      </c>
      <c r="M163" s="3162">
        <f t="shared" ref="M163" si="59">M162-M164</f>
        <v>0</v>
      </c>
      <c r="N163" s="3162">
        <f t="shared" ref="N163" si="60">N162-N164</f>
        <v>0</v>
      </c>
      <c r="O163" s="3161">
        <f t="shared" si="2"/>
        <v>0</v>
      </c>
      <c r="P163" s="3191"/>
    </row>
    <row r="164" spans="5:17" ht="15" customHeight="1" x14ac:dyDescent="0.25">
      <c r="E164" s="3166" cm="1">
        <f t="array" ref="E164">INDEX($B$108:$B$117,INT((ROWS($E$135:E164)-1)/3)+1)</f>
        <v>0</v>
      </c>
      <c r="F164" s="3167"/>
      <c r="G164" s="924"/>
      <c r="H164" s="3157" t="s">
        <v>359</v>
      </c>
      <c r="I164" s="3160"/>
      <c r="J164" s="3160"/>
      <c r="K164" s="3160"/>
      <c r="L164" s="3160"/>
      <c r="M164" s="3160"/>
      <c r="N164" s="3160"/>
      <c r="O164" s="3161">
        <f t="shared" si="2"/>
        <v>0</v>
      </c>
      <c r="P164" s="3192"/>
      <c r="Q164" s="924"/>
    </row>
  </sheetData>
  <phoneticPr fontId="118" type="noConversion"/>
  <conditionalFormatting sqref="V51">
    <cfRule type="duplicateValues" dxfId="237" priority="299"/>
  </conditionalFormatting>
  <conditionalFormatting sqref="V52">
    <cfRule type="duplicateValues" dxfId="236" priority="298"/>
  </conditionalFormatting>
  <conditionalFormatting sqref="V53">
    <cfRule type="duplicateValues" dxfId="235" priority="297"/>
  </conditionalFormatting>
  <conditionalFormatting sqref="V54">
    <cfRule type="duplicateValues" dxfId="234" priority="296"/>
  </conditionalFormatting>
  <conditionalFormatting sqref="V11">
    <cfRule type="expression" dxfId="233" priority="141">
      <formula>AND($G11=12,V11=1)</formula>
    </cfRule>
  </conditionalFormatting>
  <conditionalFormatting sqref="V12">
    <cfRule type="expression" dxfId="232" priority="155">
      <formula>AND($G12=12,V12=1)</formula>
    </cfRule>
  </conditionalFormatting>
  <conditionalFormatting sqref="V13">
    <cfRule type="expression" dxfId="231" priority="157">
      <formula>AND($G13=12,V13=1)</formula>
    </cfRule>
  </conditionalFormatting>
  <conditionalFormatting sqref="V18">
    <cfRule type="expression" dxfId="230" priority="167">
      <formula>AND($G18=12,V18=1)</formula>
    </cfRule>
  </conditionalFormatting>
  <conditionalFormatting sqref="V19">
    <cfRule type="expression" dxfId="229" priority="171">
      <formula>AND($G19=12,V19=1)</formula>
    </cfRule>
  </conditionalFormatting>
  <conditionalFormatting sqref="V20">
    <cfRule type="expression" dxfId="228" priority="220">
      <formula>AND($G20=12,V20=1)</formula>
    </cfRule>
  </conditionalFormatting>
  <conditionalFormatting sqref="V21">
    <cfRule type="expression" dxfId="227" priority="151">
      <formula>AND($G21=12,V21=1)</formula>
    </cfRule>
  </conditionalFormatting>
  <conditionalFormatting sqref="V22">
    <cfRule type="expression" dxfId="226" priority="149">
      <formula>AND($G22=12,V22=1)</formula>
    </cfRule>
  </conditionalFormatting>
  <conditionalFormatting sqref="V23">
    <cfRule type="expression" dxfId="225" priority="147">
      <formula>AND($G23=12,V23=1)</formula>
    </cfRule>
  </conditionalFormatting>
  <conditionalFormatting sqref="V24">
    <cfRule type="expression" dxfId="224" priority="145">
      <formula>AND($G24=12,V24=1)</formula>
    </cfRule>
  </conditionalFormatting>
  <conditionalFormatting sqref="V25">
    <cfRule type="expression" dxfId="223" priority="143">
      <formula>AND($G25=12,V25=1)</formula>
    </cfRule>
  </conditionalFormatting>
  <conditionalFormatting sqref="V14">
    <cfRule type="expression" dxfId="222" priority="159">
      <formula>AND($G14=12,V14=1)</formula>
    </cfRule>
  </conditionalFormatting>
  <conditionalFormatting sqref="V15">
    <cfRule type="expression" dxfId="221" priority="161">
      <formula>AND($G15=12,V15=1)</formula>
    </cfRule>
  </conditionalFormatting>
  <conditionalFormatting sqref="V16">
    <cfRule type="expression" dxfId="220" priority="163">
      <formula>AND($G16=12,V16=1)</formula>
    </cfRule>
  </conditionalFormatting>
  <conditionalFormatting sqref="V17">
    <cfRule type="expression" dxfId="219" priority="165">
      <formula>AND($G17=12,V17=1)</formula>
    </cfRule>
  </conditionalFormatting>
  <conditionalFormatting sqref="AD11">
    <cfRule type="expression" dxfId="218" priority="139">
      <formula>AND($G11=12,AD11=1)</formula>
    </cfRule>
  </conditionalFormatting>
  <conditionalFormatting sqref="AD12">
    <cfRule type="expression" dxfId="217" priority="198">
      <formula>AND($G12=12,AD12=1)</formula>
    </cfRule>
  </conditionalFormatting>
  <conditionalFormatting sqref="AD13">
    <cfRule type="expression" dxfId="216" priority="196">
      <formula>AND($G13=12,AD13=1)</formula>
    </cfRule>
  </conditionalFormatting>
  <conditionalFormatting sqref="AD18">
    <cfRule type="expression" dxfId="215" priority="194">
      <formula>AND($G18=12,AD18=1)</formula>
    </cfRule>
  </conditionalFormatting>
  <conditionalFormatting sqref="AD19">
    <cfRule type="expression" dxfId="214" priority="192">
      <formula>AND($G19=12,AD19=1)</formula>
    </cfRule>
  </conditionalFormatting>
  <conditionalFormatting sqref="AD20">
    <cfRule type="expression" dxfId="213" priority="190">
      <formula>AND($G20=12,AD20=1)</formula>
    </cfRule>
  </conditionalFormatting>
  <conditionalFormatting sqref="AD21">
    <cfRule type="expression" dxfId="212" priority="188">
      <formula>AND($G21=12,AD21=1)</formula>
    </cfRule>
  </conditionalFormatting>
  <conditionalFormatting sqref="AD22">
    <cfRule type="expression" dxfId="211" priority="186">
      <formula>AND($G22=12,AD22=1)</formula>
    </cfRule>
  </conditionalFormatting>
  <conditionalFormatting sqref="AD23">
    <cfRule type="expression" dxfId="210" priority="184">
      <formula>AND($G23=12,AD23=1)</formula>
    </cfRule>
  </conditionalFormatting>
  <conditionalFormatting sqref="AD24">
    <cfRule type="expression" dxfId="209" priority="182">
      <formula>AND($G24=12,AD24=1)</formula>
    </cfRule>
  </conditionalFormatting>
  <conditionalFormatting sqref="AD25">
    <cfRule type="expression" dxfId="208" priority="180">
      <formula>AND($G25=12,AD25=1)</formula>
    </cfRule>
  </conditionalFormatting>
  <conditionalFormatting sqref="AD14">
    <cfRule type="expression" dxfId="207" priority="178">
      <formula>AND($G14=12,AD14=1)</formula>
    </cfRule>
  </conditionalFormatting>
  <conditionalFormatting sqref="AD15">
    <cfRule type="expression" dxfId="206" priority="176">
      <formula>AND($G15=12,AD15=1)</formula>
    </cfRule>
  </conditionalFormatting>
  <conditionalFormatting sqref="AD16">
    <cfRule type="expression" dxfId="205" priority="174">
      <formula>AND($G16=12,AD16=1)</formula>
    </cfRule>
  </conditionalFormatting>
  <conditionalFormatting sqref="AD17">
    <cfRule type="expression" dxfId="204" priority="172">
      <formula>AND($G17=12,AD17=1)</formula>
    </cfRule>
  </conditionalFormatting>
  <conditionalFormatting sqref="V11:V25">
    <cfRule type="containsBlanks" priority="137" stopIfTrue="1">
      <formula>LEN(TRIM(V11))=0</formula>
    </cfRule>
  </conditionalFormatting>
  <conditionalFormatting sqref="AD11:AD25">
    <cfRule type="containsBlanks" priority="136" stopIfTrue="1">
      <formula>LEN(TRIM(AD11))=0</formula>
    </cfRule>
  </conditionalFormatting>
  <conditionalFormatting sqref="V55">
    <cfRule type="duplicateValues" dxfId="203" priority="135"/>
  </conditionalFormatting>
  <conditionalFormatting sqref="V56">
    <cfRule type="duplicateValues" dxfId="202" priority="134"/>
  </conditionalFormatting>
  <conditionalFormatting sqref="V57">
    <cfRule type="duplicateValues" dxfId="201" priority="133"/>
  </conditionalFormatting>
  <conditionalFormatting sqref="V65">
    <cfRule type="duplicateValues" dxfId="200" priority="132"/>
  </conditionalFormatting>
  <conditionalFormatting sqref="V58">
    <cfRule type="duplicateValues" dxfId="199" priority="131"/>
  </conditionalFormatting>
  <conditionalFormatting sqref="V59">
    <cfRule type="duplicateValues" dxfId="198" priority="130"/>
  </conditionalFormatting>
  <conditionalFormatting sqref="V60">
    <cfRule type="duplicateValues" dxfId="197" priority="129"/>
  </conditionalFormatting>
  <conditionalFormatting sqref="V61">
    <cfRule type="duplicateValues" dxfId="196" priority="128"/>
  </conditionalFormatting>
  <conditionalFormatting sqref="V62">
    <cfRule type="duplicateValues" dxfId="195" priority="127"/>
  </conditionalFormatting>
  <conditionalFormatting sqref="V63">
    <cfRule type="duplicateValues" dxfId="194" priority="126"/>
  </conditionalFormatting>
  <conditionalFormatting sqref="V64">
    <cfRule type="duplicateValues" dxfId="193" priority="125"/>
  </conditionalFormatting>
  <conditionalFormatting sqref="H20 V20 AD20">
    <cfRule type="duplicateValues" dxfId="192" priority="58"/>
  </conditionalFormatting>
  <conditionalFormatting sqref="H20">
    <cfRule type="expression" dxfId="191" priority="57">
      <formula>AND($G20=12,H20=1)</formula>
    </cfRule>
  </conditionalFormatting>
  <conditionalFormatting sqref="H19 V19 AD19">
    <cfRule type="duplicateValues" dxfId="190" priority="53"/>
  </conditionalFormatting>
  <conditionalFormatting sqref="H19">
    <cfRule type="expression" dxfId="189" priority="43">
      <formula>AND($G19=12,H19=1)</formula>
    </cfRule>
  </conditionalFormatting>
  <conditionalFormatting sqref="H18 V18 AD18">
    <cfRule type="duplicateValues" dxfId="188" priority="54"/>
  </conditionalFormatting>
  <conditionalFormatting sqref="H18">
    <cfRule type="expression" dxfId="187" priority="42">
      <formula>AND($G18=12,H18=1)</formula>
    </cfRule>
  </conditionalFormatting>
  <conditionalFormatting sqref="H17 V17 AD17">
    <cfRule type="duplicateValues" dxfId="186" priority="44"/>
  </conditionalFormatting>
  <conditionalFormatting sqref="H17">
    <cfRule type="expression" dxfId="185" priority="41">
      <formula>AND($G17=12,H17=1)</formula>
    </cfRule>
  </conditionalFormatting>
  <conditionalFormatting sqref="H16 V16 AD16">
    <cfRule type="duplicateValues" dxfId="184" priority="45"/>
  </conditionalFormatting>
  <conditionalFormatting sqref="H16">
    <cfRule type="expression" dxfId="183" priority="40">
      <formula>AND($G16=12,H16=1)</formula>
    </cfRule>
  </conditionalFormatting>
  <conditionalFormatting sqref="H15 V15 AD15">
    <cfRule type="duplicateValues" dxfId="182" priority="46"/>
  </conditionalFormatting>
  <conditionalFormatting sqref="H15">
    <cfRule type="expression" dxfId="181" priority="39">
      <formula>AND($G15=12,H15=1)</formula>
    </cfRule>
  </conditionalFormatting>
  <conditionalFormatting sqref="H14 V14 AD14">
    <cfRule type="duplicateValues" dxfId="180" priority="47"/>
  </conditionalFormatting>
  <conditionalFormatting sqref="H14">
    <cfRule type="expression" dxfId="179" priority="38">
      <formula>AND($G14=12,H14=1)</formula>
    </cfRule>
  </conditionalFormatting>
  <conditionalFormatting sqref="H13 V13 AD13">
    <cfRule type="duplicateValues" dxfId="178" priority="55"/>
  </conditionalFormatting>
  <conditionalFormatting sqref="H13">
    <cfRule type="expression" dxfId="177" priority="37">
      <formula>AND($G13=12,H13=1)</formula>
    </cfRule>
  </conditionalFormatting>
  <conditionalFormatting sqref="H12 V12 AD12">
    <cfRule type="duplicateValues" dxfId="176" priority="56"/>
  </conditionalFormatting>
  <conditionalFormatting sqref="H12">
    <cfRule type="expression" dxfId="175" priority="36">
      <formula>AND($G12=12,H12=1)</formula>
    </cfRule>
  </conditionalFormatting>
  <conditionalFormatting sqref="H11">
    <cfRule type="expression" dxfId="174" priority="29">
      <formula>AND($G11=12,H11=1)</formula>
    </cfRule>
  </conditionalFormatting>
  <conditionalFormatting sqref="H21 V21 AD21">
    <cfRule type="duplicateValues" dxfId="173" priority="52"/>
  </conditionalFormatting>
  <conditionalFormatting sqref="H21">
    <cfRule type="expression" dxfId="172" priority="34">
      <formula>AND($G21=12,H21=1)</formula>
    </cfRule>
  </conditionalFormatting>
  <conditionalFormatting sqref="H22 V22 AD22">
    <cfRule type="duplicateValues" dxfId="171" priority="51"/>
  </conditionalFormatting>
  <conditionalFormatting sqref="H22">
    <cfRule type="expression" dxfId="170" priority="33">
      <formula>AND($G22=12,H22=1)</formula>
    </cfRule>
  </conditionalFormatting>
  <conditionalFormatting sqref="H23 V23 AD23">
    <cfRule type="duplicateValues" dxfId="169" priority="50"/>
  </conditionalFormatting>
  <conditionalFormatting sqref="H23">
    <cfRule type="expression" dxfId="168" priority="32">
      <formula>AND($G23=12,H23=1)</formula>
    </cfRule>
  </conditionalFormatting>
  <conditionalFormatting sqref="H24 V24 AD24">
    <cfRule type="duplicateValues" dxfId="167" priority="49"/>
  </conditionalFormatting>
  <conditionalFormatting sqref="H24">
    <cfRule type="expression" dxfId="166" priority="31">
      <formula>AND($G24=12,H24=1)</formula>
    </cfRule>
  </conditionalFormatting>
  <conditionalFormatting sqref="H25 V25 AD25">
    <cfRule type="duplicateValues" dxfId="165" priority="48"/>
  </conditionalFormatting>
  <conditionalFormatting sqref="H25">
    <cfRule type="expression" dxfId="164" priority="30">
      <formula>AND($G25=12,H25=1)</formula>
    </cfRule>
  </conditionalFormatting>
  <conditionalFormatting sqref="H11:H25">
    <cfRule type="containsBlanks" priority="28" stopIfTrue="1">
      <formula>LEN(TRIM(H11))=0</formula>
    </cfRule>
  </conditionalFormatting>
  <conditionalFormatting sqref="H11 V11 AD11">
    <cfRule type="duplicateValues" dxfId="163" priority="35"/>
  </conditionalFormatting>
  <conditionalFormatting sqref="O132">
    <cfRule type="cellIs" dxfId="162" priority="23" operator="notEqual">
      <formula>$O$125</formula>
    </cfRule>
    <cfRule type="expression" dxfId="161" priority="24">
      <formula>"&lt;&gt;$O$118"</formula>
    </cfRule>
  </conditionalFormatting>
  <conditionalFormatting sqref="C68:C82">
    <cfRule type="containsBlanks" dxfId="160" priority="300">
      <formula>LEN(TRIM(C68))=0</formula>
    </cfRule>
  </conditionalFormatting>
  <conditionalFormatting sqref="C68:C82">
    <cfRule type="expression" dxfId="159" priority="21" stopIfTrue="1">
      <formula>ISBLANK($B68)</formula>
    </cfRule>
  </conditionalFormatting>
  <conditionalFormatting sqref="G29:G43">
    <cfRule type="cellIs" dxfId="158" priority="20" operator="lessThan">
      <formula>9</formula>
    </cfRule>
  </conditionalFormatting>
  <conditionalFormatting sqref="Q29:Q43">
    <cfRule type="containsText" dxfId="157" priority="19" operator="containsText" text="Mismatch">
      <formula>NOT(ISERROR(SEARCH("Mismatch",Q29)))</formula>
    </cfRule>
  </conditionalFormatting>
  <conditionalFormatting sqref="I11:I25">
    <cfRule type="cellIs" dxfId="156" priority="18" operator="greaterThan">
      <formula>$I$8</formula>
    </cfRule>
  </conditionalFormatting>
  <conditionalFormatting sqref="J11:J25">
    <cfRule type="cellIs" dxfId="155" priority="17" operator="greaterThan">
      <formula>$J$8</formula>
    </cfRule>
  </conditionalFormatting>
  <conditionalFormatting sqref="K11:K25">
    <cfRule type="cellIs" dxfId="154" priority="16" operator="greaterThan">
      <formula>$K$8</formula>
    </cfRule>
  </conditionalFormatting>
  <conditionalFormatting sqref="L11:L25">
    <cfRule type="cellIs" dxfId="153" priority="15" operator="greaterThan">
      <formula>$L$8</formula>
    </cfRule>
  </conditionalFormatting>
  <conditionalFormatting sqref="M11:M25">
    <cfRule type="cellIs" dxfId="152" priority="14" operator="greaterThan">
      <formula>$M$8</formula>
    </cfRule>
  </conditionalFormatting>
  <conditionalFormatting sqref="N11:N25">
    <cfRule type="cellIs" dxfId="151" priority="13" operator="greaterThan">
      <formula>$N$8</formula>
    </cfRule>
  </conditionalFormatting>
  <conditionalFormatting sqref="I51:I65">
    <cfRule type="cellIs" dxfId="150" priority="6" operator="greaterThan">
      <formula>$I$8</formula>
    </cfRule>
  </conditionalFormatting>
  <conditionalFormatting sqref="J51:J65">
    <cfRule type="cellIs" dxfId="149" priority="5" operator="greaterThan">
      <formula>$J$8</formula>
    </cfRule>
  </conditionalFormatting>
  <conditionalFormatting sqref="K51:K65">
    <cfRule type="cellIs" dxfId="148" priority="4" operator="greaterThan">
      <formula>$K$8</formula>
    </cfRule>
  </conditionalFormatting>
  <conditionalFormatting sqref="L51:L65">
    <cfRule type="cellIs" dxfId="147" priority="3" operator="greaterThan">
      <formula>$L$8</formula>
    </cfRule>
  </conditionalFormatting>
  <conditionalFormatting sqref="M51:M65">
    <cfRule type="cellIs" dxfId="146" priority="2" operator="greaterThan">
      <formula>$M$8</formula>
    </cfRule>
  </conditionalFormatting>
  <conditionalFormatting sqref="N51:N65">
    <cfRule type="cellIs" dxfId="145" priority="1" operator="greaterThan">
      <formula>$N$8</formula>
    </cfRule>
  </conditionalFormatting>
  <dataValidations xWindow="201" yWindow="728" count="19">
    <dataValidation type="list" allowBlank="1" showInputMessage="1" showErrorMessage="1" sqref="D44" xr:uid="{00000000-0002-0000-0000-000000000000}">
      <formula1>$C$19:$C$31</formula1>
    </dataValidation>
    <dataValidation type="list" allowBlank="1" showInputMessage="1" prompt="Select COE School or other Unit" sqref="C11:C25 C51:C65 C46:C48" xr:uid="{00000000-0002-0000-0000-000002000000}">
      <formula1>Unit</formula1>
    </dataValidation>
    <dataValidation type="list" allowBlank="1" showInputMessage="1" sqref="G51:G65 G29:G43" xr:uid="{00000000-0002-0000-0000-000003000000}">
      <formula1>ApptMonths</formula1>
    </dataValidation>
    <dataValidation type="list" allowBlank="1" showInputMessage="1" showErrorMessage="1" error="Choose from dropdown list, to select pooled fringe rate." prompt="Selection determines Fringe Benefit Rate (pooled)." sqref="H51:H65 D11:D25" xr:uid="{00000000-0002-0000-0000-000004000000}">
      <formula1>PositionClass</formula1>
    </dataValidation>
    <dataValidation type="list" allowBlank="1" showInputMessage="1" sqref="F29:F43" xr:uid="{00000000-0002-0000-0000-000005000000}">
      <formula1>GA_FTE</formula1>
    </dataValidation>
    <dataValidation type="list" allowBlank="1" showInputMessage="1" showErrorMessage="1" sqref="E126" xr:uid="{00000000-0002-0000-0000-000006000000}">
      <formula1>FA_Base</formula1>
    </dataValidation>
    <dataValidation type="list" allowBlank="1" showInputMessage="1" showErrorMessage="1" error="Select basis of cost share calculation, from solicitation." prompt="What is required % cost share based on?" sqref="R3" xr:uid="{00000000-0002-0000-0000-000008000000}">
      <formula1>CostShare</formula1>
    </dataValidation>
    <dataValidation type="list" errorStyle="warning" allowBlank="1" showInputMessage="1" showErrorMessage="1" sqref="F4" xr:uid="{00000000-0002-0000-0000-000009000000}">
      <formula1>GrantCoord</formula1>
    </dataValidation>
    <dataValidation type="list" allowBlank="1" showInputMessage="1" showErrorMessage="1" prompt="1 = Summer_x000a_2 = Acad. Year_x000a_3 = AY Cost Share" sqref="V51:V65" xr:uid="{00000000-0002-0000-0000-00000A000000}">
      <formula1>EffortType</formula1>
    </dataValidation>
    <dataValidation type="list" allowBlank="1" showInputMessage="1" sqref="F51:F65" xr:uid="{00000000-0002-0000-0000-00000B000000}">
      <formula1>ApptFTE</formula1>
    </dataValidation>
    <dataValidation type="list" allowBlank="1" showInputMessage="1" showErrorMessage="1" prompt="1 = Summer_x000a_2 = AY or CY_x000a_3 = AY Cost Share" sqref="V12:V25 AD12:AD25 H11:H25" xr:uid="{00000000-0002-0000-0000-00000D000000}">
      <formula1>EffortType</formula1>
    </dataValidation>
    <dataValidation type="list" allowBlank="1" showInputMessage="1" showErrorMessage="1" prompt="1 = Summer_x000a_2 = AY or CY _x000a_3 = AY Cost Share" sqref="V11 AD11" xr:uid="{00000000-0002-0000-0000-00000E000000}">
      <formula1>EffortType</formula1>
    </dataValidation>
    <dataValidation type="list" allowBlank="1" showInputMessage="1" showErrorMessage="1" sqref="H125" xr:uid="{00000000-0002-0000-0000-000010000000}">
      <formula1>YesNo</formula1>
    </dataValidation>
    <dataValidation type="list" allowBlank="1" showInputMessage="1" showErrorMessage="1" error="Please select from unit list, to select tuition correctly." prompt="Select COE School or other Unit" sqref="C29:C43" xr:uid="{00000000-0002-0000-0000-000011000000}">
      <formula1>Unit</formula1>
    </dataValidation>
    <dataValidation type="list" allowBlank="1" showInputMessage="1" sqref="S11:S25" xr:uid="{00000000-0002-0000-0000-000017000000}">
      <formula1>SP_Titles</formula1>
    </dataValidation>
    <dataValidation allowBlank="1" showErrorMessage="1" sqref="I68:N82" xr:uid="{00000000-0002-0000-0000-00000C000000}"/>
    <dataValidation type="list" allowBlank="1" showInputMessage="1" showErrorMessage="1" error="Enter Yes or leave blank if No" sqref="H68:H82" xr:uid="{00000000-0002-0000-0000-00000F000000}">
      <formula1>YesNo</formula1>
    </dataValidation>
    <dataValidation type="list" errorStyle="warning" allowBlank="1" showInputMessage="1" error="Actual destination should be listed with the Purpose, if known. " prompt="Select Destination Type._x000a_If you must budget for a specific destination, enter lodging/per diem cost directly in Travel tab. " sqref="C68:C82" xr:uid="{CB6807C0-9B8E-48C4-BCAE-78EB8447BFA9}">
      <formula1>Destination</formula1>
    </dataValidation>
    <dataValidation type="list" errorStyle="warning" showInputMessage="1" showErrorMessage="1" error="You have entered a sponsor-limited F&amp;A rate. _x000a_If you want to include unrecovered indirects as cost share in the budget, then enter YES in the next colored cell to the right." prompt="If no indirects allowed, enter 0. or 0.0 to avoid selecting another rate that ends in 0" sqref="F125" xr:uid="{1C623F40-0A5C-4BC2-AA99-4B097FF4BAE7}">
      <formula1>FA_Rate</formula1>
    </dataValidation>
  </dataValidations>
  <pageMargins left="0.7" right="0.7" top="0.75" bottom="0.75" header="0.3" footer="0.3"/>
  <pageSetup orientation="portrait" r:id="rId1"/>
  <ignoredErrors>
    <ignoredError sqref="I8:N8 O7 D46:D48 E135:E137 E138:E140 E141:E164"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84177" r:id="rId4" name="Button 209">
              <controlPr defaultSize="0" print="0" autoFill="0" autoPict="0" macro="[0]!b_RowsShowAll_ThisSheet">
                <anchor moveWithCells="1">
                  <from>
                    <xdr:col>1</xdr:col>
                    <xdr:colOff>104775</xdr:colOff>
                    <xdr:row>7</xdr:row>
                    <xdr:rowOff>76200</xdr:rowOff>
                  </from>
                  <to>
                    <xdr:col>1</xdr:col>
                    <xdr:colOff>1162050</xdr:colOff>
                    <xdr:row>8</xdr:row>
                    <xdr:rowOff>161925</xdr:rowOff>
                  </to>
                </anchor>
              </controlPr>
            </control>
          </mc:Choice>
        </mc:AlternateContent>
        <mc:AlternateContent xmlns:mc="http://schemas.openxmlformats.org/markup-compatibility/2006">
          <mc:Choice Requires="x14">
            <control shapeId="84178" r:id="rId5" name="Button 210">
              <controlPr defaultSize="0" print="0" autoFill="0" autoPict="0" macro="[0]!RowsDataInputHide">
                <anchor moveWithCells="1">
                  <from>
                    <xdr:col>1</xdr:col>
                    <xdr:colOff>1257300</xdr:colOff>
                    <xdr:row>7</xdr:row>
                    <xdr:rowOff>76200</xdr:rowOff>
                  </from>
                  <to>
                    <xdr:col>3</xdr:col>
                    <xdr:colOff>209550</xdr:colOff>
                    <xdr:row>8</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7" id="{E7AA1624-8403-41F4-91DF-0F94DFD65174}">
            <xm:f>OR($S11='Reference Sheet'!$A$4,$S11='Reference Sheet'!$A$5)</xm:f>
            <x14:dxf>
              <fill>
                <patternFill>
                  <bgColor theme="7"/>
                </patternFill>
              </fill>
            </x14:dxf>
          </x14:cfRule>
          <xm:sqref>T11:T25</xm:sqref>
        </x14:conditionalFormatting>
      </x14:conditionalFormattings>
    </ext>
    <ext xmlns:x14="http://schemas.microsoft.com/office/spreadsheetml/2009/9/main" uri="{CCE6A557-97BC-4b89-ADB6-D9C93CAAB3DF}">
      <x14:dataValidations xmlns:xm="http://schemas.microsoft.com/office/excel/2006/main" xWindow="201" yWindow="728" count="5">
        <x14:dataValidation type="list" allowBlank="1" showInputMessage="1" xr:uid="{00000000-0002-0000-0000-000012000000}">
          <x14:formula1>
            <xm:f>'Reference Sheet'!$H$4:$H$5</xm:f>
          </x14:formula1>
          <xm:sqref>G11:G25</xm:sqref>
        </x14:dataValidation>
        <x14:dataValidation type="list" allowBlank="1" showInputMessage="1" showErrorMessage="1" xr:uid="{00000000-0002-0000-0000-000014000000}">
          <x14:formula1>
            <xm:f>'Reference Sheet'!$L$3:$L$4</xm:f>
          </x14:formula1>
          <xm:sqref>G2</xm:sqref>
        </x14:dataValidation>
        <x14:dataValidation type="list" allowBlank="1" showInputMessage="1" showErrorMessage="1" xr:uid="{00000000-0002-0000-0000-000013000000}">
          <x14:formula1>
            <xm:f>'Reference Sheet'!#REF!</xm:f>
          </x14:formula1>
          <xm:sqref>E46:E48</xm:sqref>
        </x14:dataValidation>
        <x14:dataValidation type="list" allowBlank="1" showInputMessage="1" showErrorMessage="1" xr:uid="{00000000-0002-0000-0000-000015000000}">
          <x14:formula1>
            <xm:f>'Reference Sheet'!$H$36:$H$37</xm:f>
          </x14:formula1>
          <xm:sqref>E29:E43</xm:sqref>
        </x14:dataValidation>
        <x14:dataValidation type="list" allowBlank="1" showInputMessage="1" showErrorMessage="1" xr:uid="{00000000-0002-0000-0000-000016000000}">
          <x14:formula1>
            <xm:f>'Reference Sheet'!$D$40:$D$55</xm:f>
          </x14:formula1>
          <xm:sqref>C26:C27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9" tint="-0.249977111117893"/>
  </sheetPr>
  <dimension ref="A1:HH369"/>
  <sheetViews>
    <sheetView showGridLines="0" tabSelected="1" zoomScaleNormal="100" workbookViewId="0">
      <pane xSplit="2" ySplit="13" topLeftCell="C157" activePane="bottomRight" state="frozen"/>
      <selection activeCell="C6" sqref="C6"/>
      <selection pane="topRight" activeCell="C6" sqref="C6"/>
      <selection pane="bottomLeft" activeCell="C6" sqref="C6"/>
      <selection pane="bottomRight" activeCell="J227" sqref="J227"/>
    </sheetView>
  </sheetViews>
  <sheetFormatPr defaultColWidth="8.85546875" defaultRowHeight="15" customHeight="1" x14ac:dyDescent="0.25"/>
  <cols>
    <col min="1" max="1" width="4.140625" style="1" bestFit="1" customWidth="1"/>
    <col min="2" max="2" width="20" style="1" customWidth="1"/>
    <col min="3" max="3" width="26" style="1" customWidth="1"/>
    <col min="4" max="9" width="11.7109375" style="1" hidden="1" customWidth="1"/>
    <col min="10" max="10" width="20.7109375" style="14" customWidth="1"/>
    <col min="11" max="11" width="12.7109375" style="1" hidden="1" customWidth="1"/>
    <col min="12" max="12" width="14.140625" style="1" hidden="1" customWidth="1"/>
    <col min="13" max="13" width="10.5703125" style="1" customWidth="1"/>
    <col min="14" max="19" width="11.7109375" style="1" hidden="1" customWidth="1"/>
    <col min="20" max="20" width="11.7109375" style="14" hidden="1" customWidth="1"/>
    <col min="21" max="21" width="11.7109375" hidden="1" customWidth="1"/>
    <col min="22" max="27" width="11.7109375" style="1" hidden="1" customWidth="1"/>
    <col min="28" max="28" width="11.7109375" style="14" hidden="1" customWidth="1"/>
    <col min="29" max="35" width="11.7109375" style="1" hidden="1" customWidth="1"/>
    <col min="36" max="36" width="11.7109375" style="14" hidden="1" customWidth="1"/>
    <col min="37" max="43" width="11.7109375" style="1" hidden="1" customWidth="1"/>
    <col min="44" max="44" width="11.7109375" style="14" hidden="1" customWidth="1"/>
    <col min="45" max="51" width="11.7109375" style="1" hidden="1" customWidth="1"/>
    <col min="52" max="52" width="11.7109375" style="14" hidden="1" customWidth="1"/>
    <col min="53" max="59" width="11.7109375" style="1" hidden="1" customWidth="1"/>
    <col min="60" max="60" width="11.7109375" style="14" hidden="1" customWidth="1"/>
    <col min="61" max="61" width="21.85546875" style="1" hidden="1" customWidth="1"/>
    <col min="62" max="67" width="11.7109375" style="1" hidden="1" customWidth="1"/>
    <col min="68" max="68" width="12.7109375" style="14" hidden="1" customWidth="1"/>
    <col min="69" max="69" width="10.7109375" style="1" hidden="1" customWidth="1"/>
    <col min="70" max="75" width="12.7109375" style="1" hidden="1" customWidth="1"/>
    <col min="76" max="76" width="12.7109375" style="14" hidden="1" customWidth="1"/>
    <col min="77" max="77" width="13.7109375" style="14" hidden="1" customWidth="1"/>
    <col min="78" max="78" width="21.42578125" style="14" hidden="1" customWidth="1"/>
    <col min="79" max="79" width="12.85546875" customWidth="1"/>
    <col min="80" max="80" width="13.28515625" style="1" hidden="1" customWidth="1"/>
    <col min="81" max="84" width="11.85546875" style="1" hidden="1" customWidth="1"/>
    <col min="85" max="85" width="12.7109375" style="1" hidden="1" customWidth="1"/>
    <col min="86" max="86" width="11.85546875" style="1" hidden="1" customWidth="1"/>
    <col min="87" max="87" width="12.7109375" style="1" hidden="1" customWidth="1"/>
    <col min="88" max="89" width="11.85546875" style="1" hidden="1" customWidth="1"/>
    <col min="90" max="90" width="12.7109375" style="1" hidden="1" customWidth="1"/>
    <col min="91" max="93" width="11.85546875" style="1" hidden="1" customWidth="1"/>
    <col min="94" max="94" width="13.85546875" style="1" hidden="1" customWidth="1"/>
    <col min="95" max="96" width="8.85546875" style="1" hidden="1" customWidth="1"/>
    <col min="97" max="102" width="12.42578125" style="1" hidden="1" customWidth="1"/>
    <col min="103" max="105" width="15.28515625" style="1" hidden="1" customWidth="1"/>
    <col min="106" max="106" width="9.7109375" style="1" hidden="1" customWidth="1"/>
    <col min="107" max="109" width="12.42578125" style="1" hidden="1" customWidth="1"/>
    <col min="110" max="110" width="8.85546875" style="1" hidden="1" customWidth="1"/>
    <col min="111" max="123" width="12.42578125" style="1" hidden="1" customWidth="1"/>
    <col min="124" max="124" width="8.85546875" style="1" hidden="1" customWidth="1"/>
    <col min="125" max="137" width="12.42578125" style="1" hidden="1" customWidth="1"/>
    <col min="138" max="138" width="0" style="1" hidden="1" customWidth="1"/>
    <col min="139" max="139" width="4.140625" style="1" hidden="1" customWidth="1"/>
    <col min="140" max="140" width="20" style="1" hidden="1" customWidth="1"/>
    <col min="141" max="141" width="26" style="1" hidden="1" customWidth="1"/>
    <col min="142" max="147" width="11.7109375" style="1" hidden="1" customWidth="1"/>
    <col min="148" max="148" width="20.7109375" style="14" hidden="1" customWidth="1"/>
    <col min="149" max="149" width="12.7109375" style="1" hidden="1" customWidth="1"/>
    <col min="150" max="150" width="14.140625" style="1" hidden="1" customWidth="1"/>
    <col min="151" max="151" width="10.5703125" style="1" customWidth="1"/>
    <col min="152" max="157" width="11.7109375" style="1" hidden="1" customWidth="1"/>
    <col min="158" max="158" width="11.7109375" style="14" hidden="1" customWidth="1"/>
    <col min="159" max="159" width="11.7109375" hidden="1" customWidth="1"/>
    <col min="160" max="165" width="11.7109375" style="1" hidden="1" customWidth="1"/>
    <col min="166" max="166" width="11.7109375" style="14" hidden="1" customWidth="1"/>
    <col min="167" max="173" width="11.7109375" style="1" hidden="1" customWidth="1"/>
    <col min="174" max="174" width="11.7109375" style="14" hidden="1" customWidth="1"/>
    <col min="175" max="181" width="11.7109375" style="1" hidden="1" customWidth="1"/>
    <col min="182" max="182" width="11.7109375" style="14" hidden="1" customWidth="1"/>
    <col min="183" max="189" width="11.7109375" style="1" hidden="1" customWidth="1"/>
    <col min="190" max="190" width="11.7109375" style="14" hidden="1" customWidth="1"/>
    <col min="191" max="197" width="11.7109375" style="1" hidden="1" customWidth="1"/>
    <col min="198" max="198" width="11.7109375" style="14" hidden="1" customWidth="1"/>
    <col min="199" max="199" width="21.85546875" style="1" hidden="1" customWidth="1"/>
    <col min="200" max="205" width="11.7109375" style="1" hidden="1" customWidth="1"/>
    <col min="206" max="206" width="12.7109375" style="14" hidden="1" customWidth="1"/>
    <col min="207" max="207" width="10.7109375" style="1" hidden="1" customWidth="1"/>
    <col min="208" max="213" width="12.7109375" style="1" hidden="1" customWidth="1"/>
    <col min="214" max="214" width="12.7109375" style="14" hidden="1" customWidth="1"/>
    <col min="215" max="215" width="13.7109375" style="14" hidden="1" customWidth="1"/>
    <col min="216" max="216" width="21.42578125" style="14" customWidth="1"/>
    <col min="217" max="16384" width="8.85546875" style="1"/>
  </cols>
  <sheetData>
    <row r="1" spans="1:216" ht="15.75" thickBot="1" x14ac:dyDescent="0.3">
      <c r="B1" s="3002" t="s">
        <v>107</v>
      </c>
      <c r="C1" s="821" t="str">
        <f ca="1">'Calc - SENIOR PERS'!B6</f>
        <v>Virag Mishra</v>
      </c>
      <c r="J1" s="838" t="s">
        <v>626</v>
      </c>
      <c r="K1" s="824" t="s">
        <v>62</v>
      </c>
      <c r="L1" s="830" t="s">
        <v>311</v>
      </c>
      <c r="M1" s="103"/>
      <c r="T1" s="1"/>
      <c r="U1" s="1"/>
      <c r="AB1" s="1"/>
      <c r="AJ1" s="1"/>
      <c r="AR1" s="1"/>
      <c r="AZ1" s="1"/>
      <c r="BH1" s="1"/>
      <c r="BP1" s="1"/>
      <c r="BX1" s="1"/>
      <c r="BY1" s="1"/>
      <c r="EJ1" s="3002" t="s">
        <v>107</v>
      </c>
      <c r="EK1" s="821" t="str">
        <f t="shared" ref="EK1:EK9" ca="1" si="0">C1</f>
        <v>Virag Mishra</v>
      </c>
      <c r="ER1" s="838" t="s">
        <v>626</v>
      </c>
      <c r="ES1" s="824" t="s">
        <v>62</v>
      </c>
      <c r="ET1" s="830" t="s">
        <v>311</v>
      </c>
      <c r="EU1" s="103"/>
      <c r="FB1" s="1"/>
      <c r="FC1" s="1"/>
      <c r="FJ1" s="1"/>
      <c r="FR1" s="1"/>
      <c r="FZ1" s="1"/>
      <c r="GH1" s="1"/>
      <c r="GP1" s="1"/>
      <c r="GX1" s="1"/>
      <c r="HF1" s="1"/>
      <c r="HG1" s="1"/>
    </row>
    <row r="2" spans="1:216" ht="15.75" thickBot="1" x14ac:dyDescent="0.3">
      <c r="B2" s="3003" t="s">
        <v>1039</v>
      </c>
      <c r="C2" s="823" t="str">
        <f>'DATA INPUT'!C3</f>
        <v>N/A</v>
      </c>
      <c r="J2" s="826" t="s">
        <v>375</v>
      </c>
      <c r="K2" s="828">
        <f ca="1">J156</f>
        <v>46610.467971999999</v>
      </c>
      <c r="L2" s="831">
        <f ca="1">BX156</f>
        <v>0</v>
      </c>
      <c r="M2" s="103"/>
      <c r="T2" s="1"/>
      <c r="U2" s="1"/>
      <c r="AB2" s="1"/>
      <c r="AJ2" s="1"/>
      <c r="AR2" s="1"/>
      <c r="AZ2" s="1"/>
      <c r="BH2" s="1"/>
      <c r="BP2" s="1"/>
      <c r="BX2" s="1"/>
      <c r="BY2" s="1"/>
      <c r="CB2" s="228" t="s">
        <v>631</v>
      </c>
      <c r="EJ2" s="3003" t="s">
        <v>1039</v>
      </c>
      <c r="EK2" s="823" t="str">
        <f t="shared" si="0"/>
        <v>N/A</v>
      </c>
      <c r="ER2" s="826" t="s">
        <v>375</v>
      </c>
      <c r="ES2" s="828">
        <f ca="1">ER156</f>
        <v>46610</v>
      </c>
      <c r="ET2" s="831">
        <f ca="1">HF156</f>
        <v>0</v>
      </c>
      <c r="EU2" s="103"/>
      <c r="FB2" s="1"/>
      <c r="FC2" s="1"/>
      <c r="FJ2" s="1"/>
      <c r="FR2" s="1"/>
      <c r="FZ2" s="1"/>
      <c r="GH2" s="1"/>
      <c r="GP2" s="1"/>
      <c r="GX2" s="1"/>
      <c r="HF2" s="1"/>
      <c r="HG2" s="1"/>
    </row>
    <row r="3" spans="1:216" ht="25.5" customHeight="1" thickBot="1" x14ac:dyDescent="0.3">
      <c r="B3" s="311" t="s">
        <v>632</v>
      </c>
      <c r="C3" s="231" t="str">
        <f>'DATA INPUT'!C2</f>
        <v>HCSS</v>
      </c>
      <c r="J3" s="827" t="s">
        <v>146</v>
      </c>
      <c r="K3" s="829">
        <f>J165</f>
        <v>0</v>
      </c>
      <c r="L3" s="832">
        <f>BX165</f>
        <v>0</v>
      </c>
      <c r="M3" s="103"/>
      <c r="T3" s="1"/>
      <c r="U3" s="1"/>
      <c r="AB3" s="1"/>
      <c r="AJ3" s="1"/>
      <c r="AR3" s="1"/>
      <c r="AZ3" s="1"/>
      <c r="BH3" s="1"/>
      <c r="BP3" s="1"/>
      <c r="BX3" s="1"/>
      <c r="BY3" s="1"/>
      <c r="EJ3" s="311" t="s">
        <v>632</v>
      </c>
      <c r="EK3" s="231" t="str">
        <f t="shared" si="0"/>
        <v>HCSS</v>
      </c>
      <c r="EL3" s="3453" t="s">
        <v>721</v>
      </c>
      <c r="EM3" s="3454"/>
      <c r="ER3" s="827" t="s">
        <v>146</v>
      </c>
      <c r="ES3" s="829">
        <f>ER165</f>
        <v>0</v>
      </c>
      <c r="ET3" s="832">
        <f>HF165</f>
        <v>0</v>
      </c>
      <c r="EU3" s="103"/>
      <c r="FB3" s="1"/>
      <c r="FC3" s="1"/>
      <c r="FJ3" s="1"/>
      <c r="FR3" s="1"/>
      <c r="FZ3" s="1"/>
      <c r="GH3" s="1"/>
      <c r="GP3" s="1"/>
      <c r="GX3" s="1"/>
      <c r="HF3" s="1"/>
      <c r="HG3" s="1"/>
    </row>
    <row r="4" spans="1:216" ht="15" customHeight="1" thickBot="1" x14ac:dyDescent="0.3">
      <c r="B4" s="314" t="s">
        <v>10</v>
      </c>
      <c r="C4" s="318">
        <f>'DATA INPUT'!C4</f>
        <v>46478</v>
      </c>
      <c r="J4" s="827" t="s">
        <v>12</v>
      </c>
      <c r="K4" s="829">
        <f ca="1">J170</f>
        <v>2489.87</v>
      </c>
      <c r="L4" s="832">
        <f>BX170</f>
        <v>0</v>
      </c>
      <c r="M4" s="103"/>
      <c r="N4" s="3199" t="s">
        <v>138</v>
      </c>
      <c r="O4" s="3200"/>
      <c r="P4" s="3200"/>
      <c r="Q4" s="3200"/>
      <c r="R4" s="3200"/>
      <c r="S4" s="3200"/>
      <c r="T4" s="3200"/>
      <c r="U4" s="3200"/>
      <c r="V4" s="3200"/>
      <c r="W4" s="3200"/>
      <c r="X4" s="3200"/>
      <c r="Y4" s="3200"/>
      <c r="Z4" s="3200"/>
      <c r="AA4" s="3200"/>
      <c r="AB4" s="3200"/>
      <c r="AC4" s="3200"/>
      <c r="AD4" s="3200"/>
      <c r="AE4" s="3200"/>
      <c r="AF4" s="3200"/>
      <c r="AG4" s="3200"/>
      <c r="AH4" s="3200"/>
      <c r="AI4" s="3200"/>
      <c r="AJ4" s="3200"/>
      <c r="AK4" s="3200"/>
      <c r="AL4" s="3200"/>
      <c r="AM4" s="3200"/>
      <c r="AN4" s="3200"/>
      <c r="AO4" s="3200"/>
      <c r="AP4" s="3200"/>
      <c r="AQ4" s="3200"/>
      <c r="AR4" s="3200"/>
      <c r="AS4" s="3200"/>
      <c r="AT4" s="3200"/>
      <c r="AU4" s="3200"/>
      <c r="AV4" s="3200"/>
      <c r="AW4" s="3200"/>
      <c r="AX4" s="3200"/>
      <c r="AY4" s="3200"/>
      <c r="AZ4" s="3200"/>
      <c r="BA4" s="3200"/>
      <c r="BB4" s="3200"/>
      <c r="BC4" s="3200"/>
      <c r="BD4" s="3200"/>
      <c r="BE4" s="3200"/>
      <c r="BF4" s="3200"/>
      <c r="BG4" s="3200"/>
      <c r="BH4" s="3200"/>
      <c r="BI4" s="3200"/>
      <c r="BJ4" s="3200"/>
      <c r="BK4" s="3200"/>
      <c r="BL4" s="3200"/>
      <c r="BM4" s="3200"/>
      <c r="BN4" s="3200"/>
      <c r="BO4" s="3200"/>
      <c r="BP4" s="3200"/>
      <c r="BQ4" s="3200"/>
      <c r="BR4" s="3200"/>
      <c r="BS4" s="3200"/>
      <c r="BT4" s="3200"/>
      <c r="BU4" s="3200"/>
      <c r="BV4" s="3200"/>
      <c r="BW4" s="3200"/>
      <c r="BX4" s="3200"/>
      <c r="BY4" s="3201"/>
      <c r="BZ4" s="103"/>
      <c r="CB4" s="3430" t="s">
        <v>663</v>
      </c>
      <c r="CC4" s="3431"/>
      <c r="CD4" s="3431"/>
      <c r="CE4" s="3431"/>
      <c r="CF4" s="3431"/>
      <c r="CG4" s="3431"/>
      <c r="CH4" s="3431"/>
      <c r="CI4" s="3431"/>
      <c r="CJ4" s="3431"/>
      <c r="CK4" s="3431"/>
      <c r="CL4" s="3431"/>
      <c r="CM4" s="3431"/>
      <c r="CN4" s="3431"/>
      <c r="CO4" s="3431"/>
      <c r="CP4" s="3432"/>
      <c r="CS4" s="3436" t="s">
        <v>662</v>
      </c>
      <c r="CT4" s="3437"/>
      <c r="CU4" s="3437"/>
      <c r="CV4" s="3437"/>
      <c r="CW4" s="3437"/>
      <c r="CX4" s="3437"/>
      <c r="CY4" s="3437"/>
      <c r="CZ4" s="3437"/>
      <c r="DA4" s="3437"/>
      <c r="DB4" s="3437"/>
      <c r="DC4" s="3437"/>
      <c r="DD4" s="3437"/>
      <c r="DE4" s="3437"/>
      <c r="DF4" s="3437"/>
      <c r="DG4" s="3437"/>
      <c r="DH4" s="3437"/>
      <c r="DI4" s="3437"/>
      <c r="DJ4" s="3437"/>
      <c r="DK4" s="3437"/>
      <c r="DL4" s="3437"/>
      <c r="DM4" s="3437"/>
      <c r="DN4" s="3437"/>
      <c r="DO4" s="3437"/>
      <c r="DP4" s="3437"/>
      <c r="DQ4" s="3437"/>
      <c r="DR4" s="3437"/>
      <c r="DS4" s="3437"/>
      <c r="DT4" s="3437"/>
      <c r="DU4" s="3437"/>
      <c r="DV4" s="3437"/>
      <c r="DW4" s="3437"/>
      <c r="DX4" s="3437"/>
      <c r="DY4" s="3437"/>
      <c r="DZ4" s="3437"/>
      <c r="EA4" s="3437"/>
      <c r="EB4" s="3437"/>
      <c r="EC4" s="3437"/>
      <c r="ED4" s="3437"/>
      <c r="EE4" s="3437"/>
      <c r="EF4" s="3437"/>
      <c r="EG4" s="3438"/>
      <c r="EJ4" s="314" t="s">
        <v>10</v>
      </c>
      <c r="EK4" s="318">
        <f t="shared" si="0"/>
        <v>46478</v>
      </c>
      <c r="EL4" s="3453"/>
      <c r="EM4" s="3454"/>
      <c r="ER4" s="827" t="s">
        <v>12</v>
      </c>
      <c r="ES4" s="829">
        <f ca="1">ER170</f>
        <v>2490</v>
      </c>
      <c r="ET4" s="832">
        <f>HF170</f>
        <v>0</v>
      </c>
      <c r="EU4" s="103"/>
      <c r="EV4" s="3199" t="s">
        <v>844</v>
      </c>
      <c r="EW4" s="3200"/>
      <c r="EX4" s="3200"/>
      <c r="EY4" s="3200"/>
      <c r="EZ4" s="3200"/>
      <c r="FA4" s="3200"/>
      <c r="FB4" s="3200"/>
      <c r="FC4" s="3200"/>
      <c r="FD4" s="3200"/>
      <c r="FE4" s="3200"/>
      <c r="FF4" s="3200"/>
      <c r="FG4" s="3200"/>
      <c r="FH4" s="3200"/>
      <c r="FI4" s="3200"/>
      <c r="FJ4" s="3200"/>
      <c r="FK4" s="3200"/>
      <c r="FL4" s="3200"/>
      <c r="FM4" s="3200"/>
      <c r="FN4" s="3200"/>
      <c r="FO4" s="3200"/>
      <c r="FP4" s="3200"/>
      <c r="FQ4" s="3200"/>
      <c r="FR4" s="3200"/>
      <c r="FS4" s="3200"/>
      <c r="FT4" s="3200"/>
      <c r="FU4" s="3200"/>
      <c r="FV4" s="3200"/>
      <c r="FW4" s="3200"/>
      <c r="FX4" s="3200"/>
      <c r="FY4" s="3200"/>
      <c r="FZ4" s="3200"/>
      <c r="GA4" s="3200"/>
      <c r="GB4" s="3200"/>
      <c r="GC4" s="3200"/>
      <c r="GD4" s="3200"/>
      <c r="GE4" s="3200"/>
      <c r="GF4" s="3200"/>
      <c r="GG4" s="3200"/>
      <c r="GH4" s="3200"/>
      <c r="GI4" s="3200"/>
      <c r="GJ4" s="3200"/>
      <c r="GK4" s="3200"/>
      <c r="GL4" s="3200"/>
      <c r="GM4" s="3200"/>
      <c r="GN4" s="3200"/>
      <c r="GO4" s="3200"/>
      <c r="GP4" s="3200"/>
      <c r="GQ4" s="3200"/>
      <c r="GR4" s="3200"/>
      <c r="GS4" s="3200"/>
      <c r="GT4" s="3200"/>
      <c r="GU4" s="3200"/>
      <c r="GV4" s="3200"/>
      <c r="GW4" s="3200"/>
      <c r="GX4" s="3200"/>
      <c r="GY4" s="3200"/>
      <c r="GZ4" s="3200"/>
      <c r="HA4" s="3200"/>
      <c r="HB4" s="3200"/>
      <c r="HC4" s="3200"/>
      <c r="HD4" s="3200"/>
      <c r="HE4" s="3200"/>
      <c r="HF4" s="3200"/>
      <c r="HG4" s="3201"/>
      <c r="HH4" s="103"/>
    </row>
    <row r="5" spans="1:216" ht="15" customHeight="1" thickBot="1" x14ac:dyDescent="0.3">
      <c r="A5"/>
      <c r="B5" s="315" t="s">
        <v>9</v>
      </c>
      <c r="C5" s="319">
        <f>'DATA INPUT'!C6</f>
        <v>46843</v>
      </c>
      <c r="J5" s="827" t="s">
        <v>374</v>
      </c>
      <c r="K5" s="829">
        <f>J214</f>
        <v>0</v>
      </c>
      <c r="L5" s="832">
        <f>BX214</f>
        <v>0</v>
      </c>
      <c r="M5" s="103"/>
      <c r="N5" s="3202"/>
      <c r="O5" s="3203"/>
      <c r="P5" s="3203"/>
      <c r="Q5" s="3203"/>
      <c r="R5" s="3203"/>
      <c r="S5" s="3203"/>
      <c r="T5" s="3203"/>
      <c r="U5" s="3203"/>
      <c r="V5" s="3203"/>
      <c r="W5" s="3203"/>
      <c r="X5" s="3203"/>
      <c r="Y5" s="3203"/>
      <c r="Z5" s="3203"/>
      <c r="AA5" s="3203"/>
      <c r="AB5" s="3203"/>
      <c r="AC5" s="3203"/>
      <c r="AD5" s="3203"/>
      <c r="AE5" s="3203"/>
      <c r="AF5" s="3203"/>
      <c r="AG5" s="3203"/>
      <c r="AH5" s="3203"/>
      <c r="AI5" s="3203"/>
      <c r="AJ5" s="3203"/>
      <c r="AK5" s="3203"/>
      <c r="AL5" s="3203"/>
      <c r="AM5" s="3203"/>
      <c r="AN5" s="3203"/>
      <c r="AO5" s="3203"/>
      <c r="AP5" s="3203"/>
      <c r="AQ5" s="3203"/>
      <c r="AR5" s="3203"/>
      <c r="AS5" s="3203"/>
      <c r="AT5" s="3203"/>
      <c r="AU5" s="3203"/>
      <c r="AV5" s="3203"/>
      <c r="AW5" s="3203"/>
      <c r="AX5" s="3203"/>
      <c r="AY5" s="3203"/>
      <c r="AZ5" s="3203"/>
      <c r="BA5" s="3203"/>
      <c r="BB5" s="3203"/>
      <c r="BC5" s="3203"/>
      <c r="BD5" s="3203"/>
      <c r="BE5" s="3203"/>
      <c r="BF5" s="3203"/>
      <c r="BG5" s="3203"/>
      <c r="BH5" s="3203"/>
      <c r="BI5" s="3203"/>
      <c r="BJ5" s="3203"/>
      <c r="BK5" s="3203"/>
      <c r="BL5" s="3203"/>
      <c r="BM5" s="3203"/>
      <c r="BN5" s="3203"/>
      <c r="BO5" s="3203"/>
      <c r="BP5" s="3203"/>
      <c r="BQ5" s="3203"/>
      <c r="BR5" s="3203"/>
      <c r="BS5" s="3203"/>
      <c r="BT5" s="3203"/>
      <c r="BU5" s="3203"/>
      <c r="BV5" s="3203"/>
      <c r="BW5" s="3203"/>
      <c r="BX5" s="3203"/>
      <c r="BY5" s="3204"/>
      <c r="CB5" s="3433"/>
      <c r="CC5" s="3434"/>
      <c r="CD5" s="3434"/>
      <c r="CE5" s="3434"/>
      <c r="CF5" s="3434"/>
      <c r="CG5" s="3434"/>
      <c r="CH5" s="3434"/>
      <c r="CI5" s="3434"/>
      <c r="CJ5" s="3434"/>
      <c r="CK5" s="3434"/>
      <c r="CL5" s="3434"/>
      <c r="CM5" s="3434"/>
      <c r="CN5" s="3434"/>
      <c r="CO5" s="3434"/>
      <c r="CP5" s="3435"/>
      <c r="CS5" s="3439"/>
      <c r="CT5" s="3440"/>
      <c r="CU5" s="3440"/>
      <c r="CV5" s="3440"/>
      <c r="CW5" s="3440"/>
      <c r="CX5" s="3440"/>
      <c r="CY5" s="3440"/>
      <c r="CZ5" s="3440"/>
      <c r="DA5" s="3440"/>
      <c r="DB5" s="3440"/>
      <c r="DC5" s="3440"/>
      <c r="DD5" s="3440"/>
      <c r="DE5" s="3440"/>
      <c r="DF5" s="3440"/>
      <c r="DG5" s="3440"/>
      <c r="DH5" s="3440"/>
      <c r="DI5" s="3440"/>
      <c r="DJ5" s="3440"/>
      <c r="DK5" s="3440"/>
      <c r="DL5" s="3440"/>
      <c r="DM5" s="3440"/>
      <c r="DN5" s="3440"/>
      <c r="DO5" s="3440"/>
      <c r="DP5" s="3440"/>
      <c r="DQ5" s="3440"/>
      <c r="DR5" s="3440"/>
      <c r="DS5" s="3440"/>
      <c r="DT5" s="3440"/>
      <c r="DU5" s="3440"/>
      <c r="DV5" s="3440"/>
      <c r="DW5" s="3440"/>
      <c r="DX5" s="3440"/>
      <c r="DY5" s="3440"/>
      <c r="DZ5" s="3440"/>
      <c r="EA5" s="3440"/>
      <c r="EB5" s="3440"/>
      <c r="EC5" s="3440"/>
      <c r="ED5" s="3440"/>
      <c r="EE5" s="3440"/>
      <c r="EF5" s="3440"/>
      <c r="EG5" s="3441"/>
      <c r="EI5"/>
      <c r="EJ5" s="315" t="s">
        <v>9</v>
      </c>
      <c r="EK5" s="319">
        <f t="shared" si="0"/>
        <v>46843</v>
      </c>
      <c r="EL5" s="3453"/>
      <c r="EM5" s="3454"/>
      <c r="EN5" s="2660"/>
      <c r="EO5" s="2660"/>
      <c r="EP5" s="2660"/>
      <c r="EQ5" s="2661"/>
      <c r="ER5" s="827" t="s">
        <v>374</v>
      </c>
      <c r="ES5" s="829">
        <f>ER214</f>
        <v>0</v>
      </c>
      <c r="ET5" s="832">
        <f>HF214</f>
        <v>0</v>
      </c>
      <c r="EU5" s="103"/>
      <c r="EV5" s="3202"/>
      <c r="EW5" s="3203"/>
      <c r="EX5" s="3203"/>
      <c r="EY5" s="3203"/>
      <c r="EZ5" s="3203"/>
      <c r="FA5" s="3203"/>
      <c r="FB5" s="3203"/>
      <c r="FC5" s="3203"/>
      <c r="FD5" s="3203"/>
      <c r="FE5" s="3203"/>
      <c r="FF5" s="3203"/>
      <c r="FG5" s="3203"/>
      <c r="FH5" s="3203"/>
      <c r="FI5" s="3203"/>
      <c r="FJ5" s="3203"/>
      <c r="FK5" s="3203"/>
      <c r="FL5" s="3203"/>
      <c r="FM5" s="3203"/>
      <c r="FN5" s="3203"/>
      <c r="FO5" s="3203"/>
      <c r="FP5" s="3203"/>
      <c r="FQ5" s="3203"/>
      <c r="FR5" s="3203"/>
      <c r="FS5" s="3203"/>
      <c r="FT5" s="3203"/>
      <c r="FU5" s="3203"/>
      <c r="FV5" s="3203"/>
      <c r="FW5" s="3203"/>
      <c r="FX5" s="3203"/>
      <c r="FY5" s="3203"/>
      <c r="FZ5" s="3203"/>
      <c r="GA5" s="3203"/>
      <c r="GB5" s="3203"/>
      <c r="GC5" s="3203"/>
      <c r="GD5" s="3203"/>
      <c r="GE5" s="3203"/>
      <c r="GF5" s="3203"/>
      <c r="GG5" s="3203"/>
      <c r="GH5" s="3203"/>
      <c r="GI5" s="3203"/>
      <c r="GJ5" s="3203"/>
      <c r="GK5" s="3203"/>
      <c r="GL5" s="3203"/>
      <c r="GM5" s="3203"/>
      <c r="GN5" s="3203"/>
      <c r="GO5" s="3203"/>
      <c r="GP5" s="3203"/>
      <c r="GQ5" s="3203"/>
      <c r="GR5" s="3203"/>
      <c r="GS5" s="3203"/>
      <c r="GT5" s="3203"/>
      <c r="GU5" s="3203"/>
      <c r="GV5" s="3203"/>
      <c r="GW5" s="3203"/>
      <c r="GX5" s="3203"/>
      <c r="GY5" s="3203"/>
      <c r="GZ5" s="3203"/>
      <c r="HA5" s="3203"/>
      <c r="HB5" s="3203"/>
      <c r="HC5" s="3203"/>
      <c r="HD5" s="3203"/>
      <c r="HE5" s="3203"/>
      <c r="HF5" s="3203"/>
      <c r="HG5" s="3204"/>
    </row>
    <row r="6" spans="1:216" ht="15" customHeight="1" thickBot="1" x14ac:dyDescent="0.3">
      <c r="A6"/>
      <c r="B6" s="316" t="s">
        <v>63</v>
      </c>
      <c r="C6" s="473">
        <f>'DATA INPUT'!F2</f>
        <v>46310</v>
      </c>
      <c r="D6" s="9" t="str">
        <f>'DATA INPUT'!G2</f>
        <v>FIRM</v>
      </c>
      <c r="J6" s="840" t="s">
        <v>142</v>
      </c>
      <c r="K6" s="841">
        <f ca="1">J288-J214+J177</f>
        <v>900</v>
      </c>
      <c r="L6" s="842">
        <f>BX288-BX214+BX177</f>
        <v>0</v>
      </c>
      <c r="M6" s="103"/>
      <c r="BP6" s="19"/>
      <c r="BZ6" s="19"/>
      <c r="CB6" s="14" t="s">
        <v>670</v>
      </c>
      <c r="EI6"/>
      <c r="EJ6" s="316" t="s">
        <v>63</v>
      </c>
      <c r="EK6" s="473">
        <f t="shared" si="0"/>
        <v>46310</v>
      </c>
      <c r="EL6" s="3453"/>
      <c r="EM6" s="3454"/>
      <c r="EN6" s="2660"/>
      <c r="EO6" s="2660"/>
      <c r="EP6" s="2660"/>
      <c r="EQ6" s="2661"/>
      <c r="ER6" s="840" t="s">
        <v>142</v>
      </c>
      <c r="ES6" s="841">
        <f ca="1">ER288-ER214+ER177</f>
        <v>900</v>
      </c>
      <c r="ET6" s="842">
        <f>HF288-HF214+HF177</f>
        <v>0</v>
      </c>
      <c r="EU6" s="103"/>
      <c r="GX6" s="19"/>
      <c r="HH6" s="19"/>
    </row>
    <row r="7" spans="1:216" ht="15" customHeight="1" thickBot="1" x14ac:dyDescent="0.3">
      <c r="A7" s="20" t="s">
        <v>7</v>
      </c>
      <c r="B7" s="315" t="s">
        <v>147</v>
      </c>
      <c r="C7" s="1838" t="str">
        <f>'DATA INPUT'!F4</f>
        <v>Robert Kokenyesi</v>
      </c>
      <c r="J7" s="843" t="s">
        <v>226</v>
      </c>
      <c r="K7" s="844">
        <f ca="1">J290</f>
        <v>50000.337972000001</v>
      </c>
      <c r="L7" s="845">
        <f ca="1">BX290</f>
        <v>0</v>
      </c>
      <c r="M7" s="490"/>
      <c r="N7" s="4"/>
      <c r="O7" s="4"/>
      <c r="P7" s="4"/>
      <c r="Q7" s="4"/>
      <c r="R7" s="4"/>
      <c r="S7" s="4"/>
      <c r="T7" s="17" t="s">
        <v>7</v>
      </c>
      <c r="V7" s="4"/>
      <c r="W7" s="4"/>
      <c r="X7" s="4"/>
      <c r="Y7" s="4"/>
      <c r="Z7" s="4"/>
      <c r="AA7" s="4"/>
      <c r="AB7" s="17" t="s">
        <v>7</v>
      </c>
      <c r="AD7" s="4"/>
      <c r="AE7" s="4"/>
      <c r="AF7" s="4"/>
      <c r="AG7" s="4"/>
      <c r="AH7" s="4"/>
      <c r="AI7" s="4"/>
      <c r="AJ7" s="17" t="s">
        <v>7</v>
      </c>
      <c r="AL7" s="4"/>
      <c r="AM7" s="4"/>
      <c r="AN7" s="4"/>
      <c r="AO7" s="4"/>
      <c r="AP7" s="4"/>
      <c r="AQ7" s="4"/>
      <c r="AR7" s="17" t="s">
        <v>7</v>
      </c>
      <c r="AT7" s="4"/>
      <c r="AU7" s="4"/>
      <c r="AV7" s="4"/>
      <c r="AW7" s="4"/>
      <c r="AX7" s="4"/>
      <c r="AY7" s="4"/>
      <c r="AZ7" s="17" t="s">
        <v>7</v>
      </c>
      <c r="BB7" s="4"/>
      <c r="BC7" s="4"/>
      <c r="BD7" s="4"/>
      <c r="BE7" s="4"/>
      <c r="BF7" s="4"/>
      <c r="BG7" s="4"/>
      <c r="BH7" s="17" t="s">
        <v>7</v>
      </c>
      <c r="BJ7" s="4"/>
      <c r="BK7" s="4"/>
      <c r="BL7" s="4"/>
      <c r="BM7" s="4"/>
      <c r="BN7" s="4"/>
      <c r="BO7" s="4"/>
      <c r="BP7" s="17" t="s">
        <v>7</v>
      </c>
      <c r="BX7" s="17" t="s">
        <v>7</v>
      </c>
      <c r="BY7" s="17" t="s">
        <v>7</v>
      </c>
      <c r="BZ7" s="17"/>
      <c r="EI7" s="20" t="s">
        <v>7</v>
      </c>
      <c r="EJ7" s="315" t="s">
        <v>147</v>
      </c>
      <c r="EK7" s="1838" t="str">
        <f t="shared" si="0"/>
        <v>Robert Kokenyesi</v>
      </c>
      <c r="EL7" s="3453"/>
      <c r="EM7" s="3454"/>
      <c r="EN7" s="2660"/>
      <c r="EO7" s="2660"/>
      <c r="EP7" s="2660"/>
      <c r="EQ7" s="2661"/>
      <c r="ER7" s="843" t="s">
        <v>226</v>
      </c>
      <c r="ES7" s="844">
        <f ca="1">ER290</f>
        <v>50000</v>
      </c>
      <c r="ET7" s="845">
        <f ca="1">HF290</f>
        <v>0</v>
      </c>
      <c r="EU7" s="490"/>
      <c r="EV7" s="4"/>
      <c r="EW7" s="4"/>
      <c r="EX7" s="4"/>
      <c r="EY7" s="4"/>
      <c r="EZ7" s="4"/>
      <c r="FA7" s="4"/>
      <c r="FB7" s="17" t="s">
        <v>7</v>
      </c>
      <c r="FD7" s="4"/>
      <c r="FE7" s="4"/>
      <c r="FF7" s="4"/>
      <c r="FG7" s="4"/>
      <c r="FH7" s="4"/>
      <c r="FI7" s="4"/>
      <c r="FJ7" s="17" t="s">
        <v>7</v>
      </c>
      <c r="FL7" s="4"/>
      <c r="FM7" s="4"/>
      <c r="FN7" s="4"/>
      <c r="FO7" s="4"/>
      <c r="FP7" s="4"/>
      <c r="FQ7" s="4"/>
      <c r="FR7" s="17" t="s">
        <v>7</v>
      </c>
      <c r="FT7" s="4"/>
      <c r="FU7" s="4"/>
      <c r="FV7" s="4"/>
      <c r="FW7" s="4"/>
      <c r="FX7" s="4"/>
      <c r="FY7" s="4"/>
      <c r="FZ7" s="17" t="s">
        <v>7</v>
      </c>
      <c r="GB7" s="4"/>
      <c r="GC7" s="4"/>
      <c r="GD7" s="4"/>
      <c r="GE7" s="4"/>
      <c r="GF7" s="4"/>
      <c r="GG7" s="4"/>
      <c r="GH7" s="17" t="s">
        <v>7</v>
      </c>
      <c r="GJ7" s="4"/>
      <c r="GK7" s="4"/>
      <c r="GL7" s="4"/>
      <c r="GM7" s="4"/>
      <c r="GN7" s="4"/>
      <c r="GO7" s="4"/>
      <c r="GP7" s="17" t="s">
        <v>7</v>
      </c>
      <c r="GR7" s="4"/>
      <c r="GS7" s="4"/>
      <c r="GT7" s="4"/>
      <c r="GU7" s="4"/>
      <c r="GV7" s="4"/>
      <c r="GW7" s="4"/>
      <c r="GX7" s="17" t="s">
        <v>7</v>
      </c>
      <c r="HF7" s="17" t="s">
        <v>7</v>
      </c>
      <c r="HG7" s="17" t="s">
        <v>7</v>
      </c>
      <c r="HH7" s="17"/>
    </row>
    <row r="8" spans="1:216" ht="15" customHeight="1" thickBot="1" x14ac:dyDescent="0.3">
      <c r="A8" s="4"/>
      <c r="B8" s="317" t="s">
        <v>140</v>
      </c>
      <c r="C8" s="474">
        <f>'DATA INPUT'!R2</f>
        <v>0</v>
      </c>
      <c r="J8" s="840" t="s">
        <v>373</v>
      </c>
      <c r="K8" s="841">
        <f ca="1">J293</f>
        <v>0</v>
      </c>
      <c r="L8" s="842">
        <f ca="1">BX293</f>
        <v>0</v>
      </c>
      <c r="M8" s="1008" t="str">
        <f ca="1">IF(($L$8=$J$299)*AND($L$8&gt;0),"Unrecovered F&amp;A only","")</f>
        <v/>
      </c>
      <c r="N8" s="4"/>
      <c r="O8" s="4"/>
      <c r="P8" s="4"/>
      <c r="Q8" s="4"/>
      <c r="R8" s="4"/>
      <c r="S8" s="4"/>
      <c r="T8" s="17"/>
      <c r="V8" s="4"/>
      <c r="W8" s="4"/>
      <c r="X8" s="4"/>
      <c r="Y8" s="4"/>
      <c r="Z8" s="4"/>
      <c r="AA8" s="4"/>
      <c r="AB8" s="17"/>
      <c r="AD8" s="4"/>
      <c r="AE8" s="4"/>
      <c r="AF8" s="4"/>
      <c r="AG8" s="4"/>
      <c r="AH8" s="4"/>
      <c r="AI8" s="4"/>
      <c r="AJ8" s="17"/>
      <c r="AL8" s="4"/>
      <c r="AM8" s="4"/>
      <c r="AN8" s="4"/>
      <c r="AO8" s="4"/>
      <c r="AP8" s="4"/>
      <c r="AQ8" s="4"/>
      <c r="AR8" s="17"/>
      <c r="AT8" s="4"/>
      <c r="AU8" s="4"/>
      <c r="AV8" s="4"/>
      <c r="AW8" s="4"/>
      <c r="AX8" s="4"/>
      <c r="AY8" s="4"/>
      <c r="AZ8" s="17"/>
      <c r="BB8" s="4"/>
      <c r="BC8" s="4"/>
      <c r="BD8" s="4"/>
      <c r="BE8" s="4"/>
      <c r="BF8" s="4"/>
      <c r="BG8" s="4"/>
      <c r="BH8" s="17"/>
      <c r="BJ8" s="4"/>
      <c r="BK8" s="4"/>
      <c r="BL8" s="4"/>
      <c r="BM8" s="4"/>
      <c r="BN8" s="4"/>
      <c r="BO8" s="4"/>
      <c r="BP8" s="17"/>
      <c r="BX8" s="17"/>
      <c r="BY8" s="17"/>
      <c r="BZ8" s="17"/>
      <c r="CB8" s="230" t="s">
        <v>148</v>
      </c>
      <c r="CC8" s="3250" t="s">
        <v>149</v>
      </c>
      <c r="CD8" s="3251"/>
      <c r="CE8" s="3251"/>
      <c r="CF8" s="3251"/>
      <c r="CG8" s="3252"/>
      <c r="CH8" s="3247" t="s">
        <v>150</v>
      </c>
      <c r="CI8" s="3248"/>
      <c r="CJ8" s="3248"/>
      <c r="CK8" s="3248"/>
      <c r="CL8" s="3249"/>
      <c r="CM8" s="3244" t="s">
        <v>151</v>
      </c>
      <c r="CN8" s="3245"/>
      <c r="CO8" s="3246"/>
      <c r="CP8" s="265"/>
      <c r="EI8" s="4"/>
      <c r="EJ8" s="317" t="s">
        <v>140</v>
      </c>
      <c r="EK8" s="474">
        <f t="shared" si="0"/>
        <v>0</v>
      </c>
      <c r="EL8" s="3453"/>
      <c r="EM8" s="3454"/>
      <c r="EN8" s="2660"/>
      <c r="EO8" s="2660"/>
      <c r="EP8" s="2660"/>
      <c r="EQ8" s="2661"/>
      <c r="ER8" s="840" t="s">
        <v>373</v>
      </c>
      <c r="ES8" s="841">
        <f ca="1">ER293</f>
        <v>0</v>
      </c>
      <c r="ET8" s="842">
        <f ca="1">HF293</f>
        <v>0</v>
      </c>
      <c r="EU8" s="1008" t="str">
        <f ca="1">IF(($L$8=$J$299)*AND($L$8&gt;0),"Unrecovered F&amp;A only","")</f>
        <v/>
      </c>
      <c r="EV8" s="4"/>
      <c r="EW8" s="4"/>
      <c r="EX8" s="4"/>
      <c r="EY8" s="4"/>
      <c r="EZ8" s="4"/>
      <c r="FA8" s="4"/>
      <c r="FB8" s="17"/>
      <c r="FD8" s="4"/>
      <c r="FE8" s="4"/>
      <c r="FF8" s="4"/>
      <c r="FG8" s="4"/>
      <c r="FH8" s="4"/>
      <c r="FI8" s="4"/>
      <c r="FJ8" s="17"/>
      <c r="FL8" s="4"/>
      <c r="FM8" s="4"/>
      <c r="FN8" s="4"/>
      <c r="FO8" s="4"/>
      <c r="FP8" s="4"/>
      <c r="FQ8" s="4"/>
      <c r="FR8" s="17"/>
      <c r="FT8" s="4"/>
      <c r="FU8" s="4"/>
      <c r="FV8" s="4"/>
      <c r="FW8" s="4"/>
      <c r="FX8" s="4"/>
      <c r="FY8" s="4"/>
      <c r="FZ8" s="17"/>
      <c r="GB8" s="4"/>
      <c r="GC8" s="4"/>
      <c r="GD8" s="4"/>
      <c r="GE8" s="4"/>
      <c r="GF8" s="4"/>
      <c r="GG8" s="4"/>
      <c r="GH8" s="17"/>
      <c r="GJ8" s="4"/>
      <c r="GK8" s="4"/>
      <c r="GL8" s="4"/>
      <c r="GM8" s="4"/>
      <c r="GN8" s="4"/>
      <c r="GO8" s="4"/>
      <c r="GP8" s="17"/>
      <c r="GR8" s="4"/>
      <c r="GS8" s="4"/>
      <c r="GT8" s="4"/>
      <c r="GU8" s="4"/>
      <c r="GV8" s="4"/>
      <c r="GW8" s="4"/>
      <c r="GX8" s="17"/>
      <c r="HF8" s="17"/>
      <c r="HG8" s="17"/>
      <c r="HH8" s="17"/>
    </row>
    <row r="9" spans="1:216" ht="16.5" thickTop="1" thickBot="1" x14ac:dyDescent="0.3">
      <c r="A9" s="4"/>
      <c r="B9" s="1009" t="s">
        <v>463</v>
      </c>
      <c r="C9" s="2938">
        <f>'DATA INPUT'!R3</f>
        <v>0</v>
      </c>
      <c r="G9" s="4"/>
      <c r="H9" s="4"/>
      <c r="I9" s="4"/>
      <c r="J9" s="839">
        <f ca="1">IF(C8&gt;0,SUM(K9:L9),K9)</f>
        <v>50000.337972000001</v>
      </c>
      <c r="K9" s="833">
        <f ca="1">J295</f>
        <v>50000.337972000001</v>
      </c>
      <c r="L9" s="834">
        <f ca="1">BX295</f>
        <v>0</v>
      </c>
      <c r="M9" s="103"/>
      <c r="N9" s="326" t="s">
        <v>227</v>
      </c>
      <c r="O9" s="4"/>
      <c r="P9" s="4"/>
      <c r="Q9" s="4"/>
      <c r="R9" s="4"/>
      <c r="S9" s="4"/>
      <c r="T9" s="17"/>
      <c r="V9" s="4"/>
      <c r="W9" s="4"/>
      <c r="X9" s="4"/>
      <c r="Y9" s="4"/>
      <c r="Z9" s="4"/>
      <c r="AA9" s="4"/>
      <c r="AB9" s="17"/>
      <c r="AD9" s="4"/>
      <c r="AE9" s="4"/>
      <c r="AF9" s="4"/>
      <c r="AG9" s="4"/>
      <c r="AH9" s="4"/>
      <c r="AI9" s="4"/>
      <c r="AJ9" s="17"/>
      <c r="AL9" s="4"/>
      <c r="AM9" s="4"/>
      <c r="AN9" s="4"/>
      <c r="AO9" s="4"/>
      <c r="AP9" s="4"/>
      <c r="AQ9" s="4"/>
      <c r="AR9" s="17"/>
      <c r="AT9" s="4"/>
      <c r="AU9" s="4"/>
      <c r="AV9" s="4"/>
      <c r="AW9" s="4"/>
      <c r="AX9" s="4"/>
      <c r="AY9" s="4"/>
      <c r="AZ9" s="17"/>
      <c r="BB9" s="4"/>
      <c r="BC9" s="4"/>
      <c r="BD9" s="4"/>
      <c r="BE9" s="4"/>
      <c r="BF9" s="4"/>
      <c r="BG9" s="4"/>
      <c r="BH9" s="17"/>
      <c r="BJ9" s="4"/>
      <c r="BK9" s="4"/>
      <c r="BL9" s="4"/>
      <c r="BM9" s="4"/>
      <c r="BN9" s="4"/>
      <c r="BO9" s="4"/>
      <c r="BP9" s="17"/>
      <c r="BX9" s="17"/>
      <c r="BY9" s="17"/>
      <c r="BZ9" s="17"/>
      <c r="CB9" s="230" t="s">
        <v>160</v>
      </c>
      <c r="CC9" s="3275" t="s">
        <v>152</v>
      </c>
      <c r="CD9" s="3276"/>
      <c r="CE9" s="3276"/>
      <c r="CF9" s="3276"/>
      <c r="CG9" s="3277"/>
      <c r="CH9" s="3278" t="s">
        <v>153</v>
      </c>
      <c r="CI9" s="3279"/>
      <c r="CJ9" s="3279"/>
      <c r="CK9" s="3279"/>
      <c r="CL9" s="3280"/>
      <c r="CM9" s="3244" t="s">
        <v>154</v>
      </c>
      <c r="CN9" s="3245"/>
      <c r="CO9" s="3246"/>
      <c r="CP9" s="266"/>
      <c r="EI9" s="4"/>
      <c r="EJ9" s="1009" t="s">
        <v>463</v>
      </c>
      <c r="EK9" s="2938">
        <f t="shared" si="0"/>
        <v>0</v>
      </c>
      <c r="EL9" s="3453"/>
      <c r="EM9" s="3454"/>
      <c r="EO9" s="4"/>
      <c r="EP9" s="4"/>
      <c r="EQ9" s="4"/>
      <c r="ER9" s="839">
        <f ca="1">IF(EK8&gt;0,SUM(ES9:HI9),ES9)</f>
        <v>50000</v>
      </c>
      <c r="ES9" s="833">
        <f ca="1">ER295</f>
        <v>50000</v>
      </c>
      <c r="ET9" s="834">
        <f ca="1">HF295</f>
        <v>0</v>
      </c>
      <c r="EU9" s="103"/>
      <c r="EV9" s="326" t="s">
        <v>227</v>
      </c>
      <c r="EW9" s="4"/>
      <c r="EX9" s="4"/>
      <c r="EY9" s="4"/>
      <c r="EZ9" s="4"/>
      <c r="FA9" s="4"/>
      <c r="FB9" s="17"/>
      <c r="FD9" s="4"/>
      <c r="FE9" s="4"/>
      <c r="FF9" s="4"/>
      <c r="FG9" s="4"/>
      <c r="FH9" s="4"/>
      <c r="FI9" s="4"/>
      <c r="FJ9" s="17"/>
      <c r="FL9" s="4"/>
      <c r="FM9" s="4"/>
      <c r="FN9" s="4"/>
      <c r="FO9" s="4"/>
      <c r="FP9" s="4"/>
      <c r="FQ9" s="4"/>
      <c r="FR9" s="17"/>
      <c r="FT9" s="4"/>
      <c r="FU9" s="4"/>
      <c r="FV9" s="4"/>
      <c r="FW9" s="4"/>
      <c r="FX9" s="4"/>
      <c r="FY9" s="4"/>
      <c r="FZ9" s="17"/>
      <c r="GB9" s="4"/>
      <c r="GC9" s="4"/>
      <c r="GD9" s="4"/>
      <c r="GE9" s="4"/>
      <c r="GF9" s="4"/>
      <c r="GG9" s="4"/>
      <c r="GH9" s="17"/>
      <c r="GJ9" s="4"/>
      <c r="GK9" s="4"/>
      <c r="GL9" s="4"/>
      <c r="GM9" s="4"/>
      <c r="GN9" s="4"/>
      <c r="GO9" s="4"/>
      <c r="GP9" s="17"/>
      <c r="GR9" s="4"/>
      <c r="GS9" s="4"/>
      <c r="GT9" s="4"/>
      <c r="GU9" s="4"/>
      <c r="GV9" s="4"/>
      <c r="GW9" s="4"/>
      <c r="GX9" s="17"/>
      <c r="HF9" s="17"/>
      <c r="HG9" s="17"/>
      <c r="HH9" s="17"/>
    </row>
    <row r="10" spans="1:216" ht="15" customHeight="1" thickBot="1" x14ac:dyDescent="0.3">
      <c r="A10" s="4"/>
      <c r="B10" s="312"/>
      <c r="C10" s="313"/>
      <c r="G10" s="4"/>
      <c r="H10" s="4"/>
      <c r="I10" s="4"/>
      <c r="J10" s="835" t="s">
        <v>372</v>
      </c>
      <c r="K10" s="837" t="s">
        <v>62</v>
      </c>
      <c r="L10" s="836" t="s">
        <v>311</v>
      </c>
      <c r="M10" s="490"/>
      <c r="N10" s="906" t="str">
        <f>$N$304</f>
        <v/>
      </c>
      <c r="O10" s="865"/>
      <c r="P10" s="865"/>
      <c r="Q10" s="865"/>
      <c r="R10" s="865"/>
      <c r="S10" s="865"/>
      <c r="T10" s="866"/>
      <c r="V10" s="906" t="str">
        <f>$N$305</f>
        <v/>
      </c>
      <c r="W10" s="865"/>
      <c r="X10" s="865"/>
      <c r="Y10" s="865"/>
      <c r="Z10" s="865"/>
      <c r="AA10" s="865"/>
      <c r="AB10" s="866"/>
      <c r="AD10" s="906" t="str">
        <f>$N$306</f>
        <v/>
      </c>
      <c r="AE10" s="865"/>
      <c r="AF10" s="865"/>
      <c r="AG10" s="865"/>
      <c r="AH10" s="865"/>
      <c r="AI10" s="865"/>
      <c r="AJ10" s="866"/>
      <c r="AL10" s="906" t="str">
        <f>$N$307</f>
        <v/>
      </c>
      <c r="AM10" s="865"/>
      <c r="AN10" s="865"/>
      <c r="AO10" s="865"/>
      <c r="AP10" s="865"/>
      <c r="AQ10" s="865"/>
      <c r="AR10" s="866"/>
      <c r="AT10" s="906" t="str">
        <f>$N$308</f>
        <v/>
      </c>
      <c r="AU10" s="865"/>
      <c r="AV10" s="865"/>
      <c r="AW10" s="865"/>
      <c r="AX10" s="865"/>
      <c r="AY10" s="865"/>
      <c r="AZ10" s="866"/>
      <c r="BB10" s="906" t="str">
        <f>$N$309</f>
        <v/>
      </c>
      <c r="BC10" s="865"/>
      <c r="BD10" s="865"/>
      <c r="BE10" s="865"/>
      <c r="BF10" s="865"/>
      <c r="BG10" s="865"/>
      <c r="BH10" s="866"/>
      <c r="BJ10" s="864" t="s">
        <v>380</v>
      </c>
      <c r="BK10" s="865"/>
      <c r="BL10" s="865"/>
      <c r="BM10" s="865"/>
      <c r="BN10" s="865"/>
      <c r="BO10" s="865"/>
      <c r="BP10" s="866"/>
      <c r="BX10" s="1"/>
      <c r="BY10" s="1"/>
      <c r="BZ10" s="17"/>
      <c r="CB10" s="3253" t="s">
        <v>664</v>
      </c>
      <c r="CC10" s="3255" t="s">
        <v>665</v>
      </c>
      <c r="CD10" s="3257" t="s">
        <v>666</v>
      </c>
      <c r="CE10" s="3257" t="s">
        <v>667</v>
      </c>
      <c r="CF10" s="3257" t="s">
        <v>668</v>
      </c>
      <c r="CG10" s="3259" t="s">
        <v>669</v>
      </c>
      <c r="CH10" s="3261" t="s">
        <v>665</v>
      </c>
      <c r="CI10" s="3263" t="s">
        <v>666</v>
      </c>
      <c r="CJ10" s="3263" t="s">
        <v>667</v>
      </c>
      <c r="CK10" s="3265" t="s">
        <v>668</v>
      </c>
      <c r="CL10" s="3267" t="s">
        <v>669</v>
      </c>
      <c r="CM10" s="3269" t="s">
        <v>665</v>
      </c>
      <c r="CN10" s="3271" t="s">
        <v>666</v>
      </c>
      <c r="CO10" s="3273" t="s">
        <v>667</v>
      </c>
      <c r="CP10" s="266"/>
      <c r="CS10" s="3442" t="s">
        <v>161</v>
      </c>
      <c r="CT10" s="3443"/>
      <c r="CU10" s="3443"/>
      <c r="CV10" s="3443"/>
      <c r="CW10" s="3443"/>
      <c r="CX10" s="3443"/>
      <c r="CY10" s="3443"/>
      <c r="CZ10" s="3443"/>
      <c r="DA10" s="3443"/>
      <c r="DB10" s="3443"/>
      <c r="DC10" s="3443"/>
      <c r="DD10" s="3452"/>
      <c r="DE10" s="3444" t="s">
        <v>218</v>
      </c>
      <c r="DG10" s="3442" t="s">
        <v>167</v>
      </c>
      <c r="DH10" s="3443"/>
      <c r="DI10" s="3443"/>
      <c r="DJ10" s="3443"/>
      <c r="DK10" s="3443"/>
      <c r="DL10" s="3443"/>
      <c r="DM10" s="3443"/>
      <c r="DN10" s="3443"/>
      <c r="DO10" s="3443"/>
      <c r="DP10" s="3443"/>
      <c r="DQ10" s="3443"/>
      <c r="DR10" s="3443"/>
      <c r="DS10" s="3444" t="s">
        <v>219</v>
      </c>
      <c r="DU10" s="3450" t="s">
        <v>181</v>
      </c>
      <c r="DV10" s="3451"/>
      <c r="DW10" s="3451"/>
      <c r="DX10" s="3451"/>
      <c r="DY10" s="3451"/>
      <c r="DZ10" s="3451"/>
      <c r="EA10" s="3451"/>
      <c r="EB10" s="3451"/>
      <c r="EC10" s="3451"/>
      <c r="ED10" s="3451"/>
      <c r="EE10" s="3451"/>
      <c r="EF10" s="3451"/>
      <c r="EG10" s="3444" t="s">
        <v>220</v>
      </c>
      <c r="EI10" s="4"/>
      <c r="EJ10" s="312"/>
      <c r="EK10" s="313"/>
      <c r="EO10" s="4"/>
      <c r="EP10" s="4"/>
      <c r="EQ10" s="4"/>
      <c r="ER10" s="835" t="s">
        <v>372</v>
      </c>
      <c r="ES10" s="837" t="s">
        <v>62</v>
      </c>
      <c r="ET10" s="836" t="s">
        <v>311</v>
      </c>
      <c r="EU10" s="490"/>
      <c r="EV10" s="906" t="str">
        <f>$N$304</f>
        <v/>
      </c>
      <c r="EW10" s="865"/>
      <c r="EX10" s="865"/>
      <c r="EY10" s="865"/>
      <c r="EZ10" s="865"/>
      <c r="FA10" s="865"/>
      <c r="FB10" s="866"/>
      <c r="FD10" s="906" t="str">
        <f>$N$305</f>
        <v/>
      </c>
      <c r="FE10" s="865"/>
      <c r="FF10" s="865"/>
      <c r="FG10" s="865"/>
      <c r="FH10" s="865"/>
      <c r="FI10" s="865"/>
      <c r="FJ10" s="866"/>
      <c r="FL10" s="906" t="str">
        <f>$N$306</f>
        <v/>
      </c>
      <c r="FM10" s="865"/>
      <c r="FN10" s="865"/>
      <c r="FO10" s="865"/>
      <c r="FP10" s="865"/>
      <c r="FQ10" s="865"/>
      <c r="FR10" s="866"/>
      <c r="FT10" s="906" t="str">
        <f>$N$307</f>
        <v/>
      </c>
      <c r="FU10" s="865"/>
      <c r="FV10" s="865"/>
      <c r="FW10" s="865"/>
      <c r="FX10" s="865"/>
      <c r="FY10" s="865"/>
      <c r="FZ10" s="866"/>
      <c r="GB10" s="906" t="str">
        <f>$N$308</f>
        <v/>
      </c>
      <c r="GC10" s="865"/>
      <c r="GD10" s="865"/>
      <c r="GE10" s="865"/>
      <c r="GF10" s="865"/>
      <c r="GG10" s="865"/>
      <c r="GH10" s="866"/>
      <c r="GJ10" s="906" t="str">
        <f>$N$309</f>
        <v/>
      </c>
      <c r="GK10" s="865"/>
      <c r="GL10" s="865"/>
      <c r="GM10" s="865"/>
      <c r="GN10" s="865"/>
      <c r="GO10" s="865"/>
      <c r="GP10" s="866"/>
      <c r="GR10" s="864" t="s">
        <v>380</v>
      </c>
      <c r="GS10" s="865"/>
      <c r="GT10" s="865"/>
      <c r="GU10" s="865"/>
      <c r="GV10" s="865"/>
      <c r="GW10" s="865"/>
      <c r="GX10" s="866"/>
      <c r="HF10" s="1"/>
      <c r="HG10" s="1"/>
      <c r="HH10" s="17"/>
    </row>
    <row r="11" spans="1:216" ht="15" customHeight="1" thickBot="1" x14ac:dyDescent="0.3">
      <c r="A11" s="4"/>
      <c r="B11" s="6"/>
      <c r="C11" s="1836" t="s">
        <v>302</v>
      </c>
      <c r="D11" s="1837">
        <f>'DATA INPUT'!$I$8</f>
        <v>12</v>
      </c>
      <c r="E11" s="1837">
        <f>'DATA INPUT'!$J$8</f>
        <v>0</v>
      </c>
      <c r="F11" s="1837">
        <f>'DATA INPUT'!$K$8</f>
        <v>0</v>
      </c>
      <c r="G11" s="1837">
        <f>'DATA INPUT'!$L$8</f>
        <v>0</v>
      </c>
      <c r="H11" s="1837">
        <f>'DATA INPUT'!$M$8</f>
        <v>0</v>
      </c>
      <c r="I11" s="1837">
        <f>'DATA INPUT'!$N$8</f>
        <v>0</v>
      </c>
      <c r="J11" s="1"/>
      <c r="K11" s="846"/>
      <c r="L11" s="846"/>
      <c r="M11"/>
      <c r="N11" s="3205" t="s">
        <v>216</v>
      </c>
      <c r="O11" s="3206"/>
      <c r="P11" s="3206"/>
      <c r="Q11" s="3206"/>
      <c r="R11" s="3206"/>
      <c r="S11" s="3206"/>
      <c r="T11" s="3207"/>
      <c r="V11" s="3205" t="s">
        <v>216</v>
      </c>
      <c r="W11" s="3206"/>
      <c r="X11" s="3206"/>
      <c r="Y11" s="3206"/>
      <c r="Z11" s="3206"/>
      <c r="AA11" s="3206"/>
      <c r="AB11" s="3207"/>
      <c r="AD11" s="3205" t="s">
        <v>216</v>
      </c>
      <c r="AE11" s="3206"/>
      <c r="AF11" s="3206"/>
      <c r="AG11" s="3206"/>
      <c r="AH11" s="3206"/>
      <c r="AI11" s="3206"/>
      <c r="AJ11" s="3207"/>
      <c r="AL11" s="3205" t="s">
        <v>216</v>
      </c>
      <c r="AM11" s="3206"/>
      <c r="AN11" s="3206"/>
      <c r="AO11" s="3206"/>
      <c r="AP11" s="3206"/>
      <c r="AQ11" s="3206"/>
      <c r="AR11" s="3207"/>
      <c r="AT11" s="3205" t="s">
        <v>216</v>
      </c>
      <c r="AU11" s="3206"/>
      <c r="AV11" s="3206"/>
      <c r="AW11" s="3206"/>
      <c r="AX11" s="3206"/>
      <c r="AY11" s="3206"/>
      <c r="AZ11" s="3207"/>
      <c r="BB11" s="3205" t="s">
        <v>216</v>
      </c>
      <c r="BC11" s="3206"/>
      <c r="BD11" s="3206"/>
      <c r="BE11" s="3206"/>
      <c r="BF11" s="3206"/>
      <c r="BG11" s="3206"/>
      <c r="BH11" s="3207"/>
      <c r="BJ11" s="867" t="s">
        <v>216</v>
      </c>
      <c r="BK11" s="868"/>
      <c r="BL11" s="868"/>
      <c r="BM11" s="868"/>
      <c r="BN11" s="868"/>
      <c r="BO11" s="868"/>
      <c r="BP11" s="869"/>
      <c r="BR11" s="985" t="s">
        <v>651</v>
      </c>
      <c r="BS11" s="986"/>
      <c r="BT11" s="986"/>
      <c r="BU11" s="986"/>
      <c r="BV11" s="986"/>
      <c r="BW11" s="987"/>
      <c r="BX11" s="3208" t="s">
        <v>139</v>
      </c>
      <c r="BY11" s="3210" t="s">
        <v>102</v>
      </c>
      <c r="BZ11" s="261"/>
      <c r="CB11" s="3254"/>
      <c r="CC11" s="3256"/>
      <c r="CD11" s="3258"/>
      <c r="CE11" s="3258"/>
      <c r="CF11" s="3258"/>
      <c r="CG11" s="3260"/>
      <c r="CH11" s="3262"/>
      <c r="CI11" s="3264"/>
      <c r="CJ11" s="3264"/>
      <c r="CK11" s="3266"/>
      <c r="CL11" s="3268"/>
      <c r="CM11" s="3270"/>
      <c r="CN11" s="3272"/>
      <c r="CO11" s="3274"/>
      <c r="CP11" s="267"/>
      <c r="CS11" s="3447" t="s">
        <v>856</v>
      </c>
      <c r="CT11" s="3448"/>
      <c r="CU11" s="3449"/>
      <c r="CV11" s="3447" t="s">
        <v>856</v>
      </c>
      <c r="CW11" s="3448"/>
      <c r="CX11" s="3449"/>
      <c r="CY11" s="3447" t="s">
        <v>856</v>
      </c>
      <c r="CZ11" s="3448"/>
      <c r="DA11" s="3449"/>
      <c r="DB11" s="3447" t="s">
        <v>856</v>
      </c>
      <c r="DC11" s="3448"/>
      <c r="DD11" s="3449"/>
      <c r="DE11" s="3445"/>
      <c r="DG11" s="3447" t="s">
        <v>856</v>
      </c>
      <c r="DH11" s="3448"/>
      <c r="DI11" s="3449"/>
      <c r="DJ11" s="3447" t="s">
        <v>856</v>
      </c>
      <c r="DK11" s="3448"/>
      <c r="DL11" s="3449"/>
      <c r="DM11" s="3447" t="s">
        <v>856</v>
      </c>
      <c r="DN11" s="3448"/>
      <c r="DO11" s="3449"/>
      <c r="DP11" s="3447" t="s">
        <v>856</v>
      </c>
      <c r="DQ11" s="3448"/>
      <c r="DR11" s="3449"/>
      <c r="DS11" s="3445"/>
      <c r="DU11" s="3447" t="s">
        <v>856</v>
      </c>
      <c r="DV11" s="3448"/>
      <c r="DW11" s="3449"/>
      <c r="DX11" s="3447" t="s">
        <v>856</v>
      </c>
      <c r="DY11" s="3448"/>
      <c r="DZ11" s="3449"/>
      <c r="EA11" s="3447" t="s">
        <v>856</v>
      </c>
      <c r="EB11" s="3448"/>
      <c r="EC11" s="3449"/>
      <c r="ED11" s="3447" t="s">
        <v>856</v>
      </c>
      <c r="EE11" s="3448"/>
      <c r="EF11" s="3449"/>
      <c r="EG11" s="3445"/>
      <c r="EI11" s="4"/>
      <c r="EJ11" s="6"/>
      <c r="EK11" s="1836" t="s">
        <v>302</v>
      </c>
      <c r="EL11" s="1837">
        <f>'DATA INPUT'!$I$8</f>
        <v>12</v>
      </c>
      <c r="EM11" s="1837">
        <f>'DATA INPUT'!$J$8</f>
        <v>0</v>
      </c>
      <c r="EN11" s="1837">
        <f>'DATA INPUT'!$K$8</f>
        <v>0</v>
      </c>
      <c r="EO11" s="1837">
        <f>'DATA INPUT'!$L$8</f>
        <v>0</v>
      </c>
      <c r="EP11" s="1837">
        <f>'DATA INPUT'!$M$8</f>
        <v>0</v>
      </c>
      <c r="EQ11" s="1837">
        <f>'DATA INPUT'!$N$8</f>
        <v>0</v>
      </c>
      <c r="ER11" s="1"/>
      <c r="ES11" s="846"/>
      <c r="ET11" s="846"/>
      <c r="EU11"/>
      <c r="EV11" s="3205" t="s">
        <v>216</v>
      </c>
      <c r="EW11" s="3206"/>
      <c r="EX11" s="3206"/>
      <c r="EY11" s="3206"/>
      <c r="EZ11" s="3206"/>
      <c r="FA11" s="3206"/>
      <c r="FB11" s="3207"/>
      <c r="FD11" s="3205" t="s">
        <v>216</v>
      </c>
      <c r="FE11" s="3206"/>
      <c r="FF11" s="3206"/>
      <c r="FG11" s="3206"/>
      <c r="FH11" s="3206"/>
      <c r="FI11" s="3206"/>
      <c r="FJ11" s="3207"/>
      <c r="FL11" s="3205" t="s">
        <v>216</v>
      </c>
      <c r="FM11" s="3206"/>
      <c r="FN11" s="3206"/>
      <c r="FO11" s="3206"/>
      <c r="FP11" s="3206"/>
      <c r="FQ11" s="3206"/>
      <c r="FR11" s="3207"/>
      <c r="FT11" s="3205" t="s">
        <v>216</v>
      </c>
      <c r="FU11" s="3206"/>
      <c r="FV11" s="3206"/>
      <c r="FW11" s="3206"/>
      <c r="FX11" s="3206"/>
      <c r="FY11" s="3206"/>
      <c r="FZ11" s="3207"/>
      <c r="GB11" s="3205" t="s">
        <v>216</v>
      </c>
      <c r="GC11" s="3206"/>
      <c r="GD11" s="3206"/>
      <c r="GE11" s="3206"/>
      <c r="GF11" s="3206"/>
      <c r="GG11" s="3206"/>
      <c r="GH11" s="3207"/>
      <c r="GJ11" s="3205" t="s">
        <v>216</v>
      </c>
      <c r="GK11" s="3206"/>
      <c r="GL11" s="3206"/>
      <c r="GM11" s="3206"/>
      <c r="GN11" s="3206"/>
      <c r="GO11" s="3206"/>
      <c r="GP11" s="3207"/>
      <c r="GR11" s="867" t="s">
        <v>216</v>
      </c>
      <c r="GS11" s="868"/>
      <c r="GT11" s="868"/>
      <c r="GU11" s="868"/>
      <c r="GV11" s="868"/>
      <c r="GW11" s="868"/>
      <c r="GX11" s="869"/>
      <c r="GZ11" s="985" t="s">
        <v>651</v>
      </c>
      <c r="HA11" s="986"/>
      <c r="HB11" s="986"/>
      <c r="HC11" s="986"/>
      <c r="HD11" s="986"/>
      <c r="HE11" s="987"/>
      <c r="HF11" s="3208" t="s">
        <v>139</v>
      </c>
      <c r="HG11" s="3210" t="s">
        <v>102</v>
      </c>
      <c r="HH11" s="261"/>
    </row>
    <row r="12" spans="1:216" ht="15.75" thickBot="1" x14ac:dyDescent="0.3">
      <c r="A12" s="2"/>
      <c r="B12" s="6"/>
      <c r="C12" s="93"/>
      <c r="D12" s="2716" t="s">
        <v>148</v>
      </c>
      <c r="E12" s="2716" t="s">
        <v>149</v>
      </c>
      <c r="F12" s="2717" t="s">
        <v>150</v>
      </c>
      <c r="G12" s="2717" t="s">
        <v>151</v>
      </c>
      <c r="H12" s="2717" t="s">
        <v>595</v>
      </c>
      <c r="I12" s="2717" t="s">
        <v>596</v>
      </c>
      <c r="J12" s="2718" t="s">
        <v>3</v>
      </c>
      <c r="K12"/>
      <c r="L12"/>
      <c r="M12" s="2"/>
      <c r="N12" s="131" t="s">
        <v>148</v>
      </c>
      <c r="O12" s="127" t="s">
        <v>149</v>
      </c>
      <c r="P12" s="128" t="s">
        <v>150</v>
      </c>
      <c r="Q12" s="128" t="s">
        <v>151</v>
      </c>
      <c r="R12" s="128" t="s">
        <v>595</v>
      </c>
      <c r="S12" s="128" t="s">
        <v>596</v>
      </c>
      <c r="T12" s="162" t="s">
        <v>3</v>
      </c>
      <c r="V12" s="131" t="s">
        <v>148</v>
      </c>
      <c r="W12" s="127" t="s">
        <v>149</v>
      </c>
      <c r="X12" s="128" t="s">
        <v>150</v>
      </c>
      <c r="Y12" s="128" t="s">
        <v>151</v>
      </c>
      <c r="Z12" s="128" t="s">
        <v>595</v>
      </c>
      <c r="AA12" s="128" t="s">
        <v>596</v>
      </c>
      <c r="AB12" s="136" t="s">
        <v>3</v>
      </c>
      <c r="AD12" s="131" t="s">
        <v>148</v>
      </c>
      <c r="AE12" s="127" t="s">
        <v>149</v>
      </c>
      <c r="AF12" s="128" t="s">
        <v>150</v>
      </c>
      <c r="AG12" s="128" t="s">
        <v>151</v>
      </c>
      <c r="AH12" s="128" t="s">
        <v>595</v>
      </c>
      <c r="AI12" s="128" t="s">
        <v>596</v>
      </c>
      <c r="AJ12" s="204" t="s">
        <v>3</v>
      </c>
      <c r="AL12" s="131" t="s">
        <v>148</v>
      </c>
      <c r="AM12" s="127" t="s">
        <v>149</v>
      </c>
      <c r="AN12" s="128" t="s">
        <v>150</v>
      </c>
      <c r="AO12" s="128" t="s">
        <v>151</v>
      </c>
      <c r="AP12" s="128" t="s">
        <v>595</v>
      </c>
      <c r="AQ12" s="128" t="s">
        <v>596</v>
      </c>
      <c r="AR12" s="176" t="s">
        <v>3</v>
      </c>
      <c r="AT12" s="131" t="s">
        <v>148</v>
      </c>
      <c r="AU12" s="127" t="s">
        <v>149</v>
      </c>
      <c r="AV12" s="128" t="s">
        <v>150</v>
      </c>
      <c r="AW12" s="128" t="s">
        <v>151</v>
      </c>
      <c r="AX12" s="128" t="s">
        <v>595</v>
      </c>
      <c r="AY12" s="128" t="s">
        <v>596</v>
      </c>
      <c r="AZ12" s="148" t="s">
        <v>3</v>
      </c>
      <c r="BB12" s="131" t="s">
        <v>148</v>
      </c>
      <c r="BC12" s="127" t="s">
        <v>149</v>
      </c>
      <c r="BD12" s="128" t="s">
        <v>150</v>
      </c>
      <c r="BE12" s="128" t="s">
        <v>151</v>
      </c>
      <c r="BF12" s="128" t="s">
        <v>595</v>
      </c>
      <c r="BG12" s="128" t="s">
        <v>596</v>
      </c>
      <c r="BH12" s="190" t="s">
        <v>3</v>
      </c>
      <c r="BJ12" s="131" t="s">
        <v>148</v>
      </c>
      <c r="BK12" s="127" t="s">
        <v>149</v>
      </c>
      <c r="BL12" s="128" t="s">
        <v>150</v>
      </c>
      <c r="BM12" s="128" t="s">
        <v>151</v>
      </c>
      <c r="BN12" s="128" t="s">
        <v>595</v>
      </c>
      <c r="BO12" s="128" t="s">
        <v>596</v>
      </c>
      <c r="BP12" s="1100" t="s">
        <v>3</v>
      </c>
      <c r="BR12" s="988" t="str">
        <f t="shared" ref="BR12:BW12" si="1">N12</f>
        <v>Period 1</v>
      </c>
      <c r="BS12" s="988" t="str">
        <f t="shared" si="1"/>
        <v>Period 2</v>
      </c>
      <c r="BT12" s="988" t="str">
        <f t="shared" si="1"/>
        <v>Period 3</v>
      </c>
      <c r="BU12" s="988" t="str">
        <f t="shared" si="1"/>
        <v>Period 4</v>
      </c>
      <c r="BV12" s="988" t="str">
        <f t="shared" si="1"/>
        <v>Period 5</v>
      </c>
      <c r="BW12" s="988" t="str">
        <f t="shared" si="1"/>
        <v>Period 6</v>
      </c>
      <c r="BX12" s="3209"/>
      <c r="BY12" s="3209"/>
      <c r="BZ12" s="261"/>
      <c r="CB12" s="2349" t="s">
        <v>155</v>
      </c>
      <c r="CC12" s="2350" t="s">
        <v>156</v>
      </c>
      <c r="CD12" s="2351" t="s">
        <v>156</v>
      </c>
      <c r="CE12" s="2351" t="s">
        <v>157</v>
      </c>
      <c r="CF12" s="2351" t="s">
        <v>158</v>
      </c>
      <c r="CG12" s="2352" t="s">
        <v>156</v>
      </c>
      <c r="CH12" s="2353" t="s">
        <v>156</v>
      </c>
      <c r="CI12" s="2354" t="s">
        <v>156</v>
      </c>
      <c r="CJ12" s="2354" t="s">
        <v>157</v>
      </c>
      <c r="CK12" s="2354" t="s">
        <v>158</v>
      </c>
      <c r="CL12" s="2355" t="s">
        <v>156</v>
      </c>
      <c r="CM12" s="2356" t="s">
        <v>156</v>
      </c>
      <c r="CN12" s="2357" t="s">
        <v>156</v>
      </c>
      <c r="CO12" s="2358" t="s">
        <v>157</v>
      </c>
      <c r="CP12" s="229" t="s">
        <v>3</v>
      </c>
      <c r="CS12" s="232">
        <f>EDATE('DATA INPUT'!C4,1)</f>
        <v>46508</v>
      </c>
      <c r="CT12" s="233">
        <f t="shared" ref="CT12:DD12" si="2">EDATE(CS12,1)</f>
        <v>46539</v>
      </c>
      <c r="CU12" s="233">
        <f t="shared" si="2"/>
        <v>46569</v>
      </c>
      <c r="CV12" s="233">
        <f t="shared" si="2"/>
        <v>46600</v>
      </c>
      <c r="CW12" s="233">
        <f t="shared" si="2"/>
        <v>46631</v>
      </c>
      <c r="CX12" s="233">
        <f t="shared" si="2"/>
        <v>46661</v>
      </c>
      <c r="CY12" s="233">
        <f t="shared" si="2"/>
        <v>46692</v>
      </c>
      <c r="CZ12" s="233">
        <f t="shared" si="2"/>
        <v>46722</v>
      </c>
      <c r="DA12" s="233">
        <f t="shared" si="2"/>
        <v>46753</v>
      </c>
      <c r="DB12" s="233">
        <f t="shared" si="2"/>
        <v>46784</v>
      </c>
      <c r="DC12" s="233">
        <f t="shared" si="2"/>
        <v>46813</v>
      </c>
      <c r="DD12" s="233">
        <f t="shared" si="2"/>
        <v>46844</v>
      </c>
      <c r="DE12" s="3446"/>
      <c r="DG12" s="235">
        <f>EDATE(DD12,1)</f>
        <v>46874</v>
      </c>
      <c r="DH12" s="234">
        <f t="shared" ref="DH12:DR12" si="3">EDATE(DG12,1)</f>
        <v>46905</v>
      </c>
      <c r="DI12" s="234">
        <f t="shared" si="3"/>
        <v>46935</v>
      </c>
      <c r="DJ12" s="234">
        <f t="shared" si="3"/>
        <v>46966</v>
      </c>
      <c r="DK12" s="234">
        <f t="shared" si="3"/>
        <v>46997</v>
      </c>
      <c r="DL12" s="234">
        <f t="shared" si="3"/>
        <v>47027</v>
      </c>
      <c r="DM12" s="234">
        <f t="shared" si="3"/>
        <v>47058</v>
      </c>
      <c r="DN12" s="234">
        <f t="shared" si="3"/>
        <v>47088</v>
      </c>
      <c r="DO12" s="234">
        <f t="shared" si="3"/>
        <v>47119</v>
      </c>
      <c r="DP12" s="234">
        <f t="shared" si="3"/>
        <v>47150</v>
      </c>
      <c r="DQ12" s="234">
        <f t="shared" si="3"/>
        <v>47178</v>
      </c>
      <c r="DR12" s="234">
        <f t="shared" si="3"/>
        <v>47209</v>
      </c>
      <c r="DS12" s="3446"/>
      <c r="DU12" s="235">
        <f t="shared" ref="DU12:EF12" si="4">EDATE(DR12,1)</f>
        <v>47239</v>
      </c>
      <c r="DV12" s="235">
        <f t="shared" si="4"/>
        <v>31</v>
      </c>
      <c r="DW12" s="235">
        <f t="shared" si="4"/>
        <v>31</v>
      </c>
      <c r="DX12" s="235">
        <f t="shared" si="4"/>
        <v>47270</v>
      </c>
      <c r="DY12" s="235">
        <f t="shared" si="4"/>
        <v>59</v>
      </c>
      <c r="DZ12" s="235">
        <f t="shared" si="4"/>
        <v>59</v>
      </c>
      <c r="EA12" s="235">
        <f t="shared" si="4"/>
        <v>47300</v>
      </c>
      <c r="EB12" s="235">
        <f t="shared" si="4"/>
        <v>88</v>
      </c>
      <c r="EC12" s="235">
        <f t="shared" si="4"/>
        <v>88</v>
      </c>
      <c r="ED12" s="235">
        <f t="shared" si="4"/>
        <v>47331</v>
      </c>
      <c r="EE12" s="235">
        <f t="shared" si="4"/>
        <v>119</v>
      </c>
      <c r="EF12" s="235">
        <f t="shared" si="4"/>
        <v>119</v>
      </c>
      <c r="EG12" s="3446"/>
      <c r="EI12" s="2"/>
      <c r="EJ12" s="6"/>
      <c r="EK12" s="93"/>
      <c r="EL12" s="818" t="s">
        <v>148</v>
      </c>
      <c r="EM12" s="818" t="s">
        <v>149</v>
      </c>
      <c r="EN12" s="819" t="s">
        <v>150</v>
      </c>
      <c r="EO12" s="819" t="s">
        <v>151</v>
      </c>
      <c r="EP12" s="819" t="s">
        <v>595</v>
      </c>
      <c r="EQ12" s="819" t="s">
        <v>596</v>
      </c>
      <c r="ER12" s="825" t="s">
        <v>3</v>
      </c>
      <c r="ES12"/>
      <c r="ET12"/>
      <c r="EU12" s="2"/>
      <c r="EV12" s="131" t="s">
        <v>148</v>
      </c>
      <c r="EW12" s="127" t="s">
        <v>149</v>
      </c>
      <c r="EX12" s="128" t="s">
        <v>150</v>
      </c>
      <c r="EY12" s="128" t="s">
        <v>151</v>
      </c>
      <c r="EZ12" s="128" t="s">
        <v>595</v>
      </c>
      <c r="FA12" s="128" t="s">
        <v>596</v>
      </c>
      <c r="FB12" s="162" t="s">
        <v>3</v>
      </c>
      <c r="FD12" s="131" t="s">
        <v>148</v>
      </c>
      <c r="FE12" s="127" t="s">
        <v>149</v>
      </c>
      <c r="FF12" s="128" t="s">
        <v>150</v>
      </c>
      <c r="FG12" s="128" t="s">
        <v>151</v>
      </c>
      <c r="FH12" s="128" t="s">
        <v>595</v>
      </c>
      <c r="FI12" s="128" t="s">
        <v>596</v>
      </c>
      <c r="FJ12" s="136" t="s">
        <v>3</v>
      </c>
      <c r="FL12" s="131" t="s">
        <v>148</v>
      </c>
      <c r="FM12" s="127" t="s">
        <v>149</v>
      </c>
      <c r="FN12" s="128" t="s">
        <v>150</v>
      </c>
      <c r="FO12" s="128" t="s">
        <v>151</v>
      </c>
      <c r="FP12" s="128" t="s">
        <v>595</v>
      </c>
      <c r="FQ12" s="128" t="s">
        <v>596</v>
      </c>
      <c r="FR12" s="204" t="s">
        <v>3</v>
      </c>
      <c r="FT12" s="131" t="s">
        <v>148</v>
      </c>
      <c r="FU12" s="127" t="s">
        <v>149</v>
      </c>
      <c r="FV12" s="128" t="s">
        <v>150</v>
      </c>
      <c r="FW12" s="128" t="s">
        <v>151</v>
      </c>
      <c r="FX12" s="128" t="s">
        <v>595</v>
      </c>
      <c r="FY12" s="128" t="s">
        <v>596</v>
      </c>
      <c r="FZ12" s="176" t="s">
        <v>3</v>
      </c>
      <c r="GB12" s="131" t="s">
        <v>148</v>
      </c>
      <c r="GC12" s="127" t="s">
        <v>149</v>
      </c>
      <c r="GD12" s="128" t="s">
        <v>150</v>
      </c>
      <c r="GE12" s="128" t="s">
        <v>151</v>
      </c>
      <c r="GF12" s="128" t="s">
        <v>595</v>
      </c>
      <c r="GG12" s="128" t="s">
        <v>596</v>
      </c>
      <c r="GH12" s="148" t="s">
        <v>3</v>
      </c>
      <c r="GJ12" s="131" t="s">
        <v>148</v>
      </c>
      <c r="GK12" s="127" t="s">
        <v>149</v>
      </c>
      <c r="GL12" s="128" t="s">
        <v>150</v>
      </c>
      <c r="GM12" s="128" t="s">
        <v>151</v>
      </c>
      <c r="GN12" s="128" t="s">
        <v>595</v>
      </c>
      <c r="GO12" s="128" t="s">
        <v>596</v>
      </c>
      <c r="GP12" s="190" t="s">
        <v>3</v>
      </c>
      <c r="GR12" s="131" t="s">
        <v>148</v>
      </c>
      <c r="GS12" s="127" t="s">
        <v>149</v>
      </c>
      <c r="GT12" s="128" t="s">
        <v>150</v>
      </c>
      <c r="GU12" s="128" t="s">
        <v>151</v>
      </c>
      <c r="GV12" s="128" t="s">
        <v>595</v>
      </c>
      <c r="GW12" s="128" t="s">
        <v>596</v>
      </c>
      <c r="GX12" s="1100" t="s">
        <v>3</v>
      </c>
      <c r="GZ12" s="988" t="str">
        <f t="shared" ref="GZ12:HE12" si="5">EV12</f>
        <v>Period 1</v>
      </c>
      <c r="HA12" s="988" t="str">
        <f t="shared" si="5"/>
        <v>Period 2</v>
      </c>
      <c r="HB12" s="988" t="str">
        <f t="shared" si="5"/>
        <v>Period 3</v>
      </c>
      <c r="HC12" s="988" t="str">
        <f t="shared" si="5"/>
        <v>Period 4</v>
      </c>
      <c r="HD12" s="988" t="str">
        <f t="shared" si="5"/>
        <v>Period 5</v>
      </c>
      <c r="HE12" s="988" t="str">
        <f t="shared" si="5"/>
        <v>Period 6</v>
      </c>
      <c r="HF12" s="3209"/>
      <c r="HG12" s="3209"/>
      <c r="HH12" s="261"/>
    </row>
    <row r="13" spans="1:216" ht="15" customHeight="1" thickBot="1" x14ac:dyDescent="0.3">
      <c r="A13" s="429" t="s">
        <v>24</v>
      </c>
      <c r="B13" s="2690" t="s">
        <v>110</v>
      </c>
      <c r="C13" s="2691"/>
      <c r="D13" s="2719"/>
      <c r="E13" s="2719"/>
      <c r="F13" s="2719"/>
      <c r="G13" s="2719"/>
      <c r="H13" s="2719"/>
      <c r="I13" s="2719"/>
      <c r="J13" s="2720"/>
      <c r="K13" s="4"/>
      <c r="L13" s="4"/>
      <c r="M13"/>
      <c r="N13" s="2148" t="s">
        <v>110</v>
      </c>
      <c r="O13" s="2149"/>
      <c r="P13" s="2149"/>
      <c r="Q13" s="2149"/>
      <c r="R13" s="2149"/>
      <c r="S13" s="2149"/>
      <c r="T13" s="2150"/>
      <c r="U13" s="40"/>
      <c r="V13" s="2148" t="s">
        <v>110</v>
      </c>
      <c r="W13" s="2149"/>
      <c r="X13" s="2149"/>
      <c r="Y13" s="2149"/>
      <c r="Z13" s="2149"/>
      <c r="AA13" s="2149"/>
      <c r="AB13" s="2150"/>
      <c r="AC13" s="24"/>
      <c r="AD13" s="2148" t="s">
        <v>110</v>
      </c>
      <c r="AE13" s="2149"/>
      <c r="AF13" s="2149"/>
      <c r="AG13" s="2149"/>
      <c r="AH13" s="2149"/>
      <c r="AI13" s="2149"/>
      <c r="AJ13" s="2150"/>
      <c r="AK13" s="24"/>
      <c r="AL13" s="2148" t="s">
        <v>110</v>
      </c>
      <c r="AM13" s="2149"/>
      <c r="AN13" s="2149"/>
      <c r="AO13" s="2149"/>
      <c r="AP13" s="2149"/>
      <c r="AQ13" s="2149"/>
      <c r="AR13" s="2150"/>
      <c r="AS13" s="24"/>
      <c r="AT13" s="2148" t="s">
        <v>110</v>
      </c>
      <c r="AU13" s="2149"/>
      <c r="AV13" s="2149"/>
      <c r="AW13" s="2149"/>
      <c r="AX13" s="2149"/>
      <c r="AY13" s="2149"/>
      <c r="AZ13" s="2150"/>
      <c r="BA13" s="24"/>
      <c r="BB13" s="2148" t="s">
        <v>110</v>
      </c>
      <c r="BC13" s="2149"/>
      <c r="BD13" s="2149"/>
      <c r="BE13" s="2149"/>
      <c r="BF13" s="2149"/>
      <c r="BG13" s="2149"/>
      <c r="BH13" s="2150"/>
      <c r="BJ13" s="2144" t="s">
        <v>110</v>
      </c>
      <c r="BK13" s="2181"/>
      <c r="BL13" s="2181"/>
      <c r="BM13" s="2181"/>
      <c r="BN13" s="2181"/>
      <c r="BO13" s="2181"/>
      <c r="BP13" s="2182"/>
      <c r="BR13" s="2178" t="s">
        <v>110</v>
      </c>
      <c r="BS13" s="2179"/>
      <c r="BT13" s="2179"/>
      <c r="BU13" s="2179"/>
      <c r="BV13" s="2179"/>
      <c r="BW13" s="2179"/>
      <c r="BX13" s="2179"/>
      <c r="BY13" s="2180"/>
      <c r="BZ13" s="261"/>
      <c r="CB13" s="2721" t="s">
        <v>110</v>
      </c>
      <c r="CC13" s="2722"/>
      <c r="CD13" s="2722"/>
      <c r="CE13" s="2722"/>
      <c r="CF13" s="2722"/>
      <c r="CG13" s="2722"/>
      <c r="CH13" s="2722"/>
      <c r="CI13" s="2722"/>
      <c r="CJ13" s="2722"/>
      <c r="CK13" s="2722"/>
      <c r="CL13" s="2722"/>
      <c r="CM13" s="2722"/>
      <c r="CN13" s="2722"/>
      <c r="CO13" s="2722"/>
      <c r="CP13" s="2723"/>
      <c r="CS13" s="2724" t="s">
        <v>162</v>
      </c>
      <c r="CT13" s="2725"/>
      <c r="CU13" s="2725"/>
      <c r="CV13" s="2725"/>
      <c r="CW13" s="2725"/>
      <c r="CX13" s="2725"/>
      <c r="CY13" s="2725"/>
      <c r="CZ13" s="2725"/>
      <c r="DA13" s="2725"/>
      <c r="DB13" s="2725"/>
      <c r="DC13" s="2725"/>
      <c r="DD13" s="2725"/>
      <c r="DE13" s="596"/>
      <c r="DG13" s="2724" t="s">
        <v>162</v>
      </c>
      <c r="DH13" s="2725"/>
      <c r="DI13" s="2725"/>
      <c r="DJ13" s="2725"/>
      <c r="DK13" s="2725"/>
      <c r="DL13" s="2725"/>
      <c r="DM13" s="2725"/>
      <c r="DN13" s="2725"/>
      <c r="DO13" s="2725"/>
      <c r="DP13" s="2725"/>
      <c r="DQ13" s="2725"/>
      <c r="DR13" s="2725"/>
      <c r="DS13" s="596"/>
      <c r="DU13" s="2724" t="s">
        <v>162</v>
      </c>
      <c r="DV13" s="2725"/>
      <c r="DW13" s="2725"/>
      <c r="DX13" s="2725"/>
      <c r="DY13" s="2725"/>
      <c r="DZ13" s="2725"/>
      <c r="EA13" s="2725"/>
      <c r="EB13" s="2725"/>
      <c r="EC13" s="2725"/>
      <c r="ED13" s="2725"/>
      <c r="EE13" s="2725"/>
      <c r="EF13" s="2725"/>
      <c r="EG13" s="596"/>
      <c r="EI13" s="429" t="s">
        <v>24</v>
      </c>
      <c r="EJ13" s="2690" t="s">
        <v>110</v>
      </c>
      <c r="EK13" s="2691"/>
      <c r="EL13" s="2691"/>
      <c r="EM13" s="2691"/>
      <c r="EN13" s="2691"/>
      <c r="EO13" s="2691"/>
      <c r="EP13" s="2691"/>
      <c r="EQ13" s="2691"/>
      <c r="ER13" s="2692"/>
      <c r="ES13" s="4"/>
      <c r="ET13" s="4"/>
      <c r="EU13"/>
      <c r="EV13" s="2148" t="s">
        <v>110</v>
      </c>
      <c r="EW13" s="2149"/>
      <c r="EX13" s="2149"/>
      <c r="EY13" s="2149"/>
      <c r="EZ13" s="2149"/>
      <c r="FA13" s="2149"/>
      <c r="FB13" s="2150"/>
      <c r="FC13" s="40"/>
      <c r="FD13" s="2148" t="s">
        <v>110</v>
      </c>
      <c r="FE13" s="2149"/>
      <c r="FF13" s="2149"/>
      <c r="FG13" s="2149"/>
      <c r="FH13" s="2149"/>
      <c r="FI13" s="2149"/>
      <c r="FJ13" s="2150"/>
      <c r="FK13" s="24"/>
      <c r="FL13" s="2148" t="s">
        <v>110</v>
      </c>
      <c r="FM13" s="2149"/>
      <c r="FN13" s="2149"/>
      <c r="FO13" s="2149"/>
      <c r="FP13" s="2149"/>
      <c r="FQ13" s="2149"/>
      <c r="FR13" s="2150"/>
      <c r="FS13" s="24"/>
      <c r="FT13" s="2148" t="s">
        <v>110</v>
      </c>
      <c r="FU13" s="2149"/>
      <c r="FV13" s="2149"/>
      <c r="FW13" s="2149"/>
      <c r="FX13" s="2149"/>
      <c r="FY13" s="2149"/>
      <c r="FZ13" s="2150"/>
      <c r="GA13" s="24"/>
      <c r="GB13" s="2148" t="s">
        <v>110</v>
      </c>
      <c r="GC13" s="2149"/>
      <c r="GD13" s="2149"/>
      <c r="GE13" s="2149"/>
      <c r="GF13" s="2149"/>
      <c r="GG13" s="2149"/>
      <c r="GH13" s="2150"/>
      <c r="GI13" s="24"/>
      <c r="GJ13" s="2148" t="s">
        <v>110</v>
      </c>
      <c r="GK13" s="2149"/>
      <c r="GL13" s="2149"/>
      <c r="GM13" s="2149"/>
      <c r="GN13" s="2149"/>
      <c r="GO13" s="2149"/>
      <c r="GP13" s="2150"/>
      <c r="GR13" s="2144" t="s">
        <v>110</v>
      </c>
      <c r="GS13" s="2181"/>
      <c r="GT13" s="2181"/>
      <c r="GU13" s="2181"/>
      <c r="GV13" s="2181"/>
      <c r="GW13" s="2181"/>
      <c r="GX13" s="2182"/>
      <c r="GZ13" s="2178" t="s">
        <v>110</v>
      </c>
      <c r="HA13" s="2179"/>
      <c r="HB13" s="2179"/>
      <c r="HC13" s="2179"/>
      <c r="HD13" s="2179"/>
      <c r="HE13" s="2179"/>
      <c r="HF13" s="2179"/>
      <c r="HG13" s="2180"/>
      <c r="HH13" s="261"/>
    </row>
    <row r="14" spans="1:216" ht="15" hidden="1" customHeight="1" x14ac:dyDescent="0.25">
      <c r="A14" s="25"/>
      <c r="B14" s="3214" t="s">
        <v>633</v>
      </c>
      <c r="C14" s="2139" t="str">
        <f ca="1">'Calc - SENIOR PERS'!$B$6</f>
        <v>Virag Mishra</v>
      </c>
      <c r="D14" s="85">
        <f ca="1">'Calc - SENIOR PERS'!$O$11</f>
        <v>16781.995999999999</v>
      </c>
      <c r="E14" s="86">
        <f ca="1">'Calc - SENIOR PERS'!$O$12</f>
        <v>0</v>
      </c>
      <c r="F14" s="86">
        <f ca="1">'Calc - SENIOR PERS'!$O$13</f>
        <v>0</v>
      </c>
      <c r="G14" s="86">
        <f ca="1">'Calc - SENIOR PERS'!$O$14</f>
        <v>0</v>
      </c>
      <c r="H14" s="86">
        <f ca="1">'Calc - SENIOR PERS'!$O$15</f>
        <v>0</v>
      </c>
      <c r="I14" s="86">
        <f ca="1">'Calc - SENIOR PERS'!$O$16</f>
        <v>0</v>
      </c>
      <c r="J14" s="87">
        <f t="shared" ref="J14:J43" ca="1" si="6">SUM(D14:I14)</f>
        <v>16781.995999999999</v>
      </c>
      <c r="K14" s="9" t="str">
        <f ca="1">IF(J14&lt;&gt;'Calc - SENIOR PERS'!$O$17,"ERROR","")</f>
        <v/>
      </c>
      <c r="L14" s="4"/>
      <c r="M14" s="4"/>
      <c r="N14" s="135">
        <f ca="1">IF(AND((OFFSET('DATA INPUT'!$C$11, ROW()-ROW($N$14),0)=$N$10),
 OR(OFFSET('DATA INPUT'!$H$11,ROW()-ROW($N$14),0)=3,
OFFSET('DATA INPUT'!$V$11, ROW()-ROW($N$14),0)=3,
OFFSET('DATA INPUT'!$AD$11, ROW()-ROW($N$14),0)=3)),
OFFSET('Calc - SENIOR PERS'!$Y$11,COLUMN()-COLUMN($N$14) + (ROW()-ROW($N$14))*14,0),0)</f>
        <v>0</v>
      </c>
      <c r="O14" s="85">
        <f ca="1">IF(AND((OFFSET('DATA INPUT'!$C$11, ROW()-ROW($N$14),0)=$N$10),
 OR(OFFSET('DATA INPUT'!$H$11,ROW()-ROW($N$14),0)=3,
OFFSET('DATA INPUT'!$V$11, ROW()-ROW($N$14),0)=3,
OFFSET('DATA INPUT'!$AD$11, ROW()-ROW($N$14),0)=3)),
OFFSET('Calc - SENIOR PERS'!$Y$11,COLUMN()-COLUMN($N$14) + (ROW()-ROW($N$14))*14,0),0)</f>
        <v>0</v>
      </c>
      <c r="P14" s="85">
        <f ca="1">IF(AND((OFFSET('DATA INPUT'!$C$11, ROW()-ROW($N$14),0)=$N$10),
 OR(OFFSET('DATA INPUT'!$H$11,ROW()-ROW($N$14),0)=3,
OFFSET('DATA INPUT'!$V$11, ROW()-ROW($N$14),0)=3,
OFFSET('DATA INPUT'!$AD$11, ROW()-ROW($N$14),0)=3)),
OFFSET('Calc - SENIOR PERS'!$Y$11,COLUMN()-COLUMN($N$14) + (ROW()-ROW($N$14))*14,0),0)</f>
        <v>0</v>
      </c>
      <c r="Q14" s="85">
        <f ca="1">IF(AND((OFFSET('DATA INPUT'!$C$11, ROW()-ROW($N$14),0)=$N$10),
 OR(OFFSET('DATA INPUT'!$H$11,ROW()-ROW($N$14),0)=3,
OFFSET('DATA INPUT'!$V$11, ROW()-ROW($N$14),0)=3,
OFFSET('DATA INPUT'!$AD$11, ROW()-ROW($N$14),0)=3)),
OFFSET('Calc - SENIOR PERS'!$Y$11,COLUMN()-COLUMN($N$14) + (ROW()-ROW($N$14))*14,0),0)</f>
        <v>0</v>
      </c>
      <c r="R14" s="85">
        <f ca="1">IF(AND((OFFSET('DATA INPUT'!$C$11, ROW()-ROW($N$14),0)=$N$10),
 OR(OFFSET('DATA INPUT'!$H$11,ROW()-ROW($N$14),0)=3,
OFFSET('DATA INPUT'!$V$11, ROW()-ROW($N$14),0)=3,
OFFSET('DATA INPUT'!$AD$11, ROW()-ROW($N$14),0)=3)),
OFFSET('Calc - SENIOR PERS'!$Y$11,COLUMN()-COLUMN($N$14) + (ROW()-ROW($N$14))*14,0),0)</f>
        <v>0</v>
      </c>
      <c r="S14" s="85">
        <f ca="1">IF(AND((OFFSET('DATA INPUT'!$C$11, ROW()-ROW($N$14),0)=$N$10),
 OR(OFFSET('DATA INPUT'!$H$11,ROW()-ROW($N$14),0)=3,
OFFSET('DATA INPUT'!$V$11, ROW()-ROW($N$14),0)=3,
OFFSET('DATA INPUT'!$AD$11, ROW()-ROW($N$14),0)=3)),
OFFSET('Calc - SENIOR PERS'!$Y$11,COLUMN()-COLUMN($N$14) + (ROW()-ROW($N$14))*14,0),0)</f>
        <v>0</v>
      </c>
      <c r="T14" s="166">
        <f t="shared" ref="T14:T43" ca="1" si="7">SUM(N14:S14)</f>
        <v>0</v>
      </c>
      <c r="V14" s="135">
        <f ca="1">IF(AND((OFFSET('DATA INPUT'!$C$11, ROW()-ROW($V$14),0)=$V$10),
 OR(OFFSET('DATA INPUT'!$H$11,ROW()-ROW($V$14),0)=3,
OFFSET('DATA INPUT'!$V$11, ROW()-ROW($V$14),0)=3,
OFFSET('DATA INPUT'!$AD$11, ROW()-ROW($V$14),0)=3)),
OFFSET('Calc - SENIOR PERS'!$Y$11,COLUMN()-COLUMN($V$14) + (ROW()-ROW($V$14))*14,0),0)</f>
        <v>0</v>
      </c>
      <c r="W14" s="86">
        <f ca="1">IF(AND((OFFSET('DATA INPUT'!$C$11, ROW()-ROW($V$14),0)=$V$10),
 OR(OFFSET('DATA INPUT'!$H$11,ROW()-ROW($V$14),0)=3,
OFFSET('DATA INPUT'!$V$11, ROW()-ROW($V$14),0)=3,
OFFSET('DATA INPUT'!$AD$11, ROW()-ROW($V$14),0)=3)),
OFFSET('Calc - SENIOR PERS'!$Y$11,COLUMN()-COLUMN($V$14) + (ROW()-ROW($V$14))*14,0),0)</f>
        <v>0</v>
      </c>
      <c r="X14" s="86">
        <f ca="1">IF(AND((OFFSET('DATA INPUT'!$C$11, ROW()-ROW($V$14),0)=$V$10),
 OR(OFFSET('DATA INPUT'!$H$11,ROW()-ROW($V$14),0)=3,
OFFSET('DATA INPUT'!$V$11, ROW()-ROW($V$14),0)=3,
OFFSET('DATA INPUT'!$AD$11, ROW()-ROW($V$14),0)=3)),
OFFSET('Calc - SENIOR PERS'!$Y$11,COLUMN()-COLUMN($V$14) + (ROW()-ROW($V$14))*14,0),0)</f>
        <v>0</v>
      </c>
      <c r="Y14" s="86">
        <f ca="1">IF(AND((OFFSET('DATA INPUT'!$C$11, ROW()-ROW($V$14),0)=$V$10),
 OR(OFFSET('DATA INPUT'!$H$11,ROW()-ROW($V$14),0)=3,
OFFSET('DATA INPUT'!$V$11, ROW()-ROW($V$14),0)=3,
OFFSET('DATA INPUT'!$AD$11, ROW()-ROW($V$14),0)=3)),
OFFSET('Calc - SENIOR PERS'!$Y$11,COLUMN()-COLUMN($V$14) + (ROW()-ROW($V$14))*14,0),0)</f>
        <v>0</v>
      </c>
      <c r="Z14" s="86">
        <f ca="1">IF(AND((OFFSET('DATA INPUT'!$C$11, ROW()-ROW($V$14),0)=$V$10),
 OR(OFFSET('DATA INPUT'!$H$11,ROW()-ROW($V$14),0)=3,
OFFSET('DATA INPUT'!$V$11, ROW()-ROW($V$14),0)=3,
OFFSET('DATA INPUT'!$AD$11, ROW()-ROW($V$14),0)=3)),
OFFSET('Calc - SENIOR PERS'!$Y$11,COLUMN()-COLUMN($V$14) + (ROW()-ROW($V$14))*14,0),0)</f>
        <v>0</v>
      </c>
      <c r="AA14" s="86">
        <f ca="1">IF(AND((OFFSET('DATA INPUT'!$C$11, ROW()-ROW($V$14),0)=$V$10),
 OR(OFFSET('DATA INPUT'!$H$11,ROW()-ROW($V$14),0)=3,
OFFSET('DATA INPUT'!$V$11, ROW()-ROW($V$14),0)=3,
OFFSET('DATA INPUT'!$AD$11, ROW()-ROW($V$14),0)=3)),
OFFSET('Calc - SENIOR PERS'!$Y$11,COLUMN()-COLUMN($V$14) + (ROW()-ROW($V$14))*14,0),0)</f>
        <v>0</v>
      </c>
      <c r="AB14" s="140">
        <f t="shared" ref="AB14:AB43" ca="1" si="8">SUM(V14:AA14)</f>
        <v>0</v>
      </c>
      <c r="AD14" s="135">
        <f ca="1">IF(AND((OFFSET('DATA INPUT'!$C$11, ROW()-ROW($AD$14),0)=$AD$10),
 OR(OFFSET('DATA INPUT'!$H$11,ROW()-ROW($AD$14),0)=3,
OFFSET('DATA INPUT'!$V$11, ROW()-ROW($AD$14),0)=3,
OFFSET('DATA INPUT'!$AD$11, ROW()-ROW($AD$14),0)=3)),
OFFSET('Calc - SENIOR PERS'!$Y$11,COLUMN()-COLUMN($AD$14) + (ROW()-ROW($AD$14))*14,0),0)</f>
        <v>0</v>
      </c>
      <c r="AE14" s="86">
        <f ca="1">IF(AND((OFFSET('DATA INPUT'!$C$11, ROW()-ROW($AD$14),0)=$AD$10),
 OR(OFFSET('DATA INPUT'!$H$11,ROW()-ROW($AD$14),0)=3,
OFFSET('DATA INPUT'!$V$11, ROW()-ROW($AD$14),0)=3,
OFFSET('DATA INPUT'!$AD$11, ROW()-ROW($AD$14),0)=3)),
OFFSET('Calc - SENIOR PERS'!$Y$11,COLUMN()-COLUMN($AD$14) + (ROW()-ROW($AD$14))*14,0),0)</f>
        <v>0</v>
      </c>
      <c r="AF14" s="86">
        <f ca="1">IF(AND((OFFSET('DATA INPUT'!$C$11, ROW()-ROW($AD$14),0)=$AD$10),
 OR(OFFSET('DATA INPUT'!$H$11,ROW()-ROW($AD$14),0)=3,
OFFSET('DATA INPUT'!$V$11, ROW()-ROW($AD$14),0)=3,
OFFSET('DATA INPUT'!$AD$11, ROW()-ROW($AD$14),0)=3)),
OFFSET('Calc - SENIOR PERS'!$Y$11,COLUMN()-COLUMN($AD$14) + (ROW()-ROW($AD$14))*14,0),0)</f>
        <v>0</v>
      </c>
      <c r="AG14" s="86">
        <f ca="1">IF(AND((OFFSET('DATA INPUT'!$C$11, ROW()-ROW($AD$14),0)=$AD$10),
 OR(OFFSET('DATA INPUT'!$H$11,ROW()-ROW($AD$14),0)=3,
OFFSET('DATA INPUT'!$V$11, ROW()-ROW($AD$14),0)=3,
OFFSET('DATA INPUT'!$AD$11, ROW()-ROW($AD$14),0)=3)),
OFFSET('Calc - SENIOR PERS'!$Y$11,COLUMN()-COLUMN($AD$14) + (ROW()-ROW($AD$14))*14,0),0)</f>
        <v>0</v>
      </c>
      <c r="AH14" s="86">
        <f ca="1">IF(AND((OFFSET('DATA INPUT'!$C$11, ROW()-ROW($AD$14),0)=$AD$10),
 OR(OFFSET('DATA INPUT'!$H$11,ROW()-ROW($AD$14),0)=3,
OFFSET('DATA INPUT'!$V$11, ROW()-ROW($AD$14),0)=3,
OFFSET('DATA INPUT'!$AD$11, ROW()-ROW($AD$14),0)=3)),
OFFSET('Calc - SENIOR PERS'!$Y$11,COLUMN()-COLUMN($AD$14) + (ROW()-ROW($AD$14))*14,0),0)</f>
        <v>0</v>
      </c>
      <c r="AI14" s="86">
        <f ca="1">IF(AND((OFFSET('DATA INPUT'!$C$11, ROW()-ROW($AD$14),0)=$AD$10),
 OR(OFFSET('DATA INPUT'!$H$11,ROW()-ROW($AD$14),0)=3,
OFFSET('DATA INPUT'!$V$11, ROW()-ROW($AD$14),0)=3,
OFFSET('DATA INPUT'!$AD$11, ROW()-ROW($AD$14),0)=3)),
OFFSET('Calc - SENIOR PERS'!$Y$11,COLUMN()-COLUMN($AD$14) + (ROW()-ROW($AD$14))*14,0),0)</f>
        <v>0</v>
      </c>
      <c r="AJ14" s="208">
        <f t="shared" ref="AJ14:AJ43" ca="1" si="9">SUM(AD14:AI14)</f>
        <v>0</v>
      </c>
      <c r="AL14" s="135">
        <f ca="1">IF(AND((OFFSET('DATA INPUT'!$C$11, ROW()-ROW($AL$14),0)=$AL$10),
 OR(OFFSET('DATA INPUT'!$H$11,ROW()-ROW($AL$14),0)=3,
OFFSET('DATA INPUT'!$V$11, ROW()-ROW($AL$14),0)=3,
OFFSET('DATA INPUT'!$AD$11, ROW()-ROW($AL$14),0)=3)),
OFFSET('Calc - SENIOR PERS'!$Y$11,COLUMN()-COLUMN($AL$14) + (ROW()-ROW($AL$14))*14,0),0)</f>
        <v>0</v>
      </c>
      <c r="AM14" s="86">
        <f ca="1">IF(AND((OFFSET('DATA INPUT'!$C$11, ROW()-ROW($AL$14),0)=$AL$10),
 OR(OFFSET('DATA INPUT'!$H$11,ROW()-ROW($AL$14),0)=3,
OFFSET('DATA INPUT'!$V$11, ROW()-ROW($AL$14),0)=3,
OFFSET('DATA INPUT'!$AD$11, ROW()-ROW($AL$14),0)=3)),
OFFSET('Calc - SENIOR PERS'!$Y$11,COLUMN()-COLUMN($AL$14) + (ROW()-ROW($AL$14))*14,0),0)</f>
        <v>0</v>
      </c>
      <c r="AN14" s="86">
        <f ca="1">IF(AND((OFFSET('DATA INPUT'!$C$11, ROW()-ROW($AL$14),0)=$AL$10),
 OR(OFFSET('DATA INPUT'!$H$11,ROW()-ROW($AL$14),0)=3,
OFFSET('DATA INPUT'!$V$11, ROW()-ROW($AL$14),0)=3,
OFFSET('DATA INPUT'!$AD$11, ROW()-ROW($AL$14),0)=3)),
OFFSET('Calc - SENIOR PERS'!$Y$11,COLUMN()-COLUMN($AL$14) + (ROW()-ROW($AL$14))*14,0),0)</f>
        <v>0</v>
      </c>
      <c r="AO14" s="86">
        <f ca="1">IF(AND((OFFSET('DATA INPUT'!$C$11, ROW()-ROW($AL$14),0)=$AL$10),
 OR(OFFSET('DATA INPUT'!$H$11,ROW()-ROW($AL$14),0)=3,
OFFSET('DATA INPUT'!$V$11, ROW()-ROW($AL$14),0)=3,
OFFSET('DATA INPUT'!$AD$11, ROW()-ROW($AL$14),0)=3)),
OFFSET('Calc - SENIOR PERS'!$Y$11,COLUMN()-COLUMN($AL$14) + (ROW()-ROW($AL$14))*14,0),0)</f>
        <v>0</v>
      </c>
      <c r="AP14" s="86">
        <f ca="1">IF(AND((OFFSET('DATA INPUT'!$C$11, ROW()-ROW($AL$14),0)=$AL$10),
 OR(OFFSET('DATA INPUT'!$H$11,ROW()-ROW($AL$14),0)=3,
OFFSET('DATA INPUT'!$V$11, ROW()-ROW($AL$14),0)=3,
OFFSET('DATA INPUT'!$AD$11, ROW()-ROW($AL$14),0)=3)),
OFFSET('Calc - SENIOR PERS'!$Y$11,COLUMN()-COLUMN($AL$14) + (ROW()-ROW($AL$14))*14,0),0)</f>
        <v>0</v>
      </c>
      <c r="AQ14" s="86">
        <f ca="1">IF(AND((OFFSET('DATA INPUT'!$C$11, ROW()-ROW($AL$14),0)=$AL$10),
 OR(OFFSET('DATA INPUT'!$H$11,ROW()-ROW($AL$14),0)=3,
OFFSET('DATA INPUT'!$V$11, ROW()-ROW($AL$14),0)=3,
OFFSET('DATA INPUT'!$AD$11, ROW()-ROW($AL$14),0)=3)),
OFFSET('Calc - SENIOR PERS'!$Y$11,COLUMN()-COLUMN($AL$14) + (ROW()-ROW($AL$14))*14,0),0)</f>
        <v>0</v>
      </c>
      <c r="AR14" s="180">
        <f t="shared" ref="AR14:AR43" ca="1" si="10">SUM(AL14:AQ14)</f>
        <v>0</v>
      </c>
      <c r="AT14" s="135">
        <f ca="1">IF(AND((OFFSET('DATA INPUT'!$C$11, ROW()-ROW($AT$14),0)=$AT$10),
 OR(OFFSET('DATA INPUT'!$H$11,ROW()-ROW($AT$14),0)=3,
OFFSET('DATA INPUT'!$V$11, ROW()-ROW($AT$14),0)=3,
OFFSET('DATA INPUT'!$AD$11, ROW()-ROW($AT$14),0)=3)),
OFFSET('Calc - SENIOR PERS'!$Y$11,COLUMN()-COLUMN($AT$14) + (ROW()-ROW($AT$14))*14,0),0)</f>
        <v>0</v>
      </c>
      <c r="AU14" s="86">
        <f ca="1">IF(AND((OFFSET('DATA INPUT'!$C$11, ROW()-ROW($AT$14),0)=$AT$10),
 OR(OFFSET('DATA INPUT'!$H$11,ROW()-ROW($AT$14),0)=3,
OFFSET('DATA INPUT'!$V$11, ROW()-ROW($AT$14),0)=3,
OFFSET('DATA INPUT'!$AD$11, ROW()-ROW($AT$14),0)=3)),
OFFSET('Calc - SENIOR PERS'!$Y$11,COLUMN()-COLUMN($AT$14) + (ROW()-ROW($AT$14))*14,0),0)</f>
        <v>0</v>
      </c>
      <c r="AV14" s="86">
        <f ca="1">IF(AND((OFFSET('DATA INPUT'!$C$11, ROW()-ROW($AT$14),0)=$AT$10),
 OR(OFFSET('DATA INPUT'!$H$11,ROW()-ROW($AT$14),0)=3,
OFFSET('DATA INPUT'!$V$11, ROW()-ROW($AT$14),0)=3,
OFFSET('DATA INPUT'!$AD$11, ROW()-ROW($AT$14),0)=3)),
OFFSET('Calc - SENIOR PERS'!$Y$11,COLUMN()-COLUMN($AT$14) + (ROW()-ROW($AT$14))*14,0),0)</f>
        <v>0</v>
      </c>
      <c r="AW14" s="86">
        <f ca="1">IF(AND((OFFSET('DATA INPUT'!$C$11, ROW()-ROW($AT$14),0)=$AT$10),
 OR(OFFSET('DATA INPUT'!$H$11,ROW()-ROW($AT$14),0)=3,
OFFSET('DATA INPUT'!$V$11, ROW()-ROW($AT$14),0)=3,
OFFSET('DATA INPUT'!$AD$11, ROW()-ROW($AT$14),0)=3)),
OFFSET('Calc - SENIOR PERS'!$Y$11,COLUMN()-COLUMN($AT$14) + (ROW()-ROW($AT$14))*14,0),0)</f>
        <v>0</v>
      </c>
      <c r="AX14" s="86">
        <f ca="1">IF(AND((OFFSET('DATA INPUT'!$C$11, ROW()-ROW($AT$14),0)=$AT$10),
 OR(OFFSET('DATA INPUT'!$H$11,ROW()-ROW($AT$14),0)=3,
OFFSET('DATA INPUT'!$V$11, ROW()-ROW($AT$14),0)=3,
OFFSET('DATA INPUT'!$AD$11, ROW()-ROW($AT$14),0)=3)),
OFFSET('Calc - SENIOR PERS'!$Y$11,COLUMN()-COLUMN($AT$14) + (ROW()-ROW($AT$14))*14,0),0)</f>
        <v>0</v>
      </c>
      <c r="AY14" s="86">
        <f ca="1">IF(AND((OFFSET('DATA INPUT'!$C$11, ROW()-ROW($AT$14),0)=$AT$10),
 OR(OFFSET('DATA INPUT'!$H$11,ROW()-ROW($AT$14),0)=3,
OFFSET('DATA INPUT'!$V$11, ROW()-ROW($AT$14),0)=3,
OFFSET('DATA INPUT'!$AD$11, ROW()-ROW($AT$14),0)=3)),
OFFSET('Calc - SENIOR PERS'!$Y$11,COLUMN()-COLUMN($AT$14) + (ROW()-ROW($AT$14))*14,0),0)</f>
        <v>0</v>
      </c>
      <c r="AZ14" s="152">
        <f t="shared" ref="AZ14:AZ43" ca="1" si="11">SUM(AT14:AY14)</f>
        <v>0</v>
      </c>
      <c r="BB14" s="135">
        <f ca="1">IF(AND((OFFSET('DATA INPUT'!$C$11, ROW()-ROW($BB$14),0)=$BB$10),
 OR(OFFSET('DATA INPUT'!$H$11,ROW()-ROW($BB$14),0)=3,
OFFSET('DATA INPUT'!$V$11, ROW()-ROW($BB$14),0)=3,
OFFSET('DATA INPUT'!$AD$11, ROW()-ROW($BB$14),0)=3)),
OFFSET('Calc - SENIOR PERS'!$Y$11,COLUMN()-COLUMN($BB$14) + (ROW()-ROW($BB$14))*14,0),0)</f>
        <v>0</v>
      </c>
      <c r="BC14" s="86">
        <f ca="1">IF(AND((OFFSET('DATA INPUT'!$C$11, ROW()-ROW($BB$14),0)=$BB$10),
 OR(OFFSET('DATA INPUT'!$H$11,ROW()-ROW($BB$14),0)=3,
OFFSET('DATA INPUT'!$V$11, ROW()-ROW($BB$14),0)=3,
OFFSET('DATA INPUT'!$AD$11, ROW()-ROW($BB$14),0)=3)),
OFFSET('Calc - SENIOR PERS'!$Y$11,COLUMN()-COLUMN($BB$14) + (ROW()-ROW($BB$14))*14,0),0)</f>
        <v>0</v>
      </c>
      <c r="BD14" s="86">
        <f ca="1">IF(AND((OFFSET('DATA INPUT'!$C$11, ROW()-ROW($BB$14),0)=$BB$10),
 OR(OFFSET('DATA INPUT'!$H$11,ROW()-ROW($BB$14),0)=3,
OFFSET('DATA INPUT'!$V$11, ROW()-ROW($BB$14),0)=3,
OFFSET('DATA INPUT'!$AD$11, ROW()-ROW($BB$14),0)=3)),
OFFSET('Calc - SENIOR PERS'!$Y$11,COLUMN()-COLUMN($BB$14) + (ROW()-ROW($BB$14))*14,0),0)</f>
        <v>0</v>
      </c>
      <c r="BE14" s="86">
        <f ca="1">IF(AND((OFFSET('DATA INPUT'!$C$11, ROW()-ROW($BB$14),0)=$BB$10),
 OR(OFFSET('DATA INPUT'!$H$11,ROW()-ROW($BB$14),0)=3,
OFFSET('DATA INPUT'!$V$11, ROW()-ROW($BB$14),0)=3,
OFFSET('DATA INPUT'!$AD$11, ROW()-ROW($BB$14),0)=3)),
OFFSET('Calc - SENIOR PERS'!$Y$11,COLUMN()-COLUMN($BB$14) + (ROW()-ROW($BB$14))*14,0),0)</f>
        <v>0</v>
      </c>
      <c r="BF14" s="86">
        <f ca="1">IF(AND((OFFSET('DATA INPUT'!$C$11, ROW()-ROW($BB$14),0)=$BB$10),
 OR(OFFSET('DATA INPUT'!$H$11,ROW()-ROW($BB$14),0)=3,
OFFSET('DATA INPUT'!$V$11, ROW()-ROW($BB$14),0)=3,
OFFSET('DATA INPUT'!$AD$11, ROW()-ROW($BB$14),0)=3)),
OFFSET('Calc - SENIOR PERS'!$Y$11,COLUMN()-COLUMN($BB$14) + (ROW()-ROW($BB$14))*14,0),0)</f>
        <v>0</v>
      </c>
      <c r="BG14" s="86">
        <f ca="1">IF(AND((OFFSET('DATA INPUT'!$C$11, ROW()-ROW($BB$14),0)=$BB$10),
 OR(OFFSET('DATA INPUT'!$H$11,ROW()-ROW($BB$14),0)=3,
OFFSET('DATA INPUT'!$V$11, ROW()-ROW($BB$14),0)=3,
OFFSET('DATA INPUT'!$AD$11, ROW()-ROW($BB$14),0)=3)),
OFFSET('Calc - SENIOR PERS'!$Y$11,COLUMN()-COLUMN($BB$14) + (ROW()-ROW($BB$14))*14,0),0)</f>
        <v>0</v>
      </c>
      <c r="BH14" s="194">
        <f t="shared" ref="BH14:BH43" ca="1" si="12">SUM(BB14:BG14)</f>
        <v>0</v>
      </c>
      <c r="BJ14" s="135"/>
      <c r="BK14" s="86"/>
      <c r="BL14" s="86"/>
      <c r="BM14" s="86"/>
      <c r="BN14" s="86"/>
      <c r="BO14" s="86"/>
      <c r="BP14" s="1104">
        <f t="shared" ref="BP14:BP43" si="13">SUM(BJ14:BO14)</f>
        <v>0</v>
      </c>
      <c r="BR14" s="574">
        <f t="shared" ref="BR14:BR43" ca="1" si="14">SUM(N14,V14,AD14,AL14,AT14,BB14)</f>
        <v>0</v>
      </c>
      <c r="BS14" s="86">
        <f t="shared" ref="BS14:BS43" ca="1" si="15">SUM(O14,W14,AE14,AM14,AU14,BC14)</f>
        <v>0</v>
      </c>
      <c r="BT14" s="86">
        <f t="shared" ref="BT14:BT43" ca="1" si="16">SUM(P14,X14,AF14,AN14,AV14,BD14)</f>
        <v>0</v>
      </c>
      <c r="BU14" s="86">
        <f t="shared" ref="BU14:BU43" ca="1" si="17">SUM(Q14,Y14,AG14,AO14,AW14,BE14)</f>
        <v>0</v>
      </c>
      <c r="BV14" s="86">
        <f t="shared" ref="BV14:BV43" ca="1" si="18">SUM(R14,Z14,AH14,AP14,AX14,BF14)</f>
        <v>0</v>
      </c>
      <c r="BW14" s="86">
        <f t="shared" ref="BW14:BW43" ca="1" si="19">SUM(S14,AA14,AI14,AQ14,AY14,BG14)</f>
        <v>0</v>
      </c>
      <c r="BX14" s="2177">
        <f t="shared" ref="BX14:BX43" ca="1" si="20">SUM(BR14:BW14)</f>
        <v>0</v>
      </c>
      <c r="BY14" s="276">
        <f t="shared" ref="BY14:BY43" ca="1" si="21">SUM(J14+BX14)</f>
        <v>16781.995999999999</v>
      </c>
      <c r="CB14" s="1160"/>
      <c r="CC14" s="386">
        <f ca="1">'Calc - SENIOR PERS'!$O$12/9*3</f>
        <v>0</v>
      </c>
      <c r="CD14" s="360">
        <f ca="1">'Calc - SENIOR PERS'!$O$12/9*3</f>
        <v>0</v>
      </c>
      <c r="CE14" s="360">
        <f ca="1">'Calc - SENIOR PERS'!$O$12/9*2</f>
        <v>0</v>
      </c>
      <c r="CF14" s="360">
        <f ca="1">'Calc - SENIOR PERS'!$O$12/9*0.5</f>
        <v>0</v>
      </c>
      <c r="CG14" s="1161">
        <f ca="1">'Calc - SENIOR PERS'!$O$12/9*0.5</f>
        <v>0</v>
      </c>
      <c r="CH14" s="1162">
        <f ca="1">'Calc - SENIOR PERS'!$O$13/9*3</f>
        <v>0</v>
      </c>
      <c r="CI14" s="1163">
        <f ca="1">'Calc - SENIOR PERS'!$O$13/9*3</f>
        <v>0</v>
      </c>
      <c r="CJ14" s="1163">
        <f ca="1">'Calc - SENIOR PERS'!$O$13/9*2</f>
        <v>0</v>
      </c>
      <c r="CK14" s="1163">
        <f ca="1">'Calc - SENIOR PERS'!$O$13/9*0.5</f>
        <v>0</v>
      </c>
      <c r="CL14" s="1164">
        <f ca="1">'Calc - SENIOR PERS'!$O$13/9*0.5</f>
        <v>0</v>
      </c>
      <c r="CM14" s="1165">
        <f ca="1">'Calc - SENIOR PERS'!$O$14/8*3</f>
        <v>0</v>
      </c>
      <c r="CN14" s="1166">
        <f ca="1">'Calc - SENIOR PERS'!$O$14/8*3</f>
        <v>0</v>
      </c>
      <c r="CO14" s="1167">
        <f ca="1">'Calc - SENIOR PERS'!$O$14/8*2</f>
        <v>0</v>
      </c>
      <c r="CP14" s="1168">
        <f t="shared" ref="CP14:CP44" ca="1" si="22">SUM(CB14:CO14)</f>
        <v>0</v>
      </c>
      <c r="CR14" s="310"/>
      <c r="CS14" s="574"/>
      <c r="CT14" s="86"/>
      <c r="CU14" s="1169"/>
      <c r="CV14" s="574"/>
      <c r="CW14" s="86"/>
      <c r="CX14" s="1169"/>
      <c r="CY14" s="574"/>
      <c r="CZ14" s="86"/>
      <c r="DA14" s="1169"/>
      <c r="DB14" s="574"/>
      <c r="DC14" s="86"/>
      <c r="DD14" s="1169"/>
      <c r="DE14" s="1065">
        <f t="shared" ref="DE14:DE43" si="23">SUM(CS14:DD14)</f>
        <v>0</v>
      </c>
      <c r="DG14" s="574"/>
      <c r="DH14" s="86"/>
      <c r="DI14" s="1169"/>
      <c r="DJ14" s="574"/>
      <c r="DK14" s="86"/>
      <c r="DL14" s="1169"/>
      <c r="DM14" s="574"/>
      <c r="DN14" s="86"/>
      <c r="DO14" s="1169"/>
      <c r="DP14" s="574"/>
      <c r="DQ14" s="86"/>
      <c r="DR14" s="1169"/>
      <c r="DS14" s="1065">
        <f t="shared" ref="DS14:DS43" si="24">SUM(DG14:DR14)</f>
        <v>0</v>
      </c>
      <c r="DU14" s="574"/>
      <c r="DV14" s="86"/>
      <c r="DW14" s="1169"/>
      <c r="DX14" s="574"/>
      <c r="DY14" s="86"/>
      <c r="DZ14" s="1169"/>
      <c r="EA14" s="574"/>
      <c r="EB14" s="86"/>
      <c r="EC14" s="1169"/>
      <c r="ED14" s="574"/>
      <c r="EE14" s="86"/>
      <c r="EF14" s="1169"/>
      <c r="EG14" s="1065">
        <f t="shared" ref="EG14:EG43" si="25">SUM(DU14:EF14)</f>
        <v>0</v>
      </c>
      <c r="EI14" s="25"/>
      <c r="EJ14" s="3214" t="s">
        <v>633</v>
      </c>
      <c r="EK14" s="2139" t="str">
        <f t="shared" ref="EK14:EK43" ca="1" si="26">C14</f>
        <v>Virag Mishra</v>
      </c>
      <c r="EL14" s="85">
        <f t="shared" ref="EL14:EL43" ca="1" si="27">ROUND(D14,0)</f>
        <v>16782</v>
      </c>
      <c r="EM14" s="85">
        <f t="shared" ref="EM14:EM43" ca="1" si="28">ROUND(E14,0)</f>
        <v>0</v>
      </c>
      <c r="EN14" s="85">
        <f t="shared" ref="EN14:EN43" ca="1" si="29">ROUND(F14,0)</f>
        <v>0</v>
      </c>
      <c r="EO14" s="85">
        <f t="shared" ref="EO14:EO43" ca="1" si="30">ROUND(G14,0)</f>
        <v>0</v>
      </c>
      <c r="EP14" s="85">
        <f t="shared" ref="EP14:EP43" ca="1" si="31">ROUND(H14,0)</f>
        <v>0</v>
      </c>
      <c r="EQ14" s="85">
        <f t="shared" ref="EQ14:EQ43" ca="1" si="32">ROUND(I14,0)</f>
        <v>0</v>
      </c>
      <c r="ER14" s="87">
        <f t="shared" ref="ER14:ER43" ca="1" si="33">SUM(EL14:EQ14)</f>
        <v>16782</v>
      </c>
      <c r="ES14" s="9"/>
      <c r="ET14" s="4"/>
      <c r="EU14" s="4"/>
      <c r="EV14" s="135">
        <f t="shared" ref="EV14:EV43" ca="1" si="34">ROUND(N14,0)</f>
        <v>0</v>
      </c>
      <c r="EW14" s="85">
        <f t="shared" ref="EW14:EW43" ca="1" si="35">ROUND(O14,0)</f>
        <v>0</v>
      </c>
      <c r="EX14" s="85">
        <f t="shared" ref="EX14:EX43" ca="1" si="36">ROUND(P14,0)</f>
        <v>0</v>
      </c>
      <c r="EY14" s="85">
        <f t="shared" ref="EY14:EY43" ca="1" si="37">ROUND(Q14,0)</f>
        <v>0</v>
      </c>
      <c r="EZ14" s="85">
        <f t="shared" ref="EZ14:EZ43" ca="1" si="38">ROUND(R14,0)</f>
        <v>0</v>
      </c>
      <c r="FA14" s="85">
        <f t="shared" ref="FA14:FA43" ca="1" si="39">ROUND(S14,0)</f>
        <v>0</v>
      </c>
      <c r="FB14" s="166">
        <f t="shared" ref="FB14:FB43" ca="1" si="40">SUM(EV14:FA14)</f>
        <v>0</v>
      </c>
      <c r="FD14" s="135">
        <f t="shared" ref="FD14:FD43" ca="1" si="41">ROUND(V14,0)</f>
        <v>0</v>
      </c>
      <c r="FE14" s="86">
        <f t="shared" ref="FE14:FE43" ca="1" si="42">ROUND(W14,0)</f>
        <v>0</v>
      </c>
      <c r="FF14" s="86">
        <f t="shared" ref="FF14:FF43" ca="1" si="43">ROUND(X14,0)</f>
        <v>0</v>
      </c>
      <c r="FG14" s="86">
        <f t="shared" ref="FG14:FG43" ca="1" si="44">ROUND(Y14,0)</f>
        <v>0</v>
      </c>
      <c r="FH14" s="86">
        <f t="shared" ref="FH14:FH43" ca="1" si="45">ROUND(Z14,0)</f>
        <v>0</v>
      </c>
      <c r="FI14" s="86">
        <f t="shared" ref="FI14:FI43" ca="1" si="46">ROUND(AA14,0)</f>
        <v>0</v>
      </c>
      <c r="FJ14" s="140">
        <f t="shared" ref="FJ14:FJ43" ca="1" si="47">SUM(FD14:FI14)</f>
        <v>0</v>
      </c>
      <c r="FL14" s="135">
        <f t="shared" ref="FL14:FL43" ca="1" si="48">ROUND(AD14,0)</f>
        <v>0</v>
      </c>
      <c r="FM14" s="86">
        <f t="shared" ref="FM14:FM43" ca="1" si="49">ROUND(AE14,0)</f>
        <v>0</v>
      </c>
      <c r="FN14" s="86">
        <f t="shared" ref="FN14:FN43" ca="1" si="50">ROUND(AF14,0)</f>
        <v>0</v>
      </c>
      <c r="FO14" s="86">
        <f t="shared" ref="FO14:FO43" ca="1" si="51">ROUND(AG14,0)</f>
        <v>0</v>
      </c>
      <c r="FP14" s="86">
        <f t="shared" ref="FP14:FP43" ca="1" si="52">ROUND(AH14,0)</f>
        <v>0</v>
      </c>
      <c r="FQ14" s="86">
        <f t="shared" ref="FQ14:FQ43" ca="1" si="53">ROUND(AI14,0)</f>
        <v>0</v>
      </c>
      <c r="FR14" s="208">
        <f t="shared" ref="FR14:FR43" ca="1" si="54">SUM(FL14:FQ14)</f>
        <v>0</v>
      </c>
      <c r="FT14" s="135">
        <f t="shared" ref="FT14:FT43" ca="1" si="55">ROUND(AL14,0)</f>
        <v>0</v>
      </c>
      <c r="FU14" s="86">
        <f t="shared" ref="FU14:FU43" ca="1" si="56">ROUND(AM14,0)</f>
        <v>0</v>
      </c>
      <c r="FV14" s="86">
        <f t="shared" ref="FV14:FV43" ca="1" si="57">ROUND(AN14,0)</f>
        <v>0</v>
      </c>
      <c r="FW14" s="86">
        <f t="shared" ref="FW14:FW43" ca="1" si="58">ROUND(AO14,0)</f>
        <v>0</v>
      </c>
      <c r="FX14" s="86">
        <f t="shared" ref="FX14:FX43" ca="1" si="59">ROUND(AP14,0)</f>
        <v>0</v>
      </c>
      <c r="FY14" s="86">
        <f t="shared" ref="FY14:FY43" ca="1" si="60">ROUND(AQ14,0)</f>
        <v>0</v>
      </c>
      <c r="FZ14" s="180">
        <f t="shared" ref="FZ14:FZ43" ca="1" si="61">SUM(FT14:FY14)</f>
        <v>0</v>
      </c>
      <c r="GB14" s="135">
        <f t="shared" ref="GB14:GB43" ca="1" si="62">ROUND(AT14,0)</f>
        <v>0</v>
      </c>
      <c r="GC14" s="86">
        <f t="shared" ref="GC14:GC43" ca="1" si="63">ROUND(AU14,0)</f>
        <v>0</v>
      </c>
      <c r="GD14" s="86">
        <f t="shared" ref="GD14:GD43" ca="1" si="64">ROUND(AV14,0)</f>
        <v>0</v>
      </c>
      <c r="GE14" s="86">
        <f t="shared" ref="GE14:GE43" ca="1" si="65">ROUND(AW14,0)</f>
        <v>0</v>
      </c>
      <c r="GF14" s="86">
        <f t="shared" ref="GF14:GF43" ca="1" si="66">ROUND(AX14,0)</f>
        <v>0</v>
      </c>
      <c r="GG14" s="86">
        <f t="shared" ref="GG14:GG43" ca="1" si="67">ROUND(AY14,0)</f>
        <v>0</v>
      </c>
      <c r="GH14" s="152">
        <f t="shared" ref="GH14:GH43" ca="1" si="68">SUM(GB14:GG14)</f>
        <v>0</v>
      </c>
      <c r="GJ14" s="135">
        <f t="shared" ref="GJ14:GJ43" ca="1" si="69">ROUND(BB14,0)</f>
        <v>0</v>
      </c>
      <c r="GK14" s="86">
        <f t="shared" ref="GK14:GK43" ca="1" si="70">ROUND(BC14,0)</f>
        <v>0</v>
      </c>
      <c r="GL14" s="86">
        <f t="shared" ref="GL14:GL43" ca="1" si="71">ROUND(BD14,0)</f>
        <v>0</v>
      </c>
      <c r="GM14" s="86">
        <f t="shared" ref="GM14:GM43" ca="1" si="72">ROUND(BE14,0)</f>
        <v>0</v>
      </c>
      <c r="GN14" s="86">
        <f t="shared" ref="GN14:GN43" ca="1" si="73">ROUND(BF14,0)</f>
        <v>0</v>
      </c>
      <c r="GO14" s="86">
        <f t="shared" ref="GO14:GO43" ca="1" si="74">ROUND(BG14,0)</f>
        <v>0</v>
      </c>
      <c r="GP14" s="194">
        <f t="shared" ref="GP14:GP43" ca="1" si="75">SUM(GJ14:GO14)</f>
        <v>0</v>
      </c>
      <c r="GR14" s="135"/>
      <c r="GS14" s="86"/>
      <c r="GT14" s="86"/>
      <c r="GU14" s="86"/>
      <c r="GV14" s="86"/>
      <c r="GW14" s="86"/>
      <c r="GX14" s="1104">
        <f t="shared" ref="GX14:GX43" si="76">SUM(GR14:GW14)</f>
        <v>0</v>
      </c>
      <c r="GZ14" s="574">
        <f t="shared" ref="GZ14:GZ43" ca="1" si="77">SUM(EV14,FD14,FL14,FT14,GB14,GJ14)</f>
        <v>0</v>
      </c>
      <c r="HA14" s="86">
        <f t="shared" ref="HA14:HA43" ca="1" si="78">SUM(EW14,FE14,FM14,FU14,GC14,GK14)</f>
        <v>0</v>
      </c>
      <c r="HB14" s="86">
        <f t="shared" ref="HB14:HB43" ca="1" si="79">SUM(EX14,FF14,FN14,FV14,GD14,GL14)</f>
        <v>0</v>
      </c>
      <c r="HC14" s="86">
        <f t="shared" ref="HC14:HC43" ca="1" si="80">SUM(EY14,FG14,FO14,FW14,GE14,GM14)</f>
        <v>0</v>
      </c>
      <c r="HD14" s="86">
        <f t="shared" ref="HD14:HD43" ca="1" si="81">SUM(EZ14,FH14,FP14,FX14,GF14,GN14)</f>
        <v>0</v>
      </c>
      <c r="HE14" s="86">
        <f t="shared" ref="HE14:HE43" ca="1" si="82">SUM(FA14,FI14,FQ14,FY14,GG14,GO14)</f>
        <v>0</v>
      </c>
      <c r="HF14" s="2177">
        <f t="shared" ref="HF14:HF43" ca="1" si="83">SUM(GZ14:HE14)</f>
        <v>0</v>
      </c>
      <c r="HG14" s="276">
        <f t="shared" ref="HG14:HG43" ca="1" si="84">SUM(ER14+HF14)</f>
        <v>16782</v>
      </c>
    </row>
    <row r="15" spans="1:216" ht="15" hidden="1" customHeight="1" x14ac:dyDescent="0.25">
      <c r="A15" s="403"/>
      <c r="B15" s="3215"/>
      <c r="C15" s="2140">
        <f ca="1">'Calc - SENIOR PERS'!$B$20</f>
        <v>0</v>
      </c>
      <c r="D15" s="21">
        <f ca="1">'Calc - SENIOR PERS'!$O$25</f>
        <v>0</v>
      </c>
      <c r="E15" s="5">
        <f ca="1">'Calc - SENIOR PERS'!$O$26</f>
        <v>0</v>
      </c>
      <c r="F15" s="5">
        <f ca="1">'Calc - SENIOR PERS'!$O$27</f>
        <v>0</v>
      </c>
      <c r="G15" s="5">
        <f ca="1">'Calc - SENIOR PERS'!$O$28</f>
        <v>0</v>
      </c>
      <c r="H15" s="5">
        <f ca="1">'Calc - SENIOR PERS'!$O$29</f>
        <v>0</v>
      </c>
      <c r="I15" s="5">
        <f ca="1">'Calc - SENIOR PERS'!$O$30</f>
        <v>0</v>
      </c>
      <c r="J15" s="88">
        <f t="shared" ca="1" si="6"/>
        <v>0</v>
      </c>
      <c r="K15" s="9" t="str">
        <f ca="1">IF(J15&lt;&gt;'Calc - SENIOR PERS'!$O$31,"ERROR","")</f>
        <v/>
      </c>
      <c r="L15" s="4"/>
      <c r="M15" s="4"/>
      <c r="N15" s="133">
        <f ca="1">IF(AND((OFFSET('DATA INPUT'!$C$11, ROW()-ROW($N$14),0)=$N$10),
 OR(OFFSET('DATA INPUT'!$H$11,ROW()-ROW($N$14),0)=3,
OFFSET('DATA INPUT'!$V$11, ROW()-ROW($N$14),0)=3,
OFFSET('DATA INPUT'!$AD$11, ROW()-ROW($N$14),0)=3)),
OFFSET('Calc - SENIOR PERS'!$Y$11,COLUMN()-COLUMN($N$14) + (ROW()-ROW($N$14))*14,0),0)</f>
        <v>0</v>
      </c>
      <c r="O15" s="5">
        <f ca="1">IF(AND((OFFSET('DATA INPUT'!$C$11, ROW()-ROW($N$14),0)=$N$10),
 OR(OFFSET('DATA INPUT'!$H$11,ROW()-ROW($N$14),0)=3,
OFFSET('DATA INPUT'!$V$11, ROW()-ROW($N$14),0)=3,
OFFSET('DATA INPUT'!$AD$11, ROW()-ROW($N$14),0)=3)),
OFFSET('Calc - SENIOR PERS'!$Y$11,COLUMN()-COLUMN($N$14) + (ROW()-ROW($N$14))*14,0),0)</f>
        <v>0</v>
      </c>
      <c r="P15" s="5">
        <f ca="1">IF(AND((OFFSET('DATA INPUT'!$C$11, ROW()-ROW($N$14),0)=$N$10),
 OR(OFFSET('DATA INPUT'!$H$11,ROW()-ROW($N$14),0)=3,
OFFSET('DATA INPUT'!$V$11, ROW()-ROW($N$14),0)=3,
OFFSET('DATA INPUT'!$AD$11, ROW()-ROW($N$14),0)=3)),
OFFSET('Calc - SENIOR PERS'!$Y$11,COLUMN()-COLUMN($N$14) + (ROW()-ROW($N$14))*14,0),0)</f>
        <v>0</v>
      </c>
      <c r="Q15" s="5">
        <f ca="1">IF(AND((OFFSET('DATA INPUT'!$C$11, ROW()-ROW($N$14),0)=$N$10),
 OR(OFFSET('DATA INPUT'!$H$11,ROW()-ROW($N$14),0)=3,
OFFSET('DATA INPUT'!$V$11, ROW()-ROW($N$14),0)=3,
OFFSET('DATA INPUT'!$AD$11, ROW()-ROW($N$14),0)=3)),
OFFSET('Calc - SENIOR PERS'!$Y$11,COLUMN()-COLUMN($N$14) + (ROW()-ROW($N$14))*14,0),0)</f>
        <v>0</v>
      </c>
      <c r="R15" s="5">
        <f ca="1">IF(AND((OFFSET('DATA INPUT'!$C$11, ROW()-ROW($N$14),0)=$N$10),
 OR(OFFSET('DATA INPUT'!$H$11,ROW()-ROW($N$14),0)=3,
OFFSET('DATA INPUT'!$V$11, ROW()-ROW($N$14),0)=3,
OFFSET('DATA INPUT'!$AD$11, ROW()-ROW($N$14),0)=3)),
OFFSET('Calc - SENIOR PERS'!$Y$11,COLUMN()-COLUMN($N$14) + (ROW()-ROW($N$14))*14,0),0)</f>
        <v>0</v>
      </c>
      <c r="S15" s="5">
        <f ca="1">IF(AND((OFFSET('DATA INPUT'!$C$11, ROW()-ROW($N$14),0)=$N$10),
 OR(OFFSET('DATA INPUT'!$H$11,ROW()-ROW($N$14),0)=3,
OFFSET('DATA INPUT'!$V$11, ROW()-ROW($N$14),0)=3,
OFFSET('DATA INPUT'!$AD$11, ROW()-ROW($N$14),0)=3)),
OFFSET('Calc - SENIOR PERS'!$Y$11,COLUMN()-COLUMN($N$14) + (ROW()-ROW($N$14))*14,0),0)</f>
        <v>0</v>
      </c>
      <c r="T15" s="164">
        <f t="shared" ca="1" si="7"/>
        <v>0</v>
      </c>
      <c r="V15" s="133">
        <f ca="1">IF(AND((OFFSET('DATA INPUT'!$C$11, ROW()-ROW($V$14),0)=$V$10),
 OR(OFFSET('DATA INPUT'!$H$11,ROW()-ROW($V$14),0)=3,
OFFSET('DATA INPUT'!$V$11, ROW()-ROW($V$14),0)=3,
OFFSET('DATA INPUT'!$AD$11, ROW()-ROW($V$14),0)=3)),
OFFSET('Calc - SENIOR PERS'!$Y$11,COLUMN()-COLUMN($V$14) + (ROW()-ROW($V$14))*14,0),0)</f>
        <v>0</v>
      </c>
      <c r="W15" s="5">
        <f ca="1">IF(AND((OFFSET('DATA INPUT'!$C$11, ROW()-ROW($V$14),0)=$V$10),
 OR(OFFSET('DATA INPUT'!$H$11,ROW()-ROW($V$14),0)=3,
OFFSET('DATA INPUT'!$V$11, ROW()-ROW($V$14),0)=3,
OFFSET('DATA INPUT'!$AD$11, ROW()-ROW($V$14),0)=3)),
OFFSET('Calc - SENIOR PERS'!$Y$11,COLUMN()-COLUMN($V$14) + (ROW()-ROW($V$14))*14,0),0)</f>
        <v>0</v>
      </c>
      <c r="X15" s="5">
        <f ca="1">IF(AND((OFFSET('DATA INPUT'!$C$11, ROW()-ROW($V$14),0)=$V$10),
 OR(OFFSET('DATA INPUT'!$H$11,ROW()-ROW($V$14),0)=3,
OFFSET('DATA INPUT'!$V$11, ROW()-ROW($V$14),0)=3,
OFFSET('DATA INPUT'!$AD$11, ROW()-ROW($V$14),0)=3)),
OFFSET('Calc - SENIOR PERS'!$Y$11,COLUMN()-COLUMN($V$14) + (ROW()-ROW($V$14))*14,0),0)</f>
        <v>0</v>
      </c>
      <c r="Y15" s="5">
        <f ca="1">IF(AND((OFFSET('DATA INPUT'!$C$11, ROW()-ROW($V$14),0)=$V$10),
 OR(OFFSET('DATA INPUT'!$H$11,ROW()-ROW($V$14),0)=3,
OFFSET('DATA INPUT'!$V$11, ROW()-ROW($V$14),0)=3,
OFFSET('DATA INPUT'!$AD$11, ROW()-ROW($V$14),0)=3)),
OFFSET('Calc - SENIOR PERS'!$Y$11,COLUMN()-COLUMN($V$14) + (ROW()-ROW($V$14))*14,0),0)</f>
        <v>0</v>
      </c>
      <c r="Z15" s="5">
        <f ca="1">IF(AND((OFFSET('DATA INPUT'!$C$11, ROW()-ROW($V$14),0)=$V$10),
 OR(OFFSET('DATA INPUT'!$H$11,ROW()-ROW($V$14),0)=3,
OFFSET('DATA INPUT'!$V$11, ROW()-ROW($V$14),0)=3,
OFFSET('DATA INPUT'!$AD$11, ROW()-ROW($V$14),0)=3)),
OFFSET('Calc - SENIOR PERS'!$Y$11,COLUMN()-COLUMN($V$14) + (ROW()-ROW($V$14))*14,0),0)</f>
        <v>0</v>
      </c>
      <c r="AA15" s="5">
        <f ca="1">IF(AND((OFFSET('DATA INPUT'!$C$11, ROW()-ROW($V$14),0)=$V$10),
 OR(OFFSET('DATA INPUT'!$H$11,ROW()-ROW($V$14),0)=3,
OFFSET('DATA INPUT'!$V$11, ROW()-ROW($V$14),0)=3,
OFFSET('DATA INPUT'!$AD$11, ROW()-ROW($V$14),0)=3)),
OFFSET('Calc - SENIOR PERS'!$Y$11,COLUMN()-COLUMN($V$14) + (ROW()-ROW($V$14))*14,0),0)</f>
        <v>0</v>
      </c>
      <c r="AB15" s="138">
        <f t="shared" ca="1" si="8"/>
        <v>0</v>
      </c>
      <c r="AD15" s="133">
        <f ca="1">IF(AND((OFFSET('DATA INPUT'!$C$11, ROW()-ROW($AD$14),0)=$AD$10),
 OR(OFFSET('DATA INPUT'!$H$11,ROW()-ROW($AD$14),0)=3,
OFFSET('DATA INPUT'!$V$11, ROW()-ROW($AD$14),0)=3,
OFFSET('DATA INPUT'!$AD$11, ROW()-ROW($AD$14),0)=3)),
OFFSET('Calc - SENIOR PERS'!$Y$11,COLUMN()-COLUMN($AD$14) + (ROW()-ROW($AD$14))*14,0),0)</f>
        <v>0</v>
      </c>
      <c r="AE15" s="5">
        <f ca="1">IF(AND((OFFSET('DATA INPUT'!$C$11, ROW()-ROW($AD$14),0)=$AD$10),
 OR(OFFSET('DATA INPUT'!$H$11,ROW()-ROW($AD$14),0)=3,
OFFSET('DATA INPUT'!$V$11, ROW()-ROW($AD$14),0)=3,
OFFSET('DATA INPUT'!$AD$11, ROW()-ROW($AD$14),0)=3)),
OFFSET('Calc - SENIOR PERS'!$Y$11,COLUMN()-COLUMN($AD$14) + (ROW()-ROW($AD$14))*14,0),0)</f>
        <v>0</v>
      </c>
      <c r="AF15" s="5">
        <f ca="1">IF(AND((OFFSET('DATA INPUT'!$C$11, ROW()-ROW($AD$14),0)=$AD$10),
 OR(OFFSET('DATA INPUT'!$H$11,ROW()-ROW($AD$14),0)=3,
OFFSET('DATA INPUT'!$V$11, ROW()-ROW($AD$14),0)=3,
OFFSET('DATA INPUT'!$AD$11, ROW()-ROW($AD$14),0)=3)),
OFFSET('Calc - SENIOR PERS'!$Y$11,COLUMN()-COLUMN($AD$14) + (ROW()-ROW($AD$14))*14,0),0)</f>
        <v>0</v>
      </c>
      <c r="AG15" s="5">
        <f ca="1">IF(AND((OFFSET('DATA INPUT'!$C$11, ROW()-ROW($AD$14),0)=$AD$10),
 OR(OFFSET('DATA INPUT'!$H$11,ROW()-ROW($AD$14),0)=3,
OFFSET('DATA INPUT'!$V$11, ROW()-ROW($AD$14),0)=3,
OFFSET('DATA INPUT'!$AD$11, ROW()-ROW($AD$14),0)=3)),
OFFSET('Calc - SENIOR PERS'!$Y$11,COLUMN()-COLUMN($AD$14) + (ROW()-ROW($AD$14))*14,0),0)</f>
        <v>0</v>
      </c>
      <c r="AH15" s="5">
        <f ca="1">IF(AND((OFFSET('DATA INPUT'!$C$11, ROW()-ROW($AD$14),0)=$AD$10),
 OR(OFFSET('DATA INPUT'!$H$11,ROW()-ROW($AD$14),0)=3,
OFFSET('DATA INPUT'!$V$11, ROW()-ROW($AD$14),0)=3,
OFFSET('DATA INPUT'!$AD$11, ROW()-ROW($AD$14),0)=3)),
OFFSET('Calc - SENIOR PERS'!$Y$11,COLUMN()-COLUMN($AD$14) + (ROW()-ROW($AD$14))*14,0),0)</f>
        <v>0</v>
      </c>
      <c r="AI15" s="5">
        <f ca="1">IF(AND((OFFSET('DATA INPUT'!$C$11, ROW()-ROW($AD$14),0)=$AD$10),
 OR(OFFSET('DATA INPUT'!$H$11,ROW()-ROW($AD$14),0)=3,
OFFSET('DATA INPUT'!$V$11, ROW()-ROW($AD$14),0)=3,
OFFSET('DATA INPUT'!$AD$11, ROW()-ROW($AD$14),0)=3)),
OFFSET('Calc - SENIOR PERS'!$Y$11,COLUMN()-COLUMN($AD$14) + (ROW()-ROW($AD$14))*14,0),0)</f>
        <v>0</v>
      </c>
      <c r="AJ15" s="206">
        <f t="shared" ca="1" si="9"/>
        <v>0</v>
      </c>
      <c r="AL15" s="133">
        <f ca="1">IF(AND((OFFSET('DATA INPUT'!$C$11, ROW()-ROW($AL$14),0)=$AL$10),
 OR(OFFSET('DATA INPUT'!$H$11,ROW()-ROW($AL$14),0)=3,
OFFSET('DATA INPUT'!$V$11, ROW()-ROW($AL$14),0)=3,
OFFSET('DATA INPUT'!$AD$11, ROW()-ROW($AL$14),0)=3)),
OFFSET('Calc - SENIOR PERS'!$Y$11,COLUMN()-COLUMN($AL$14) + (ROW()-ROW($AL$14))*14,0),0)</f>
        <v>0</v>
      </c>
      <c r="AM15" s="5">
        <f ca="1">IF(AND((OFFSET('DATA INPUT'!$C$11, ROW()-ROW($AL$14),0)=$AL$10),
 OR(OFFSET('DATA INPUT'!$H$11,ROW()-ROW($AL$14),0)=3,
OFFSET('DATA INPUT'!$V$11, ROW()-ROW($AL$14),0)=3,
OFFSET('DATA INPUT'!$AD$11, ROW()-ROW($AL$14),0)=3)),
OFFSET('Calc - SENIOR PERS'!$Y$11,COLUMN()-COLUMN($AL$14) + (ROW()-ROW($AL$14))*14,0),0)</f>
        <v>0</v>
      </c>
      <c r="AN15" s="5">
        <f ca="1">IF(AND((OFFSET('DATA INPUT'!$C$11, ROW()-ROW($AL$14),0)=$AL$10),
 OR(OFFSET('DATA INPUT'!$H$11,ROW()-ROW($AL$14),0)=3,
OFFSET('DATA INPUT'!$V$11, ROW()-ROW($AL$14),0)=3,
OFFSET('DATA INPUT'!$AD$11, ROW()-ROW($AL$14),0)=3)),
OFFSET('Calc - SENIOR PERS'!$Y$11,COLUMN()-COLUMN($AL$14) + (ROW()-ROW($AL$14))*14,0),0)</f>
        <v>0</v>
      </c>
      <c r="AO15" s="5">
        <f ca="1">IF(AND((OFFSET('DATA INPUT'!$C$11, ROW()-ROW($AL$14),0)=$AL$10),
 OR(OFFSET('DATA INPUT'!$H$11,ROW()-ROW($AL$14),0)=3,
OFFSET('DATA INPUT'!$V$11, ROW()-ROW($AL$14),0)=3,
OFFSET('DATA INPUT'!$AD$11, ROW()-ROW($AL$14),0)=3)),
OFFSET('Calc - SENIOR PERS'!$Y$11,COLUMN()-COLUMN($AL$14) + (ROW()-ROW($AL$14))*14,0),0)</f>
        <v>0</v>
      </c>
      <c r="AP15" s="5">
        <f ca="1">IF(AND((OFFSET('DATA INPUT'!$C$11, ROW()-ROW($AL$14),0)=$AL$10),
 OR(OFFSET('DATA INPUT'!$H$11,ROW()-ROW($AL$14),0)=3,
OFFSET('DATA INPUT'!$V$11, ROW()-ROW($AL$14),0)=3,
OFFSET('DATA INPUT'!$AD$11, ROW()-ROW($AL$14),0)=3)),
OFFSET('Calc - SENIOR PERS'!$Y$11,COLUMN()-COLUMN($AL$14) + (ROW()-ROW($AL$14))*14,0),0)</f>
        <v>0</v>
      </c>
      <c r="AQ15" s="5">
        <f ca="1">IF(AND((OFFSET('DATA INPUT'!$C$11, ROW()-ROW($AL$14),0)=$AL$10),
 OR(OFFSET('DATA INPUT'!$H$11,ROW()-ROW($AL$14),0)=3,
OFFSET('DATA INPUT'!$V$11, ROW()-ROW($AL$14),0)=3,
OFFSET('DATA INPUT'!$AD$11, ROW()-ROW($AL$14),0)=3)),
OFFSET('Calc - SENIOR PERS'!$Y$11,COLUMN()-COLUMN($AL$14) + (ROW()-ROW($AL$14))*14,0),0)</f>
        <v>0</v>
      </c>
      <c r="AR15" s="178">
        <f t="shared" ca="1" si="10"/>
        <v>0</v>
      </c>
      <c r="AT15" s="133">
        <f ca="1">IF(AND((OFFSET('DATA INPUT'!$C$11, ROW()-ROW($AT$14),0)=$AT$10),
 OR(OFFSET('DATA INPUT'!$H$11,ROW()-ROW($AT$14),0)=3,
OFFSET('DATA INPUT'!$V$11, ROW()-ROW($AT$14),0)=3,
OFFSET('DATA INPUT'!$AD$11, ROW()-ROW($AT$14),0)=3)),
OFFSET('Calc - SENIOR PERS'!$Y$11,COLUMN()-COLUMN($AT$14) + (ROW()-ROW($AT$14))*14,0),0)</f>
        <v>0</v>
      </c>
      <c r="AU15" s="5">
        <f ca="1">IF(AND((OFFSET('DATA INPUT'!$C$11, ROW()-ROW($AT$14),0)=$AT$10),
 OR(OFFSET('DATA INPUT'!$H$11,ROW()-ROW($AT$14),0)=3,
OFFSET('DATA INPUT'!$V$11, ROW()-ROW($AT$14),0)=3,
OFFSET('DATA INPUT'!$AD$11, ROW()-ROW($AT$14),0)=3)),
OFFSET('Calc - SENIOR PERS'!$Y$11,COLUMN()-COLUMN($AT$14) + (ROW()-ROW($AT$14))*14,0),0)</f>
        <v>0</v>
      </c>
      <c r="AV15" s="5">
        <f ca="1">IF(AND((OFFSET('DATA INPUT'!$C$11, ROW()-ROW($AT$14),0)=$AT$10),
 OR(OFFSET('DATA INPUT'!$H$11,ROW()-ROW($AT$14),0)=3,
OFFSET('DATA INPUT'!$V$11, ROW()-ROW($AT$14),0)=3,
OFFSET('DATA INPUT'!$AD$11, ROW()-ROW($AT$14),0)=3)),
OFFSET('Calc - SENIOR PERS'!$Y$11,COLUMN()-COLUMN($AT$14) + (ROW()-ROW($AT$14))*14,0),0)</f>
        <v>0</v>
      </c>
      <c r="AW15" s="5">
        <f ca="1">IF(AND((OFFSET('DATA INPUT'!$C$11, ROW()-ROW($AT$14),0)=$AT$10),
 OR(OFFSET('DATA INPUT'!$H$11,ROW()-ROW($AT$14),0)=3,
OFFSET('DATA INPUT'!$V$11, ROW()-ROW($AT$14),0)=3,
OFFSET('DATA INPUT'!$AD$11, ROW()-ROW($AT$14),0)=3)),
OFFSET('Calc - SENIOR PERS'!$Y$11,COLUMN()-COLUMN($AT$14) + (ROW()-ROW($AT$14))*14,0),0)</f>
        <v>0</v>
      </c>
      <c r="AX15" s="5">
        <f ca="1">IF(AND((OFFSET('DATA INPUT'!$C$11, ROW()-ROW($AT$14),0)=$AT$10),
 OR(OFFSET('DATA INPUT'!$H$11,ROW()-ROW($AT$14),0)=3,
OFFSET('DATA INPUT'!$V$11, ROW()-ROW($AT$14),0)=3,
OFFSET('DATA INPUT'!$AD$11, ROW()-ROW($AT$14),0)=3)),
OFFSET('Calc - SENIOR PERS'!$Y$11,COLUMN()-COLUMN($AT$14) + (ROW()-ROW($AT$14))*14,0),0)</f>
        <v>0</v>
      </c>
      <c r="AY15" s="5">
        <f ca="1">IF(AND((OFFSET('DATA INPUT'!$C$11, ROW()-ROW($AT$14),0)=$AT$10),
 OR(OFFSET('DATA INPUT'!$H$11,ROW()-ROW($AT$14),0)=3,
OFFSET('DATA INPUT'!$V$11, ROW()-ROW($AT$14),0)=3,
OFFSET('DATA INPUT'!$AD$11, ROW()-ROW($AT$14),0)=3)),
OFFSET('Calc - SENIOR PERS'!$Y$11,COLUMN()-COLUMN($AT$14) + (ROW()-ROW($AT$14))*14,0),0)</f>
        <v>0</v>
      </c>
      <c r="AZ15" s="150">
        <f t="shared" ca="1" si="11"/>
        <v>0</v>
      </c>
      <c r="BB15" s="133">
        <f ca="1">IF(AND((OFFSET('DATA INPUT'!$C$11, ROW()-ROW($BB$14),0)=$BB$10),
 OR(OFFSET('DATA INPUT'!$H$11,ROW()-ROW($BB$14),0)=3,
OFFSET('DATA INPUT'!$V$11, ROW()-ROW($BB$14),0)=3,
OFFSET('DATA INPUT'!$AD$11, ROW()-ROW($BB$14),0)=3)),
OFFSET('Calc - SENIOR PERS'!$Y$11,COLUMN()-COLUMN($BB$14) + (ROW()-ROW($BB$14))*14,0),0)</f>
        <v>0</v>
      </c>
      <c r="BC15" s="5">
        <f ca="1">IF(AND((OFFSET('DATA INPUT'!$C$11, ROW()-ROW($BB$14),0)=$BB$10),
 OR(OFFSET('DATA INPUT'!$H$11,ROW()-ROW($BB$14),0)=3,
OFFSET('DATA INPUT'!$V$11, ROW()-ROW($BB$14),0)=3,
OFFSET('DATA INPUT'!$AD$11, ROW()-ROW($BB$14),0)=3)),
OFFSET('Calc - SENIOR PERS'!$Y$11,COLUMN()-COLUMN($BB$14) + (ROW()-ROW($BB$14))*14,0),0)</f>
        <v>0</v>
      </c>
      <c r="BD15" s="5">
        <f ca="1">IF(AND((OFFSET('DATA INPUT'!$C$11, ROW()-ROW($BB$14),0)=$BB$10),
 OR(OFFSET('DATA INPUT'!$H$11,ROW()-ROW($BB$14),0)=3,
OFFSET('DATA INPUT'!$V$11, ROW()-ROW($BB$14),0)=3,
OFFSET('DATA INPUT'!$AD$11, ROW()-ROW($BB$14),0)=3)),
OFFSET('Calc - SENIOR PERS'!$Y$11,COLUMN()-COLUMN($BB$14) + (ROW()-ROW($BB$14))*14,0),0)</f>
        <v>0</v>
      </c>
      <c r="BE15" s="5">
        <f ca="1">IF(AND((OFFSET('DATA INPUT'!$C$11, ROW()-ROW($BB$14),0)=$BB$10),
 OR(OFFSET('DATA INPUT'!$H$11,ROW()-ROW($BB$14),0)=3,
OFFSET('DATA INPUT'!$V$11, ROW()-ROW($BB$14),0)=3,
OFFSET('DATA INPUT'!$AD$11, ROW()-ROW($BB$14),0)=3)),
OFFSET('Calc - SENIOR PERS'!$Y$11,COLUMN()-COLUMN($BB$14) + (ROW()-ROW($BB$14))*14,0),0)</f>
        <v>0</v>
      </c>
      <c r="BF15" s="5">
        <f ca="1">IF(AND((OFFSET('DATA INPUT'!$C$11, ROW()-ROW($BB$14),0)=$BB$10),
 OR(OFFSET('DATA INPUT'!$H$11,ROW()-ROW($BB$14),0)=3,
OFFSET('DATA INPUT'!$V$11, ROW()-ROW($BB$14),0)=3,
OFFSET('DATA INPUT'!$AD$11, ROW()-ROW($BB$14),0)=3)),
OFFSET('Calc - SENIOR PERS'!$Y$11,COLUMN()-COLUMN($BB$14) + (ROW()-ROW($BB$14))*14,0),0)</f>
        <v>0</v>
      </c>
      <c r="BG15" s="5">
        <f ca="1">IF(AND((OFFSET('DATA INPUT'!$C$11, ROW()-ROW($BB$14),0)=$BB$10),
 OR(OFFSET('DATA INPUT'!$H$11,ROW()-ROW($BB$14),0)=3,
OFFSET('DATA INPUT'!$V$11, ROW()-ROW($BB$14),0)=3,
OFFSET('DATA INPUT'!$AD$11, ROW()-ROW($BB$14),0)=3)),
OFFSET('Calc - SENIOR PERS'!$Y$11,COLUMN()-COLUMN($BB$14) + (ROW()-ROW($BB$14))*14,0),0)</f>
        <v>0</v>
      </c>
      <c r="BH15" s="192">
        <f t="shared" ca="1" si="12"/>
        <v>0</v>
      </c>
      <c r="BJ15" s="133"/>
      <c r="BK15" s="5"/>
      <c r="BL15" s="5"/>
      <c r="BM15" s="5"/>
      <c r="BN15" s="5"/>
      <c r="BO15" s="5"/>
      <c r="BP15" s="1102">
        <f t="shared" si="13"/>
        <v>0</v>
      </c>
      <c r="BR15" s="575">
        <f t="shared" ca="1" si="14"/>
        <v>0</v>
      </c>
      <c r="BS15" s="5">
        <f t="shared" ca="1" si="15"/>
        <v>0</v>
      </c>
      <c r="BT15" s="5">
        <f t="shared" ca="1" si="16"/>
        <v>0</v>
      </c>
      <c r="BU15" s="5">
        <f t="shared" ca="1" si="17"/>
        <v>0</v>
      </c>
      <c r="BV15" s="5">
        <f t="shared" ca="1" si="18"/>
        <v>0</v>
      </c>
      <c r="BW15" s="5">
        <f t="shared" ca="1" si="19"/>
        <v>0</v>
      </c>
      <c r="BX15" s="2175">
        <f t="shared" ca="1" si="20"/>
        <v>0</v>
      </c>
      <c r="BY15" s="573">
        <f t="shared" ca="1" si="21"/>
        <v>0</v>
      </c>
      <c r="CB15" s="1182"/>
      <c r="CC15" s="1170">
        <f ca="1">'Calc - SENIOR PERS'!$O$26/9*3</f>
        <v>0</v>
      </c>
      <c r="CD15" s="1171">
        <f ca="1">'Calc - SENIOR PERS'!$O$26/9*3</f>
        <v>0</v>
      </c>
      <c r="CE15" s="1171">
        <f ca="1">'Calc - SENIOR PERS'!$O$26/9*2</f>
        <v>0</v>
      </c>
      <c r="CF15" s="1171">
        <f ca="1">'Calc - SENIOR PERS'!$O$26/9*0.5</f>
        <v>0</v>
      </c>
      <c r="CG15" s="1172">
        <f ca="1">'Calc - SENIOR PERS'!$O$26/9*0.5</f>
        <v>0</v>
      </c>
      <c r="CH15" s="1173">
        <f ca="1">'Calc - SENIOR PERS'!$O$27/9*3</f>
        <v>0</v>
      </c>
      <c r="CI15" s="1174">
        <f ca="1">'Calc - SENIOR PERS'!$O$27/9*3</f>
        <v>0</v>
      </c>
      <c r="CJ15" s="1174">
        <f ca="1">'Calc - SENIOR PERS'!$O$27/9*2</f>
        <v>0</v>
      </c>
      <c r="CK15" s="1174">
        <f ca="1">'Calc - SENIOR PERS'!$O$27/9*0.5</f>
        <v>0</v>
      </c>
      <c r="CL15" s="1175">
        <f ca="1">'Calc - SENIOR PERS'!$O$27/9*0.5</f>
        <v>0</v>
      </c>
      <c r="CM15" s="1176">
        <f ca="1">'Calc - SENIOR PERS'!$O28/8*3</f>
        <v>0</v>
      </c>
      <c r="CN15" s="1177">
        <f ca="1">'Calc - SENIOR PERS'!$O28/8*3</f>
        <v>0</v>
      </c>
      <c r="CO15" s="1178">
        <f ca="1">'Calc - SENIOR PERS'!$O28/8*2</f>
        <v>0</v>
      </c>
      <c r="CP15" s="1179">
        <f t="shared" ca="1" si="22"/>
        <v>0</v>
      </c>
      <c r="CR15" s="310"/>
      <c r="CS15" s="575"/>
      <c r="CT15" s="5"/>
      <c r="CU15" s="1180"/>
      <c r="CV15" s="575"/>
      <c r="CW15" s="5"/>
      <c r="CX15" s="1180"/>
      <c r="CY15" s="575"/>
      <c r="CZ15" s="5"/>
      <c r="DA15" s="1180"/>
      <c r="DB15" s="575"/>
      <c r="DC15" s="5"/>
      <c r="DD15" s="1180"/>
      <c r="DE15" s="1181">
        <f t="shared" si="23"/>
        <v>0</v>
      </c>
      <c r="DG15" s="575"/>
      <c r="DH15" s="5"/>
      <c r="DI15" s="1180"/>
      <c r="DJ15" s="575"/>
      <c r="DK15" s="5"/>
      <c r="DL15" s="1180"/>
      <c r="DM15" s="575"/>
      <c r="DN15" s="5"/>
      <c r="DO15" s="1180"/>
      <c r="DP15" s="575"/>
      <c r="DQ15" s="5"/>
      <c r="DR15" s="1180"/>
      <c r="DS15" s="1181">
        <f t="shared" si="24"/>
        <v>0</v>
      </c>
      <c r="DU15" s="575"/>
      <c r="DV15" s="5"/>
      <c r="DW15" s="1180"/>
      <c r="DX15" s="575"/>
      <c r="DY15" s="5"/>
      <c r="DZ15" s="1180"/>
      <c r="EA15" s="575"/>
      <c r="EB15" s="5"/>
      <c r="EC15" s="1180"/>
      <c r="ED15" s="575"/>
      <c r="EE15" s="5"/>
      <c r="EF15" s="1180"/>
      <c r="EG15" s="1181">
        <f t="shared" si="25"/>
        <v>0</v>
      </c>
      <c r="EI15" s="403"/>
      <c r="EJ15" s="3215"/>
      <c r="EK15" s="2140">
        <f t="shared" ca="1" si="26"/>
        <v>0</v>
      </c>
      <c r="EL15" s="21">
        <f t="shared" ca="1" si="27"/>
        <v>0</v>
      </c>
      <c r="EM15" s="21">
        <f t="shared" ca="1" si="28"/>
        <v>0</v>
      </c>
      <c r="EN15" s="21">
        <f t="shared" ca="1" si="29"/>
        <v>0</v>
      </c>
      <c r="EO15" s="21">
        <f t="shared" ca="1" si="30"/>
        <v>0</v>
      </c>
      <c r="EP15" s="21">
        <f t="shared" ca="1" si="31"/>
        <v>0</v>
      </c>
      <c r="EQ15" s="21">
        <f t="shared" ca="1" si="32"/>
        <v>0</v>
      </c>
      <c r="ER15" s="88">
        <f t="shared" ca="1" si="33"/>
        <v>0</v>
      </c>
      <c r="ES15" s="9"/>
      <c r="ET15" s="4"/>
      <c r="EU15" s="4"/>
      <c r="EV15" s="133">
        <f t="shared" ca="1" si="34"/>
        <v>0</v>
      </c>
      <c r="EW15" s="5">
        <f t="shared" ca="1" si="35"/>
        <v>0</v>
      </c>
      <c r="EX15" s="5">
        <f t="shared" ca="1" si="36"/>
        <v>0</v>
      </c>
      <c r="EY15" s="5">
        <f t="shared" ca="1" si="37"/>
        <v>0</v>
      </c>
      <c r="EZ15" s="5">
        <f t="shared" ca="1" si="38"/>
        <v>0</v>
      </c>
      <c r="FA15" s="5">
        <f t="shared" ca="1" si="39"/>
        <v>0</v>
      </c>
      <c r="FB15" s="164">
        <f t="shared" ca="1" si="40"/>
        <v>0</v>
      </c>
      <c r="FD15" s="133">
        <f t="shared" ca="1" si="41"/>
        <v>0</v>
      </c>
      <c r="FE15" s="5">
        <f t="shared" ca="1" si="42"/>
        <v>0</v>
      </c>
      <c r="FF15" s="5">
        <f t="shared" ca="1" si="43"/>
        <v>0</v>
      </c>
      <c r="FG15" s="5">
        <f t="shared" ca="1" si="44"/>
        <v>0</v>
      </c>
      <c r="FH15" s="5">
        <f t="shared" ca="1" si="45"/>
        <v>0</v>
      </c>
      <c r="FI15" s="5">
        <f t="shared" ca="1" si="46"/>
        <v>0</v>
      </c>
      <c r="FJ15" s="138">
        <f t="shared" ca="1" si="47"/>
        <v>0</v>
      </c>
      <c r="FL15" s="133">
        <f t="shared" ca="1" si="48"/>
        <v>0</v>
      </c>
      <c r="FM15" s="5">
        <f t="shared" ca="1" si="49"/>
        <v>0</v>
      </c>
      <c r="FN15" s="5">
        <f t="shared" ca="1" si="50"/>
        <v>0</v>
      </c>
      <c r="FO15" s="5">
        <f t="shared" ca="1" si="51"/>
        <v>0</v>
      </c>
      <c r="FP15" s="5">
        <f t="shared" ca="1" si="52"/>
        <v>0</v>
      </c>
      <c r="FQ15" s="5">
        <f t="shared" ca="1" si="53"/>
        <v>0</v>
      </c>
      <c r="FR15" s="206">
        <f t="shared" ca="1" si="54"/>
        <v>0</v>
      </c>
      <c r="FT15" s="133">
        <f t="shared" ca="1" si="55"/>
        <v>0</v>
      </c>
      <c r="FU15" s="5">
        <f t="shared" ca="1" si="56"/>
        <v>0</v>
      </c>
      <c r="FV15" s="5">
        <f t="shared" ca="1" si="57"/>
        <v>0</v>
      </c>
      <c r="FW15" s="5">
        <f t="shared" ca="1" si="58"/>
        <v>0</v>
      </c>
      <c r="FX15" s="5">
        <f t="shared" ca="1" si="59"/>
        <v>0</v>
      </c>
      <c r="FY15" s="5">
        <f t="shared" ca="1" si="60"/>
        <v>0</v>
      </c>
      <c r="FZ15" s="178">
        <f t="shared" ca="1" si="61"/>
        <v>0</v>
      </c>
      <c r="GB15" s="133">
        <f t="shared" ca="1" si="62"/>
        <v>0</v>
      </c>
      <c r="GC15" s="5">
        <f t="shared" ca="1" si="63"/>
        <v>0</v>
      </c>
      <c r="GD15" s="5">
        <f t="shared" ca="1" si="64"/>
        <v>0</v>
      </c>
      <c r="GE15" s="5">
        <f t="shared" ca="1" si="65"/>
        <v>0</v>
      </c>
      <c r="GF15" s="5">
        <f t="shared" ca="1" si="66"/>
        <v>0</v>
      </c>
      <c r="GG15" s="5">
        <f t="shared" ca="1" si="67"/>
        <v>0</v>
      </c>
      <c r="GH15" s="150">
        <f t="shared" ca="1" si="68"/>
        <v>0</v>
      </c>
      <c r="GJ15" s="133">
        <f t="shared" ca="1" si="69"/>
        <v>0</v>
      </c>
      <c r="GK15" s="5">
        <f t="shared" ca="1" si="70"/>
        <v>0</v>
      </c>
      <c r="GL15" s="5">
        <f t="shared" ca="1" si="71"/>
        <v>0</v>
      </c>
      <c r="GM15" s="5">
        <f t="shared" ca="1" si="72"/>
        <v>0</v>
      </c>
      <c r="GN15" s="5">
        <f t="shared" ca="1" si="73"/>
        <v>0</v>
      </c>
      <c r="GO15" s="5">
        <f t="shared" ca="1" si="74"/>
        <v>0</v>
      </c>
      <c r="GP15" s="192">
        <f t="shared" ca="1" si="75"/>
        <v>0</v>
      </c>
      <c r="GR15" s="133"/>
      <c r="GS15" s="5"/>
      <c r="GT15" s="5"/>
      <c r="GU15" s="5"/>
      <c r="GV15" s="5"/>
      <c r="GW15" s="5"/>
      <c r="GX15" s="1102">
        <f t="shared" si="76"/>
        <v>0</v>
      </c>
      <c r="GZ15" s="575">
        <f t="shared" ca="1" si="77"/>
        <v>0</v>
      </c>
      <c r="HA15" s="5">
        <f t="shared" ca="1" si="78"/>
        <v>0</v>
      </c>
      <c r="HB15" s="5">
        <f t="shared" ca="1" si="79"/>
        <v>0</v>
      </c>
      <c r="HC15" s="5">
        <f t="shared" ca="1" si="80"/>
        <v>0</v>
      </c>
      <c r="HD15" s="5">
        <f t="shared" ca="1" si="81"/>
        <v>0</v>
      </c>
      <c r="HE15" s="5">
        <f t="shared" ca="1" si="82"/>
        <v>0</v>
      </c>
      <c r="HF15" s="2175">
        <f t="shared" ca="1" si="83"/>
        <v>0</v>
      </c>
      <c r="HG15" s="573">
        <f t="shared" ca="1" si="84"/>
        <v>0</v>
      </c>
    </row>
    <row r="16" spans="1:216" ht="15" hidden="1" customHeight="1" x14ac:dyDescent="0.25">
      <c r="A16" s="403"/>
      <c r="B16" s="3215"/>
      <c r="C16" s="2140">
        <f ca="1">'Calc - SENIOR PERS'!$B$34</f>
        <v>0</v>
      </c>
      <c r="D16" s="21">
        <f ca="1">'Calc - SENIOR PERS'!$O$39</f>
        <v>0</v>
      </c>
      <c r="E16" s="21">
        <f ca="1">'Calc - SENIOR PERS'!$O$40</f>
        <v>0</v>
      </c>
      <c r="F16" s="21">
        <f ca="1">'Calc - SENIOR PERS'!$O$41</f>
        <v>0</v>
      </c>
      <c r="G16" s="21">
        <f ca="1">'Calc - SENIOR PERS'!$O$42</f>
        <v>0</v>
      </c>
      <c r="H16" s="21">
        <f ca="1">'Calc - SENIOR PERS'!$O$43</f>
        <v>0</v>
      </c>
      <c r="I16" s="21">
        <f ca="1">'Calc - SENIOR PERS'!$O$44</f>
        <v>0</v>
      </c>
      <c r="J16" s="88">
        <f t="shared" ca="1" si="6"/>
        <v>0</v>
      </c>
      <c r="K16" s="9" t="str">
        <f ca="1">IF(J16&lt;&gt;'Calc - SENIOR PERS'!$O$45,"ERROR","")</f>
        <v/>
      </c>
      <c r="L16" s="4"/>
      <c r="M16" s="4"/>
      <c r="N16" s="133">
        <f ca="1">IF(AND((OFFSET('DATA INPUT'!$C$11, ROW()-ROW($N$14),0)=$N$10),
 OR(OFFSET('DATA INPUT'!$H$11,ROW()-ROW($N$14),0)=3,
OFFSET('DATA INPUT'!$V$11, ROW()-ROW($N$14),0)=3,
OFFSET('DATA INPUT'!$AD$11, ROW()-ROW($N$14),0)=3)),
OFFSET('Calc - SENIOR PERS'!$Y$11,COLUMN()-COLUMN($N$14) + (ROW()-ROW($N$14))*14,0),0)</f>
        <v>0</v>
      </c>
      <c r="O16" s="5">
        <f ca="1">IF(AND((OFFSET('DATA INPUT'!$C$11, ROW()-ROW($N$14),0)=$N$10),
 OR(OFFSET('DATA INPUT'!$H$11,ROW()-ROW($N$14),0)=3,
OFFSET('DATA INPUT'!$V$11, ROW()-ROW($N$14),0)=3,
OFFSET('DATA INPUT'!$AD$11, ROW()-ROW($N$14),0)=3)),
OFFSET('Calc - SENIOR PERS'!$Y$11,COLUMN()-COLUMN($N$14) + (ROW()-ROW($N$14))*14,0),0)</f>
        <v>0</v>
      </c>
      <c r="P16" s="5">
        <f ca="1">IF(AND((OFFSET('DATA INPUT'!$C$11, ROW()-ROW($N$14),0)=$N$10),
 OR(OFFSET('DATA INPUT'!$H$11,ROW()-ROW($N$14),0)=3,
OFFSET('DATA INPUT'!$V$11, ROW()-ROW($N$14),0)=3,
OFFSET('DATA INPUT'!$AD$11, ROW()-ROW($N$14),0)=3)),
OFFSET('Calc - SENIOR PERS'!$Y$11,COLUMN()-COLUMN($N$14) + (ROW()-ROW($N$14))*14,0),0)</f>
        <v>0</v>
      </c>
      <c r="Q16" s="5">
        <f ca="1">IF(AND((OFFSET('DATA INPUT'!$C$11, ROW()-ROW($N$14),0)=$N$10),
 OR(OFFSET('DATA INPUT'!$H$11,ROW()-ROW($N$14),0)=3,
OFFSET('DATA INPUT'!$V$11, ROW()-ROW($N$14),0)=3,
OFFSET('DATA INPUT'!$AD$11, ROW()-ROW($N$14),0)=3)),
OFFSET('Calc - SENIOR PERS'!$Y$11,COLUMN()-COLUMN($N$14) + (ROW()-ROW($N$14))*14,0),0)</f>
        <v>0</v>
      </c>
      <c r="R16" s="5">
        <f ca="1">IF(AND((OFFSET('DATA INPUT'!$C$11, ROW()-ROW($N$14),0)=$N$10),
 OR(OFFSET('DATA INPUT'!$H$11,ROW()-ROW($N$14),0)=3,
OFFSET('DATA INPUT'!$V$11, ROW()-ROW($N$14),0)=3,
OFFSET('DATA INPUT'!$AD$11, ROW()-ROW($N$14),0)=3)),
OFFSET('Calc - SENIOR PERS'!$Y$11,COLUMN()-COLUMN($N$14) + (ROW()-ROW($N$14))*14,0),0)</f>
        <v>0</v>
      </c>
      <c r="S16" s="5">
        <f ca="1">IF(AND((OFFSET('DATA INPUT'!$C$11, ROW()-ROW($N$14),0)=$N$10),
 OR(OFFSET('DATA INPUT'!$H$11,ROW()-ROW($N$14),0)=3,
OFFSET('DATA INPUT'!$V$11, ROW()-ROW($N$14),0)=3,
OFFSET('DATA INPUT'!$AD$11, ROW()-ROW($N$14),0)=3)),
OFFSET('Calc - SENIOR PERS'!$Y$11,COLUMN()-COLUMN($N$14) + (ROW()-ROW($N$14))*14,0),0)</f>
        <v>0</v>
      </c>
      <c r="T16" s="164">
        <f t="shared" ca="1" si="7"/>
        <v>0</v>
      </c>
      <c r="V16" s="133">
        <f ca="1">IF(AND((OFFSET('DATA INPUT'!$C$11, ROW()-ROW($V$14),0)=$V$10),
 OR(OFFSET('DATA INPUT'!$H$11,ROW()-ROW($V$14),0)=3,
OFFSET('DATA INPUT'!$V$11, ROW()-ROW($V$14),0)=3,
OFFSET('DATA INPUT'!$AD$11, ROW()-ROW($V$14),0)=3)),
OFFSET('Calc - SENIOR PERS'!$Y$11,COLUMN()-COLUMN($V$14) + (ROW()-ROW($V$14))*14,0),0)</f>
        <v>0</v>
      </c>
      <c r="W16" s="5">
        <f ca="1">IF(AND((OFFSET('DATA INPUT'!$C$11, ROW()-ROW($V$14),0)=$V$10),
 OR(OFFSET('DATA INPUT'!$H$11,ROW()-ROW($V$14),0)=3,
OFFSET('DATA INPUT'!$V$11, ROW()-ROW($V$14),0)=3,
OFFSET('DATA INPUT'!$AD$11, ROW()-ROW($V$14),0)=3)),
OFFSET('Calc - SENIOR PERS'!$Y$11,COLUMN()-COLUMN($V$14) + (ROW()-ROW($V$14))*14,0),0)</f>
        <v>0</v>
      </c>
      <c r="X16" s="5">
        <f ca="1">IF(AND((OFFSET('DATA INPUT'!$C$11, ROW()-ROW($V$14),0)=$V$10),
 OR(OFFSET('DATA INPUT'!$H$11,ROW()-ROW($V$14),0)=3,
OFFSET('DATA INPUT'!$V$11, ROW()-ROW($V$14),0)=3,
OFFSET('DATA INPUT'!$AD$11, ROW()-ROW($V$14),0)=3)),
OFFSET('Calc - SENIOR PERS'!$Y$11,COLUMN()-COLUMN($V$14) + (ROW()-ROW($V$14))*14,0),0)</f>
        <v>0</v>
      </c>
      <c r="Y16" s="5">
        <f ca="1">IF(AND((OFFSET('DATA INPUT'!$C$11, ROW()-ROW($V$14),0)=$V$10),
 OR(OFFSET('DATA INPUT'!$H$11,ROW()-ROW($V$14),0)=3,
OFFSET('DATA INPUT'!$V$11, ROW()-ROW($V$14),0)=3,
OFFSET('DATA INPUT'!$AD$11, ROW()-ROW($V$14),0)=3)),
OFFSET('Calc - SENIOR PERS'!$Y$11,COLUMN()-COLUMN($V$14) + (ROW()-ROW($V$14))*14,0),0)</f>
        <v>0</v>
      </c>
      <c r="Z16" s="5">
        <f ca="1">IF(AND((OFFSET('DATA INPUT'!$C$11, ROW()-ROW($V$14),0)=$V$10),
 OR(OFFSET('DATA INPUT'!$H$11,ROW()-ROW($V$14),0)=3,
OFFSET('DATA INPUT'!$V$11, ROW()-ROW($V$14),0)=3,
OFFSET('DATA INPUT'!$AD$11, ROW()-ROW($V$14),0)=3)),
OFFSET('Calc - SENIOR PERS'!$Y$11,COLUMN()-COLUMN($V$14) + (ROW()-ROW($V$14))*14,0),0)</f>
        <v>0</v>
      </c>
      <c r="AA16" s="5">
        <f ca="1">IF(AND((OFFSET('DATA INPUT'!$C$11, ROW()-ROW($V$14),0)=$V$10),
 OR(OFFSET('DATA INPUT'!$H$11,ROW()-ROW($V$14),0)=3,
OFFSET('DATA INPUT'!$V$11, ROW()-ROW($V$14),0)=3,
OFFSET('DATA INPUT'!$AD$11, ROW()-ROW($V$14),0)=3)),
OFFSET('Calc - SENIOR PERS'!$Y$11,COLUMN()-COLUMN($V$14) + (ROW()-ROW($V$14))*14,0),0)</f>
        <v>0</v>
      </c>
      <c r="AB16" s="138">
        <f t="shared" ca="1" si="8"/>
        <v>0</v>
      </c>
      <c r="AD16" s="133">
        <f ca="1">IF(AND((OFFSET('DATA INPUT'!$C$11, ROW()-ROW($AD$14),0)=$AD$10),
 OR(OFFSET('DATA INPUT'!$H$11,ROW()-ROW($AD$14),0)=3,
OFFSET('DATA INPUT'!$V$11, ROW()-ROW($AD$14),0)=3,
OFFSET('DATA INPUT'!$AD$11, ROW()-ROW($AD$14),0)=3)),
OFFSET('Calc - SENIOR PERS'!$Y$11,COLUMN()-COLUMN($AD$14) + (ROW()-ROW($AD$14))*14,0),0)</f>
        <v>0</v>
      </c>
      <c r="AE16" s="5">
        <f ca="1">IF(AND((OFFSET('DATA INPUT'!$C$11, ROW()-ROW($AD$14),0)=$AD$10),
 OR(OFFSET('DATA INPUT'!$H$11,ROW()-ROW($AD$14),0)=3,
OFFSET('DATA INPUT'!$V$11, ROW()-ROW($AD$14),0)=3,
OFFSET('DATA INPUT'!$AD$11, ROW()-ROW($AD$14),0)=3)),
OFFSET('Calc - SENIOR PERS'!$Y$11,COLUMN()-COLUMN($AD$14) + (ROW()-ROW($AD$14))*14,0),0)</f>
        <v>0</v>
      </c>
      <c r="AF16" s="5">
        <f ca="1">IF(AND((OFFSET('DATA INPUT'!$C$11, ROW()-ROW($AD$14),0)=$AD$10),
 OR(OFFSET('DATA INPUT'!$H$11,ROW()-ROW($AD$14),0)=3,
OFFSET('DATA INPUT'!$V$11, ROW()-ROW($AD$14),0)=3,
OFFSET('DATA INPUT'!$AD$11, ROW()-ROW($AD$14),0)=3)),
OFFSET('Calc - SENIOR PERS'!$Y$11,COLUMN()-COLUMN($AD$14) + (ROW()-ROW($AD$14))*14,0),0)</f>
        <v>0</v>
      </c>
      <c r="AG16" s="5">
        <f ca="1">IF(AND((OFFSET('DATA INPUT'!$C$11, ROW()-ROW($AD$14),0)=$AD$10),
 OR(OFFSET('DATA INPUT'!$H$11,ROW()-ROW($AD$14),0)=3,
OFFSET('DATA INPUT'!$V$11, ROW()-ROW($AD$14),0)=3,
OFFSET('DATA INPUT'!$AD$11, ROW()-ROW($AD$14),0)=3)),
OFFSET('Calc - SENIOR PERS'!$Y$11,COLUMN()-COLUMN($AD$14) + (ROW()-ROW($AD$14))*14,0),0)</f>
        <v>0</v>
      </c>
      <c r="AH16" s="5">
        <f ca="1">IF(AND((OFFSET('DATA INPUT'!$C$11, ROW()-ROW($AD$14),0)=$AD$10),
 OR(OFFSET('DATA INPUT'!$H$11,ROW()-ROW($AD$14),0)=3,
OFFSET('DATA INPUT'!$V$11, ROW()-ROW($AD$14),0)=3,
OFFSET('DATA INPUT'!$AD$11, ROW()-ROW($AD$14),0)=3)),
OFFSET('Calc - SENIOR PERS'!$Y$11,COLUMN()-COLUMN($AD$14) + (ROW()-ROW($AD$14))*14,0),0)</f>
        <v>0</v>
      </c>
      <c r="AI16" s="5">
        <f ca="1">IF(AND((OFFSET('DATA INPUT'!$C$11, ROW()-ROW($AD$14),0)=$AD$10),
 OR(OFFSET('DATA INPUT'!$H$11,ROW()-ROW($AD$14),0)=3,
OFFSET('DATA INPUT'!$V$11, ROW()-ROW($AD$14),0)=3,
OFFSET('DATA INPUT'!$AD$11, ROW()-ROW($AD$14),0)=3)),
OFFSET('Calc - SENIOR PERS'!$Y$11,COLUMN()-COLUMN($AD$14) + (ROW()-ROW($AD$14))*14,0),0)</f>
        <v>0</v>
      </c>
      <c r="AJ16" s="206">
        <f t="shared" ca="1" si="9"/>
        <v>0</v>
      </c>
      <c r="AL16" s="133">
        <f ca="1">IF(AND((OFFSET('DATA INPUT'!$C$11, ROW()-ROW($AL$14),0)=$AL$10),
 OR(OFFSET('DATA INPUT'!$H$11,ROW()-ROW($AL$14),0)=3,
OFFSET('DATA INPUT'!$V$11, ROW()-ROW($AL$14),0)=3,
OFFSET('DATA INPUT'!$AD$11, ROW()-ROW($AL$14),0)=3)),
OFFSET('Calc - SENIOR PERS'!$Y$11,COLUMN()-COLUMN($AL$14) + (ROW()-ROW($AL$14))*14,0),0)</f>
        <v>0</v>
      </c>
      <c r="AM16" s="5">
        <f ca="1">IF(AND((OFFSET('DATA INPUT'!$C$11, ROW()-ROW($AL$14),0)=$AL$10),
 OR(OFFSET('DATA INPUT'!$H$11,ROW()-ROW($AL$14),0)=3,
OFFSET('DATA INPUT'!$V$11, ROW()-ROW($AL$14),0)=3,
OFFSET('DATA INPUT'!$AD$11, ROW()-ROW($AL$14),0)=3)),
OFFSET('Calc - SENIOR PERS'!$Y$11,COLUMN()-COLUMN($AL$14) + (ROW()-ROW($AL$14))*14,0),0)</f>
        <v>0</v>
      </c>
      <c r="AN16" s="5">
        <f ca="1">IF(AND((OFFSET('DATA INPUT'!$C$11, ROW()-ROW($AL$14),0)=$AL$10),
 OR(OFFSET('DATA INPUT'!$H$11,ROW()-ROW($AL$14),0)=3,
OFFSET('DATA INPUT'!$V$11, ROW()-ROW($AL$14),0)=3,
OFFSET('DATA INPUT'!$AD$11, ROW()-ROW($AL$14),0)=3)),
OFFSET('Calc - SENIOR PERS'!$Y$11,COLUMN()-COLUMN($AL$14) + (ROW()-ROW($AL$14))*14,0),0)</f>
        <v>0</v>
      </c>
      <c r="AO16" s="5">
        <f ca="1">IF(AND((OFFSET('DATA INPUT'!$C$11, ROW()-ROW($AL$14),0)=$AL$10),
 OR(OFFSET('DATA INPUT'!$H$11,ROW()-ROW($AL$14),0)=3,
OFFSET('DATA INPUT'!$V$11, ROW()-ROW($AL$14),0)=3,
OFFSET('DATA INPUT'!$AD$11, ROW()-ROW($AL$14),0)=3)),
OFFSET('Calc - SENIOR PERS'!$Y$11,COLUMN()-COLUMN($AL$14) + (ROW()-ROW($AL$14))*14,0),0)</f>
        <v>0</v>
      </c>
      <c r="AP16" s="5">
        <f ca="1">IF(AND((OFFSET('DATA INPUT'!$C$11, ROW()-ROW($AL$14),0)=$AL$10),
 OR(OFFSET('DATA INPUT'!$H$11,ROW()-ROW($AL$14),0)=3,
OFFSET('DATA INPUT'!$V$11, ROW()-ROW($AL$14),0)=3,
OFFSET('DATA INPUT'!$AD$11, ROW()-ROW($AL$14),0)=3)),
OFFSET('Calc - SENIOR PERS'!$Y$11,COLUMN()-COLUMN($AL$14) + (ROW()-ROW($AL$14))*14,0),0)</f>
        <v>0</v>
      </c>
      <c r="AQ16" s="5">
        <f ca="1">IF(AND((OFFSET('DATA INPUT'!$C$11, ROW()-ROW($AL$14),0)=$AL$10),
 OR(OFFSET('DATA INPUT'!$H$11,ROW()-ROW($AL$14),0)=3,
OFFSET('DATA INPUT'!$V$11, ROW()-ROW($AL$14),0)=3,
OFFSET('DATA INPUT'!$AD$11, ROW()-ROW($AL$14),0)=3)),
OFFSET('Calc - SENIOR PERS'!$Y$11,COLUMN()-COLUMN($AL$14) + (ROW()-ROW($AL$14))*14,0),0)</f>
        <v>0</v>
      </c>
      <c r="AR16" s="178">
        <f t="shared" ca="1" si="10"/>
        <v>0</v>
      </c>
      <c r="AT16" s="133">
        <f ca="1">IF(AND((OFFSET('DATA INPUT'!$C$11, ROW()-ROW($AT$14),0)=$AT$10),
 OR(OFFSET('DATA INPUT'!$H$11,ROW()-ROW($AT$14),0)=3,
OFFSET('DATA INPUT'!$V$11, ROW()-ROW($AT$14),0)=3,
OFFSET('DATA INPUT'!$AD$11, ROW()-ROW($AT$14),0)=3)),
OFFSET('Calc - SENIOR PERS'!$Y$11,COLUMN()-COLUMN($AT$14) + (ROW()-ROW($AT$14))*14,0),0)</f>
        <v>0</v>
      </c>
      <c r="AU16" s="5">
        <f ca="1">IF(AND((OFFSET('DATA INPUT'!$C$11, ROW()-ROW($AT$14),0)=$AT$10),
 OR(OFFSET('DATA INPUT'!$H$11,ROW()-ROW($AT$14),0)=3,
OFFSET('DATA INPUT'!$V$11, ROW()-ROW($AT$14),0)=3,
OFFSET('DATA INPUT'!$AD$11, ROW()-ROW($AT$14),0)=3)),
OFFSET('Calc - SENIOR PERS'!$Y$11,COLUMN()-COLUMN($AT$14) + (ROW()-ROW($AT$14))*14,0),0)</f>
        <v>0</v>
      </c>
      <c r="AV16" s="5">
        <f ca="1">IF(AND((OFFSET('DATA INPUT'!$C$11, ROW()-ROW($AT$14),0)=$AT$10),
 OR(OFFSET('DATA INPUT'!$H$11,ROW()-ROW($AT$14),0)=3,
OFFSET('DATA INPUT'!$V$11, ROW()-ROW($AT$14),0)=3,
OFFSET('DATA INPUT'!$AD$11, ROW()-ROW($AT$14),0)=3)),
OFFSET('Calc - SENIOR PERS'!$Y$11,COLUMN()-COLUMN($AT$14) + (ROW()-ROW($AT$14))*14,0),0)</f>
        <v>0</v>
      </c>
      <c r="AW16" s="5">
        <f ca="1">IF(AND((OFFSET('DATA INPUT'!$C$11, ROW()-ROW($AT$14),0)=$AT$10),
 OR(OFFSET('DATA INPUT'!$H$11,ROW()-ROW($AT$14),0)=3,
OFFSET('DATA INPUT'!$V$11, ROW()-ROW($AT$14),0)=3,
OFFSET('DATA INPUT'!$AD$11, ROW()-ROW($AT$14),0)=3)),
OFFSET('Calc - SENIOR PERS'!$Y$11,COLUMN()-COLUMN($AT$14) + (ROW()-ROW($AT$14))*14,0),0)</f>
        <v>0</v>
      </c>
      <c r="AX16" s="5">
        <f ca="1">IF(AND((OFFSET('DATA INPUT'!$C$11, ROW()-ROW($AT$14),0)=$AT$10),
 OR(OFFSET('DATA INPUT'!$H$11,ROW()-ROW($AT$14),0)=3,
OFFSET('DATA INPUT'!$V$11, ROW()-ROW($AT$14),0)=3,
OFFSET('DATA INPUT'!$AD$11, ROW()-ROW($AT$14),0)=3)),
OFFSET('Calc - SENIOR PERS'!$Y$11,COLUMN()-COLUMN($AT$14) + (ROW()-ROW($AT$14))*14,0),0)</f>
        <v>0</v>
      </c>
      <c r="AY16" s="5">
        <f ca="1">IF(AND((OFFSET('DATA INPUT'!$C$11, ROW()-ROW($AT$14),0)=$AT$10),
 OR(OFFSET('DATA INPUT'!$H$11,ROW()-ROW($AT$14),0)=3,
OFFSET('DATA INPUT'!$V$11, ROW()-ROW($AT$14),0)=3,
OFFSET('DATA INPUT'!$AD$11, ROW()-ROW($AT$14),0)=3)),
OFFSET('Calc - SENIOR PERS'!$Y$11,COLUMN()-COLUMN($AT$14) + (ROW()-ROW($AT$14))*14,0),0)</f>
        <v>0</v>
      </c>
      <c r="AZ16" s="150">
        <f t="shared" ca="1" si="11"/>
        <v>0</v>
      </c>
      <c r="BB16" s="133">
        <f ca="1">IF(AND((OFFSET('DATA INPUT'!$C$11, ROW()-ROW($BB$14),0)=$BB$10),
 OR(OFFSET('DATA INPUT'!$H$11,ROW()-ROW($BB$14),0)=3,
OFFSET('DATA INPUT'!$V$11, ROW()-ROW($BB$14),0)=3,
OFFSET('DATA INPUT'!$AD$11, ROW()-ROW($BB$14),0)=3)),
OFFSET('Calc - SENIOR PERS'!$Y$11,COLUMN()-COLUMN($BB$14) + (ROW()-ROW($BB$14))*14,0),0)</f>
        <v>0</v>
      </c>
      <c r="BC16" s="5">
        <f ca="1">IF(AND((OFFSET('DATA INPUT'!$C$11, ROW()-ROW($BB$14),0)=$BB$10),
 OR(OFFSET('DATA INPUT'!$H$11,ROW()-ROW($BB$14),0)=3,
OFFSET('DATA INPUT'!$V$11, ROW()-ROW($BB$14),0)=3,
OFFSET('DATA INPUT'!$AD$11, ROW()-ROW($BB$14),0)=3)),
OFFSET('Calc - SENIOR PERS'!$Y$11,COLUMN()-COLUMN($BB$14) + (ROW()-ROW($BB$14))*14,0),0)</f>
        <v>0</v>
      </c>
      <c r="BD16" s="5">
        <f ca="1">IF(AND((OFFSET('DATA INPUT'!$C$11, ROW()-ROW($BB$14),0)=$BB$10),
 OR(OFFSET('DATA INPUT'!$H$11,ROW()-ROW($BB$14),0)=3,
OFFSET('DATA INPUT'!$V$11, ROW()-ROW($BB$14),0)=3,
OFFSET('DATA INPUT'!$AD$11, ROW()-ROW($BB$14),0)=3)),
OFFSET('Calc - SENIOR PERS'!$Y$11,COLUMN()-COLUMN($BB$14) + (ROW()-ROW($BB$14))*14,0),0)</f>
        <v>0</v>
      </c>
      <c r="BE16" s="5">
        <f ca="1">IF(AND((OFFSET('DATA INPUT'!$C$11, ROW()-ROW($BB$14),0)=$BB$10),
 OR(OFFSET('DATA INPUT'!$H$11,ROW()-ROW($BB$14),0)=3,
OFFSET('DATA INPUT'!$V$11, ROW()-ROW($BB$14),0)=3,
OFFSET('DATA INPUT'!$AD$11, ROW()-ROW($BB$14),0)=3)),
OFFSET('Calc - SENIOR PERS'!$Y$11,COLUMN()-COLUMN($BB$14) + (ROW()-ROW($BB$14))*14,0),0)</f>
        <v>0</v>
      </c>
      <c r="BF16" s="5">
        <f ca="1">IF(AND((OFFSET('DATA INPUT'!$C$11, ROW()-ROW($BB$14),0)=$BB$10),
 OR(OFFSET('DATA INPUT'!$H$11,ROW()-ROW($BB$14),0)=3,
OFFSET('DATA INPUT'!$V$11, ROW()-ROW($BB$14),0)=3,
OFFSET('DATA INPUT'!$AD$11, ROW()-ROW($BB$14),0)=3)),
OFFSET('Calc - SENIOR PERS'!$Y$11,COLUMN()-COLUMN($BB$14) + (ROW()-ROW($BB$14))*14,0),0)</f>
        <v>0</v>
      </c>
      <c r="BG16" s="5">
        <f ca="1">IF(AND((OFFSET('DATA INPUT'!$C$11, ROW()-ROW($BB$14),0)=$BB$10),
 OR(OFFSET('DATA INPUT'!$H$11,ROW()-ROW($BB$14),0)=3,
OFFSET('DATA INPUT'!$V$11, ROW()-ROW($BB$14),0)=3,
OFFSET('DATA INPUT'!$AD$11, ROW()-ROW($BB$14),0)=3)),
OFFSET('Calc - SENIOR PERS'!$Y$11,COLUMN()-COLUMN($BB$14) + (ROW()-ROW($BB$14))*14,0),0)</f>
        <v>0</v>
      </c>
      <c r="BH16" s="192">
        <f t="shared" ca="1" si="12"/>
        <v>0</v>
      </c>
      <c r="BJ16" s="133"/>
      <c r="BK16" s="5"/>
      <c r="BL16" s="5"/>
      <c r="BM16" s="5"/>
      <c r="BN16" s="5"/>
      <c r="BO16" s="5"/>
      <c r="BP16" s="1102">
        <f t="shared" si="13"/>
        <v>0</v>
      </c>
      <c r="BR16" s="575">
        <f t="shared" ca="1" si="14"/>
        <v>0</v>
      </c>
      <c r="BS16" s="5">
        <f t="shared" ca="1" si="15"/>
        <v>0</v>
      </c>
      <c r="BT16" s="5">
        <f t="shared" ca="1" si="16"/>
        <v>0</v>
      </c>
      <c r="BU16" s="5">
        <f t="shared" ca="1" si="17"/>
        <v>0</v>
      </c>
      <c r="BV16" s="5">
        <f t="shared" ca="1" si="18"/>
        <v>0</v>
      </c>
      <c r="BW16" s="5">
        <f t="shared" ca="1" si="19"/>
        <v>0</v>
      </c>
      <c r="BX16" s="2175">
        <f t="shared" ca="1" si="20"/>
        <v>0</v>
      </c>
      <c r="BY16" s="573">
        <f t="shared" ca="1" si="21"/>
        <v>0</v>
      </c>
      <c r="BZ16" s="1"/>
      <c r="CB16" s="1182"/>
      <c r="CC16" s="387">
        <f ca="1">'Calc - SENIOR PERS'!$O$40/9*3</f>
        <v>0</v>
      </c>
      <c r="CD16" s="56">
        <f ca="1">'Calc - SENIOR PERS'!$O$40/9*3</f>
        <v>0</v>
      </c>
      <c r="CE16" s="56">
        <f ca="1">'Calc - SENIOR PERS'!$O$40/9*2</f>
        <v>0</v>
      </c>
      <c r="CF16" s="56">
        <f ca="1">'Calc - SENIOR PERS'!$O$40/9*0.5</f>
        <v>0</v>
      </c>
      <c r="CG16" s="1183">
        <f ca="1">'Calc - SENIOR PERS'!$O$40/9*0.5</f>
        <v>0</v>
      </c>
      <c r="CH16" s="1184">
        <f ca="1">'Calc - SENIOR PERS'!$O$41/9*3</f>
        <v>0</v>
      </c>
      <c r="CI16" s="1185">
        <f ca="1">'Calc - SENIOR PERS'!$O$41/9*3</f>
        <v>0</v>
      </c>
      <c r="CJ16" s="1185">
        <f ca="1">'Calc - SENIOR PERS'!$O$41/9*2</f>
        <v>0</v>
      </c>
      <c r="CK16" s="1185">
        <f ca="1">'Calc - SENIOR PERS'!$O$41/9*0.5</f>
        <v>0</v>
      </c>
      <c r="CL16" s="1186">
        <f ca="1">'Calc - SENIOR PERS'!$O$41/9*0.5</f>
        <v>0</v>
      </c>
      <c r="CM16" s="1187">
        <f ca="1">'Calc - SENIOR PERS'!$O$42/8*3</f>
        <v>0</v>
      </c>
      <c r="CN16" s="1188">
        <f ca="1">'Calc - SENIOR PERS'!$O$42/8*3</f>
        <v>0</v>
      </c>
      <c r="CO16" s="1189">
        <f ca="1">'Calc - SENIOR PERS'!$O$42/8*2</f>
        <v>0</v>
      </c>
      <c r="CP16" s="1179">
        <f t="shared" ca="1" si="22"/>
        <v>0</v>
      </c>
      <c r="CR16" s="310"/>
      <c r="CS16" s="575"/>
      <c r="CT16" s="5"/>
      <c r="CU16" s="1180"/>
      <c r="CV16" s="575"/>
      <c r="CW16" s="5"/>
      <c r="CX16" s="1180"/>
      <c r="CY16" s="575"/>
      <c r="CZ16" s="5"/>
      <c r="DA16" s="1180"/>
      <c r="DB16" s="575"/>
      <c r="DC16" s="5"/>
      <c r="DD16" s="1180"/>
      <c r="DE16" s="1181">
        <f t="shared" si="23"/>
        <v>0</v>
      </c>
      <c r="DG16" s="575"/>
      <c r="DH16" s="5"/>
      <c r="DI16" s="1180"/>
      <c r="DJ16" s="575"/>
      <c r="DK16" s="5"/>
      <c r="DL16" s="1180"/>
      <c r="DM16" s="575"/>
      <c r="DN16" s="5"/>
      <c r="DO16" s="1180"/>
      <c r="DP16" s="575"/>
      <c r="DQ16" s="5"/>
      <c r="DR16" s="1180"/>
      <c r="DS16" s="1181">
        <f t="shared" si="24"/>
        <v>0</v>
      </c>
      <c r="DU16" s="575"/>
      <c r="DV16" s="5"/>
      <c r="DW16" s="1180"/>
      <c r="DX16" s="575"/>
      <c r="DY16" s="5"/>
      <c r="DZ16" s="1180"/>
      <c r="EA16" s="575"/>
      <c r="EB16" s="5"/>
      <c r="EC16" s="1180"/>
      <c r="ED16" s="575"/>
      <c r="EE16" s="5"/>
      <c r="EF16" s="1180"/>
      <c r="EG16" s="1181">
        <f t="shared" si="25"/>
        <v>0</v>
      </c>
      <c r="EI16" s="403"/>
      <c r="EJ16" s="3215"/>
      <c r="EK16" s="2140">
        <f t="shared" ca="1" si="26"/>
        <v>0</v>
      </c>
      <c r="EL16" s="21">
        <f t="shared" ca="1" si="27"/>
        <v>0</v>
      </c>
      <c r="EM16" s="21">
        <f t="shared" ca="1" si="28"/>
        <v>0</v>
      </c>
      <c r="EN16" s="21">
        <f t="shared" ca="1" si="29"/>
        <v>0</v>
      </c>
      <c r="EO16" s="21">
        <f t="shared" ca="1" si="30"/>
        <v>0</v>
      </c>
      <c r="EP16" s="21">
        <f t="shared" ca="1" si="31"/>
        <v>0</v>
      </c>
      <c r="EQ16" s="21">
        <f t="shared" ca="1" si="32"/>
        <v>0</v>
      </c>
      <c r="ER16" s="88">
        <f t="shared" ca="1" si="33"/>
        <v>0</v>
      </c>
      <c r="ES16" s="9"/>
      <c r="ET16" s="4"/>
      <c r="EU16" s="4"/>
      <c r="EV16" s="133">
        <f t="shared" ca="1" si="34"/>
        <v>0</v>
      </c>
      <c r="EW16" s="5">
        <f t="shared" ca="1" si="35"/>
        <v>0</v>
      </c>
      <c r="EX16" s="5">
        <f t="shared" ca="1" si="36"/>
        <v>0</v>
      </c>
      <c r="EY16" s="5">
        <f t="shared" ca="1" si="37"/>
        <v>0</v>
      </c>
      <c r="EZ16" s="5">
        <f t="shared" ca="1" si="38"/>
        <v>0</v>
      </c>
      <c r="FA16" s="5">
        <f t="shared" ca="1" si="39"/>
        <v>0</v>
      </c>
      <c r="FB16" s="164">
        <f t="shared" ca="1" si="40"/>
        <v>0</v>
      </c>
      <c r="FD16" s="133">
        <f t="shared" ca="1" si="41"/>
        <v>0</v>
      </c>
      <c r="FE16" s="5">
        <f t="shared" ca="1" si="42"/>
        <v>0</v>
      </c>
      <c r="FF16" s="5">
        <f t="shared" ca="1" si="43"/>
        <v>0</v>
      </c>
      <c r="FG16" s="5">
        <f t="shared" ca="1" si="44"/>
        <v>0</v>
      </c>
      <c r="FH16" s="5">
        <f t="shared" ca="1" si="45"/>
        <v>0</v>
      </c>
      <c r="FI16" s="5">
        <f t="shared" ca="1" si="46"/>
        <v>0</v>
      </c>
      <c r="FJ16" s="138">
        <f t="shared" ca="1" si="47"/>
        <v>0</v>
      </c>
      <c r="FL16" s="133">
        <f t="shared" ca="1" si="48"/>
        <v>0</v>
      </c>
      <c r="FM16" s="5">
        <f t="shared" ca="1" si="49"/>
        <v>0</v>
      </c>
      <c r="FN16" s="5">
        <f t="shared" ca="1" si="50"/>
        <v>0</v>
      </c>
      <c r="FO16" s="5">
        <f t="shared" ca="1" si="51"/>
        <v>0</v>
      </c>
      <c r="FP16" s="5">
        <f t="shared" ca="1" si="52"/>
        <v>0</v>
      </c>
      <c r="FQ16" s="5">
        <f t="shared" ca="1" si="53"/>
        <v>0</v>
      </c>
      <c r="FR16" s="206">
        <f t="shared" ca="1" si="54"/>
        <v>0</v>
      </c>
      <c r="FT16" s="133">
        <f t="shared" ca="1" si="55"/>
        <v>0</v>
      </c>
      <c r="FU16" s="5">
        <f t="shared" ca="1" si="56"/>
        <v>0</v>
      </c>
      <c r="FV16" s="5">
        <f t="shared" ca="1" si="57"/>
        <v>0</v>
      </c>
      <c r="FW16" s="5">
        <f t="shared" ca="1" si="58"/>
        <v>0</v>
      </c>
      <c r="FX16" s="5">
        <f t="shared" ca="1" si="59"/>
        <v>0</v>
      </c>
      <c r="FY16" s="5">
        <f t="shared" ca="1" si="60"/>
        <v>0</v>
      </c>
      <c r="FZ16" s="178">
        <f t="shared" ca="1" si="61"/>
        <v>0</v>
      </c>
      <c r="GB16" s="133">
        <f t="shared" ca="1" si="62"/>
        <v>0</v>
      </c>
      <c r="GC16" s="5">
        <f t="shared" ca="1" si="63"/>
        <v>0</v>
      </c>
      <c r="GD16" s="5">
        <f t="shared" ca="1" si="64"/>
        <v>0</v>
      </c>
      <c r="GE16" s="5">
        <f t="shared" ca="1" si="65"/>
        <v>0</v>
      </c>
      <c r="GF16" s="5">
        <f t="shared" ca="1" si="66"/>
        <v>0</v>
      </c>
      <c r="GG16" s="5">
        <f t="shared" ca="1" si="67"/>
        <v>0</v>
      </c>
      <c r="GH16" s="150">
        <f t="shared" ca="1" si="68"/>
        <v>0</v>
      </c>
      <c r="GJ16" s="133">
        <f t="shared" ca="1" si="69"/>
        <v>0</v>
      </c>
      <c r="GK16" s="5">
        <f t="shared" ca="1" si="70"/>
        <v>0</v>
      </c>
      <c r="GL16" s="5">
        <f t="shared" ca="1" si="71"/>
        <v>0</v>
      </c>
      <c r="GM16" s="5">
        <f t="shared" ca="1" si="72"/>
        <v>0</v>
      </c>
      <c r="GN16" s="5">
        <f t="shared" ca="1" si="73"/>
        <v>0</v>
      </c>
      <c r="GO16" s="5">
        <f t="shared" ca="1" si="74"/>
        <v>0</v>
      </c>
      <c r="GP16" s="192">
        <f t="shared" ca="1" si="75"/>
        <v>0</v>
      </c>
      <c r="GR16" s="133"/>
      <c r="GS16" s="5"/>
      <c r="GT16" s="5"/>
      <c r="GU16" s="5"/>
      <c r="GV16" s="5"/>
      <c r="GW16" s="5"/>
      <c r="GX16" s="1102">
        <f t="shared" si="76"/>
        <v>0</v>
      </c>
      <c r="GZ16" s="575">
        <f t="shared" ca="1" si="77"/>
        <v>0</v>
      </c>
      <c r="HA16" s="5">
        <f t="shared" ca="1" si="78"/>
        <v>0</v>
      </c>
      <c r="HB16" s="5">
        <f t="shared" ca="1" si="79"/>
        <v>0</v>
      </c>
      <c r="HC16" s="5">
        <f t="shared" ca="1" si="80"/>
        <v>0</v>
      </c>
      <c r="HD16" s="5">
        <f t="shared" ca="1" si="81"/>
        <v>0</v>
      </c>
      <c r="HE16" s="5">
        <f t="shared" ca="1" si="82"/>
        <v>0</v>
      </c>
      <c r="HF16" s="2175">
        <f t="shared" ca="1" si="83"/>
        <v>0</v>
      </c>
      <c r="HG16" s="573">
        <f t="shared" ca="1" si="84"/>
        <v>0</v>
      </c>
      <c r="HH16" s="1"/>
    </row>
    <row r="17" spans="1:216" ht="15" hidden="1" customHeight="1" x14ac:dyDescent="0.25">
      <c r="A17" s="403"/>
      <c r="B17" s="3215"/>
      <c r="C17" s="2140">
        <f ca="1">'Calc - SENIOR PERS'!$B$48</f>
        <v>0</v>
      </c>
      <c r="D17" s="21">
        <f ca="1">'Calc - SENIOR PERS'!$O$53</f>
        <v>0</v>
      </c>
      <c r="E17" s="5">
        <f ca="1">'Calc - SENIOR PERS'!$O$54</f>
        <v>0</v>
      </c>
      <c r="F17" s="5">
        <f ca="1">'Calc - SENIOR PERS'!$O$55</f>
        <v>0</v>
      </c>
      <c r="G17" s="5">
        <f ca="1">'Calc - SENIOR PERS'!$O$56</f>
        <v>0</v>
      </c>
      <c r="H17" s="5">
        <f ca="1">'Calc - SENIOR PERS'!$O$57</f>
        <v>0</v>
      </c>
      <c r="I17" s="5">
        <f ca="1">'Calc - SENIOR PERS'!$O$58</f>
        <v>0</v>
      </c>
      <c r="J17" s="88">
        <f t="shared" ca="1" si="6"/>
        <v>0</v>
      </c>
      <c r="K17" s="9" t="str">
        <f ca="1">IF(J17&lt;&gt;'Calc - SENIOR PERS'!$O$59,"ERROR","")</f>
        <v/>
      </c>
      <c r="L17" s="4"/>
      <c r="M17" s="4"/>
      <c r="N17" s="133">
        <f ca="1">IF(AND((OFFSET('DATA INPUT'!$C$11, ROW()-ROW($N$14),0)=$N$10),
 OR(OFFSET('DATA INPUT'!$H$11,ROW()-ROW($N$14),0)=3,
OFFSET('DATA INPUT'!$V$11, ROW()-ROW($N$14),0)=3,
OFFSET('DATA INPUT'!$AD$11, ROW()-ROW($N$14),0)=3)),
OFFSET('Calc - SENIOR PERS'!$Y$11,COLUMN()-COLUMN($N$14) + (ROW()-ROW($N$14))*14,0),0)</f>
        <v>0</v>
      </c>
      <c r="O17" s="5">
        <f ca="1">IF(AND((OFFSET('DATA INPUT'!$C$11, ROW()-ROW($N$14),0)=$N$10),
 OR(OFFSET('DATA INPUT'!$H$11,ROW()-ROW($N$14),0)=3,
OFFSET('DATA INPUT'!$V$11, ROW()-ROW($N$14),0)=3,
OFFSET('DATA INPUT'!$AD$11, ROW()-ROW($N$14),0)=3)),
OFFSET('Calc - SENIOR PERS'!$Y$11,COLUMN()-COLUMN($N$14) + (ROW()-ROW($N$14))*14,0),0)</f>
        <v>0</v>
      </c>
      <c r="P17" s="5">
        <f ca="1">IF(AND((OFFSET('DATA INPUT'!$C$11, ROW()-ROW($N$14),0)=$N$10),
 OR(OFFSET('DATA INPUT'!$H$11,ROW()-ROW($N$14),0)=3,
OFFSET('DATA INPUT'!$V$11, ROW()-ROW($N$14),0)=3,
OFFSET('DATA INPUT'!$AD$11, ROW()-ROW($N$14),0)=3)),
OFFSET('Calc - SENIOR PERS'!$Y$11,COLUMN()-COLUMN($N$14) + (ROW()-ROW($N$14))*14,0),0)</f>
        <v>0</v>
      </c>
      <c r="Q17" s="5">
        <f ca="1">IF(AND((OFFSET('DATA INPUT'!$C$11, ROW()-ROW($N$14),0)=$N$10),
 OR(OFFSET('DATA INPUT'!$H$11,ROW()-ROW($N$14),0)=3,
OFFSET('DATA INPUT'!$V$11, ROW()-ROW($N$14),0)=3,
OFFSET('DATA INPUT'!$AD$11, ROW()-ROW($N$14),0)=3)),
OFFSET('Calc - SENIOR PERS'!$Y$11,COLUMN()-COLUMN($N$14) + (ROW()-ROW($N$14))*14,0),0)</f>
        <v>0</v>
      </c>
      <c r="R17" s="5">
        <f ca="1">IF(AND((OFFSET('DATA INPUT'!$C$11, ROW()-ROW($N$14),0)=$N$10),
 OR(OFFSET('DATA INPUT'!$H$11,ROW()-ROW($N$14),0)=3,
OFFSET('DATA INPUT'!$V$11, ROW()-ROW($N$14),0)=3,
OFFSET('DATA INPUT'!$AD$11, ROW()-ROW($N$14),0)=3)),
OFFSET('Calc - SENIOR PERS'!$Y$11,COLUMN()-COLUMN($N$14) + (ROW()-ROW($N$14))*14,0),0)</f>
        <v>0</v>
      </c>
      <c r="S17" s="5">
        <f ca="1">IF(AND((OFFSET('DATA INPUT'!$C$11, ROW()-ROW($N$14),0)=$N$10),
 OR(OFFSET('DATA INPUT'!$H$11,ROW()-ROW($N$14),0)=3,
OFFSET('DATA INPUT'!$V$11, ROW()-ROW($N$14),0)=3,
OFFSET('DATA INPUT'!$AD$11, ROW()-ROW($N$14),0)=3)),
OFFSET('Calc - SENIOR PERS'!$Y$11,COLUMN()-COLUMN($N$14) + (ROW()-ROW($N$14))*14,0),0)</f>
        <v>0</v>
      </c>
      <c r="T17" s="164">
        <f t="shared" ca="1" si="7"/>
        <v>0</v>
      </c>
      <c r="V17" s="133">
        <f ca="1">IF(AND((OFFSET('DATA INPUT'!$C$11, ROW()-ROW($V$14),0)=$V$10),
 OR(OFFSET('DATA INPUT'!$H$11,ROW()-ROW($V$14),0)=3,
OFFSET('DATA INPUT'!$V$11, ROW()-ROW($V$14),0)=3,
OFFSET('DATA INPUT'!$AD$11, ROW()-ROW($V$14),0)=3)),
OFFSET('Calc - SENIOR PERS'!$Y$11,COLUMN()-COLUMN($V$14) + (ROW()-ROW($V$14))*14,0),0)</f>
        <v>0</v>
      </c>
      <c r="W17" s="5">
        <f ca="1">IF(AND((OFFSET('DATA INPUT'!$C$11, ROW()-ROW($V$14),0)=$V$10),
 OR(OFFSET('DATA INPUT'!$H$11,ROW()-ROW($V$14),0)=3,
OFFSET('DATA INPUT'!$V$11, ROW()-ROW($V$14),0)=3,
OFFSET('DATA INPUT'!$AD$11, ROW()-ROW($V$14),0)=3)),
OFFSET('Calc - SENIOR PERS'!$Y$11,COLUMN()-COLUMN($V$14) + (ROW()-ROW($V$14))*14,0),0)</f>
        <v>0</v>
      </c>
      <c r="X17" s="5">
        <f ca="1">IF(AND((OFFSET('DATA INPUT'!$C$11, ROW()-ROW($V$14),0)=$V$10),
 OR(OFFSET('DATA INPUT'!$H$11,ROW()-ROW($V$14),0)=3,
OFFSET('DATA INPUT'!$V$11, ROW()-ROW($V$14),0)=3,
OFFSET('DATA INPUT'!$AD$11, ROW()-ROW($V$14),0)=3)),
OFFSET('Calc - SENIOR PERS'!$Y$11,COLUMN()-COLUMN($V$14) + (ROW()-ROW($V$14))*14,0),0)</f>
        <v>0</v>
      </c>
      <c r="Y17" s="5">
        <f ca="1">IF(AND((OFFSET('DATA INPUT'!$C$11, ROW()-ROW($V$14),0)=$V$10),
 OR(OFFSET('DATA INPUT'!$H$11,ROW()-ROW($V$14),0)=3,
OFFSET('DATA INPUT'!$V$11, ROW()-ROW($V$14),0)=3,
OFFSET('DATA INPUT'!$AD$11, ROW()-ROW($V$14),0)=3)),
OFFSET('Calc - SENIOR PERS'!$Y$11,COLUMN()-COLUMN($V$14) + (ROW()-ROW($V$14))*14,0),0)</f>
        <v>0</v>
      </c>
      <c r="Z17" s="5">
        <f ca="1">IF(AND((OFFSET('DATA INPUT'!$C$11, ROW()-ROW($V$14),0)=$V$10),
 OR(OFFSET('DATA INPUT'!$H$11,ROW()-ROW($V$14),0)=3,
OFFSET('DATA INPUT'!$V$11, ROW()-ROW($V$14),0)=3,
OFFSET('DATA INPUT'!$AD$11, ROW()-ROW($V$14),0)=3)),
OFFSET('Calc - SENIOR PERS'!$Y$11,COLUMN()-COLUMN($V$14) + (ROW()-ROW($V$14))*14,0),0)</f>
        <v>0</v>
      </c>
      <c r="AA17" s="5">
        <f ca="1">IF(AND((OFFSET('DATA INPUT'!$C$11, ROW()-ROW($V$14),0)=$V$10),
 OR(OFFSET('DATA INPUT'!$H$11,ROW()-ROW($V$14),0)=3,
OFFSET('DATA INPUT'!$V$11, ROW()-ROW($V$14),0)=3,
OFFSET('DATA INPUT'!$AD$11, ROW()-ROW($V$14),0)=3)),
OFFSET('Calc - SENIOR PERS'!$Y$11,COLUMN()-COLUMN($V$14) + (ROW()-ROW($V$14))*14,0),0)</f>
        <v>0</v>
      </c>
      <c r="AB17" s="138">
        <f t="shared" ca="1" si="8"/>
        <v>0</v>
      </c>
      <c r="AD17" s="133">
        <f ca="1">IF(AND((OFFSET('DATA INPUT'!$C$11, ROW()-ROW($AD$14),0)=$AD$10),
 OR(OFFSET('DATA INPUT'!$H$11,ROW()-ROW($AD$14),0)=3,
OFFSET('DATA INPUT'!$V$11, ROW()-ROW($AD$14),0)=3,
OFFSET('DATA INPUT'!$AD$11, ROW()-ROW($AD$14),0)=3)),
OFFSET('Calc - SENIOR PERS'!$Y$11,COLUMN()-COLUMN($AD$14) + (ROW()-ROW($AD$14))*14,0),0)</f>
        <v>0</v>
      </c>
      <c r="AE17" s="5">
        <f ca="1">IF(AND((OFFSET('DATA INPUT'!$C$11, ROW()-ROW($AD$14),0)=$AD$10),
 OR(OFFSET('DATA INPUT'!$H$11,ROW()-ROW($AD$14),0)=3,
OFFSET('DATA INPUT'!$V$11, ROW()-ROW($AD$14),0)=3,
OFFSET('DATA INPUT'!$AD$11, ROW()-ROW($AD$14),0)=3)),
OFFSET('Calc - SENIOR PERS'!$Y$11,COLUMN()-COLUMN($AD$14) + (ROW()-ROW($AD$14))*14,0),0)</f>
        <v>0</v>
      </c>
      <c r="AF17" s="5">
        <f ca="1">IF(AND((OFFSET('DATA INPUT'!$C$11, ROW()-ROW($AD$14),0)=$AD$10),
 OR(OFFSET('DATA INPUT'!$H$11,ROW()-ROW($AD$14),0)=3,
OFFSET('DATA INPUT'!$V$11, ROW()-ROW($AD$14),0)=3,
OFFSET('DATA INPUT'!$AD$11, ROW()-ROW($AD$14),0)=3)),
OFFSET('Calc - SENIOR PERS'!$Y$11,COLUMN()-COLUMN($AD$14) + (ROW()-ROW($AD$14))*14,0),0)</f>
        <v>0</v>
      </c>
      <c r="AG17" s="5">
        <f ca="1">IF(AND((OFFSET('DATA INPUT'!$C$11, ROW()-ROW($AD$14),0)=$AD$10),
 OR(OFFSET('DATA INPUT'!$H$11,ROW()-ROW($AD$14),0)=3,
OFFSET('DATA INPUT'!$V$11, ROW()-ROW($AD$14),0)=3,
OFFSET('DATA INPUT'!$AD$11, ROW()-ROW($AD$14),0)=3)),
OFFSET('Calc - SENIOR PERS'!$Y$11,COLUMN()-COLUMN($AD$14) + (ROW()-ROW($AD$14))*14,0),0)</f>
        <v>0</v>
      </c>
      <c r="AH17" s="5">
        <f ca="1">IF(AND((OFFSET('DATA INPUT'!$C$11, ROW()-ROW($AD$14),0)=$AD$10),
 OR(OFFSET('DATA INPUT'!$H$11,ROW()-ROW($AD$14),0)=3,
OFFSET('DATA INPUT'!$V$11, ROW()-ROW($AD$14),0)=3,
OFFSET('DATA INPUT'!$AD$11, ROW()-ROW($AD$14),0)=3)),
OFFSET('Calc - SENIOR PERS'!$Y$11,COLUMN()-COLUMN($AD$14) + (ROW()-ROW($AD$14))*14,0),0)</f>
        <v>0</v>
      </c>
      <c r="AI17" s="5">
        <f ca="1">IF(AND((OFFSET('DATA INPUT'!$C$11, ROW()-ROW($AD$14),0)=$AD$10),
 OR(OFFSET('DATA INPUT'!$H$11,ROW()-ROW($AD$14),0)=3,
OFFSET('DATA INPUT'!$V$11, ROW()-ROW($AD$14),0)=3,
OFFSET('DATA INPUT'!$AD$11, ROW()-ROW($AD$14),0)=3)),
OFFSET('Calc - SENIOR PERS'!$Y$11,COLUMN()-COLUMN($AD$14) + (ROW()-ROW($AD$14))*14,0),0)</f>
        <v>0</v>
      </c>
      <c r="AJ17" s="206">
        <f t="shared" ca="1" si="9"/>
        <v>0</v>
      </c>
      <c r="AL17" s="133">
        <f ca="1">IF(AND((OFFSET('DATA INPUT'!$C$11, ROW()-ROW($AL$14),0)=$AL$10),
 OR(OFFSET('DATA INPUT'!$H$11,ROW()-ROW($AL$14),0)=3,
OFFSET('DATA INPUT'!$V$11, ROW()-ROW($AL$14),0)=3,
OFFSET('DATA INPUT'!$AD$11, ROW()-ROW($AL$14),0)=3)),
OFFSET('Calc - SENIOR PERS'!$Y$11,COLUMN()-COLUMN($AL$14) + (ROW()-ROW($AL$14))*14,0),0)</f>
        <v>0</v>
      </c>
      <c r="AM17" s="5">
        <f ca="1">IF(AND((OFFSET('DATA INPUT'!$C$11, ROW()-ROW($AL$14),0)=$AL$10),
 OR(OFFSET('DATA INPUT'!$H$11,ROW()-ROW($AL$14),0)=3,
OFFSET('DATA INPUT'!$V$11, ROW()-ROW($AL$14),0)=3,
OFFSET('DATA INPUT'!$AD$11, ROW()-ROW($AL$14),0)=3)),
OFFSET('Calc - SENIOR PERS'!$Y$11,COLUMN()-COLUMN($AL$14) + (ROW()-ROW($AL$14))*14,0),0)</f>
        <v>0</v>
      </c>
      <c r="AN17" s="5">
        <f ca="1">IF(AND((OFFSET('DATA INPUT'!$C$11, ROW()-ROW($AL$14),0)=$AL$10),
 OR(OFFSET('DATA INPUT'!$H$11,ROW()-ROW($AL$14),0)=3,
OFFSET('DATA INPUT'!$V$11, ROW()-ROW($AL$14),0)=3,
OFFSET('DATA INPUT'!$AD$11, ROW()-ROW($AL$14),0)=3)),
OFFSET('Calc - SENIOR PERS'!$Y$11,COLUMN()-COLUMN($AL$14) + (ROW()-ROW($AL$14))*14,0),0)</f>
        <v>0</v>
      </c>
      <c r="AO17" s="5">
        <f ca="1">IF(AND((OFFSET('DATA INPUT'!$C$11, ROW()-ROW($AL$14),0)=$AL$10),
 OR(OFFSET('DATA INPUT'!$H$11,ROW()-ROW($AL$14),0)=3,
OFFSET('DATA INPUT'!$V$11, ROW()-ROW($AL$14),0)=3,
OFFSET('DATA INPUT'!$AD$11, ROW()-ROW($AL$14),0)=3)),
OFFSET('Calc - SENIOR PERS'!$Y$11,COLUMN()-COLUMN($AL$14) + (ROW()-ROW($AL$14))*14,0),0)</f>
        <v>0</v>
      </c>
      <c r="AP17" s="5">
        <f ca="1">IF(AND((OFFSET('DATA INPUT'!$C$11, ROW()-ROW($AL$14),0)=$AL$10),
 OR(OFFSET('DATA INPUT'!$H$11,ROW()-ROW($AL$14),0)=3,
OFFSET('DATA INPUT'!$V$11, ROW()-ROW($AL$14),0)=3,
OFFSET('DATA INPUT'!$AD$11, ROW()-ROW($AL$14),0)=3)),
OFFSET('Calc - SENIOR PERS'!$Y$11,COLUMN()-COLUMN($AL$14) + (ROW()-ROW($AL$14))*14,0),0)</f>
        <v>0</v>
      </c>
      <c r="AQ17" s="5">
        <f ca="1">IF(AND((OFFSET('DATA INPUT'!$C$11, ROW()-ROW($AL$14),0)=$AL$10),
 OR(OFFSET('DATA INPUT'!$H$11,ROW()-ROW($AL$14),0)=3,
OFFSET('DATA INPUT'!$V$11, ROW()-ROW($AL$14),0)=3,
OFFSET('DATA INPUT'!$AD$11, ROW()-ROW($AL$14),0)=3)),
OFFSET('Calc - SENIOR PERS'!$Y$11,COLUMN()-COLUMN($AL$14) + (ROW()-ROW($AL$14))*14,0),0)</f>
        <v>0</v>
      </c>
      <c r="AR17" s="178">
        <f t="shared" ca="1" si="10"/>
        <v>0</v>
      </c>
      <c r="AT17" s="133">
        <f ca="1">IF(AND((OFFSET('DATA INPUT'!$C$11, ROW()-ROW($AT$14),0)=$AT$10),
 OR(OFFSET('DATA INPUT'!$H$11,ROW()-ROW($AT$14),0)=3,
OFFSET('DATA INPUT'!$V$11, ROW()-ROW($AT$14),0)=3,
OFFSET('DATA INPUT'!$AD$11, ROW()-ROW($AT$14),0)=3)),
OFFSET('Calc - SENIOR PERS'!$Y$11,COLUMN()-COLUMN($AT$14) + (ROW()-ROW($AT$14))*14,0),0)</f>
        <v>0</v>
      </c>
      <c r="AU17" s="5">
        <f ca="1">IF(AND((OFFSET('DATA INPUT'!$C$11, ROW()-ROW($AT$14),0)=$AT$10),
 OR(OFFSET('DATA INPUT'!$H$11,ROW()-ROW($AT$14),0)=3,
OFFSET('DATA INPUT'!$V$11, ROW()-ROW($AT$14),0)=3,
OFFSET('DATA INPUT'!$AD$11, ROW()-ROW($AT$14),0)=3)),
OFFSET('Calc - SENIOR PERS'!$Y$11,COLUMN()-COLUMN($AT$14) + (ROW()-ROW($AT$14))*14,0),0)</f>
        <v>0</v>
      </c>
      <c r="AV17" s="5">
        <f ca="1">IF(AND((OFFSET('DATA INPUT'!$C$11, ROW()-ROW($AT$14),0)=$AT$10),
 OR(OFFSET('DATA INPUT'!$H$11,ROW()-ROW($AT$14),0)=3,
OFFSET('DATA INPUT'!$V$11, ROW()-ROW($AT$14),0)=3,
OFFSET('DATA INPUT'!$AD$11, ROW()-ROW($AT$14),0)=3)),
OFFSET('Calc - SENIOR PERS'!$Y$11,COLUMN()-COLUMN($AT$14) + (ROW()-ROW($AT$14))*14,0),0)</f>
        <v>0</v>
      </c>
      <c r="AW17" s="5">
        <f ca="1">IF(AND((OFFSET('DATA INPUT'!$C$11, ROW()-ROW($AT$14),0)=$AT$10),
 OR(OFFSET('DATA INPUT'!$H$11,ROW()-ROW($AT$14),0)=3,
OFFSET('DATA INPUT'!$V$11, ROW()-ROW($AT$14),0)=3,
OFFSET('DATA INPUT'!$AD$11, ROW()-ROW($AT$14),0)=3)),
OFFSET('Calc - SENIOR PERS'!$Y$11,COLUMN()-COLUMN($AT$14) + (ROW()-ROW($AT$14))*14,0),0)</f>
        <v>0</v>
      </c>
      <c r="AX17" s="5">
        <f ca="1">IF(AND((OFFSET('DATA INPUT'!$C$11, ROW()-ROW($AT$14),0)=$AT$10),
 OR(OFFSET('DATA INPUT'!$H$11,ROW()-ROW($AT$14),0)=3,
OFFSET('DATA INPUT'!$V$11, ROW()-ROW($AT$14),0)=3,
OFFSET('DATA INPUT'!$AD$11, ROW()-ROW($AT$14),0)=3)),
OFFSET('Calc - SENIOR PERS'!$Y$11,COLUMN()-COLUMN($AT$14) + (ROW()-ROW($AT$14))*14,0),0)</f>
        <v>0</v>
      </c>
      <c r="AY17" s="5">
        <f ca="1">IF(AND((OFFSET('DATA INPUT'!$C$11, ROW()-ROW($AT$14),0)=$AT$10),
 OR(OFFSET('DATA INPUT'!$H$11,ROW()-ROW($AT$14),0)=3,
OFFSET('DATA INPUT'!$V$11, ROW()-ROW($AT$14),0)=3,
OFFSET('DATA INPUT'!$AD$11, ROW()-ROW($AT$14),0)=3)),
OFFSET('Calc - SENIOR PERS'!$Y$11,COLUMN()-COLUMN($AT$14) + (ROW()-ROW($AT$14))*14,0),0)</f>
        <v>0</v>
      </c>
      <c r="AZ17" s="150">
        <f t="shared" ca="1" si="11"/>
        <v>0</v>
      </c>
      <c r="BB17" s="133">
        <f ca="1">IF(AND((OFFSET('DATA INPUT'!$C$11, ROW()-ROW($BB$14),0)=$BB$10),
 OR(OFFSET('DATA INPUT'!$H$11,ROW()-ROW($BB$14),0)=3,
OFFSET('DATA INPUT'!$V$11, ROW()-ROW($BB$14),0)=3,
OFFSET('DATA INPUT'!$AD$11, ROW()-ROW($BB$14),0)=3)),
OFFSET('Calc - SENIOR PERS'!$Y$11,COLUMN()-COLUMN($BB$14) + (ROW()-ROW($BB$14))*14,0),0)</f>
        <v>0</v>
      </c>
      <c r="BC17" s="5">
        <f ca="1">IF(AND((OFFSET('DATA INPUT'!$C$11, ROW()-ROW($BB$14),0)=$BB$10),
 OR(OFFSET('DATA INPUT'!$H$11,ROW()-ROW($BB$14),0)=3,
OFFSET('DATA INPUT'!$V$11, ROW()-ROW($BB$14),0)=3,
OFFSET('DATA INPUT'!$AD$11, ROW()-ROW($BB$14),0)=3)),
OFFSET('Calc - SENIOR PERS'!$Y$11,COLUMN()-COLUMN($BB$14) + (ROW()-ROW($BB$14))*14,0),0)</f>
        <v>0</v>
      </c>
      <c r="BD17" s="5">
        <f ca="1">IF(AND((OFFSET('DATA INPUT'!$C$11, ROW()-ROW($BB$14),0)=$BB$10),
 OR(OFFSET('DATA INPUT'!$H$11,ROW()-ROW($BB$14),0)=3,
OFFSET('DATA INPUT'!$V$11, ROW()-ROW($BB$14),0)=3,
OFFSET('DATA INPUT'!$AD$11, ROW()-ROW($BB$14),0)=3)),
OFFSET('Calc - SENIOR PERS'!$Y$11,COLUMN()-COLUMN($BB$14) + (ROW()-ROW($BB$14))*14,0),0)</f>
        <v>0</v>
      </c>
      <c r="BE17" s="5">
        <f ca="1">IF(AND((OFFSET('DATA INPUT'!$C$11, ROW()-ROW($BB$14),0)=$BB$10),
 OR(OFFSET('DATA INPUT'!$H$11,ROW()-ROW($BB$14),0)=3,
OFFSET('DATA INPUT'!$V$11, ROW()-ROW($BB$14),0)=3,
OFFSET('DATA INPUT'!$AD$11, ROW()-ROW($BB$14),0)=3)),
OFFSET('Calc - SENIOR PERS'!$Y$11,COLUMN()-COLUMN($BB$14) + (ROW()-ROW($BB$14))*14,0),0)</f>
        <v>0</v>
      </c>
      <c r="BF17" s="5">
        <f ca="1">IF(AND((OFFSET('DATA INPUT'!$C$11, ROW()-ROW($BB$14),0)=$BB$10),
 OR(OFFSET('DATA INPUT'!$H$11,ROW()-ROW($BB$14),0)=3,
OFFSET('DATA INPUT'!$V$11, ROW()-ROW($BB$14),0)=3,
OFFSET('DATA INPUT'!$AD$11, ROW()-ROW($BB$14),0)=3)),
OFFSET('Calc - SENIOR PERS'!$Y$11,COLUMN()-COLUMN($BB$14) + (ROW()-ROW($BB$14))*14,0),0)</f>
        <v>0</v>
      </c>
      <c r="BG17" s="5">
        <f ca="1">IF(AND((OFFSET('DATA INPUT'!$C$11, ROW()-ROW($BB$14),0)=$BB$10),
 OR(OFFSET('DATA INPUT'!$H$11,ROW()-ROW($BB$14),0)=3,
OFFSET('DATA INPUT'!$V$11, ROW()-ROW($BB$14),0)=3,
OFFSET('DATA INPUT'!$AD$11, ROW()-ROW($BB$14),0)=3)),
OFFSET('Calc - SENIOR PERS'!$Y$11,COLUMN()-COLUMN($BB$14) + (ROW()-ROW($BB$14))*14,0),0)</f>
        <v>0</v>
      </c>
      <c r="BH17" s="192">
        <f t="shared" ca="1" si="12"/>
        <v>0</v>
      </c>
      <c r="BJ17" s="133"/>
      <c r="BK17" s="5"/>
      <c r="BL17" s="5"/>
      <c r="BM17" s="5"/>
      <c r="BN17" s="5"/>
      <c r="BO17" s="5"/>
      <c r="BP17" s="1102">
        <f t="shared" si="13"/>
        <v>0</v>
      </c>
      <c r="BR17" s="575">
        <f t="shared" ca="1" si="14"/>
        <v>0</v>
      </c>
      <c r="BS17" s="5">
        <f t="shared" ca="1" si="15"/>
        <v>0</v>
      </c>
      <c r="BT17" s="5">
        <f t="shared" ca="1" si="16"/>
        <v>0</v>
      </c>
      <c r="BU17" s="5">
        <f t="shared" ca="1" si="17"/>
        <v>0</v>
      </c>
      <c r="BV17" s="5">
        <f t="shared" ca="1" si="18"/>
        <v>0</v>
      </c>
      <c r="BW17" s="5">
        <f t="shared" ca="1" si="19"/>
        <v>0</v>
      </c>
      <c r="BX17" s="2175">
        <f t="shared" ca="1" si="20"/>
        <v>0</v>
      </c>
      <c r="BY17" s="573">
        <f t="shared" ca="1" si="21"/>
        <v>0</v>
      </c>
      <c r="BZ17" s="1"/>
      <c r="CB17" s="1182"/>
      <c r="CC17" s="387">
        <f ca="1">'Calc - SENIOR PERS'!$O$54/9*3</f>
        <v>0</v>
      </c>
      <c r="CD17" s="56">
        <f ca="1">'Calc - SENIOR PERS'!$O$54/9*3</f>
        <v>0</v>
      </c>
      <c r="CE17" s="56">
        <f ca="1">'Calc - SENIOR PERS'!$O$54/9*2</f>
        <v>0</v>
      </c>
      <c r="CF17" s="56">
        <f ca="1">'Calc - SENIOR PERS'!$O$54/9*0.5</f>
        <v>0</v>
      </c>
      <c r="CG17" s="1183">
        <f ca="1">'Calc - SENIOR PERS'!$O$54/9*0.5</f>
        <v>0</v>
      </c>
      <c r="CH17" s="1184">
        <f ca="1">'Calc - SENIOR PERS'!$O$55/9*3</f>
        <v>0</v>
      </c>
      <c r="CI17" s="1185">
        <f ca="1">'Calc - SENIOR PERS'!$O$55/9*3</f>
        <v>0</v>
      </c>
      <c r="CJ17" s="1185">
        <f ca="1">'Calc - SENIOR PERS'!$O$55/9*2</f>
        <v>0</v>
      </c>
      <c r="CK17" s="1185">
        <f ca="1">'Calc - SENIOR PERS'!$O$55/9*0.5</f>
        <v>0</v>
      </c>
      <c r="CL17" s="1186">
        <f ca="1">'Calc - SENIOR PERS'!$O$55/9*0.5</f>
        <v>0</v>
      </c>
      <c r="CM17" s="1187">
        <f ca="1">'Calc - SENIOR PERS'!$O$56/8*3</f>
        <v>0</v>
      </c>
      <c r="CN17" s="1188">
        <f ca="1">'Calc - SENIOR PERS'!$O$56/8*3</f>
        <v>0</v>
      </c>
      <c r="CO17" s="1189">
        <f ca="1">'Calc - SENIOR PERS'!$O$56/8*2</f>
        <v>0</v>
      </c>
      <c r="CP17" s="1179">
        <f t="shared" ca="1" si="22"/>
        <v>0</v>
      </c>
      <c r="CR17" s="310"/>
      <c r="CS17" s="575"/>
      <c r="CT17" s="5"/>
      <c r="CU17" s="1180"/>
      <c r="CV17" s="575"/>
      <c r="CW17" s="5"/>
      <c r="CX17" s="1180"/>
      <c r="CY17" s="575"/>
      <c r="CZ17" s="5"/>
      <c r="DA17" s="1180"/>
      <c r="DB17" s="575"/>
      <c r="DC17" s="5"/>
      <c r="DD17" s="1180"/>
      <c r="DE17" s="1181">
        <f t="shared" si="23"/>
        <v>0</v>
      </c>
      <c r="DG17" s="575"/>
      <c r="DH17" s="5"/>
      <c r="DI17" s="1180"/>
      <c r="DJ17" s="575"/>
      <c r="DK17" s="5"/>
      <c r="DL17" s="1180"/>
      <c r="DM17" s="575"/>
      <c r="DN17" s="5"/>
      <c r="DO17" s="1180"/>
      <c r="DP17" s="575"/>
      <c r="DQ17" s="5"/>
      <c r="DR17" s="1180"/>
      <c r="DS17" s="1181">
        <f t="shared" si="24"/>
        <v>0</v>
      </c>
      <c r="DU17" s="575"/>
      <c r="DV17" s="5"/>
      <c r="DW17" s="1180"/>
      <c r="DX17" s="575"/>
      <c r="DY17" s="5"/>
      <c r="DZ17" s="1180"/>
      <c r="EA17" s="575"/>
      <c r="EB17" s="5"/>
      <c r="EC17" s="1180"/>
      <c r="ED17" s="575"/>
      <c r="EE17" s="5"/>
      <c r="EF17" s="1180"/>
      <c r="EG17" s="1181">
        <f t="shared" si="25"/>
        <v>0</v>
      </c>
      <c r="EI17" s="403"/>
      <c r="EJ17" s="3215"/>
      <c r="EK17" s="2140">
        <f t="shared" ca="1" si="26"/>
        <v>0</v>
      </c>
      <c r="EL17" s="21">
        <f t="shared" ca="1" si="27"/>
        <v>0</v>
      </c>
      <c r="EM17" s="21">
        <f t="shared" ca="1" si="28"/>
        <v>0</v>
      </c>
      <c r="EN17" s="21">
        <f t="shared" ca="1" si="29"/>
        <v>0</v>
      </c>
      <c r="EO17" s="21">
        <f t="shared" ca="1" si="30"/>
        <v>0</v>
      </c>
      <c r="EP17" s="21">
        <f t="shared" ca="1" si="31"/>
        <v>0</v>
      </c>
      <c r="EQ17" s="21">
        <f t="shared" ca="1" si="32"/>
        <v>0</v>
      </c>
      <c r="ER17" s="88">
        <f t="shared" ca="1" si="33"/>
        <v>0</v>
      </c>
      <c r="ES17" s="9"/>
      <c r="ET17" s="4"/>
      <c r="EU17" s="4"/>
      <c r="EV17" s="133">
        <f t="shared" ca="1" si="34"/>
        <v>0</v>
      </c>
      <c r="EW17" s="5">
        <f t="shared" ca="1" si="35"/>
        <v>0</v>
      </c>
      <c r="EX17" s="5">
        <f t="shared" ca="1" si="36"/>
        <v>0</v>
      </c>
      <c r="EY17" s="5">
        <f t="shared" ca="1" si="37"/>
        <v>0</v>
      </c>
      <c r="EZ17" s="5">
        <f t="shared" ca="1" si="38"/>
        <v>0</v>
      </c>
      <c r="FA17" s="5">
        <f t="shared" ca="1" si="39"/>
        <v>0</v>
      </c>
      <c r="FB17" s="164">
        <f t="shared" ca="1" si="40"/>
        <v>0</v>
      </c>
      <c r="FD17" s="133">
        <f t="shared" ca="1" si="41"/>
        <v>0</v>
      </c>
      <c r="FE17" s="5">
        <f t="shared" ca="1" si="42"/>
        <v>0</v>
      </c>
      <c r="FF17" s="5">
        <f t="shared" ca="1" si="43"/>
        <v>0</v>
      </c>
      <c r="FG17" s="5">
        <f t="shared" ca="1" si="44"/>
        <v>0</v>
      </c>
      <c r="FH17" s="5">
        <f t="shared" ca="1" si="45"/>
        <v>0</v>
      </c>
      <c r="FI17" s="5">
        <f t="shared" ca="1" si="46"/>
        <v>0</v>
      </c>
      <c r="FJ17" s="138">
        <f t="shared" ca="1" si="47"/>
        <v>0</v>
      </c>
      <c r="FL17" s="133">
        <f t="shared" ca="1" si="48"/>
        <v>0</v>
      </c>
      <c r="FM17" s="5">
        <f t="shared" ca="1" si="49"/>
        <v>0</v>
      </c>
      <c r="FN17" s="5">
        <f t="shared" ca="1" si="50"/>
        <v>0</v>
      </c>
      <c r="FO17" s="5">
        <f t="shared" ca="1" si="51"/>
        <v>0</v>
      </c>
      <c r="FP17" s="5">
        <f t="shared" ca="1" si="52"/>
        <v>0</v>
      </c>
      <c r="FQ17" s="5">
        <f t="shared" ca="1" si="53"/>
        <v>0</v>
      </c>
      <c r="FR17" s="206">
        <f t="shared" ca="1" si="54"/>
        <v>0</v>
      </c>
      <c r="FT17" s="133">
        <f t="shared" ca="1" si="55"/>
        <v>0</v>
      </c>
      <c r="FU17" s="5">
        <f t="shared" ca="1" si="56"/>
        <v>0</v>
      </c>
      <c r="FV17" s="5">
        <f t="shared" ca="1" si="57"/>
        <v>0</v>
      </c>
      <c r="FW17" s="5">
        <f t="shared" ca="1" si="58"/>
        <v>0</v>
      </c>
      <c r="FX17" s="5">
        <f t="shared" ca="1" si="59"/>
        <v>0</v>
      </c>
      <c r="FY17" s="5">
        <f t="shared" ca="1" si="60"/>
        <v>0</v>
      </c>
      <c r="FZ17" s="178">
        <f t="shared" ca="1" si="61"/>
        <v>0</v>
      </c>
      <c r="GB17" s="133">
        <f t="shared" ca="1" si="62"/>
        <v>0</v>
      </c>
      <c r="GC17" s="5">
        <f t="shared" ca="1" si="63"/>
        <v>0</v>
      </c>
      <c r="GD17" s="5">
        <f t="shared" ca="1" si="64"/>
        <v>0</v>
      </c>
      <c r="GE17" s="5">
        <f t="shared" ca="1" si="65"/>
        <v>0</v>
      </c>
      <c r="GF17" s="5">
        <f t="shared" ca="1" si="66"/>
        <v>0</v>
      </c>
      <c r="GG17" s="5">
        <f t="shared" ca="1" si="67"/>
        <v>0</v>
      </c>
      <c r="GH17" s="150">
        <f t="shared" ca="1" si="68"/>
        <v>0</v>
      </c>
      <c r="GJ17" s="133">
        <f t="shared" ca="1" si="69"/>
        <v>0</v>
      </c>
      <c r="GK17" s="5">
        <f t="shared" ca="1" si="70"/>
        <v>0</v>
      </c>
      <c r="GL17" s="5">
        <f t="shared" ca="1" si="71"/>
        <v>0</v>
      </c>
      <c r="GM17" s="5">
        <f t="shared" ca="1" si="72"/>
        <v>0</v>
      </c>
      <c r="GN17" s="5">
        <f t="shared" ca="1" si="73"/>
        <v>0</v>
      </c>
      <c r="GO17" s="5">
        <f t="shared" ca="1" si="74"/>
        <v>0</v>
      </c>
      <c r="GP17" s="192">
        <f t="shared" ca="1" si="75"/>
        <v>0</v>
      </c>
      <c r="GR17" s="133"/>
      <c r="GS17" s="5"/>
      <c r="GT17" s="5"/>
      <c r="GU17" s="5"/>
      <c r="GV17" s="5"/>
      <c r="GW17" s="5"/>
      <c r="GX17" s="1102">
        <f t="shared" si="76"/>
        <v>0</v>
      </c>
      <c r="GZ17" s="575">
        <f t="shared" ca="1" si="77"/>
        <v>0</v>
      </c>
      <c r="HA17" s="5">
        <f t="shared" ca="1" si="78"/>
        <v>0</v>
      </c>
      <c r="HB17" s="5">
        <f t="shared" ca="1" si="79"/>
        <v>0</v>
      </c>
      <c r="HC17" s="5">
        <f t="shared" ca="1" si="80"/>
        <v>0</v>
      </c>
      <c r="HD17" s="5">
        <f t="shared" ca="1" si="81"/>
        <v>0</v>
      </c>
      <c r="HE17" s="5">
        <f t="shared" ca="1" si="82"/>
        <v>0</v>
      </c>
      <c r="HF17" s="2175">
        <f t="shared" ca="1" si="83"/>
        <v>0</v>
      </c>
      <c r="HG17" s="573">
        <f t="shared" ca="1" si="84"/>
        <v>0</v>
      </c>
      <c r="HH17" s="1"/>
    </row>
    <row r="18" spans="1:216" ht="15" hidden="1" customHeight="1" x14ac:dyDescent="0.25">
      <c r="A18" s="403"/>
      <c r="B18" s="3215"/>
      <c r="C18" s="2140">
        <f ca="1">'Calc - SENIOR PERS'!$B$62</f>
        <v>0</v>
      </c>
      <c r="D18" s="21">
        <f ca="1">'Calc - SENIOR PERS'!$O$67</f>
        <v>0</v>
      </c>
      <c r="E18" s="5">
        <f ca="1">'Calc - SENIOR PERS'!$O$68</f>
        <v>0</v>
      </c>
      <c r="F18" s="5">
        <f ca="1">'Calc - SENIOR PERS'!$O$69</f>
        <v>0</v>
      </c>
      <c r="G18" s="5">
        <f ca="1">'Calc - SENIOR PERS'!$O$70</f>
        <v>0</v>
      </c>
      <c r="H18" s="5">
        <f ca="1">'Calc - SENIOR PERS'!$O$71</f>
        <v>0</v>
      </c>
      <c r="I18" s="5">
        <f ca="1">'Calc - SENIOR PERS'!$O$72</f>
        <v>0</v>
      </c>
      <c r="J18" s="88">
        <f t="shared" ca="1" si="6"/>
        <v>0</v>
      </c>
      <c r="K18" s="9" t="str">
        <f ca="1">IF(J18&lt;&gt;'Calc - SENIOR PERS'!$O$73,"ERROR","")</f>
        <v/>
      </c>
      <c r="L18" s="4"/>
      <c r="M18" s="4"/>
      <c r="N18" s="133">
        <f ca="1">IF(AND((OFFSET('DATA INPUT'!$C$11, ROW()-ROW($N$14),0)=$N$10),
 OR(OFFSET('DATA INPUT'!$H$11,ROW()-ROW($N$14),0)=3,
OFFSET('DATA INPUT'!$V$11, ROW()-ROW($N$14),0)=3,
OFFSET('DATA INPUT'!$AD$11, ROW()-ROW($N$14),0)=3)),
OFFSET('Calc - SENIOR PERS'!$Y$11,COLUMN()-COLUMN($N$14) + (ROW()-ROW($N$14))*14,0),0)</f>
        <v>0</v>
      </c>
      <c r="O18" s="21">
        <f ca="1">IF(AND((OFFSET('DATA INPUT'!$C$11, ROW()-ROW($N$14),0)=$N$10),
 OR(OFFSET('DATA INPUT'!$H$11,ROW()-ROW($N$14),0)=3,
OFFSET('DATA INPUT'!$V$11, ROW()-ROW($N$14),0)=3,
OFFSET('DATA INPUT'!$AD$11, ROW()-ROW($N$14),0)=3)),
OFFSET('Calc - SENIOR PERS'!$Y$11,COLUMN()-COLUMN($N$14) + (ROW()-ROW($N$14))*14,0),0)</f>
        <v>0</v>
      </c>
      <c r="P18" s="21">
        <f ca="1">IF(AND((OFFSET('DATA INPUT'!$C$11, ROW()-ROW($N$14),0)=$N$10),
 OR(OFFSET('DATA INPUT'!$H$11,ROW()-ROW($N$14),0)=3,
OFFSET('DATA INPUT'!$V$11, ROW()-ROW($N$14),0)=3,
OFFSET('DATA INPUT'!$AD$11, ROW()-ROW($N$14),0)=3)),
OFFSET('Calc - SENIOR PERS'!$Y$11,COLUMN()-COLUMN($N$14) + (ROW()-ROW($N$14))*14,0),0)</f>
        <v>0</v>
      </c>
      <c r="Q18" s="21">
        <f ca="1">IF(AND((OFFSET('DATA INPUT'!$C$11, ROW()-ROW($N$14),0)=$N$10),
 OR(OFFSET('DATA INPUT'!$H$11,ROW()-ROW($N$14),0)=3,
OFFSET('DATA INPUT'!$V$11, ROW()-ROW($N$14),0)=3,
OFFSET('DATA INPUT'!$AD$11, ROW()-ROW($N$14),0)=3)),
OFFSET('Calc - SENIOR PERS'!$Y$11,COLUMN()-COLUMN($N$14) + (ROW()-ROW($N$14))*14,0),0)</f>
        <v>0</v>
      </c>
      <c r="R18" s="21">
        <f ca="1">IF(AND((OFFSET('DATA INPUT'!$C$11, ROW()-ROW($N$14),0)=$N$10),
 OR(OFFSET('DATA INPUT'!$H$11,ROW()-ROW($N$14),0)=3,
OFFSET('DATA INPUT'!$V$11, ROW()-ROW($N$14),0)=3,
OFFSET('DATA INPUT'!$AD$11, ROW()-ROW($N$14),0)=3)),
OFFSET('Calc - SENIOR PERS'!$Y$11,COLUMN()-COLUMN($N$14) + (ROW()-ROW($N$14))*14,0),0)</f>
        <v>0</v>
      </c>
      <c r="S18" s="21">
        <f ca="1">IF(AND((OFFSET('DATA INPUT'!$C$11, ROW()-ROW($N$14),0)=$N$10),
 OR(OFFSET('DATA INPUT'!$H$11,ROW()-ROW($N$14),0)=3,
OFFSET('DATA INPUT'!$V$11, ROW()-ROW($N$14),0)=3,
OFFSET('DATA INPUT'!$AD$11, ROW()-ROW($N$14),0)=3)),
OFFSET('Calc - SENIOR PERS'!$Y$11,COLUMN()-COLUMN($N$14) + (ROW()-ROW($N$14))*14,0),0)</f>
        <v>0</v>
      </c>
      <c r="T18" s="164">
        <f t="shared" ca="1" si="7"/>
        <v>0</v>
      </c>
      <c r="V18" s="133">
        <f ca="1">IF(AND((OFFSET('DATA INPUT'!$C$11, ROW()-ROW($V$14),0)=$V$10),
 OR(OFFSET('DATA INPUT'!$H$11,ROW()-ROW($V$14),0)=3,
OFFSET('DATA INPUT'!$V$11, ROW()-ROW($V$14),0)=3,
OFFSET('DATA INPUT'!$AD$11, ROW()-ROW($V$14),0)=3)),
OFFSET('Calc - SENIOR PERS'!$Y$11,COLUMN()-COLUMN($V$14) + (ROW()-ROW($V$14))*14,0),0)</f>
        <v>0</v>
      </c>
      <c r="W18" s="21">
        <f ca="1">IF(AND((OFFSET('DATA INPUT'!$C$11, ROW()-ROW($V$14),0)=$V$10),
 OR(OFFSET('DATA INPUT'!$H$11,ROW()-ROW($V$14),0)=3,
OFFSET('DATA INPUT'!$V$11, ROW()-ROW($V$14),0)=3,
OFFSET('DATA INPUT'!$AD$11, ROW()-ROW($V$14),0)=3)),
OFFSET('Calc - SENIOR PERS'!$Y$11,COLUMN()-COLUMN($V$14) + (ROW()-ROW($V$14))*14,0),0)</f>
        <v>0</v>
      </c>
      <c r="X18" s="21">
        <f ca="1">IF(AND((OFFSET('DATA INPUT'!$C$11, ROW()-ROW($V$14),0)=$V$10),
 OR(OFFSET('DATA INPUT'!$H$11,ROW()-ROW($V$14),0)=3,
OFFSET('DATA INPUT'!$V$11, ROW()-ROW($V$14),0)=3,
OFFSET('DATA INPUT'!$AD$11, ROW()-ROW($V$14),0)=3)),
OFFSET('Calc - SENIOR PERS'!$Y$11,COLUMN()-COLUMN($V$14) + (ROW()-ROW($V$14))*14,0),0)</f>
        <v>0</v>
      </c>
      <c r="Y18" s="21">
        <f ca="1">IF(AND((OFFSET('DATA INPUT'!$C$11, ROW()-ROW($V$14),0)=$V$10),
 OR(OFFSET('DATA INPUT'!$H$11,ROW()-ROW($V$14),0)=3,
OFFSET('DATA INPUT'!$V$11, ROW()-ROW($V$14),0)=3,
OFFSET('DATA INPUT'!$AD$11, ROW()-ROW($V$14),0)=3)),
OFFSET('Calc - SENIOR PERS'!$Y$11,COLUMN()-COLUMN($V$14) + (ROW()-ROW($V$14))*14,0),0)</f>
        <v>0</v>
      </c>
      <c r="Z18" s="21">
        <f ca="1">IF(AND((OFFSET('DATA INPUT'!$C$11, ROW()-ROW($V$14),0)=$V$10),
 OR(OFFSET('DATA INPUT'!$H$11,ROW()-ROW($V$14),0)=3,
OFFSET('DATA INPUT'!$V$11, ROW()-ROW($V$14),0)=3,
OFFSET('DATA INPUT'!$AD$11, ROW()-ROW($V$14),0)=3)),
OFFSET('Calc - SENIOR PERS'!$Y$11,COLUMN()-COLUMN($V$14) + (ROW()-ROW($V$14))*14,0),0)</f>
        <v>0</v>
      </c>
      <c r="AA18" s="21">
        <f ca="1">IF(AND((OFFSET('DATA INPUT'!$C$11, ROW()-ROW($V$14),0)=$V$10),
 OR(OFFSET('DATA INPUT'!$H$11,ROW()-ROW($V$14),0)=3,
OFFSET('DATA INPUT'!$V$11, ROW()-ROW($V$14),0)=3,
OFFSET('DATA INPUT'!$AD$11, ROW()-ROW($V$14),0)=3)),
OFFSET('Calc - SENIOR PERS'!$Y$11,COLUMN()-COLUMN($V$14) + (ROW()-ROW($V$14))*14,0),0)</f>
        <v>0</v>
      </c>
      <c r="AB18" s="138">
        <f t="shared" ca="1" si="8"/>
        <v>0</v>
      </c>
      <c r="AD18" s="133">
        <f ca="1">IF(AND((OFFSET('DATA INPUT'!$C$11, ROW()-ROW($AD$14),0)=$AD$10),
 OR(OFFSET('DATA INPUT'!$H$11,ROW()-ROW($AD$14),0)=3,
OFFSET('DATA INPUT'!$V$11, ROW()-ROW($AD$14),0)=3,
OFFSET('DATA INPUT'!$AD$11, ROW()-ROW($AD$14),0)=3)),
OFFSET('Calc - SENIOR PERS'!$Y$11,COLUMN()-COLUMN($AD$14) + (ROW()-ROW($AD$14))*14,0),0)</f>
        <v>0</v>
      </c>
      <c r="AE18" s="21">
        <f ca="1">IF(AND((OFFSET('DATA INPUT'!$C$11, ROW()-ROW($AD$14),0)=$AD$10),
 OR(OFFSET('DATA INPUT'!$H$11,ROW()-ROW($AD$14),0)=3,
OFFSET('DATA INPUT'!$V$11, ROW()-ROW($AD$14),0)=3,
OFFSET('DATA INPUT'!$AD$11, ROW()-ROW($AD$14),0)=3)),
OFFSET('Calc - SENIOR PERS'!$Y$11,COLUMN()-COLUMN($AD$14) + (ROW()-ROW($AD$14))*14,0),0)</f>
        <v>0</v>
      </c>
      <c r="AF18" s="21">
        <f ca="1">IF(AND((OFFSET('DATA INPUT'!$C$11, ROW()-ROW($AD$14),0)=$AD$10),
 OR(OFFSET('DATA INPUT'!$H$11,ROW()-ROW($AD$14),0)=3,
OFFSET('DATA INPUT'!$V$11, ROW()-ROW($AD$14),0)=3,
OFFSET('DATA INPUT'!$AD$11, ROW()-ROW($AD$14),0)=3)),
OFFSET('Calc - SENIOR PERS'!$Y$11,COLUMN()-COLUMN($AD$14) + (ROW()-ROW($AD$14))*14,0),0)</f>
        <v>0</v>
      </c>
      <c r="AG18" s="21">
        <f ca="1">IF(AND((OFFSET('DATA INPUT'!$C$11, ROW()-ROW($AD$14),0)=$AD$10),
 OR(OFFSET('DATA INPUT'!$H$11,ROW()-ROW($AD$14),0)=3,
OFFSET('DATA INPUT'!$V$11, ROW()-ROW($AD$14),0)=3,
OFFSET('DATA INPUT'!$AD$11, ROW()-ROW($AD$14),0)=3)),
OFFSET('Calc - SENIOR PERS'!$Y$11,COLUMN()-COLUMN($AD$14) + (ROW()-ROW($AD$14))*14,0),0)</f>
        <v>0</v>
      </c>
      <c r="AH18" s="21">
        <f ca="1">IF(AND((OFFSET('DATA INPUT'!$C$11, ROW()-ROW($AD$14),0)=$AD$10),
 OR(OFFSET('DATA INPUT'!$H$11,ROW()-ROW($AD$14),0)=3,
OFFSET('DATA INPUT'!$V$11, ROW()-ROW($AD$14),0)=3,
OFFSET('DATA INPUT'!$AD$11, ROW()-ROW($AD$14),0)=3)),
OFFSET('Calc - SENIOR PERS'!$Y$11,COLUMN()-COLUMN($AD$14) + (ROW()-ROW($AD$14))*14,0),0)</f>
        <v>0</v>
      </c>
      <c r="AI18" s="21">
        <f ca="1">IF(AND((OFFSET('DATA INPUT'!$C$11, ROW()-ROW($AD$14),0)=$AD$10),
 OR(OFFSET('DATA INPUT'!$H$11,ROW()-ROW($AD$14),0)=3,
OFFSET('DATA INPUT'!$V$11, ROW()-ROW($AD$14),0)=3,
OFFSET('DATA INPUT'!$AD$11, ROW()-ROW($AD$14),0)=3)),
OFFSET('Calc - SENIOR PERS'!$Y$11,COLUMN()-COLUMN($AD$14) + (ROW()-ROW($AD$14))*14,0),0)</f>
        <v>0</v>
      </c>
      <c r="AJ18" s="206">
        <f t="shared" ca="1" si="9"/>
        <v>0</v>
      </c>
      <c r="AL18" s="133">
        <f ca="1">IF(AND((OFFSET('DATA INPUT'!$C$11, ROW()-ROW($AL$14),0)=$AL$10),
 OR(OFFSET('DATA INPUT'!$H$11,ROW()-ROW($AL$14),0)=3,
OFFSET('DATA INPUT'!$V$11, ROW()-ROW($AL$14),0)=3,
OFFSET('DATA INPUT'!$AD$11, ROW()-ROW($AL$14),0)=3)),
OFFSET('Calc - SENIOR PERS'!$Y$11,COLUMN()-COLUMN($AL$14) + (ROW()-ROW($AL$14))*14,0),0)</f>
        <v>0</v>
      </c>
      <c r="AM18" s="21">
        <f ca="1">IF(AND((OFFSET('DATA INPUT'!$C$11, ROW()-ROW($AL$14),0)=$AL$10),
 OR(OFFSET('DATA INPUT'!$H$11,ROW()-ROW($AL$14),0)=3,
OFFSET('DATA INPUT'!$V$11, ROW()-ROW($AL$14),0)=3,
OFFSET('DATA INPUT'!$AD$11, ROW()-ROW($AL$14),0)=3)),
OFFSET('Calc - SENIOR PERS'!$Y$11,COLUMN()-COLUMN($AL$14) + (ROW()-ROW($AL$14))*14,0),0)</f>
        <v>0</v>
      </c>
      <c r="AN18" s="21">
        <f ca="1">IF(AND((OFFSET('DATA INPUT'!$C$11, ROW()-ROW($AL$14),0)=$AL$10),
 OR(OFFSET('DATA INPUT'!$H$11,ROW()-ROW($AL$14),0)=3,
OFFSET('DATA INPUT'!$V$11, ROW()-ROW($AL$14),0)=3,
OFFSET('DATA INPUT'!$AD$11, ROW()-ROW($AL$14),0)=3)),
OFFSET('Calc - SENIOR PERS'!$Y$11,COLUMN()-COLUMN($AL$14) + (ROW()-ROW($AL$14))*14,0),0)</f>
        <v>0</v>
      </c>
      <c r="AO18" s="21">
        <f ca="1">IF(AND((OFFSET('DATA INPUT'!$C$11, ROW()-ROW($AL$14),0)=$AL$10),
 OR(OFFSET('DATA INPUT'!$H$11,ROW()-ROW($AL$14),0)=3,
OFFSET('DATA INPUT'!$V$11, ROW()-ROW($AL$14),0)=3,
OFFSET('DATA INPUT'!$AD$11, ROW()-ROW($AL$14),0)=3)),
OFFSET('Calc - SENIOR PERS'!$Y$11,COLUMN()-COLUMN($AL$14) + (ROW()-ROW($AL$14))*14,0),0)</f>
        <v>0</v>
      </c>
      <c r="AP18" s="21">
        <f ca="1">IF(AND((OFFSET('DATA INPUT'!$C$11, ROW()-ROW($AL$14),0)=$AL$10),
 OR(OFFSET('DATA INPUT'!$H$11,ROW()-ROW($AL$14),0)=3,
OFFSET('DATA INPUT'!$V$11, ROW()-ROW($AL$14),0)=3,
OFFSET('DATA INPUT'!$AD$11, ROW()-ROW($AL$14),0)=3)),
OFFSET('Calc - SENIOR PERS'!$Y$11,COLUMN()-COLUMN($AL$14) + (ROW()-ROW($AL$14))*14,0),0)</f>
        <v>0</v>
      </c>
      <c r="AQ18" s="21">
        <f ca="1">IF(AND((OFFSET('DATA INPUT'!$C$11, ROW()-ROW($AL$14),0)=$AL$10),
 OR(OFFSET('DATA INPUT'!$H$11,ROW()-ROW($AL$14),0)=3,
OFFSET('DATA INPUT'!$V$11, ROW()-ROW($AL$14),0)=3,
OFFSET('DATA INPUT'!$AD$11, ROW()-ROW($AL$14),0)=3)),
OFFSET('Calc - SENIOR PERS'!$Y$11,COLUMN()-COLUMN($AL$14) + (ROW()-ROW($AL$14))*14,0),0)</f>
        <v>0</v>
      </c>
      <c r="AR18" s="178">
        <f t="shared" ca="1" si="10"/>
        <v>0</v>
      </c>
      <c r="AT18" s="133">
        <f ca="1">IF(AND((OFFSET('DATA INPUT'!$C$11, ROW()-ROW($AT$14),0)=$AT$10),
 OR(OFFSET('DATA INPUT'!$H$11,ROW()-ROW($AT$14),0)=3,
OFFSET('DATA INPUT'!$V$11, ROW()-ROW($AT$14),0)=3,
OFFSET('DATA INPUT'!$AD$11, ROW()-ROW($AT$14),0)=3)),
OFFSET('Calc - SENIOR PERS'!$Y$11,COLUMN()-COLUMN($AT$14) + (ROW()-ROW($AT$14))*14,0),0)</f>
        <v>0</v>
      </c>
      <c r="AU18" s="21">
        <f ca="1">IF(AND((OFFSET('DATA INPUT'!$C$11, ROW()-ROW($AT$14),0)=$AT$10),
 OR(OFFSET('DATA INPUT'!$H$11,ROW()-ROW($AT$14),0)=3,
OFFSET('DATA INPUT'!$V$11, ROW()-ROW($AT$14),0)=3,
OFFSET('DATA INPUT'!$AD$11, ROW()-ROW($AT$14),0)=3)),
OFFSET('Calc - SENIOR PERS'!$Y$11,COLUMN()-COLUMN($AT$14) + (ROW()-ROW($AT$14))*14,0),0)</f>
        <v>0</v>
      </c>
      <c r="AV18" s="21">
        <f ca="1">IF(AND((OFFSET('DATA INPUT'!$C$11, ROW()-ROW($AT$14),0)=$AT$10),
 OR(OFFSET('DATA INPUT'!$H$11,ROW()-ROW($AT$14),0)=3,
OFFSET('DATA INPUT'!$V$11, ROW()-ROW($AT$14),0)=3,
OFFSET('DATA INPUT'!$AD$11, ROW()-ROW($AT$14),0)=3)),
OFFSET('Calc - SENIOR PERS'!$Y$11,COLUMN()-COLUMN($AT$14) + (ROW()-ROW($AT$14))*14,0),0)</f>
        <v>0</v>
      </c>
      <c r="AW18" s="21">
        <f ca="1">IF(AND((OFFSET('DATA INPUT'!$C$11, ROW()-ROW($AT$14),0)=$AT$10),
 OR(OFFSET('DATA INPUT'!$H$11,ROW()-ROW($AT$14),0)=3,
OFFSET('DATA INPUT'!$V$11, ROW()-ROW($AT$14),0)=3,
OFFSET('DATA INPUT'!$AD$11, ROW()-ROW($AT$14),0)=3)),
OFFSET('Calc - SENIOR PERS'!$Y$11,COLUMN()-COLUMN($AT$14) + (ROW()-ROW($AT$14))*14,0),0)</f>
        <v>0</v>
      </c>
      <c r="AX18" s="21">
        <f ca="1">IF(AND((OFFSET('DATA INPUT'!$C$11, ROW()-ROW($AT$14),0)=$AT$10),
 OR(OFFSET('DATA INPUT'!$H$11,ROW()-ROW($AT$14),0)=3,
OFFSET('DATA INPUT'!$V$11, ROW()-ROW($AT$14),0)=3,
OFFSET('DATA INPUT'!$AD$11, ROW()-ROW($AT$14),0)=3)),
OFFSET('Calc - SENIOR PERS'!$Y$11,COLUMN()-COLUMN($AT$14) + (ROW()-ROW($AT$14))*14,0),0)</f>
        <v>0</v>
      </c>
      <c r="AY18" s="21">
        <f ca="1">IF(AND((OFFSET('DATA INPUT'!$C$11, ROW()-ROW($AT$14),0)=$AT$10),
 OR(OFFSET('DATA INPUT'!$H$11,ROW()-ROW($AT$14),0)=3,
OFFSET('DATA INPUT'!$V$11, ROW()-ROW($AT$14),0)=3,
OFFSET('DATA INPUT'!$AD$11, ROW()-ROW($AT$14),0)=3)),
OFFSET('Calc - SENIOR PERS'!$Y$11,COLUMN()-COLUMN($AT$14) + (ROW()-ROW($AT$14))*14,0),0)</f>
        <v>0</v>
      </c>
      <c r="AZ18" s="150">
        <f t="shared" ca="1" si="11"/>
        <v>0</v>
      </c>
      <c r="BB18" s="133">
        <f ca="1">IF(AND((OFFSET('DATA INPUT'!$C$11, ROW()-ROW($BB$14),0)=$BB$10),
 OR(OFFSET('DATA INPUT'!$H$11,ROW()-ROW($BB$14),0)=3,
OFFSET('DATA INPUT'!$V$11, ROW()-ROW($BB$14),0)=3,
OFFSET('DATA INPUT'!$AD$11, ROW()-ROW($BB$14),0)=3)),
OFFSET('Calc - SENIOR PERS'!$Y$11,COLUMN()-COLUMN($BB$14) + (ROW()-ROW($BB$14))*14,0),0)</f>
        <v>0</v>
      </c>
      <c r="BC18" s="21">
        <f ca="1">IF(AND((OFFSET('DATA INPUT'!$C$11, ROW()-ROW($BB$14),0)=$BB$10),
 OR(OFFSET('DATA INPUT'!$H$11,ROW()-ROW($BB$14),0)=3,
OFFSET('DATA INPUT'!$V$11, ROW()-ROW($BB$14),0)=3,
OFFSET('DATA INPUT'!$AD$11, ROW()-ROW($BB$14),0)=3)),
OFFSET('Calc - SENIOR PERS'!$Y$11,COLUMN()-COLUMN($BB$14) + (ROW()-ROW($BB$14))*14,0),0)</f>
        <v>0</v>
      </c>
      <c r="BD18" s="21">
        <f ca="1">IF(AND((OFFSET('DATA INPUT'!$C$11, ROW()-ROW($BB$14),0)=$BB$10),
 OR(OFFSET('DATA INPUT'!$H$11,ROW()-ROW($BB$14),0)=3,
OFFSET('DATA INPUT'!$V$11, ROW()-ROW($BB$14),0)=3,
OFFSET('DATA INPUT'!$AD$11, ROW()-ROW($BB$14),0)=3)),
OFFSET('Calc - SENIOR PERS'!$Y$11,COLUMN()-COLUMN($BB$14) + (ROW()-ROW($BB$14))*14,0),0)</f>
        <v>0</v>
      </c>
      <c r="BE18" s="21">
        <f ca="1">IF(AND((OFFSET('DATA INPUT'!$C$11, ROW()-ROW($BB$14),0)=$BB$10),
 OR(OFFSET('DATA INPUT'!$H$11,ROW()-ROW($BB$14),0)=3,
OFFSET('DATA INPUT'!$V$11, ROW()-ROW($BB$14),0)=3,
OFFSET('DATA INPUT'!$AD$11, ROW()-ROW($BB$14),0)=3)),
OFFSET('Calc - SENIOR PERS'!$Y$11,COLUMN()-COLUMN($BB$14) + (ROW()-ROW($BB$14))*14,0),0)</f>
        <v>0</v>
      </c>
      <c r="BF18" s="21">
        <f ca="1">IF(AND((OFFSET('DATA INPUT'!$C$11, ROW()-ROW($BB$14),0)=$BB$10),
 OR(OFFSET('DATA INPUT'!$H$11,ROW()-ROW($BB$14),0)=3,
OFFSET('DATA INPUT'!$V$11, ROW()-ROW($BB$14),0)=3,
OFFSET('DATA INPUT'!$AD$11, ROW()-ROW($BB$14),0)=3)),
OFFSET('Calc - SENIOR PERS'!$Y$11,COLUMN()-COLUMN($BB$14) + (ROW()-ROW($BB$14))*14,0),0)</f>
        <v>0</v>
      </c>
      <c r="BG18" s="21">
        <f ca="1">IF(AND((OFFSET('DATA INPUT'!$C$11, ROW()-ROW($BB$14),0)=$BB$10),
 OR(OFFSET('DATA INPUT'!$H$11,ROW()-ROW($BB$14),0)=3,
OFFSET('DATA INPUT'!$V$11, ROW()-ROW($BB$14),0)=3,
OFFSET('DATA INPUT'!$AD$11, ROW()-ROW($BB$14),0)=3)),
OFFSET('Calc - SENIOR PERS'!$Y$11,COLUMN()-COLUMN($BB$14) + (ROW()-ROW($BB$14))*14,0),0)</f>
        <v>0</v>
      </c>
      <c r="BH18" s="192">
        <f t="shared" ca="1" si="12"/>
        <v>0</v>
      </c>
      <c r="BJ18" s="133"/>
      <c r="BK18" s="21"/>
      <c r="BL18" s="21"/>
      <c r="BM18" s="21"/>
      <c r="BN18" s="21"/>
      <c r="BO18" s="21"/>
      <c r="BP18" s="1102">
        <f t="shared" si="13"/>
        <v>0</v>
      </c>
      <c r="BR18" s="575">
        <f t="shared" ca="1" si="14"/>
        <v>0</v>
      </c>
      <c r="BS18" s="5">
        <f t="shared" ca="1" si="15"/>
        <v>0</v>
      </c>
      <c r="BT18" s="5">
        <f t="shared" ca="1" si="16"/>
        <v>0</v>
      </c>
      <c r="BU18" s="5">
        <f t="shared" ca="1" si="17"/>
        <v>0</v>
      </c>
      <c r="BV18" s="5">
        <f t="shared" ca="1" si="18"/>
        <v>0</v>
      </c>
      <c r="BW18" s="5">
        <f t="shared" ca="1" si="19"/>
        <v>0</v>
      </c>
      <c r="BX18" s="2175">
        <f t="shared" ca="1" si="20"/>
        <v>0</v>
      </c>
      <c r="BY18" s="573">
        <f t="shared" ca="1" si="21"/>
        <v>0</v>
      </c>
      <c r="BZ18" s="1"/>
      <c r="CB18" s="1182"/>
      <c r="CC18" s="1190">
        <f ca="1">'Calc - SENIOR PERS'!$O$68/9*3</f>
        <v>0</v>
      </c>
      <c r="CD18" s="1191">
        <f ca="1">'Calc - SENIOR PERS'!$O$68/9*3</f>
        <v>0</v>
      </c>
      <c r="CE18" s="1191">
        <f ca="1">'Calc - SENIOR PERS'!$O$68/9*2</f>
        <v>0</v>
      </c>
      <c r="CF18" s="1191">
        <f ca="1">'Calc - SENIOR PERS'!$O$68/9*0.5</f>
        <v>0</v>
      </c>
      <c r="CG18" s="1192">
        <f ca="1">'Calc - SENIOR PERS'!$O$68/9*0.5</f>
        <v>0</v>
      </c>
      <c r="CH18" s="1184">
        <f ca="1">'Calc - SENIOR PERS'!$O$69/9*3</f>
        <v>0</v>
      </c>
      <c r="CI18" s="1193">
        <f ca="1">'Calc - SENIOR PERS'!$O$69/9*3</f>
        <v>0</v>
      </c>
      <c r="CJ18" s="1193">
        <f ca="1">'Calc - SENIOR PERS'!$O$69/9*2</f>
        <v>0</v>
      </c>
      <c r="CK18" s="1193">
        <f ca="1">'Calc - SENIOR PERS'!$O$69/9*0.5</f>
        <v>0</v>
      </c>
      <c r="CL18" s="1194">
        <f ca="1">'Calc - SENIOR PERS'!$O$69/9*0.5</f>
        <v>0</v>
      </c>
      <c r="CM18" s="1195">
        <f ca="1">'Calc - SENIOR PERS'!$O$70/8*3</f>
        <v>0</v>
      </c>
      <c r="CN18" s="1188">
        <f ca="1">'Calc - SENIOR PERS'!$O$70/8*3</f>
        <v>0</v>
      </c>
      <c r="CO18" s="1196">
        <f ca="1">'Calc - SENIOR PERS'!$O$70/8*2</f>
        <v>0</v>
      </c>
      <c r="CP18" s="1179">
        <f t="shared" ca="1" si="22"/>
        <v>0</v>
      </c>
      <c r="CR18" s="310"/>
      <c r="CS18" s="575"/>
      <c r="CT18" s="5"/>
      <c r="CU18" s="1180"/>
      <c r="CV18" s="575"/>
      <c r="CW18" s="5"/>
      <c r="CX18" s="1180"/>
      <c r="CY18" s="575"/>
      <c r="CZ18" s="5"/>
      <c r="DA18" s="1180"/>
      <c r="DB18" s="575"/>
      <c r="DC18" s="5"/>
      <c r="DD18" s="1180"/>
      <c r="DE18" s="1181">
        <f t="shared" si="23"/>
        <v>0</v>
      </c>
      <c r="DG18" s="575"/>
      <c r="DH18" s="5"/>
      <c r="DI18" s="1180"/>
      <c r="DJ18" s="575"/>
      <c r="DK18" s="5"/>
      <c r="DL18" s="1180"/>
      <c r="DM18" s="575"/>
      <c r="DN18" s="5"/>
      <c r="DO18" s="1180"/>
      <c r="DP18" s="575"/>
      <c r="DQ18" s="5"/>
      <c r="DR18" s="1180"/>
      <c r="DS18" s="1181">
        <f t="shared" si="24"/>
        <v>0</v>
      </c>
      <c r="DU18" s="575"/>
      <c r="DV18" s="5"/>
      <c r="DW18" s="1180"/>
      <c r="DX18" s="575"/>
      <c r="DY18" s="5"/>
      <c r="DZ18" s="1180"/>
      <c r="EA18" s="575"/>
      <c r="EB18" s="5"/>
      <c r="EC18" s="1180"/>
      <c r="ED18" s="575"/>
      <c r="EE18" s="5"/>
      <c r="EF18" s="1180"/>
      <c r="EG18" s="1181">
        <f t="shared" si="25"/>
        <v>0</v>
      </c>
      <c r="EI18" s="403"/>
      <c r="EJ18" s="3215"/>
      <c r="EK18" s="2140">
        <f t="shared" ca="1" si="26"/>
        <v>0</v>
      </c>
      <c r="EL18" s="21">
        <f t="shared" ca="1" si="27"/>
        <v>0</v>
      </c>
      <c r="EM18" s="21">
        <f t="shared" ca="1" si="28"/>
        <v>0</v>
      </c>
      <c r="EN18" s="21">
        <f t="shared" ca="1" si="29"/>
        <v>0</v>
      </c>
      <c r="EO18" s="21">
        <f t="shared" ca="1" si="30"/>
        <v>0</v>
      </c>
      <c r="EP18" s="21">
        <f t="shared" ca="1" si="31"/>
        <v>0</v>
      </c>
      <c r="EQ18" s="21">
        <f t="shared" ca="1" si="32"/>
        <v>0</v>
      </c>
      <c r="ER18" s="88">
        <f t="shared" ca="1" si="33"/>
        <v>0</v>
      </c>
      <c r="ES18" s="9"/>
      <c r="ET18" s="4"/>
      <c r="EU18" s="4"/>
      <c r="EV18" s="133">
        <f t="shared" ca="1" si="34"/>
        <v>0</v>
      </c>
      <c r="EW18" s="5">
        <f t="shared" ca="1" si="35"/>
        <v>0</v>
      </c>
      <c r="EX18" s="5">
        <f t="shared" ca="1" si="36"/>
        <v>0</v>
      </c>
      <c r="EY18" s="5">
        <f t="shared" ca="1" si="37"/>
        <v>0</v>
      </c>
      <c r="EZ18" s="5">
        <f t="shared" ca="1" si="38"/>
        <v>0</v>
      </c>
      <c r="FA18" s="5">
        <f t="shared" ca="1" si="39"/>
        <v>0</v>
      </c>
      <c r="FB18" s="164">
        <f t="shared" ca="1" si="40"/>
        <v>0</v>
      </c>
      <c r="FD18" s="133">
        <f t="shared" ca="1" si="41"/>
        <v>0</v>
      </c>
      <c r="FE18" s="21">
        <f t="shared" ca="1" si="42"/>
        <v>0</v>
      </c>
      <c r="FF18" s="21">
        <f t="shared" ca="1" si="43"/>
        <v>0</v>
      </c>
      <c r="FG18" s="21">
        <f t="shared" ca="1" si="44"/>
        <v>0</v>
      </c>
      <c r="FH18" s="21">
        <f t="shared" ca="1" si="45"/>
        <v>0</v>
      </c>
      <c r="FI18" s="21">
        <f t="shared" ca="1" si="46"/>
        <v>0</v>
      </c>
      <c r="FJ18" s="138">
        <f t="shared" ca="1" si="47"/>
        <v>0</v>
      </c>
      <c r="FL18" s="133">
        <f t="shared" ca="1" si="48"/>
        <v>0</v>
      </c>
      <c r="FM18" s="21">
        <f t="shared" ca="1" si="49"/>
        <v>0</v>
      </c>
      <c r="FN18" s="21">
        <f t="shared" ca="1" si="50"/>
        <v>0</v>
      </c>
      <c r="FO18" s="21">
        <f t="shared" ca="1" si="51"/>
        <v>0</v>
      </c>
      <c r="FP18" s="21">
        <f t="shared" ca="1" si="52"/>
        <v>0</v>
      </c>
      <c r="FQ18" s="21">
        <f t="shared" ca="1" si="53"/>
        <v>0</v>
      </c>
      <c r="FR18" s="206">
        <f t="shared" ca="1" si="54"/>
        <v>0</v>
      </c>
      <c r="FT18" s="133">
        <f t="shared" ca="1" si="55"/>
        <v>0</v>
      </c>
      <c r="FU18" s="21">
        <f t="shared" ca="1" si="56"/>
        <v>0</v>
      </c>
      <c r="FV18" s="21">
        <f t="shared" ca="1" si="57"/>
        <v>0</v>
      </c>
      <c r="FW18" s="21">
        <f t="shared" ca="1" si="58"/>
        <v>0</v>
      </c>
      <c r="FX18" s="21">
        <f t="shared" ca="1" si="59"/>
        <v>0</v>
      </c>
      <c r="FY18" s="21">
        <f t="shared" ca="1" si="60"/>
        <v>0</v>
      </c>
      <c r="FZ18" s="178">
        <f t="shared" ca="1" si="61"/>
        <v>0</v>
      </c>
      <c r="GB18" s="133">
        <f t="shared" ca="1" si="62"/>
        <v>0</v>
      </c>
      <c r="GC18" s="21">
        <f t="shared" ca="1" si="63"/>
        <v>0</v>
      </c>
      <c r="GD18" s="21">
        <f t="shared" ca="1" si="64"/>
        <v>0</v>
      </c>
      <c r="GE18" s="21">
        <f t="shared" ca="1" si="65"/>
        <v>0</v>
      </c>
      <c r="GF18" s="21">
        <f t="shared" ca="1" si="66"/>
        <v>0</v>
      </c>
      <c r="GG18" s="21">
        <f t="shared" ca="1" si="67"/>
        <v>0</v>
      </c>
      <c r="GH18" s="150">
        <f t="shared" ca="1" si="68"/>
        <v>0</v>
      </c>
      <c r="GJ18" s="133">
        <f t="shared" ca="1" si="69"/>
        <v>0</v>
      </c>
      <c r="GK18" s="21">
        <f t="shared" ca="1" si="70"/>
        <v>0</v>
      </c>
      <c r="GL18" s="21">
        <f t="shared" ca="1" si="71"/>
        <v>0</v>
      </c>
      <c r="GM18" s="21">
        <f t="shared" ca="1" si="72"/>
        <v>0</v>
      </c>
      <c r="GN18" s="21">
        <f t="shared" ca="1" si="73"/>
        <v>0</v>
      </c>
      <c r="GO18" s="21">
        <f t="shared" ca="1" si="74"/>
        <v>0</v>
      </c>
      <c r="GP18" s="192">
        <f t="shared" ca="1" si="75"/>
        <v>0</v>
      </c>
      <c r="GR18" s="133"/>
      <c r="GS18" s="21"/>
      <c r="GT18" s="21"/>
      <c r="GU18" s="21"/>
      <c r="GV18" s="21"/>
      <c r="GW18" s="21"/>
      <c r="GX18" s="1102">
        <f t="shared" si="76"/>
        <v>0</v>
      </c>
      <c r="GZ18" s="575">
        <f t="shared" ca="1" si="77"/>
        <v>0</v>
      </c>
      <c r="HA18" s="5">
        <f t="shared" ca="1" si="78"/>
        <v>0</v>
      </c>
      <c r="HB18" s="5">
        <f t="shared" ca="1" si="79"/>
        <v>0</v>
      </c>
      <c r="HC18" s="5">
        <f t="shared" ca="1" si="80"/>
        <v>0</v>
      </c>
      <c r="HD18" s="5">
        <f t="shared" ca="1" si="81"/>
        <v>0</v>
      </c>
      <c r="HE18" s="5">
        <f t="shared" ca="1" si="82"/>
        <v>0</v>
      </c>
      <c r="HF18" s="2175">
        <f t="shared" ca="1" si="83"/>
        <v>0</v>
      </c>
      <c r="HG18" s="573">
        <f t="shared" ca="1" si="84"/>
        <v>0</v>
      </c>
      <c r="HH18" s="1"/>
    </row>
    <row r="19" spans="1:216" ht="15" hidden="1" customHeight="1" x14ac:dyDescent="0.25">
      <c r="A19" s="403"/>
      <c r="B19" s="3215"/>
      <c r="C19" s="2140">
        <f ca="1">'Calc - SENIOR PERS'!$B$76</f>
        <v>0</v>
      </c>
      <c r="D19" s="21">
        <f ca="1">'Calc - SENIOR PERS'!$O$81</f>
        <v>0</v>
      </c>
      <c r="E19" s="5">
        <f ca="1">'Calc - SENIOR PERS'!$O$82</f>
        <v>0</v>
      </c>
      <c r="F19" s="5">
        <f ca="1">'Calc - SENIOR PERS'!$O$83</f>
        <v>0</v>
      </c>
      <c r="G19" s="5">
        <f ca="1">'Calc - SENIOR PERS'!$O$84</f>
        <v>0</v>
      </c>
      <c r="H19" s="5">
        <f ca="1">'Calc - SENIOR PERS'!$O$85</f>
        <v>0</v>
      </c>
      <c r="I19" s="5">
        <f ca="1">'Calc - SENIOR PERS'!$O$86</f>
        <v>0</v>
      </c>
      <c r="J19" s="88">
        <f t="shared" ca="1" si="6"/>
        <v>0</v>
      </c>
      <c r="K19" s="9" t="str">
        <f ca="1">IF(J19&lt;&gt;'Calc - SENIOR PERS'!$O$87,"ERROR","")</f>
        <v/>
      </c>
      <c r="L19" s="4"/>
      <c r="M19" s="4"/>
      <c r="N19" s="133">
        <f ca="1">IF(AND((OFFSET('DATA INPUT'!$C$11, ROW()-ROW($N$14),0)=$N$10),
 OR(OFFSET('DATA INPUT'!$H$11,ROW()-ROW($N$14),0)=3,
OFFSET('DATA INPUT'!$V$11, ROW()-ROW($N$14),0)=3,
OFFSET('DATA INPUT'!$AD$11, ROW()-ROW($N$14),0)=3)),
OFFSET('Calc - SENIOR PERS'!$Y$11,COLUMN()-COLUMN($N$14) + (ROW()-ROW($N$14))*14,0),0)</f>
        <v>0</v>
      </c>
      <c r="O19" s="5">
        <f ca="1">IF(AND((OFFSET('DATA INPUT'!$C$11, ROW()-ROW($N$14),0)=$N$10),
 OR(OFFSET('DATA INPUT'!$H$11,ROW()-ROW($N$14),0)=3,
OFFSET('DATA INPUT'!$V$11, ROW()-ROW($N$14),0)=3,
OFFSET('DATA INPUT'!$AD$11, ROW()-ROW($N$14),0)=3)),
OFFSET('Calc - SENIOR PERS'!$Y$11,COLUMN()-COLUMN($N$14) + (ROW()-ROW($N$14))*14,0),0)</f>
        <v>0</v>
      </c>
      <c r="P19" s="5">
        <f ca="1">IF(AND((OFFSET('DATA INPUT'!$C$11, ROW()-ROW($N$14),0)=$N$10),
 OR(OFFSET('DATA INPUT'!$H$11,ROW()-ROW($N$14),0)=3,
OFFSET('DATA INPUT'!$V$11, ROW()-ROW($N$14),0)=3,
OFFSET('DATA INPUT'!$AD$11, ROW()-ROW($N$14),0)=3)),
OFFSET('Calc - SENIOR PERS'!$Y$11,COLUMN()-COLUMN($N$14) + (ROW()-ROW($N$14))*14,0),0)</f>
        <v>0</v>
      </c>
      <c r="Q19" s="5">
        <f ca="1">IF(AND((OFFSET('DATA INPUT'!$C$11, ROW()-ROW($N$14),0)=$N$10),
 OR(OFFSET('DATA INPUT'!$H$11,ROW()-ROW($N$14),0)=3,
OFFSET('DATA INPUT'!$V$11, ROW()-ROW($N$14),0)=3,
OFFSET('DATA INPUT'!$AD$11, ROW()-ROW($N$14),0)=3)),
OFFSET('Calc - SENIOR PERS'!$Y$11,COLUMN()-COLUMN($N$14) + (ROW()-ROW($N$14))*14,0),0)</f>
        <v>0</v>
      </c>
      <c r="R19" s="5">
        <f ca="1">IF(AND((OFFSET('DATA INPUT'!$C$11, ROW()-ROW($N$14),0)=$N$10),
 OR(OFFSET('DATA INPUT'!$H$11,ROW()-ROW($N$14),0)=3,
OFFSET('DATA INPUT'!$V$11, ROW()-ROW($N$14),0)=3,
OFFSET('DATA INPUT'!$AD$11, ROW()-ROW($N$14),0)=3)),
OFFSET('Calc - SENIOR PERS'!$Y$11,COLUMN()-COLUMN($N$14) + (ROW()-ROW($N$14))*14,0),0)</f>
        <v>0</v>
      </c>
      <c r="S19" s="5">
        <f ca="1">IF(AND((OFFSET('DATA INPUT'!$C$11, ROW()-ROW($N$14),0)=$N$10),
 OR(OFFSET('DATA INPUT'!$H$11,ROW()-ROW($N$14),0)=3,
OFFSET('DATA INPUT'!$V$11, ROW()-ROW($N$14),0)=3,
OFFSET('DATA INPUT'!$AD$11, ROW()-ROW($N$14),0)=3)),
OFFSET('Calc - SENIOR PERS'!$Y$11,COLUMN()-COLUMN($N$14) + (ROW()-ROW($N$14))*14,0),0)</f>
        <v>0</v>
      </c>
      <c r="T19" s="164">
        <f t="shared" ca="1" si="7"/>
        <v>0</v>
      </c>
      <c r="V19" s="133">
        <f ca="1">IF(AND((OFFSET('DATA INPUT'!$C$11, ROW()-ROW($V$14),0)=$V$10),
 OR(OFFSET('DATA INPUT'!$H$11,ROW()-ROW($V$14),0)=3,
OFFSET('DATA INPUT'!$V$11, ROW()-ROW($V$14),0)=3,
OFFSET('DATA INPUT'!$AD$11, ROW()-ROW($V$14),0)=3)),
OFFSET('Calc - SENIOR PERS'!$Y$11,COLUMN()-COLUMN($V$14) + (ROW()-ROW($V$14))*14,0),0)</f>
        <v>0</v>
      </c>
      <c r="W19" s="5">
        <f ca="1">IF(AND((OFFSET('DATA INPUT'!$C$11, ROW()-ROW($V$14),0)=$V$10),
 OR(OFFSET('DATA INPUT'!$H$11,ROW()-ROW($V$14),0)=3,
OFFSET('DATA INPUT'!$V$11, ROW()-ROW($V$14),0)=3,
OFFSET('DATA INPUT'!$AD$11, ROW()-ROW($V$14),0)=3)),
OFFSET('Calc - SENIOR PERS'!$Y$11,COLUMN()-COLUMN($V$14) + (ROW()-ROW($V$14))*14,0),0)</f>
        <v>0</v>
      </c>
      <c r="X19" s="5">
        <f ca="1">IF(AND((OFFSET('DATA INPUT'!$C$11, ROW()-ROW($V$14),0)=$V$10),
 OR(OFFSET('DATA INPUT'!$H$11,ROW()-ROW($V$14),0)=3,
OFFSET('DATA INPUT'!$V$11, ROW()-ROW($V$14),0)=3,
OFFSET('DATA INPUT'!$AD$11, ROW()-ROW($V$14),0)=3)),
OFFSET('Calc - SENIOR PERS'!$Y$11,COLUMN()-COLUMN($V$14) + (ROW()-ROW($V$14))*14,0),0)</f>
        <v>0</v>
      </c>
      <c r="Y19" s="5">
        <f ca="1">IF(AND((OFFSET('DATA INPUT'!$C$11, ROW()-ROW($V$14),0)=$V$10),
 OR(OFFSET('DATA INPUT'!$H$11,ROW()-ROW($V$14),0)=3,
OFFSET('DATA INPUT'!$V$11, ROW()-ROW($V$14),0)=3,
OFFSET('DATA INPUT'!$AD$11, ROW()-ROW($V$14),0)=3)),
OFFSET('Calc - SENIOR PERS'!$Y$11,COLUMN()-COLUMN($V$14) + (ROW()-ROW($V$14))*14,0),0)</f>
        <v>0</v>
      </c>
      <c r="Z19" s="5">
        <f ca="1">IF(AND((OFFSET('DATA INPUT'!$C$11, ROW()-ROW($V$14),0)=$V$10),
 OR(OFFSET('DATA INPUT'!$H$11,ROW()-ROW($V$14),0)=3,
OFFSET('DATA INPUT'!$V$11, ROW()-ROW($V$14),0)=3,
OFFSET('DATA INPUT'!$AD$11, ROW()-ROW($V$14),0)=3)),
OFFSET('Calc - SENIOR PERS'!$Y$11,COLUMN()-COLUMN($V$14) + (ROW()-ROW($V$14))*14,0),0)</f>
        <v>0</v>
      </c>
      <c r="AA19" s="5">
        <f ca="1">IF(AND((OFFSET('DATA INPUT'!$C$11, ROW()-ROW($V$14),0)=$V$10),
 OR(OFFSET('DATA INPUT'!$H$11,ROW()-ROW($V$14),0)=3,
OFFSET('DATA INPUT'!$V$11, ROW()-ROW($V$14),0)=3,
OFFSET('DATA INPUT'!$AD$11, ROW()-ROW($V$14),0)=3)),
OFFSET('Calc - SENIOR PERS'!$Y$11,COLUMN()-COLUMN($V$14) + (ROW()-ROW($V$14))*14,0),0)</f>
        <v>0</v>
      </c>
      <c r="AB19" s="138">
        <f t="shared" ca="1" si="8"/>
        <v>0</v>
      </c>
      <c r="AD19" s="133">
        <f ca="1">IF(AND((OFFSET('DATA INPUT'!$C$11, ROW()-ROW($AD$14),0)=$AD$10),
 OR(OFFSET('DATA INPUT'!$H$11,ROW()-ROW($AD$14),0)=3,
OFFSET('DATA INPUT'!$V$11, ROW()-ROW($AD$14),0)=3,
OFFSET('DATA INPUT'!$AD$11, ROW()-ROW($AD$14),0)=3)),
OFFSET('Calc - SENIOR PERS'!$Y$11,COLUMN()-COLUMN($AD$14) + (ROW()-ROW($AD$14))*14,0),0)</f>
        <v>0</v>
      </c>
      <c r="AE19" s="5">
        <f ca="1">IF(AND((OFFSET('DATA INPUT'!$C$11, ROW()-ROW($AD$14),0)=$AD$10),
 OR(OFFSET('DATA INPUT'!$H$11,ROW()-ROW($AD$14),0)=3,
OFFSET('DATA INPUT'!$V$11, ROW()-ROW($AD$14),0)=3,
OFFSET('DATA INPUT'!$AD$11, ROW()-ROW($AD$14),0)=3)),
OFFSET('Calc - SENIOR PERS'!$Y$11,COLUMN()-COLUMN($AD$14) + (ROW()-ROW($AD$14))*14,0),0)</f>
        <v>0</v>
      </c>
      <c r="AF19" s="5">
        <f ca="1">IF(AND((OFFSET('DATA INPUT'!$C$11, ROW()-ROW($AD$14),0)=$AD$10),
 OR(OFFSET('DATA INPUT'!$H$11,ROW()-ROW($AD$14),0)=3,
OFFSET('DATA INPUT'!$V$11, ROW()-ROW($AD$14),0)=3,
OFFSET('DATA INPUT'!$AD$11, ROW()-ROW($AD$14),0)=3)),
OFFSET('Calc - SENIOR PERS'!$Y$11,COLUMN()-COLUMN($AD$14) + (ROW()-ROW($AD$14))*14,0),0)</f>
        <v>0</v>
      </c>
      <c r="AG19" s="5">
        <f ca="1">IF(AND((OFFSET('DATA INPUT'!$C$11, ROW()-ROW($AD$14),0)=$AD$10),
 OR(OFFSET('DATA INPUT'!$H$11,ROW()-ROW($AD$14),0)=3,
OFFSET('DATA INPUT'!$V$11, ROW()-ROW($AD$14),0)=3,
OFFSET('DATA INPUT'!$AD$11, ROW()-ROW($AD$14),0)=3)),
OFFSET('Calc - SENIOR PERS'!$Y$11,COLUMN()-COLUMN($AD$14) + (ROW()-ROW($AD$14))*14,0),0)</f>
        <v>0</v>
      </c>
      <c r="AH19" s="5">
        <f ca="1">IF(AND((OFFSET('DATA INPUT'!$C$11, ROW()-ROW($AD$14),0)=$AD$10),
 OR(OFFSET('DATA INPUT'!$H$11,ROW()-ROW($AD$14),0)=3,
OFFSET('DATA INPUT'!$V$11, ROW()-ROW($AD$14),0)=3,
OFFSET('DATA INPUT'!$AD$11, ROW()-ROW($AD$14),0)=3)),
OFFSET('Calc - SENIOR PERS'!$Y$11,COLUMN()-COLUMN($AD$14) + (ROW()-ROW($AD$14))*14,0),0)</f>
        <v>0</v>
      </c>
      <c r="AI19" s="5">
        <f ca="1">IF(AND((OFFSET('DATA INPUT'!$C$11, ROW()-ROW($AD$14),0)=$AD$10),
 OR(OFFSET('DATA INPUT'!$H$11,ROW()-ROW($AD$14),0)=3,
OFFSET('DATA INPUT'!$V$11, ROW()-ROW($AD$14),0)=3,
OFFSET('DATA INPUT'!$AD$11, ROW()-ROW($AD$14),0)=3)),
OFFSET('Calc - SENIOR PERS'!$Y$11,COLUMN()-COLUMN($AD$14) + (ROW()-ROW($AD$14))*14,0),0)</f>
        <v>0</v>
      </c>
      <c r="AJ19" s="206">
        <f t="shared" ca="1" si="9"/>
        <v>0</v>
      </c>
      <c r="AL19" s="133">
        <f ca="1">IF(AND((OFFSET('DATA INPUT'!$C$11, ROW()-ROW($AL$14),0)=$AL$10),
 OR(OFFSET('DATA INPUT'!$H$11,ROW()-ROW($AL$14),0)=3,
OFFSET('DATA INPUT'!$V$11, ROW()-ROW($AL$14),0)=3,
OFFSET('DATA INPUT'!$AD$11, ROW()-ROW($AL$14),0)=3)),
OFFSET('Calc - SENIOR PERS'!$Y$11,COLUMN()-COLUMN($AL$14) + (ROW()-ROW($AL$14))*14,0),0)</f>
        <v>0</v>
      </c>
      <c r="AM19" s="5">
        <f ca="1">IF(AND((OFFSET('DATA INPUT'!$C$11, ROW()-ROW($AL$14),0)=$AL$10),
 OR(OFFSET('DATA INPUT'!$H$11,ROW()-ROW($AL$14),0)=3,
OFFSET('DATA INPUT'!$V$11, ROW()-ROW($AL$14),0)=3,
OFFSET('DATA INPUT'!$AD$11, ROW()-ROW($AL$14),0)=3)),
OFFSET('Calc - SENIOR PERS'!$Y$11,COLUMN()-COLUMN($AL$14) + (ROW()-ROW($AL$14))*14,0),0)</f>
        <v>0</v>
      </c>
      <c r="AN19" s="5">
        <f ca="1">IF(AND((OFFSET('DATA INPUT'!$C$11, ROW()-ROW($AL$14),0)=$AL$10),
 OR(OFFSET('DATA INPUT'!$H$11,ROW()-ROW($AL$14),0)=3,
OFFSET('DATA INPUT'!$V$11, ROW()-ROW($AL$14),0)=3,
OFFSET('DATA INPUT'!$AD$11, ROW()-ROW($AL$14),0)=3)),
OFFSET('Calc - SENIOR PERS'!$Y$11,COLUMN()-COLUMN($AL$14) + (ROW()-ROW($AL$14))*14,0),0)</f>
        <v>0</v>
      </c>
      <c r="AO19" s="5">
        <f ca="1">IF(AND((OFFSET('DATA INPUT'!$C$11, ROW()-ROW($AL$14),0)=$AL$10),
 OR(OFFSET('DATA INPUT'!$H$11,ROW()-ROW($AL$14),0)=3,
OFFSET('DATA INPUT'!$V$11, ROW()-ROW($AL$14),0)=3,
OFFSET('DATA INPUT'!$AD$11, ROW()-ROW($AL$14),0)=3)),
OFFSET('Calc - SENIOR PERS'!$Y$11,COLUMN()-COLUMN($AL$14) + (ROW()-ROW($AL$14))*14,0),0)</f>
        <v>0</v>
      </c>
      <c r="AP19" s="5">
        <f ca="1">IF(AND((OFFSET('DATA INPUT'!$C$11, ROW()-ROW($AL$14),0)=$AL$10),
 OR(OFFSET('DATA INPUT'!$H$11,ROW()-ROW($AL$14),0)=3,
OFFSET('DATA INPUT'!$V$11, ROW()-ROW($AL$14),0)=3,
OFFSET('DATA INPUT'!$AD$11, ROW()-ROW($AL$14),0)=3)),
OFFSET('Calc - SENIOR PERS'!$Y$11,COLUMN()-COLUMN($AL$14) + (ROW()-ROW($AL$14))*14,0),0)</f>
        <v>0</v>
      </c>
      <c r="AQ19" s="5">
        <f ca="1">IF(AND((OFFSET('DATA INPUT'!$C$11, ROW()-ROW($AL$14),0)=$AL$10),
 OR(OFFSET('DATA INPUT'!$H$11,ROW()-ROW($AL$14),0)=3,
OFFSET('DATA INPUT'!$V$11, ROW()-ROW($AL$14),0)=3,
OFFSET('DATA INPUT'!$AD$11, ROW()-ROW($AL$14),0)=3)),
OFFSET('Calc - SENIOR PERS'!$Y$11,COLUMN()-COLUMN($AL$14) + (ROW()-ROW($AL$14))*14,0),0)</f>
        <v>0</v>
      </c>
      <c r="AR19" s="178">
        <f t="shared" ca="1" si="10"/>
        <v>0</v>
      </c>
      <c r="AT19" s="133">
        <f ca="1">IF(AND((OFFSET('DATA INPUT'!$C$11, ROW()-ROW($AT$14),0)=$AT$10),
 OR(OFFSET('DATA INPUT'!$H$11,ROW()-ROW($AT$14),0)=3,
OFFSET('DATA INPUT'!$V$11, ROW()-ROW($AT$14),0)=3,
OFFSET('DATA INPUT'!$AD$11, ROW()-ROW($AT$14),0)=3)),
OFFSET('Calc - SENIOR PERS'!$Y$11,COLUMN()-COLUMN($AT$14) + (ROW()-ROW($AT$14))*14,0),0)</f>
        <v>0</v>
      </c>
      <c r="AU19" s="5">
        <f ca="1">IF(AND((OFFSET('DATA INPUT'!$C$11, ROW()-ROW($AT$14),0)=$AT$10),
 OR(OFFSET('DATA INPUT'!$H$11,ROW()-ROW($AT$14),0)=3,
OFFSET('DATA INPUT'!$V$11, ROW()-ROW($AT$14),0)=3,
OFFSET('DATA INPUT'!$AD$11, ROW()-ROW($AT$14),0)=3)),
OFFSET('Calc - SENIOR PERS'!$Y$11,COLUMN()-COLUMN($AT$14) + (ROW()-ROW($AT$14))*14,0),0)</f>
        <v>0</v>
      </c>
      <c r="AV19" s="5">
        <f ca="1">IF(AND((OFFSET('DATA INPUT'!$C$11, ROW()-ROW($AT$14),0)=$AT$10),
 OR(OFFSET('DATA INPUT'!$H$11,ROW()-ROW($AT$14),0)=3,
OFFSET('DATA INPUT'!$V$11, ROW()-ROW($AT$14),0)=3,
OFFSET('DATA INPUT'!$AD$11, ROW()-ROW($AT$14),0)=3)),
OFFSET('Calc - SENIOR PERS'!$Y$11,COLUMN()-COLUMN($AT$14) + (ROW()-ROW($AT$14))*14,0),0)</f>
        <v>0</v>
      </c>
      <c r="AW19" s="5">
        <f ca="1">IF(AND((OFFSET('DATA INPUT'!$C$11, ROW()-ROW($AT$14),0)=$AT$10),
 OR(OFFSET('DATA INPUT'!$H$11,ROW()-ROW($AT$14),0)=3,
OFFSET('DATA INPUT'!$V$11, ROW()-ROW($AT$14),0)=3,
OFFSET('DATA INPUT'!$AD$11, ROW()-ROW($AT$14),0)=3)),
OFFSET('Calc - SENIOR PERS'!$Y$11,COLUMN()-COLUMN($AT$14) + (ROW()-ROW($AT$14))*14,0),0)</f>
        <v>0</v>
      </c>
      <c r="AX19" s="5">
        <f ca="1">IF(AND((OFFSET('DATA INPUT'!$C$11, ROW()-ROW($AT$14),0)=$AT$10),
 OR(OFFSET('DATA INPUT'!$H$11,ROW()-ROW($AT$14),0)=3,
OFFSET('DATA INPUT'!$V$11, ROW()-ROW($AT$14),0)=3,
OFFSET('DATA INPUT'!$AD$11, ROW()-ROW($AT$14),0)=3)),
OFFSET('Calc - SENIOR PERS'!$Y$11,COLUMN()-COLUMN($AT$14) + (ROW()-ROW($AT$14))*14,0),0)</f>
        <v>0</v>
      </c>
      <c r="AY19" s="5">
        <f ca="1">IF(AND((OFFSET('DATA INPUT'!$C$11, ROW()-ROW($AT$14),0)=$AT$10),
 OR(OFFSET('DATA INPUT'!$H$11,ROW()-ROW($AT$14),0)=3,
OFFSET('DATA INPUT'!$V$11, ROW()-ROW($AT$14),0)=3,
OFFSET('DATA INPUT'!$AD$11, ROW()-ROW($AT$14),0)=3)),
OFFSET('Calc - SENIOR PERS'!$Y$11,COLUMN()-COLUMN($AT$14) + (ROW()-ROW($AT$14))*14,0),0)</f>
        <v>0</v>
      </c>
      <c r="AZ19" s="150">
        <f t="shared" ca="1" si="11"/>
        <v>0</v>
      </c>
      <c r="BB19" s="133">
        <f ca="1">IF(AND((OFFSET('DATA INPUT'!$C$11, ROW()-ROW($BB$14),0)=$BB$10),
 OR(OFFSET('DATA INPUT'!$H$11,ROW()-ROW($BB$14),0)=3,
OFFSET('DATA INPUT'!$V$11, ROW()-ROW($BB$14),0)=3,
OFFSET('DATA INPUT'!$AD$11, ROW()-ROW($BB$14),0)=3)),
OFFSET('Calc - SENIOR PERS'!$Y$11,COLUMN()-COLUMN($BB$14) + (ROW()-ROW($BB$14))*14,0),0)</f>
        <v>0</v>
      </c>
      <c r="BC19" s="5">
        <f ca="1">IF(AND((OFFSET('DATA INPUT'!$C$11, ROW()-ROW($BB$14),0)=$BB$10),
 OR(OFFSET('DATA INPUT'!$H$11,ROW()-ROW($BB$14),0)=3,
OFFSET('DATA INPUT'!$V$11, ROW()-ROW($BB$14),0)=3,
OFFSET('DATA INPUT'!$AD$11, ROW()-ROW($BB$14),0)=3)),
OFFSET('Calc - SENIOR PERS'!$Y$11,COLUMN()-COLUMN($BB$14) + (ROW()-ROW($BB$14))*14,0),0)</f>
        <v>0</v>
      </c>
      <c r="BD19" s="5">
        <f ca="1">IF(AND((OFFSET('DATA INPUT'!$C$11, ROW()-ROW($BB$14),0)=$BB$10),
 OR(OFFSET('DATA INPUT'!$H$11,ROW()-ROW($BB$14),0)=3,
OFFSET('DATA INPUT'!$V$11, ROW()-ROW($BB$14),0)=3,
OFFSET('DATA INPUT'!$AD$11, ROW()-ROW($BB$14),0)=3)),
OFFSET('Calc - SENIOR PERS'!$Y$11,COLUMN()-COLUMN($BB$14) + (ROW()-ROW($BB$14))*14,0),0)</f>
        <v>0</v>
      </c>
      <c r="BE19" s="5">
        <f ca="1">IF(AND((OFFSET('DATA INPUT'!$C$11, ROW()-ROW($BB$14),0)=$BB$10),
 OR(OFFSET('DATA INPUT'!$H$11,ROW()-ROW($BB$14),0)=3,
OFFSET('DATA INPUT'!$V$11, ROW()-ROW($BB$14),0)=3,
OFFSET('DATA INPUT'!$AD$11, ROW()-ROW($BB$14),0)=3)),
OFFSET('Calc - SENIOR PERS'!$Y$11,COLUMN()-COLUMN($BB$14) + (ROW()-ROW($BB$14))*14,0),0)</f>
        <v>0</v>
      </c>
      <c r="BF19" s="5">
        <f ca="1">IF(AND((OFFSET('DATA INPUT'!$C$11, ROW()-ROW($BB$14),0)=$BB$10),
 OR(OFFSET('DATA INPUT'!$H$11,ROW()-ROW($BB$14),0)=3,
OFFSET('DATA INPUT'!$V$11, ROW()-ROW($BB$14),0)=3,
OFFSET('DATA INPUT'!$AD$11, ROW()-ROW($BB$14),0)=3)),
OFFSET('Calc - SENIOR PERS'!$Y$11,COLUMN()-COLUMN($BB$14) + (ROW()-ROW($BB$14))*14,0),0)</f>
        <v>0</v>
      </c>
      <c r="BG19" s="5">
        <f ca="1">IF(AND((OFFSET('DATA INPUT'!$C$11, ROW()-ROW($BB$14),0)=$BB$10),
 OR(OFFSET('DATA INPUT'!$H$11,ROW()-ROW($BB$14),0)=3,
OFFSET('DATA INPUT'!$V$11, ROW()-ROW($BB$14),0)=3,
OFFSET('DATA INPUT'!$AD$11, ROW()-ROW($BB$14),0)=3)),
OFFSET('Calc - SENIOR PERS'!$Y$11,COLUMN()-COLUMN($BB$14) + (ROW()-ROW($BB$14))*14,0),0)</f>
        <v>0</v>
      </c>
      <c r="BH19" s="192">
        <f t="shared" ca="1" si="12"/>
        <v>0</v>
      </c>
      <c r="BJ19" s="133"/>
      <c r="BK19" s="5"/>
      <c r="BL19" s="5"/>
      <c r="BM19" s="5"/>
      <c r="BN19" s="5"/>
      <c r="BO19" s="5"/>
      <c r="BP19" s="1102">
        <f t="shared" si="13"/>
        <v>0</v>
      </c>
      <c r="BR19" s="575">
        <f t="shared" ca="1" si="14"/>
        <v>0</v>
      </c>
      <c r="BS19" s="5">
        <f t="shared" ca="1" si="15"/>
        <v>0</v>
      </c>
      <c r="BT19" s="5">
        <f t="shared" ca="1" si="16"/>
        <v>0</v>
      </c>
      <c r="BU19" s="5">
        <f t="shared" ca="1" si="17"/>
        <v>0</v>
      </c>
      <c r="BV19" s="5">
        <f t="shared" ca="1" si="18"/>
        <v>0</v>
      </c>
      <c r="BW19" s="5">
        <f t="shared" ca="1" si="19"/>
        <v>0</v>
      </c>
      <c r="BX19" s="2175">
        <f t="shared" ca="1" si="20"/>
        <v>0</v>
      </c>
      <c r="BY19" s="573">
        <f t="shared" ca="1" si="21"/>
        <v>0</v>
      </c>
      <c r="BZ19" s="1"/>
      <c r="CB19" s="1182"/>
      <c r="CC19" s="1197">
        <f ca="1">'Calc - SENIOR PERS'!$O$82/9*3</f>
        <v>0</v>
      </c>
      <c r="CD19" s="56">
        <f ca="1">'Calc - SENIOR PERS'!$O$82/9*3</f>
        <v>0</v>
      </c>
      <c r="CE19" s="56">
        <f ca="1">'Calc - SENIOR PERS'!$O$82/9*2</f>
        <v>0</v>
      </c>
      <c r="CF19" s="56">
        <f ca="1">'Calc - SENIOR PERS'!$O$82/9*0.5</f>
        <v>0</v>
      </c>
      <c r="CG19" s="1198">
        <f ca="1">'Calc - SENIOR PERS'!$O$82/9*0.5</f>
        <v>0</v>
      </c>
      <c r="CH19" s="1184">
        <f ca="1">'Calc - SENIOR PERS'!$O$83/9*3</f>
        <v>0</v>
      </c>
      <c r="CI19" s="1185">
        <f ca="1">'Calc - SENIOR PERS'!$O$83/9*3</f>
        <v>0</v>
      </c>
      <c r="CJ19" s="1185">
        <f ca="1">'Calc - SENIOR PERS'!$O$83/9*2</f>
        <v>0</v>
      </c>
      <c r="CK19" s="1185">
        <f ca="1">'Calc - SENIOR PERS'!$O$83/9*0.5</f>
        <v>0</v>
      </c>
      <c r="CL19" s="1186">
        <f ca="1">'Calc - SENIOR PERS'!$O$83/9*0.5</f>
        <v>0</v>
      </c>
      <c r="CM19" s="1187">
        <f ca="1">'Calc - SENIOR PERS'!$O$84/8*3</f>
        <v>0</v>
      </c>
      <c r="CN19" s="1188">
        <f ca="1">'Calc - SENIOR PERS'!$O$84/8*3</f>
        <v>0</v>
      </c>
      <c r="CO19" s="1189">
        <f ca="1">'Calc - SENIOR PERS'!$O$84/8*2</f>
        <v>0</v>
      </c>
      <c r="CP19" s="1179">
        <f t="shared" ca="1" si="22"/>
        <v>0</v>
      </c>
      <c r="CR19" s="310"/>
      <c r="CS19" s="575"/>
      <c r="CT19" s="5"/>
      <c r="CU19" s="1180"/>
      <c r="CV19" s="575"/>
      <c r="CW19" s="5"/>
      <c r="CX19" s="1180"/>
      <c r="CY19" s="575"/>
      <c r="CZ19" s="5"/>
      <c r="DA19" s="1180"/>
      <c r="DB19" s="575"/>
      <c r="DC19" s="5"/>
      <c r="DD19" s="1180"/>
      <c r="DE19" s="1181">
        <f t="shared" si="23"/>
        <v>0</v>
      </c>
      <c r="DG19" s="575"/>
      <c r="DH19" s="5"/>
      <c r="DI19" s="1180"/>
      <c r="DJ19" s="575"/>
      <c r="DK19" s="5"/>
      <c r="DL19" s="1180"/>
      <c r="DM19" s="575"/>
      <c r="DN19" s="5"/>
      <c r="DO19" s="1180"/>
      <c r="DP19" s="575"/>
      <c r="DQ19" s="5"/>
      <c r="DR19" s="1180"/>
      <c r="DS19" s="1181">
        <f t="shared" si="24"/>
        <v>0</v>
      </c>
      <c r="DU19" s="575"/>
      <c r="DV19" s="5"/>
      <c r="DW19" s="1180"/>
      <c r="DX19" s="575"/>
      <c r="DY19" s="5"/>
      <c r="DZ19" s="1180"/>
      <c r="EA19" s="575"/>
      <c r="EB19" s="5"/>
      <c r="EC19" s="1180"/>
      <c r="ED19" s="575"/>
      <c r="EE19" s="5"/>
      <c r="EF19" s="1180"/>
      <c r="EG19" s="1181">
        <f t="shared" si="25"/>
        <v>0</v>
      </c>
      <c r="EI19" s="403"/>
      <c r="EJ19" s="3215"/>
      <c r="EK19" s="2140">
        <f t="shared" ca="1" si="26"/>
        <v>0</v>
      </c>
      <c r="EL19" s="21">
        <f t="shared" ca="1" si="27"/>
        <v>0</v>
      </c>
      <c r="EM19" s="21">
        <f t="shared" ca="1" si="28"/>
        <v>0</v>
      </c>
      <c r="EN19" s="21">
        <f t="shared" ca="1" si="29"/>
        <v>0</v>
      </c>
      <c r="EO19" s="21">
        <f t="shared" ca="1" si="30"/>
        <v>0</v>
      </c>
      <c r="EP19" s="21">
        <f t="shared" ca="1" si="31"/>
        <v>0</v>
      </c>
      <c r="EQ19" s="21">
        <f t="shared" ca="1" si="32"/>
        <v>0</v>
      </c>
      <c r="ER19" s="88">
        <f t="shared" ca="1" si="33"/>
        <v>0</v>
      </c>
      <c r="ES19" s="9"/>
      <c r="ET19" s="4"/>
      <c r="EU19" s="4"/>
      <c r="EV19" s="133">
        <f t="shared" ca="1" si="34"/>
        <v>0</v>
      </c>
      <c r="EW19" s="5">
        <f t="shared" ca="1" si="35"/>
        <v>0</v>
      </c>
      <c r="EX19" s="5">
        <f t="shared" ca="1" si="36"/>
        <v>0</v>
      </c>
      <c r="EY19" s="5">
        <f t="shared" ca="1" si="37"/>
        <v>0</v>
      </c>
      <c r="EZ19" s="5">
        <f t="shared" ca="1" si="38"/>
        <v>0</v>
      </c>
      <c r="FA19" s="5">
        <f t="shared" ca="1" si="39"/>
        <v>0</v>
      </c>
      <c r="FB19" s="164">
        <f t="shared" ca="1" si="40"/>
        <v>0</v>
      </c>
      <c r="FD19" s="133">
        <f t="shared" ca="1" si="41"/>
        <v>0</v>
      </c>
      <c r="FE19" s="5">
        <f t="shared" ca="1" si="42"/>
        <v>0</v>
      </c>
      <c r="FF19" s="5">
        <f t="shared" ca="1" si="43"/>
        <v>0</v>
      </c>
      <c r="FG19" s="5">
        <f t="shared" ca="1" si="44"/>
        <v>0</v>
      </c>
      <c r="FH19" s="5">
        <f t="shared" ca="1" si="45"/>
        <v>0</v>
      </c>
      <c r="FI19" s="5">
        <f t="shared" ca="1" si="46"/>
        <v>0</v>
      </c>
      <c r="FJ19" s="138">
        <f t="shared" ca="1" si="47"/>
        <v>0</v>
      </c>
      <c r="FL19" s="133">
        <f t="shared" ca="1" si="48"/>
        <v>0</v>
      </c>
      <c r="FM19" s="5">
        <f t="shared" ca="1" si="49"/>
        <v>0</v>
      </c>
      <c r="FN19" s="5">
        <f t="shared" ca="1" si="50"/>
        <v>0</v>
      </c>
      <c r="FO19" s="5">
        <f t="shared" ca="1" si="51"/>
        <v>0</v>
      </c>
      <c r="FP19" s="5">
        <f t="shared" ca="1" si="52"/>
        <v>0</v>
      </c>
      <c r="FQ19" s="5">
        <f t="shared" ca="1" si="53"/>
        <v>0</v>
      </c>
      <c r="FR19" s="206">
        <f t="shared" ca="1" si="54"/>
        <v>0</v>
      </c>
      <c r="FT19" s="133">
        <f t="shared" ca="1" si="55"/>
        <v>0</v>
      </c>
      <c r="FU19" s="5">
        <f t="shared" ca="1" si="56"/>
        <v>0</v>
      </c>
      <c r="FV19" s="5">
        <f t="shared" ca="1" si="57"/>
        <v>0</v>
      </c>
      <c r="FW19" s="5">
        <f t="shared" ca="1" si="58"/>
        <v>0</v>
      </c>
      <c r="FX19" s="5">
        <f t="shared" ca="1" si="59"/>
        <v>0</v>
      </c>
      <c r="FY19" s="5">
        <f t="shared" ca="1" si="60"/>
        <v>0</v>
      </c>
      <c r="FZ19" s="178">
        <f t="shared" ca="1" si="61"/>
        <v>0</v>
      </c>
      <c r="GB19" s="133">
        <f t="shared" ca="1" si="62"/>
        <v>0</v>
      </c>
      <c r="GC19" s="5">
        <f t="shared" ca="1" si="63"/>
        <v>0</v>
      </c>
      <c r="GD19" s="5">
        <f t="shared" ca="1" si="64"/>
        <v>0</v>
      </c>
      <c r="GE19" s="5">
        <f t="shared" ca="1" si="65"/>
        <v>0</v>
      </c>
      <c r="GF19" s="5">
        <f t="shared" ca="1" si="66"/>
        <v>0</v>
      </c>
      <c r="GG19" s="5">
        <f t="shared" ca="1" si="67"/>
        <v>0</v>
      </c>
      <c r="GH19" s="150">
        <f t="shared" ca="1" si="68"/>
        <v>0</v>
      </c>
      <c r="GJ19" s="133">
        <f t="shared" ca="1" si="69"/>
        <v>0</v>
      </c>
      <c r="GK19" s="5">
        <f t="shared" ca="1" si="70"/>
        <v>0</v>
      </c>
      <c r="GL19" s="5">
        <f t="shared" ca="1" si="71"/>
        <v>0</v>
      </c>
      <c r="GM19" s="5">
        <f t="shared" ca="1" si="72"/>
        <v>0</v>
      </c>
      <c r="GN19" s="5">
        <f t="shared" ca="1" si="73"/>
        <v>0</v>
      </c>
      <c r="GO19" s="5">
        <f t="shared" ca="1" si="74"/>
        <v>0</v>
      </c>
      <c r="GP19" s="192">
        <f t="shared" ca="1" si="75"/>
        <v>0</v>
      </c>
      <c r="GR19" s="133"/>
      <c r="GS19" s="5"/>
      <c r="GT19" s="5"/>
      <c r="GU19" s="5"/>
      <c r="GV19" s="5"/>
      <c r="GW19" s="5"/>
      <c r="GX19" s="1102">
        <f t="shared" si="76"/>
        <v>0</v>
      </c>
      <c r="GZ19" s="575">
        <f t="shared" ca="1" si="77"/>
        <v>0</v>
      </c>
      <c r="HA19" s="5">
        <f t="shared" ca="1" si="78"/>
        <v>0</v>
      </c>
      <c r="HB19" s="5">
        <f t="shared" ca="1" si="79"/>
        <v>0</v>
      </c>
      <c r="HC19" s="5">
        <f t="shared" ca="1" si="80"/>
        <v>0</v>
      </c>
      <c r="HD19" s="5">
        <f t="shared" ca="1" si="81"/>
        <v>0</v>
      </c>
      <c r="HE19" s="5">
        <f t="shared" ca="1" si="82"/>
        <v>0</v>
      </c>
      <c r="HF19" s="2175">
        <f t="shared" ca="1" si="83"/>
        <v>0</v>
      </c>
      <c r="HG19" s="573">
        <f t="shared" ca="1" si="84"/>
        <v>0</v>
      </c>
      <c r="HH19" s="1"/>
    </row>
    <row r="20" spans="1:216" ht="15" hidden="1" customHeight="1" x14ac:dyDescent="0.25">
      <c r="A20" s="403"/>
      <c r="B20" s="3215"/>
      <c r="C20" s="2140">
        <f ca="1">'Calc - SENIOR PERS'!$B$90</f>
        <v>0</v>
      </c>
      <c r="D20" s="21">
        <f ca="1">'Calc - SENIOR PERS'!$O$95</f>
        <v>0</v>
      </c>
      <c r="E20" s="5">
        <f ca="1">'Calc - SENIOR PERS'!$O$96</f>
        <v>0</v>
      </c>
      <c r="F20" s="5">
        <f ca="1">'Calc - SENIOR PERS'!$O$97</f>
        <v>0</v>
      </c>
      <c r="G20" s="5">
        <f ca="1">'Calc - SENIOR PERS'!$O$98</f>
        <v>0</v>
      </c>
      <c r="H20" s="5">
        <f ca="1">'Calc - SENIOR PERS'!$O$99</f>
        <v>0</v>
      </c>
      <c r="I20" s="5">
        <f ca="1">'Calc - SENIOR PERS'!$O$100</f>
        <v>0</v>
      </c>
      <c r="J20" s="88">
        <f t="shared" ca="1" si="6"/>
        <v>0</v>
      </c>
      <c r="K20" s="9" t="str">
        <f ca="1">IF(J20&lt;&gt;'Calc - SENIOR PERS'!$O$101,"ERROR","")</f>
        <v/>
      </c>
      <c r="L20" s="4"/>
      <c r="M20" s="4"/>
      <c r="N20" s="133">
        <f ca="1">IF(AND((OFFSET('DATA INPUT'!$C$11, ROW()-ROW($N$14),0)=$N$10),
 OR(OFFSET('DATA INPUT'!$H$11,ROW()-ROW($N$14),0)=3,
OFFSET('DATA INPUT'!$V$11, ROW()-ROW($N$14),0)=3,
OFFSET('DATA INPUT'!$AD$11, ROW()-ROW($N$14),0)=3)),
OFFSET('Calc - SENIOR PERS'!$Y$11,COLUMN()-COLUMN($N$14) + (ROW()-ROW($N$14))*14,0),0)</f>
        <v>0</v>
      </c>
      <c r="O20" s="5">
        <f ca="1">IF(AND((OFFSET('DATA INPUT'!$C$11, ROW()-ROW($N$14),0)=$N$10),
 OR(OFFSET('DATA INPUT'!$H$11,ROW()-ROW($N$14),0)=3,
OFFSET('DATA INPUT'!$V$11, ROW()-ROW($N$14),0)=3,
OFFSET('DATA INPUT'!$AD$11, ROW()-ROW($N$14),0)=3)),
OFFSET('Calc - SENIOR PERS'!$Y$11,COLUMN()-COLUMN($N$14) + (ROW()-ROW($N$14))*14,0),0)</f>
        <v>0</v>
      </c>
      <c r="P20" s="5">
        <f ca="1">IF(AND((OFFSET('DATA INPUT'!$C$11, ROW()-ROW($N$14),0)=$N$10),
 OR(OFFSET('DATA INPUT'!$H$11,ROW()-ROW($N$14),0)=3,
OFFSET('DATA INPUT'!$V$11, ROW()-ROW($N$14),0)=3,
OFFSET('DATA INPUT'!$AD$11, ROW()-ROW($N$14),0)=3)),
OFFSET('Calc - SENIOR PERS'!$Y$11,COLUMN()-COLUMN($N$14) + (ROW()-ROW($N$14))*14,0),0)</f>
        <v>0</v>
      </c>
      <c r="Q20" s="5">
        <f ca="1">IF(AND((OFFSET('DATA INPUT'!$C$11, ROW()-ROW($N$14),0)=$N$10),
 OR(OFFSET('DATA INPUT'!$H$11,ROW()-ROW($N$14),0)=3,
OFFSET('DATA INPUT'!$V$11, ROW()-ROW($N$14),0)=3,
OFFSET('DATA INPUT'!$AD$11, ROW()-ROW($N$14),0)=3)),
OFFSET('Calc - SENIOR PERS'!$Y$11,COLUMN()-COLUMN($N$14) + (ROW()-ROW($N$14))*14,0),0)</f>
        <v>0</v>
      </c>
      <c r="R20" s="5">
        <f ca="1">IF(AND((OFFSET('DATA INPUT'!$C$11, ROW()-ROW($N$14),0)=$N$10),
 OR(OFFSET('DATA INPUT'!$H$11,ROW()-ROW($N$14),0)=3,
OFFSET('DATA INPUT'!$V$11, ROW()-ROW($N$14),0)=3,
OFFSET('DATA INPUT'!$AD$11, ROW()-ROW($N$14),0)=3)),
OFFSET('Calc - SENIOR PERS'!$Y$11,COLUMN()-COLUMN($N$14) + (ROW()-ROW($N$14))*14,0),0)</f>
        <v>0</v>
      </c>
      <c r="S20" s="5">
        <f ca="1">IF(AND((OFFSET('DATA INPUT'!$C$11, ROW()-ROW($N$14),0)=$N$10),
 OR(OFFSET('DATA INPUT'!$H$11,ROW()-ROW($N$14),0)=3,
OFFSET('DATA INPUT'!$V$11, ROW()-ROW($N$14),0)=3,
OFFSET('DATA INPUT'!$AD$11, ROW()-ROW($N$14),0)=3)),
OFFSET('Calc - SENIOR PERS'!$Y$11,COLUMN()-COLUMN($N$14) + (ROW()-ROW($N$14))*14,0),0)</f>
        <v>0</v>
      </c>
      <c r="T20" s="164">
        <f t="shared" ca="1" si="7"/>
        <v>0</v>
      </c>
      <c r="V20" s="133">
        <f ca="1">IF(AND((OFFSET('DATA INPUT'!$C$11, ROW()-ROW($V$14),0)=$V$10),
 OR(OFFSET('DATA INPUT'!$H$11,ROW()-ROW($V$14),0)=3,
OFFSET('DATA INPUT'!$V$11, ROW()-ROW($V$14),0)=3,
OFFSET('DATA INPUT'!$AD$11, ROW()-ROW($V$14),0)=3)),
OFFSET('Calc - SENIOR PERS'!$Y$11,COLUMN()-COLUMN($V$14) + (ROW()-ROW($V$14))*14,0),0)</f>
        <v>0</v>
      </c>
      <c r="W20" s="5">
        <f ca="1">IF(AND((OFFSET('DATA INPUT'!$C$11, ROW()-ROW($V$14),0)=$V$10),
 OR(OFFSET('DATA INPUT'!$H$11,ROW()-ROW($V$14),0)=3,
OFFSET('DATA INPUT'!$V$11, ROW()-ROW($V$14),0)=3,
OFFSET('DATA INPUT'!$AD$11, ROW()-ROW($V$14),0)=3)),
OFFSET('Calc - SENIOR PERS'!$Y$11,COLUMN()-COLUMN($V$14) + (ROW()-ROW($V$14))*14,0),0)</f>
        <v>0</v>
      </c>
      <c r="X20" s="5">
        <f ca="1">IF(AND((OFFSET('DATA INPUT'!$C$11, ROW()-ROW($V$14),0)=$V$10),
 OR(OFFSET('DATA INPUT'!$H$11,ROW()-ROW($V$14),0)=3,
OFFSET('DATA INPUT'!$V$11, ROW()-ROW($V$14),0)=3,
OFFSET('DATA INPUT'!$AD$11, ROW()-ROW($V$14),0)=3)),
OFFSET('Calc - SENIOR PERS'!$Y$11,COLUMN()-COLUMN($V$14) + (ROW()-ROW($V$14))*14,0),0)</f>
        <v>0</v>
      </c>
      <c r="Y20" s="5">
        <f ca="1">IF(AND((OFFSET('DATA INPUT'!$C$11, ROW()-ROW($V$14),0)=$V$10),
 OR(OFFSET('DATA INPUT'!$H$11,ROW()-ROW($V$14),0)=3,
OFFSET('DATA INPUT'!$V$11, ROW()-ROW($V$14),0)=3,
OFFSET('DATA INPUT'!$AD$11, ROW()-ROW($V$14),0)=3)),
OFFSET('Calc - SENIOR PERS'!$Y$11,COLUMN()-COLUMN($V$14) + (ROW()-ROW($V$14))*14,0),0)</f>
        <v>0</v>
      </c>
      <c r="Z20" s="5">
        <f ca="1">IF(AND((OFFSET('DATA INPUT'!$C$11, ROW()-ROW($V$14),0)=$V$10),
 OR(OFFSET('DATA INPUT'!$H$11,ROW()-ROW($V$14),0)=3,
OFFSET('DATA INPUT'!$V$11, ROW()-ROW($V$14),0)=3,
OFFSET('DATA INPUT'!$AD$11, ROW()-ROW($V$14),0)=3)),
OFFSET('Calc - SENIOR PERS'!$Y$11,COLUMN()-COLUMN($V$14) + (ROW()-ROW($V$14))*14,0),0)</f>
        <v>0</v>
      </c>
      <c r="AA20" s="5">
        <f ca="1">IF(AND((OFFSET('DATA INPUT'!$C$11, ROW()-ROW($V$14),0)=$V$10),
 OR(OFFSET('DATA INPUT'!$H$11,ROW()-ROW($V$14),0)=3,
OFFSET('DATA INPUT'!$V$11, ROW()-ROW($V$14),0)=3,
OFFSET('DATA INPUT'!$AD$11, ROW()-ROW($V$14),0)=3)),
OFFSET('Calc - SENIOR PERS'!$Y$11,COLUMN()-COLUMN($V$14) + (ROW()-ROW($V$14))*14,0),0)</f>
        <v>0</v>
      </c>
      <c r="AB20" s="138">
        <f t="shared" ca="1" si="8"/>
        <v>0</v>
      </c>
      <c r="AD20" s="133">
        <f ca="1">IF(AND((OFFSET('DATA INPUT'!$C$11, ROW()-ROW($AD$14),0)=$AD$10),
 OR(OFFSET('DATA INPUT'!$H$11,ROW()-ROW($AD$14),0)=3,
OFFSET('DATA INPUT'!$V$11, ROW()-ROW($AD$14),0)=3,
OFFSET('DATA INPUT'!$AD$11, ROW()-ROW($AD$14),0)=3)),
OFFSET('Calc - SENIOR PERS'!$Y$11,COLUMN()-COLUMN($AD$14) + (ROW()-ROW($AD$14))*14,0),0)</f>
        <v>0</v>
      </c>
      <c r="AE20" s="5">
        <f ca="1">IF(AND((OFFSET('DATA INPUT'!$C$11, ROW()-ROW($AD$14),0)=$AD$10),
 OR(OFFSET('DATA INPUT'!$H$11,ROW()-ROW($AD$14),0)=3,
OFFSET('DATA INPUT'!$V$11, ROW()-ROW($AD$14),0)=3,
OFFSET('DATA INPUT'!$AD$11, ROW()-ROW($AD$14),0)=3)),
OFFSET('Calc - SENIOR PERS'!$Y$11,COLUMN()-COLUMN($AD$14) + (ROW()-ROW($AD$14))*14,0),0)</f>
        <v>0</v>
      </c>
      <c r="AF20" s="5">
        <f ca="1">IF(AND((OFFSET('DATA INPUT'!$C$11, ROW()-ROW($AD$14),0)=$AD$10),
 OR(OFFSET('DATA INPUT'!$H$11,ROW()-ROW($AD$14),0)=3,
OFFSET('DATA INPUT'!$V$11, ROW()-ROW($AD$14),0)=3,
OFFSET('DATA INPUT'!$AD$11, ROW()-ROW($AD$14),0)=3)),
OFFSET('Calc - SENIOR PERS'!$Y$11,COLUMN()-COLUMN($AD$14) + (ROW()-ROW($AD$14))*14,0),0)</f>
        <v>0</v>
      </c>
      <c r="AG20" s="5">
        <f ca="1">IF(AND((OFFSET('DATA INPUT'!$C$11, ROW()-ROW($AD$14),0)=$AD$10),
 OR(OFFSET('DATA INPUT'!$H$11,ROW()-ROW($AD$14),0)=3,
OFFSET('DATA INPUT'!$V$11, ROW()-ROW($AD$14),0)=3,
OFFSET('DATA INPUT'!$AD$11, ROW()-ROW($AD$14),0)=3)),
OFFSET('Calc - SENIOR PERS'!$Y$11,COLUMN()-COLUMN($AD$14) + (ROW()-ROW($AD$14))*14,0),0)</f>
        <v>0</v>
      </c>
      <c r="AH20" s="5">
        <f ca="1">IF(AND((OFFSET('DATA INPUT'!$C$11, ROW()-ROW($AD$14),0)=$AD$10),
 OR(OFFSET('DATA INPUT'!$H$11,ROW()-ROW($AD$14),0)=3,
OFFSET('DATA INPUT'!$V$11, ROW()-ROW($AD$14),0)=3,
OFFSET('DATA INPUT'!$AD$11, ROW()-ROW($AD$14),0)=3)),
OFFSET('Calc - SENIOR PERS'!$Y$11,COLUMN()-COLUMN($AD$14) + (ROW()-ROW($AD$14))*14,0),0)</f>
        <v>0</v>
      </c>
      <c r="AI20" s="5">
        <f ca="1">IF(AND((OFFSET('DATA INPUT'!$C$11, ROW()-ROW($AD$14),0)=$AD$10),
 OR(OFFSET('DATA INPUT'!$H$11,ROW()-ROW($AD$14),0)=3,
OFFSET('DATA INPUT'!$V$11, ROW()-ROW($AD$14),0)=3,
OFFSET('DATA INPUT'!$AD$11, ROW()-ROW($AD$14),0)=3)),
OFFSET('Calc - SENIOR PERS'!$Y$11,COLUMN()-COLUMN($AD$14) + (ROW()-ROW($AD$14))*14,0),0)</f>
        <v>0</v>
      </c>
      <c r="AJ20" s="206">
        <f t="shared" ca="1" si="9"/>
        <v>0</v>
      </c>
      <c r="AL20" s="133">
        <f ca="1">IF(AND((OFFSET('DATA INPUT'!$C$11, ROW()-ROW($AL$14),0)=$AL$10),
 OR(OFFSET('DATA INPUT'!$H$11,ROW()-ROW($AL$14),0)=3,
OFFSET('DATA INPUT'!$V$11, ROW()-ROW($AL$14),0)=3,
OFFSET('DATA INPUT'!$AD$11, ROW()-ROW($AL$14),0)=3)),
OFFSET('Calc - SENIOR PERS'!$Y$11,COLUMN()-COLUMN($AL$14) + (ROW()-ROW($AL$14))*14,0),0)</f>
        <v>0</v>
      </c>
      <c r="AM20" s="5">
        <f ca="1">IF(AND((OFFSET('DATA INPUT'!$C$11, ROW()-ROW($AL$14),0)=$AL$10),
 OR(OFFSET('DATA INPUT'!$H$11,ROW()-ROW($AL$14),0)=3,
OFFSET('DATA INPUT'!$V$11, ROW()-ROW($AL$14),0)=3,
OFFSET('DATA INPUT'!$AD$11, ROW()-ROW($AL$14),0)=3)),
OFFSET('Calc - SENIOR PERS'!$Y$11,COLUMN()-COLUMN($AL$14) + (ROW()-ROW($AL$14))*14,0),0)</f>
        <v>0</v>
      </c>
      <c r="AN20" s="5">
        <f ca="1">IF(AND((OFFSET('DATA INPUT'!$C$11, ROW()-ROW($AL$14),0)=$AL$10),
 OR(OFFSET('DATA INPUT'!$H$11,ROW()-ROW($AL$14),0)=3,
OFFSET('DATA INPUT'!$V$11, ROW()-ROW($AL$14),0)=3,
OFFSET('DATA INPUT'!$AD$11, ROW()-ROW($AL$14),0)=3)),
OFFSET('Calc - SENIOR PERS'!$Y$11,COLUMN()-COLUMN($AL$14) + (ROW()-ROW($AL$14))*14,0),0)</f>
        <v>0</v>
      </c>
      <c r="AO20" s="5">
        <f ca="1">IF(AND((OFFSET('DATA INPUT'!$C$11, ROW()-ROW($AL$14),0)=$AL$10),
 OR(OFFSET('DATA INPUT'!$H$11,ROW()-ROW($AL$14),0)=3,
OFFSET('DATA INPUT'!$V$11, ROW()-ROW($AL$14),0)=3,
OFFSET('DATA INPUT'!$AD$11, ROW()-ROW($AL$14),0)=3)),
OFFSET('Calc - SENIOR PERS'!$Y$11,COLUMN()-COLUMN($AL$14) + (ROW()-ROW($AL$14))*14,0),0)</f>
        <v>0</v>
      </c>
      <c r="AP20" s="5">
        <f ca="1">IF(AND((OFFSET('DATA INPUT'!$C$11, ROW()-ROW($AL$14),0)=$AL$10),
 OR(OFFSET('DATA INPUT'!$H$11,ROW()-ROW($AL$14),0)=3,
OFFSET('DATA INPUT'!$V$11, ROW()-ROW($AL$14),0)=3,
OFFSET('DATA INPUT'!$AD$11, ROW()-ROW($AL$14),0)=3)),
OFFSET('Calc - SENIOR PERS'!$Y$11,COLUMN()-COLUMN($AL$14) + (ROW()-ROW($AL$14))*14,0),0)</f>
        <v>0</v>
      </c>
      <c r="AQ20" s="5">
        <f ca="1">IF(AND((OFFSET('DATA INPUT'!$C$11, ROW()-ROW($AL$14),0)=$AL$10),
 OR(OFFSET('DATA INPUT'!$H$11,ROW()-ROW($AL$14),0)=3,
OFFSET('DATA INPUT'!$V$11, ROW()-ROW($AL$14),0)=3,
OFFSET('DATA INPUT'!$AD$11, ROW()-ROW($AL$14),0)=3)),
OFFSET('Calc - SENIOR PERS'!$Y$11,COLUMN()-COLUMN($AL$14) + (ROW()-ROW($AL$14))*14,0),0)</f>
        <v>0</v>
      </c>
      <c r="AR20" s="178">
        <f t="shared" ca="1" si="10"/>
        <v>0</v>
      </c>
      <c r="AT20" s="133">
        <f ca="1">IF(AND((OFFSET('DATA INPUT'!$C$11, ROW()-ROW($AT$14),0)=$AT$10),
 OR(OFFSET('DATA INPUT'!$H$11,ROW()-ROW($AT$14),0)=3,
OFFSET('DATA INPUT'!$V$11, ROW()-ROW($AT$14),0)=3,
OFFSET('DATA INPUT'!$AD$11, ROW()-ROW($AT$14),0)=3)),
OFFSET('Calc - SENIOR PERS'!$Y$11,COLUMN()-COLUMN($AT$14) + (ROW()-ROW($AT$14))*14,0),0)</f>
        <v>0</v>
      </c>
      <c r="AU20" s="5">
        <f ca="1">IF(AND((OFFSET('DATA INPUT'!$C$11, ROW()-ROW($AT$14),0)=$AT$10),
 OR(OFFSET('DATA INPUT'!$H$11,ROW()-ROW($AT$14),0)=3,
OFFSET('DATA INPUT'!$V$11, ROW()-ROW($AT$14),0)=3,
OFFSET('DATA INPUT'!$AD$11, ROW()-ROW($AT$14),0)=3)),
OFFSET('Calc - SENIOR PERS'!$Y$11,COLUMN()-COLUMN($AT$14) + (ROW()-ROW($AT$14))*14,0),0)</f>
        <v>0</v>
      </c>
      <c r="AV20" s="5">
        <f ca="1">IF(AND((OFFSET('DATA INPUT'!$C$11, ROW()-ROW($AT$14),0)=$AT$10),
 OR(OFFSET('DATA INPUT'!$H$11,ROW()-ROW($AT$14),0)=3,
OFFSET('DATA INPUT'!$V$11, ROW()-ROW($AT$14),0)=3,
OFFSET('DATA INPUT'!$AD$11, ROW()-ROW($AT$14),0)=3)),
OFFSET('Calc - SENIOR PERS'!$Y$11,COLUMN()-COLUMN($AT$14) + (ROW()-ROW($AT$14))*14,0),0)</f>
        <v>0</v>
      </c>
      <c r="AW20" s="5">
        <f ca="1">IF(AND((OFFSET('DATA INPUT'!$C$11, ROW()-ROW($AT$14),0)=$AT$10),
 OR(OFFSET('DATA INPUT'!$H$11,ROW()-ROW($AT$14),0)=3,
OFFSET('DATA INPUT'!$V$11, ROW()-ROW($AT$14),0)=3,
OFFSET('DATA INPUT'!$AD$11, ROW()-ROW($AT$14),0)=3)),
OFFSET('Calc - SENIOR PERS'!$Y$11,COLUMN()-COLUMN($AT$14) + (ROW()-ROW($AT$14))*14,0),0)</f>
        <v>0</v>
      </c>
      <c r="AX20" s="5">
        <f ca="1">IF(AND((OFFSET('DATA INPUT'!$C$11, ROW()-ROW($AT$14),0)=$AT$10),
 OR(OFFSET('DATA INPUT'!$H$11,ROW()-ROW($AT$14),0)=3,
OFFSET('DATA INPUT'!$V$11, ROW()-ROW($AT$14),0)=3,
OFFSET('DATA INPUT'!$AD$11, ROW()-ROW($AT$14),0)=3)),
OFFSET('Calc - SENIOR PERS'!$Y$11,COLUMN()-COLUMN($AT$14) + (ROW()-ROW($AT$14))*14,0),0)</f>
        <v>0</v>
      </c>
      <c r="AY20" s="5">
        <f ca="1">IF(AND((OFFSET('DATA INPUT'!$C$11, ROW()-ROW($AT$14),0)=$AT$10),
 OR(OFFSET('DATA INPUT'!$H$11,ROW()-ROW($AT$14),0)=3,
OFFSET('DATA INPUT'!$V$11, ROW()-ROW($AT$14),0)=3,
OFFSET('DATA INPUT'!$AD$11, ROW()-ROW($AT$14),0)=3)),
OFFSET('Calc - SENIOR PERS'!$Y$11,COLUMN()-COLUMN($AT$14) + (ROW()-ROW($AT$14))*14,0),0)</f>
        <v>0</v>
      </c>
      <c r="AZ20" s="150">
        <f t="shared" ca="1" si="11"/>
        <v>0</v>
      </c>
      <c r="BB20" s="133">
        <f ca="1">IF(AND((OFFSET('DATA INPUT'!$C$11, ROW()-ROW($BB$14),0)=$BB$10),
 OR(OFFSET('DATA INPUT'!$H$11,ROW()-ROW($BB$14),0)=3,
OFFSET('DATA INPUT'!$V$11, ROW()-ROW($BB$14),0)=3,
OFFSET('DATA INPUT'!$AD$11, ROW()-ROW($BB$14),0)=3)),
OFFSET('Calc - SENIOR PERS'!$Y$11,COLUMN()-COLUMN($BB$14) + (ROW()-ROW($BB$14))*14,0),0)</f>
        <v>0</v>
      </c>
      <c r="BC20" s="5">
        <f ca="1">IF(AND((OFFSET('DATA INPUT'!$C$11, ROW()-ROW($BB$14),0)=$BB$10),
 OR(OFFSET('DATA INPUT'!$H$11,ROW()-ROW($BB$14),0)=3,
OFFSET('DATA INPUT'!$V$11, ROW()-ROW($BB$14),0)=3,
OFFSET('DATA INPUT'!$AD$11, ROW()-ROW($BB$14),0)=3)),
OFFSET('Calc - SENIOR PERS'!$Y$11,COLUMN()-COLUMN($BB$14) + (ROW()-ROW($BB$14))*14,0),0)</f>
        <v>0</v>
      </c>
      <c r="BD20" s="5">
        <f ca="1">IF(AND((OFFSET('DATA INPUT'!$C$11, ROW()-ROW($BB$14),0)=$BB$10),
 OR(OFFSET('DATA INPUT'!$H$11,ROW()-ROW($BB$14),0)=3,
OFFSET('DATA INPUT'!$V$11, ROW()-ROW($BB$14),0)=3,
OFFSET('DATA INPUT'!$AD$11, ROW()-ROW($BB$14),0)=3)),
OFFSET('Calc - SENIOR PERS'!$Y$11,COLUMN()-COLUMN($BB$14) + (ROW()-ROW($BB$14))*14,0),0)</f>
        <v>0</v>
      </c>
      <c r="BE20" s="5">
        <f ca="1">IF(AND((OFFSET('DATA INPUT'!$C$11, ROW()-ROW($BB$14),0)=$BB$10),
 OR(OFFSET('DATA INPUT'!$H$11,ROW()-ROW($BB$14),0)=3,
OFFSET('DATA INPUT'!$V$11, ROW()-ROW($BB$14),0)=3,
OFFSET('DATA INPUT'!$AD$11, ROW()-ROW($BB$14),0)=3)),
OFFSET('Calc - SENIOR PERS'!$Y$11,COLUMN()-COLUMN($BB$14) + (ROW()-ROW($BB$14))*14,0),0)</f>
        <v>0</v>
      </c>
      <c r="BF20" s="5">
        <f ca="1">IF(AND((OFFSET('DATA INPUT'!$C$11, ROW()-ROW($BB$14),0)=$BB$10),
 OR(OFFSET('DATA INPUT'!$H$11,ROW()-ROW($BB$14),0)=3,
OFFSET('DATA INPUT'!$V$11, ROW()-ROW($BB$14),0)=3,
OFFSET('DATA INPUT'!$AD$11, ROW()-ROW($BB$14),0)=3)),
OFFSET('Calc - SENIOR PERS'!$Y$11,COLUMN()-COLUMN($BB$14) + (ROW()-ROW($BB$14))*14,0),0)</f>
        <v>0</v>
      </c>
      <c r="BG20" s="5">
        <f ca="1">IF(AND((OFFSET('DATA INPUT'!$C$11, ROW()-ROW($BB$14),0)=$BB$10),
 OR(OFFSET('DATA INPUT'!$H$11,ROW()-ROW($BB$14),0)=3,
OFFSET('DATA INPUT'!$V$11, ROW()-ROW($BB$14),0)=3,
OFFSET('DATA INPUT'!$AD$11, ROW()-ROW($BB$14),0)=3)),
OFFSET('Calc - SENIOR PERS'!$Y$11,COLUMN()-COLUMN($BB$14) + (ROW()-ROW($BB$14))*14,0),0)</f>
        <v>0</v>
      </c>
      <c r="BH20" s="192">
        <f t="shared" ca="1" si="12"/>
        <v>0</v>
      </c>
      <c r="BJ20" s="133"/>
      <c r="BK20" s="5"/>
      <c r="BL20" s="5"/>
      <c r="BM20" s="5"/>
      <c r="BN20" s="5"/>
      <c r="BO20" s="5"/>
      <c r="BP20" s="1102">
        <f t="shared" si="13"/>
        <v>0</v>
      </c>
      <c r="BR20" s="575">
        <f t="shared" ca="1" si="14"/>
        <v>0</v>
      </c>
      <c r="BS20" s="5">
        <f t="shared" ca="1" si="15"/>
        <v>0</v>
      </c>
      <c r="BT20" s="5">
        <f t="shared" ca="1" si="16"/>
        <v>0</v>
      </c>
      <c r="BU20" s="5">
        <f t="shared" ca="1" si="17"/>
        <v>0</v>
      </c>
      <c r="BV20" s="5">
        <f t="shared" ca="1" si="18"/>
        <v>0</v>
      </c>
      <c r="BW20" s="5">
        <f t="shared" ca="1" si="19"/>
        <v>0</v>
      </c>
      <c r="BX20" s="2175">
        <f t="shared" ca="1" si="20"/>
        <v>0</v>
      </c>
      <c r="BY20" s="573">
        <f t="shared" ca="1" si="21"/>
        <v>0</v>
      </c>
      <c r="BZ20" s="1"/>
      <c r="CB20" s="1182"/>
      <c r="CC20" s="1197">
        <f ca="1">'Calc - SENIOR PERS'!$O$96/9*3</f>
        <v>0</v>
      </c>
      <c r="CD20" s="56">
        <f ca="1">'Calc - SENIOR PERS'!$O$96/9*3</f>
        <v>0</v>
      </c>
      <c r="CE20" s="56">
        <f ca="1">'Calc - SENIOR PERS'!$O$96/9*2</f>
        <v>0</v>
      </c>
      <c r="CF20" s="56">
        <f ca="1">'Calc - SENIOR PERS'!$O$96/9*0.5</f>
        <v>0</v>
      </c>
      <c r="CG20" s="1199">
        <f ca="1">'Calc - SENIOR PERS'!$O$96/9*0.5</f>
        <v>0</v>
      </c>
      <c r="CH20" s="1184">
        <f ca="1">'Calc - SENIOR PERS'!$O$97/9*3</f>
        <v>0</v>
      </c>
      <c r="CI20" s="1185">
        <f ca="1">'Calc - SENIOR PERS'!$O$97/9*3</f>
        <v>0</v>
      </c>
      <c r="CJ20" s="1185">
        <f ca="1">'Calc - SENIOR PERS'!$O$97/9*2</f>
        <v>0</v>
      </c>
      <c r="CK20" s="1185">
        <f ca="1">'Calc - SENIOR PERS'!$O$97/9*0.5</f>
        <v>0</v>
      </c>
      <c r="CL20" s="1186">
        <f ca="1">'Calc - SENIOR PERS'!$O$97/9*0.5</f>
        <v>0</v>
      </c>
      <c r="CM20" s="1187">
        <f ca="1">'Calc - SENIOR PERS'!$O$98/8*3</f>
        <v>0</v>
      </c>
      <c r="CN20" s="1188">
        <f ca="1">'Calc - SENIOR PERS'!$O$98/8*3</f>
        <v>0</v>
      </c>
      <c r="CO20" s="1189">
        <f ca="1">'Calc - SENIOR PERS'!$O$98/8*2</f>
        <v>0</v>
      </c>
      <c r="CP20" s="1179">
        <f t="shared" ca="1" si="22"/>
        <v>0</v>
      </c>
      <c r="CR20" s="310"/>
      <c r="CS20" s="575"/>
      <c r="CT20" s="5"/>
      <c r="CU20" s="1180"/>
      <c r="CV20" s="575"/>
      <c r="CW20" s="5"/>
      <c r="CX20" s="1180"/>
      <c r="CY20" s="575"/>
      <c r="CZ20" s="5"/>
      <c r="DA20" s="1180"/>
      <c r="DB20" s="575"/>
      <c r="DC20" s="5"/>
      <c r="DD20" s="1180"/>
      <c r="DE20" s="1181">
        <f t="shared" si="23"/>
        <v>0</v>
      </c>
      <c r="DG20" s="575"/>
      <c r="DH20" s="5"/>
      <c r="DI20" s="1180"/>
      <c r="DJ20" s="575"/>
      <c r="DK20" s="5"/>
      <c r="DL20" s="1180"/>
      <c r="DM20" s="575"/>
      <c r="DN20" s="5"/>
      <c r="DO20" s="1180"/>
      <c r="DP20" s="575"/>
      <c r="DQ20" s="5"/>
      <c r="DR20" s="1180"/>
      <c r="DS20" s="1181">
        <f t="shared" si="24"/>
        <v>0</v>
      </c>
      <c r="DU20" s="575"/>
      <c r="DV20" s="5"/>
      <c r="DW20" s="1180"/>
      <c r="DX20" s="575"/>
      <c r="DY20" s="5"/>
      <c r="DZ20" s="1180"/>
      <c r="EA20" s="575"/>
      <c r="EB20" s="5"/>
      <c r="EC20" s="1180"/>
      <c r="ED20" s="575"/>
      <c r="EE20" s="5"/>
      <c r="EF20" s="1180"/>
      <c r="EG20" s="1181">
        <f t="shared" si="25"/>
        <v>0</v>
      </c>
      <c r="EI20" s="403"/>
      <c r="EJ20" s="3215"/>
      <c r="EK20" s="2140">
        <f t="shared" ca="1" si="26"/>
        <v>0</v>
      </c>
      <c r="EL20" s="21">
        <f t="shared" ca="1" si="27"/>
        <v>0</v>
      </c>
      <c r="EM20" s="21">
        <f t="shared" ca="1" si="28"/>
        <v>0</v>
      </c>
      <c r="EN20" s="21">
        <f t="shared" ca="1" si="29"/>
        <v>0</v>
      </c>
      <c r="EO20" s="21">
        <f t="shared" ca="1" si="30"/>
        <v>0</v>
      </c>
      <c r="EP20" s="21">
        <f t="shared" ca="1" si="31"/>
        <v>0</v>
      </c>
      <c r="EQ20" s="21">
        <f t="shared" ca="1" si="32"/>
        <v>0</v>
      </c>
      <c r="ER20" s="88">
        <f t="shared" ca="1" si="33"/>
        <v>0</v>
      </c>
      <c r="ES20" s="9"/>
      <c r="ET20" s="4"/>
      <c r="EU20" s="4"/>
      <c r="EV20" s="133">
        <f t="shared" ca="1" si="34"/>
        <v>0</v>
      </c>
      <c r="EW20" s="5">
        <f t="shared" ca="1" si="35"/>
        <v>0</v>
      </c>
      <c r="EX20" s="5">
        <f t="shared" ca="1" si="36"/>
        <v>0</v>
      </c>
      <c r="EY20" s="5">
        <f t="shared" ca="1" si="37"/>
        <v>0</v>
      </c>
      <c r="EZ20" s="5">
        <f t="shared" ca="1" si="38"/>
        <v>0</v>
      </c>
      <c r="FA20" s="5">
        <f t="shared" ca="1" si="39"/>
        <v>0</v>
      </c>
      <c r="FB20" s="164">
        <f t="shared" ca="1" si="40"/>
        <v>0</v>
      </c>
      <c r="FD20" s="133">
        <f t="shared" ca="1" si="41"/>
        <v>0</v>
      </c>
      <c r="FE20" s="5">
        <f t="shared" ca="1" si="42"/>
        <v>0</v>
      </c>
      <c r="FF20" s="5">
        <f t="shared" ca="1" si="43"/>
        <v>0</v>
      </c>
      <c r="FG20" s="5">
        <f t="shared" ca="1" si="44"/>
        <v>0</v>
      </c>
      <c r="FH20" s="5">
        <f t="shared" ca="1" si="45"/>
        <v>0</v>
      </c>
      <c r="FI20" s="5">
        <f t="shared" ca="1" si="46"/>
        <v>0</v>
      </c>
      <c r="FJ20" s="138">
        <f t="shared" ca="1" si="47"/>
        <v>0</v>
      </c>
      <c r="FL20" s="133">
        <f t="shared" ca="1" si="48"/>
        <v>0</v>
      </c>
      <c r="FM20" s="5">
        <f t="shared" ca="1" si="49"/>
        <v>0</v>
      </c>
      <c r="FN20" s="5">
        <f t="shared" ca="1" si="50"/>
        <v>0</v>
      </c>
      <c r="FO20" s="5">
        <f t="shared" ca="1" si="51"/>
        <v>0</v>
      </c>
      <c r="FP20" s="5">
        <f t="shared" ca="1" si="52"/>
        <v>0</v>
      </c>
      <c r="FQ20" s="5">
        <f t="shared" ca="1" si="53"/>
        <v>0</v>
      </c>
      <c r="FR20" s="206">
        <f t="shared" ca="1" si="54"/>
        <v>0</v>
      </c>
      <c r="FT20" s="133">
        <f t="shared" ca="1" si="55"/>
        <v>0</v>
      </c>
      <c r="FU20" s="5">
        <f t="shared" ca="1" si="56"/>
        <v>0</v>
      </c>
      <c r="FV20" s="5">
        <f t="shared" ca="1" si="57"/>
        <v>0</v>
      </c>
      <c r="FW20" s="5">
        <f t="shared" ca="1" si="58"/>
        <v>0</v>
      </c>
      <c r="FX20" s="5">
        <f t="shared" ca="1" si="59"/>
        <v>0</v>
      </c>
      <c r="FY20" s="5">
        <f t="shared" ca="1" si="60"/>
        <v>0</v>
      </c>
      <c r="FZ20" s="178">
        <f t="shared" ca="1" si="61"/>
        <v>0</v>
      </c>
      <c r="GB20" s="133">
        <f t="shared" ca="1" si="62"/>
        <v>0</v>
      </c>
      <c r="GC20" s="5">
        <f t="shared" ca="1" si="63"/>
        <v>0</v>
      </c>
      <c r="GD20" s="5">
        <f t="shared" ca="1" si="64"/>
        <v>0</v>
      </c>
      <c r="GE20" s="5">
        <f t="shared" ca="1" si="65"/>
        <v>0</v>
      </c>
      <c r="GF20" s="5">
        <f t="shared" ca="1" si="66"/>
        <v>0</v>
      </c>
      <c r="GG20" s="5">
        <f t="shared" ca="1" si="67"/>
        <v>0</v>
      </c>
      <c r="GH20" s="150">
        <f t="shared" ca="1" si="68"/>
        <v>0</v>
      </c>
      <c r="GJ20" s="133">
        <f t="shared" ca="1" si="69"/>
        <v>0</v>
      </c>
      <c r="GK20" s="5">
        <f t="shared" ca="1" si="70"/>
        <v>0</v>
      </c>
      <c r="GL20" s="5">
        <f t="shared" ca="1" si="71"/>
        <v>0</v>
      </c>
      <c r="GM20" s="5">
        <f t="shared" ca="1" si="72"/>
        <v>0</v>
      </c>
      <c r="GN20" s="5">
        <f t="shared" ca="1" si="73"/>
        <v>0</v>
      </c>
      <c r="GO20" s="5">
        <f t="shared" ca="1" si="74"/>
        <v>0</v>
      </c>
      <c r="GP20" s="192">
        <f t="shared" ca="1" si="75"/>
        <v>0</v>
      </c>
      <c r="GR20" s="133"/>
      <c r="GS20" s="5"/>
      <c r="GT20" s="5"/>
      <c r="GU20" s="5"/>
      <c r="GV20" s="5"/>
      <c r="GW20" s="5"/>
      <c r="GX20" s="1102">
        <f t="shared" si="76"/>
        <v>0</v>
      </c>
      <c r="GZ20" s="575">
        <f t="shared" ca="1" si="77"/>
        <v>0</v>
      </c>
      <c r="HA20" s="5">
        <f t="shared" ca="1" si="78"/>
        <v>0</v>
      </c>
      <c r="HB20" s="5">
        <f t="shared" ca="1" si="79"/>
        <v>0</v>
      </c>
      <c r="HC20" s="5">
        <f t="shared" ca="1" si="80"/>
        <v>0</v>
      </c>
      <c r="HD20" s="5">
        <f t="shared" ca="1" si="81"/>
        <v>0</v>
      </c>
      <c r="HE20" s="5">
        <f t="shared" ca="1" si="82"/>
        <v>0</v>
      </c>
      <c r="HF20" s="2175">
        <f t="shared" ca="1" si="83"/>
        <v>0</v>
      </c>
      <c r="HG20" s="573">
        <f t="shared" ca="1" si="84"/>
        <v>0</v>
      </c>
      <c r="HH20" s="1"/>
    </row>
    <row r="21" spans="1:216" ht="15" hidden="1" customHeight="1" x14ac:dyDescent="0.25">
      <c r="A21" s="403"/>
      <c r="B21" s="3215"/>
      <c r="C21" s="2140">
        <f ca="1">'Calc - SENIOR PERS'!$B$104</f>
        <v>0</v>
      </c>
      <c r="D21" s="21">
        <f ca="1">'Calc - SENIOR PERS'!$O$109</f>
        <v>0</v>
      </c>
      <c r="E21" s="5">
        <f ca="1">'Calc - SENIOR PERS'!$O$110</f>
        <v>0</v>
      </c>
      <c r="F21" s="5">
        <f ca="1">'Calc - SENIOR PERS'!$O$111</f>
        <v>0</v>
      </c>
      <c r="G21" s="5">
        <f ca="1">'Calc - SENIOR PERS'!$O$112</f>
        <v>0</v>
      </c>
      <c r="H21" s="5">
        <f ca="1">'Calc - SENIOR PERS'!$O$113</f>
        <v>0</v>
      </c>
      <c r="I21" s="5">
        <f ca="1">'Calc - SENIOR PERS'!$O$114</f>
        <v>0</v>
      </c>
      <c r="J21" s="88">
        <f t="shared" ca="1" si="6"/>
        <v>0</v>
      </c>
      <c r="K21" s="9" t="str">
        <f ca="1">IF(J21&lt;&gt;'Calc - SENIOR PERS'!$O$115,"ERROR","")</f>
        <v/>
      </c>
      <c r="L21" s="4"/>
      <c r="M21" s="4"/>
      <c r="N21" s="133">
        <f ca="1">IF(AND((OFFSET('DATA INPUT'!$C$11, ROW()-ROW($N$14),0)=$N$10),
 OR(OFFSET('DATA INPUT'!$H$11,ROW()-ROW($N$14),0)=3,
OFFSET('DATA INPUT'!$V$11, ROW()-ROW($N$14),0)=3,
OFFSET('DATA INPUT'!$AD$11, ROW()-ROW($N$14),0)=3)),
OFFSET('Calc - SENIOR PERS'!$Y$11,COLUMN()-COLUMN($N$14) + (ROW()-ROW($N$14))*14,0),0)</f>
        <v>0</v>
      </c>
      <c r="O21" s="5">
        <f ca="1">IF(AND((OFFSET('DATA INPUT'!$C$11, ROW()-ROW($N$14),0)=$N$10),
 OR(OFFSET('DATA INPUT'!$H$11,ROW()-ROW($N$14),0)=3,
OFFSET('DATA INPUT'!$V$11, ROW()-ROW($N$14),0)=3,
OFFSET('DATA INPUT'!$AD$11, ROW()-ROW($N$14),0)=3)),
OFFSET('Calc - SENIOR PERS'!$Y$11,COLUMN()-COLUMN($N$14) + (ROW()-ROW($N$14))*14,0),0)</f>
        <v>0</v>
      </c>
      <c r="P21" s="5">
        <f ca="1">IF(AND((OFFSET('DATA INPUT'!$C$11, ROW()-ROW($N$14),0)=$N$10),
 OR(OFFSET('DATA INPUT'!$H$11,ROW()-ROW($N$14),0)=3,
OFFSET('DATA INPUT'!$V$11, ROW()-ROW($N$14),0)=3,
OFFSET('DATA INPUT'!$AD$11, ROW()-ROW($N$14),0)=3)),
OFFSET('Calc - SENIOR PERS'!$Y$11,COLUMN()-COLUMN($N$14) + (ROW()-ROW($N$14))*14,0),0)</f>
        <v>0</v>
      </c>
      <c r="Q21" s="5">
        <f ca="1">IF(AND((OFFSET('DATA INPUT'!$C$11, ROW()-ROW($N$14),0)=$N$10),
 OR(OFFSET('DATA INPUT'!$H$11,ROW()-ROW($N$14),0)=3,
OFFSET('DATA INPUT'!$V$11, ROW()-ROW($N$14),0)=3,
OFFSET('DATA INPUT'!$AD$11, ROW()-ROW($N$14),0)=3)),
OFFSET('Calc - SENIOR PERS'!$Y$11,COLUMN()-COLUMN($N$14) + (ROW()-ROW($N$14))*14,0),0)</f>
        <v>0</v>
      </c>
      <c r="R21" s="5">
        <f ca="1">IF(AND((OFFSET('DATA INPUT'!$C$11, ROW()-ROW($N$14),0)=$N$10),
 OR(OFFSET('DATA INPUT'!$H$11,ROW()-ROW($N$14),0)=3,
OFFSET('DATA INPUT'!$V$11, ROW()-ROW($N$14),0)=3,
OFFSET('DATA INPUT'!$AD$11, ROW()-ROW($N$14),0)=3)),
OFFSET('Calc - SENIOR PERS'!$Y$11,COLUMN()-COLUMN($N$14) + (ROW()-ROW($N$14))*14,0),0)</f>
        <v>0</v>
      </c>
      <c r="S21" s="5">
        <f ca="1">IF(AND((OFFSET('DATA INPUT'!$C$11, ROW()-ROW($N$14),0)=$N$10),
 OR(OFFSET('DATA INPUT'!$H$11,ROW()-ROW($N$14),0)=3,
OFFSET('DATA INPUT'!$V$11, ROW()-ROW($N$14),0)=3,
OFFSET('DATA INPUT'!$AD$11, ROW()-ROW($N$14),0)=3)),
OFFSET('Calc - SENIOR PERS'!$Y$11,COLUMN()-COLUMN($N$14) + (ROW()-ROW($N$14))*14,0),0)</f>
        <v>0</v>
      </c>
      <c r="T21" s="164">
        <f t="shared" ca="1" si="7"/>
        <v>0</v>
      </c>
      <c r="V21" s="133">
        <f ca="1">IF(AND((OFFSET('DATA INPUT'!$C$11, ROW()-ROW($V$14),0)=$V$10),
 OR(OFFSET('DATA INPUT'!$H$11,ROW()-ROW($V$14),0)=3,
OFFSET('DATA INPUT'!$V$11, ROW()-ROW($V$14),0)=3,
OFFSET('DATA INPUT'!$AD$11, ROW()-ROW($V$14),0)=3)),
OFFSET('Calc - SENIOR PERS'!$Y$11,COLUMN()-COLUMN($V$14) + (ROW()-ROW($V$14))*14,0),0)</f>
        <v>0</v>
      </c>
      <c r="W21" s="5">
        <f ca="1">IF(AND((OFFSET('DATA INPUT'!$C$11, ROW()-ROW($V$14),0)=$V$10),
 OR(OFFSET('DATA INPUT'!$H$11,ROW()-ROW($V$14),0)=3,
OFFSET('DATA INPUT'!$V$11, ROW()-ROW($V$14),0)=3,
OFFSET('DATA INPUT'!$AD$11, ROW()-ROW($V$14),0)=3)),
OFFSET('Calc - SENIOR PERS'!$Y$11,COLUMN()-COLUMN($V$14) + (ROW()-ROW($V$14))*14,0),0)</f>
        <v>0</v>
      </c>
      <c r="X21" s="5">
        <f ca="1">IF(AND((OFFSET('DATA INPUT'!$C$11, ROW()-ROW($V$14),0)=$V$10),
 OR(OFFSET('DATA INPUT'!$H$11,ROW()-ROW($V$14),0)=3,
OFFSET('DATA INPUT'!$V$11, ROW()-ROW($V$14),0)=3,
OFFSET('DATA INPUT'!$AD$11, ROW()-ROW($V$14),0)=3)),
OFFSET('Calc - SENIOR PERS'!$Y$11,COLUMN()-COLUMN($V$14) + (ROW()-ROW($V$14))*14,0),0)</f>
        <v>0</v>
      </c>
      <c r="Y21" s="5">
        <f ca="1">IF(AND((OFFSET('DATA INPUT'!$C$11, ROW()-ROW($V$14),0)=$V$10),
 OR(OFFSET('DATA INPUT'!$H$11,ROW()-ROW($V$14),0)=3,
OFFSET('DATA INPUT'!$V$11, ROW()-ROW($V$14),0)=3,
OFFSET('DATA INPUT'!$AD$11, ROW()-ROW($V$14),0)=3)),
OFFSET('Calc - SENIOR PERS'!$Y$11,COLUMN()-COLUMN($V$14) + (ROW()-ROW($V$14))*14,0),0)</f>
        <v>0</v>
      </c>
      <c r="Z21" s="5">
        <f ca="1">IF(AND((OFFSET('DATA INPUT'!$C$11, ROW()-ROW($V$14),0)=$V$10),
 OR(OFFSET('DATA INPUT'!$H$11,ROW()-ROW($V$14),0)=3,
OFFSET('DATA INPUT'!$V$11, ROW()-ROW($V$14),0)=3,
OFFSET('DATA INPUT'!$AD$11, ROW()-ROW($V$14),0)=3)),
OFFSET('Calc - SENIOR PERS'!$Y$11,COLUMN()-COLUMN($V$14) + (ROW()-ROW($V$14))*14,0),0)</f>
        <v>0</v>
      </c>
      <c r="AA21" s="5">
        <f ca="1">IF(AND((OFFSET('DATA INPUT'!$C$11, ROW()-ROW($V$14),0)=$V$10),
 OR(OFFSET('DATA INPUT'!$H$11,ROW()-ROW($V$14),0)=3,
OFFSET('DATA INPUT'!$V$11, ROW()-ROW($V$14),0)=3,
OFFSET('DATA INPUT'!$AD$11, ROW()-ROW($V$14),0)=3)),
OFFSET('Calc - SENIOR PERS'!$Y$11,COLUMN()-COLUMN($V$14) + (ROW()-ROW($V$14))*14,0),0)</f>
        <v>0</v>
      </c>
      <c r="AB21" s="138">
        <f t="shared" ca="1" si="8"/>
        <v>0</v>
      </c>
      <c r="AD21" s="133">
        <f ca="1">IF(AND((OFFSET('DATA INPUT'!$C$11, ROW()-ROW($AD$14),0)=$AD$10),
 OR(OFFSET('DATA INPUT'!$H$11,ROW()-ROW($AD$14),0)=3,
OFFSET('DATA INPUT'!$V$11, ROW()-ROW($AD$14),0)=3,
OFFSET('DATA INPUT'!$AD$11, ROW()-ROW($AD$14),0)=3)),
OFFSET('Calc - SENIOR PERS'!$Y$11,COLUMN()-COLUMN($AD$14) + (ROW()-ROW($AD$14))*14,0),0)</f>
        <v>0</v>
      </c>
      <c r="AE21" s="5">
        <f ca="1">IF(AND((OFFSET('DATA INPUT'!$C$11, ROW()-ROW($AD$14),0)=$AD$10),
 OR(OFFSET('DATA INPUT'!$H$11,ROW()-ROW($AD$14),0)=3,
OFFSET('DATA INPUT'!$V$11, ROW()-ROW($AD$14),0)=3,
OFFSET('DATA INPUT'!$AD$11, ROW()-ROW($AD$14),0)=3)),
OFFSET('Calc - SENIOR PERS'!$Y$11,COLUMN()-COLUMN($AD$14) + (ROW()-ROW($AD$14))*14,0),0)</f>
        <v>0</v>
      </c>
      <c r="AF21" s="5">
        <f ca="1">IF(AND((OFFSET('DATA INPUT'!$C$11, ROW()-ROW($AD$14),0)=$AD$10),
 OR(OFFSET('DATA INPUT'!$H$11,ROW()-ROW($AD$14),0)=3,
OFFSET('DATA INPUT'!$V$11, ROW()-ROW($AD$14),0)=3,
OFFSET('DATA INPUT'!$AD$11, ROW()-ROW($AD$14),0)=3)),
OFFSET('Calc - SENIOR PERS'!$Y$11,COLUMN()-COLUMN($AD$14) + (ROW()-ROW($AD$14))*14,0),0)</f>
        <v>0</v>
      </c>
      <c r="AG21" s="5">
        <f ca="1">IF(AND((OFFSET('DATA INPUT'!$C$11, ROW()-ROW($AD$14),0)=$AD$10),
 OR(OFFSET('DATA INPUT'!$H$11,ROW()-ROW($AD$14),0)=3,
OFFSET('DATA INPUT'!$V$11, ROW()-ROW($AD$14),0)=3,
OFFSET('DATA INPUT'!$AD$11, ROW()-ROW($AD$14),0)=3)),
OFFSET('Calc - SENIOR PERS'!$Y$11,COLUMN()-COLUMN($AD$14) + (ROW()-ROW($AD$14))*14,0),0)</f>
        <v>0</v>
      </c>
      <c r="AH21" s="5">
        <f ca="1">IF(AND((OFFSET('DATA INPUT'!$C$11, ROW()-ROW($AD$14),0)=$AD$10),
 OR(OFFSET('DATA INPUT'!$H$11,ROW()-ROW($AD$14),0)=3,
OFFSET('DATA INPUT'!$V$11, ROW()-ROW($AD$14),0)=3,
OFFSET('DATA INPUT'!$AD$11, ROW()-ROW($AD$14),0)=3)),
OFFSET('Calc - SENIOR PERS'!$Y$11,COLUMN()-COLUMN($AD$14) + (ROW()-ROW($AD$14))*14,0),0)</f>
        <v>0</v>
      </c>
      <c r="AI21" s="5">
        <f ca="1">IF(AND((OFFSET('DATA INPUT'!$C$11, ROW()-ROW($AD$14),0)=$AD$10),
 OR(OFFSET('DATA INPUT'!$H$11,ROW()-ROW($AD$14),0)=3,
OFFSET('DATA INPUT'!$V$11, ROW()-ROW($AD$14),0)=3,
OFFSET('DATA INPUT'!$AD$11, ROW()-ROW($AD$14),0)=3)),
OFFSET('Calc - SENIOR PERS'!$Y$11,COLUMN()-COLUMN($AD$14) + (ROW()-ROW($AD$14))*14,0),0)</f>
        <v>0</v>
      </c>
      <c r="AJ21" s="206">
        <f t="shared" ca="1" si="9"/>
        <v>0</v>
      </c>
      <c r="AL21" s="133">
        <f ca="1">IF(AND((OFFSET('DATA INPUT'!$C$11, ROW()-ROW($AL$14),0)=$AL$10),
 OR(OFFSET('DATA INPUT'!$H$11,ROW()-ROW($AL$14),0)=3,
OFFSET('DATA INPUT'!$V$11, ROW()-ROW($AL$14),0)=3,
OFFSET('DATA INPUT'!$AD$11, ROW()-ROW($AL$14),0)=3)),
OFFSET('Calc - SENIOR PERS'!$Y$11,COLUMN()-COLUMN($AL$14) + (ROW()-ROW($AL$14))*14,0),0)</f>
        <v>0</v>
      </c>
      <c r="AM21" s="5">
        <f ca="1">IF(AND((OFFSET('DATA INPUT'!$C$11, ROW()-ROW($AL$14),0)=$AL$10),
 OR(OFFSET('DATA INPUT'!$H$11,ROW()-ROW($AL$14),0)=3,
OFFSET('DATA INPUT'!$V$11, ROW()-ROW($AL$14),0)=3,
OFFSET('DATA INPUT'!$AD$11, ROW()-ROW($AL$14),0)=3)),
OFFSET('Calc - SENIOR PERS'!$Y$11,COLUMN()-COLUMN($AL$14) + (ROW()-ROW($AL$14))*14,0),0)</f>
        <v>0</v>
      </c>
      <c r="AN21" s="5">
        <f ca="1">IF(AND((OFFSET('DATA INPUT'!$C$11, ROW()-ROW($AL$14),0)=$AL$10),
 OR(OFFSET('DATA INPUT'!$H$11,ROW()-ROW($AL$14),0)=3,
OFFSET('DATA INPUT'!$V$11, ROW()-ROW($AL$14),0)=3,
OFFSET('DATA INPUT'!$AD$11, ROW()-ROW($AL$14),0)=3)),
OFFSET('Calc - SENIOR PERS'!$Y$11,COLUMN()-COLUMN($AL$14) + (ROW()-ROW($AL$14))*14,0),0)</f>
        <v>0</v>
      </c>
      <c r="AO21" s="5">
        <f ca="1">IF(AND((OFFSET('DATA INPUT'!$C$11, ROW()-ROW($AL$14),0)=$AL$10),
 OR(OFFSET('DATA INPUT'!$H$11,ROW()-ROW($AL$14),0)=3,
OFFSET('DATA INPUT'!$V$11, ROW()-ROW($AL$14),0)=3,
OFFSET('DATA INPUT'!$AD$11, ROW()-ROW($AL$14),0)=3)),
OFFSET('Calc - SENIOR PERS'!$Y$11,COLUMN()-COLUMN($AL$14) + (ROW()-ROW($AL$14))*14,0),0)</f>
        <v>0</v>
      </c>
      <c r="AP21" s="5">
        <f ca="1">IF(AND((OFFSET('DATA INPUT'!$C$11, ROW()-ROW($AL$14),0)=$AL$10),
 OR(OFFSET('DATA INPUT'!$H$11,ROW()-ROW($AL$14),0)=3,
OFFSET('DATA INPUT'!$V$11, ROW()-ROW($AL$14),0)=3,
OFFSET('DATA INPUT'!$AD$11, ROW()-ROW($AL$14),0)=3)),
OFFSET('Calc - SENIOR PERS'!$Y$11,COLUMN()-COLUMN($AL$14) + (ROW()-ROW($AL$14))*14,0),0)</f>
        <v>0</v>
      </c>
      <c r="AQ21" s="5">
        <f ca="1">IF(AND((OFFSET('DATA INPUT'!$C$11, ROW()-ROW($AL$14),0)=$AL$10),
 OR(OFFSET('DATA INPUT'!$H$11,ROW()-ROW($AL$14),0)=3,
OFFSET('DATA INPUT'!$V$11, ROW()-ROW($AL$14),0)=3,
OFFSET('DATA INPUT'!$AD$11, ROW()-ROW($AL$14),0)=3)),
OFFSET('Calc - SENIOR PERS'!$Y$11,COLUMN()-COLUMN($AL$14) + (ROW()-ROW($AL$14))*14,0),0)</f>
        <v>0</v>
      </c>
      <c r="AR21" s="178">
        <f t="shared" ca="1" si="10"/>
        <v>0</v>
      </c>
      <c r="AT21" s="133">
        <f ca="1">IF(AND((OFFSET('DATA INPUT'!$C$11, ROW()-ROW($AT$14),0)=$AT$10),
 OR(OFFSET('DATA INPUT'!$H$11,ROW()-ROW($AT$14),0)=3,
OFFSET('DATA INPUT'!$V$11, ROW()-ROW($AT$14),0)=3,
OFFSET('DATA INPUT'!$AD$11, ROW()-ROW($AT$14),0)=3)),
OFFSET('Calc - SENIOR PERS'!$Y$11,COLUMN()-COLUMN($AT$14) + (ROW()-ROW($AT$14))*14,0),0)</f>
        <v>0</v>
      </c>
      <c r="AU21" s="5">
        <f ca="1">IF(AND((OFFSET('DATA INPUT'!$C$11, ROW()-ROW($AT$14),0)=$AT$10),
 OR(OFFSET('DATA INPUT'!$H$11,ROW()-ROW($AT$14),0)=3,
OFFSET('DATA INPUT'!$V$11, ROW()-ROW($AT$14),0)=3,
OFFSET('DATA INPUT'!$AD$11, ROW()-ROW($AT$14),0)=3)),
OFFSET('Calc - SENIOR PERS'!$Y$11,COLUMN()-COLUMN($AT$14) + (ROW()-ROW($AT$14))*14,0),0)</f>
        <v>0</v>
      </c>
      <c r="AV21" s="5">
        <f ca="1">IF(AND((OFFSET('DATA INPUT'!$C$11, ROW()-ROW($AT$14),0)=$AT$10),
 OR(OFFSET('DATA INPUT'!$H$11,ROW()-ROW($AT$14),0)=3,
OFFSET('DATA INPUT'!$V$11, ROW()-ROW($AT$14),0)=3,
OFFSET('DATA INPUT'!$AD$11, ROW()-ROW($AT$14),0)=3)),
OFFSET('Calc - SENIOR PERS'!$Y$11,COLUMN()-COLUMN($AT$14) + (ROW()-ROW($AT$14))*14,0),0)</f>
        <v>0</v>
      </c>
      <c r="AW21" s="5">
        <f ca="1">IF(AND((OFFSET('DATA INPUT'!$C$11, ROW()-ROW($AT$14),0)=$AT$10),
 OR(OFFSET('DATA INPUT'!$H$11,ROW()-ROW($AT$14),0)=3,
OFFSET('DATA INPUT'!$V$11, ROW()-ROW($AT$14),0)=3,
OFFSET('DATA INPUT'!$AD$11, ROW()-ROW($AT$14),0)=3)),
OFFSET('Calc - SENIOR PERS'!$Y$11,COLUMN()-COLUMN($AT$14) + (ROW()-ROW($AT$14))*14,0),0)</f>
        <v>0</v>
      </c>
      <c r="AX21" s="5">
        <f ca="1">IF(AND((OFFSET('DATA INPUT'!$C$11, ROW()-ROW($AT$14),0)=$AT$10),
 OR(OFFSET('DATA INPUT'!$H$11,ROW()-ROW($AT$14),0)=3,
OFFSET('DATA INPUT'!$V$11, ROW()-ROW($AT$14),0)=3,
OFFSET('DATA INPUT'!$AD$11, ROW()-ROW($AT$14),0)=3)),
OFFSET('Calc - SENIOR PERS'!$Y$11,COLUMN()-COLUMN($AT$14) + (ROW()-ROW($AT$14))*14,0),0)</f>
        <v>0</v>
      </c>
      <c r="AY21" s="5">
        <f ca="1">IF(AND((OFFSET('DATA INPUT'!$C$11, ROW()-ROW($AT$14),0)=$AT$10),
 OR(OFFSET('DATA INPUT'!$H$11,ROW()-ROW($AT$14),0)=3,
OFFSET('DATA INPUT'!$V$11, ROW()-ROW($AT$14),0)=3,
OFFSET('DATA INPUT'!$AD$11, ROW()-ROW($AT$14),0)=3)),
OFFSET('Calc - SENIOR PERS'!$Y$11,COLUMN()-COLUMN($AT$14) + (ROW()-ROW($AT$14))*14,0),0)</f>
        <v>0</v>
      </c>
      <c r="AZ21" s="150">
        <f t="shared" ca="1" si="11"/>
        <v>0</v>
      </c>
      <c r="BB21" s="133">
        <f ca="1">IF(AND((OFFSET('DATA INPUT'!$C$11, ROW()-ROW($BB$14),0)=$BB$10),
 OR(OFFSET('DATA INPUT'!$H$11,ROW()-ROW($BB$14),0)=3,
OFFSET('DATA INPUT'!$V$11, ROW()-ROW($BB$14),0)=3,
OFFSET('DATA INPUT'!$AD$11, ROW()-ROW($BB$14),0)=3)),
OFFSET('Calc - SENIOR PERS'!$Y$11,COLUMN()-COLUMN($BB$14) + (ROW()-ROW($BB$14))*14,0),0)</f>
        <v>0</v>
      </c>
      <c r="BC21" s="5">
        <f ca="1">IF(AND((OFFSET('DATA INPUT'!$C$11, ROW()-ROW($BB$14),0)=$BB$10),
 OR(OFFSET('DATA INPUT'!$H$11,ROW()-ROW($BB$14),0)=3,
OFFSET('DATA INPUT'!$V$11, ROW()-ROW($BB$14),0)=3,
OFFSET('DATA INPUT'!$AD$11, ROW()-ROW($BB$14),0)=3)),
OFFSET('Calc - SENIOR PERS'!$Y$11,COLUMN()-COLUMN($BB$14) + (ROW()-ROW($BB$14))*14,0),0)</f>
        <v>0</v>
      </c>
      <c r="BD21" s="5">
        <f ca="1">IF(AND((OFFSET('DATA INPUT'!$C$11, ROW()-ROW($BB$14),0)=$BB$10),
 OR(OFFSET('DATA INPUT'!$H$11,ROW()-ROW($BB$14),0)=3,
OFFSET('DATA INPUT'!$V$11, ROW()-ROW($BB$14),0)=3,
OFFSET('DATA INPUT'!$AD$11, ROW()-ROW($BB$14),0)=3)),
OFFSET('Calc - SENIOR PERS'!$Y$11,COLUMN()-COLUMN($BB$14) + (ROW()-ROW($BB$14))*14,0),0)</f>
        <v>0</v>
      </c>
      <c r="BE21" s="5">
        <f ca="1">IF(AND((OFFSET('DATA INPUT'!$C$11, ROW()-ROW($BB$14),0)=$BB$10),
 OR(OFFSET('DATA INPUT'!$H$11,ROW()-ROW($BB$14),0)=3,
OFFSET('DATA INPUT'!$V$11, ROW()-ROW($BB$14),0)=3,
OFFSET('DATA INPUT'!$AD$11, ROW()-ROW($BB$14),0)=3)),
OFFSET('Calc - SENIOR PERS'!$Y$11,COLUMN()-COLUMN($BB$14) + (ROW()-ROW($BB$14))*14,0),0)</f>
        <v>0</v>
      </c>
      <c r="BF21" s="5">
        <f ca="1">IF(AND((OFFSET('DATA INPUT'!$C$11, ROW()-ROW($BB$14),0)=$BB$10),
 OR(OFFSET('DATA INPUT'!$H$11,ROW()-ROW($BB$14),0)=3,
OFFSET('DATA INPUT'!$V$11, ROW()-ROW($BB$14),0)=3,
OFFSET('DATA INPUT'!$AD$11, ROW()-ROW($BB$14),0)=3)),
OFFSET('Calc - SENIOR PERS'!$Y$11,COLUMN()-COLUMN($BB$14) + (ROW()-ROW($BB$14))*14,0),0)</f>
        <v>0</v>
      </c>
      <c r="BG21" s="5">
        <f ca="1">IF(AND((OFFSET('DATA INPUT'!$C$11, ROW()-ROW($BB$14),0)=$BB$10),
 OR(OFFSET('DATA INPUT'!$H$11,ROW()-ROW($BB$14),0)=3,
OFFSET('DATA INPUT'!$V$11, ROW()-ROW($BB$14),0)=3,
OFFSET('DATA INPUT'!$AD$11, ROW()-ROW($BB$14),0)=3)),
OFFSET('Calc - SENIOR PERS'!$Y$11,COLUMN()-COLUMN($BB$14) + (ROW()-ROW($BB$14))*14,0),0)</f>
        <v>0</v>
      </c>
      <c r="BH21" s="192">
        <f t="shared" ca="1" si="12"/>
        <v>0</v>
      </c>
      <c r="BJ21" s="133"/>
      <c r="BK21" s="5"/>
      <c r="BL21" s="5"/>
      <c r="BM21" s="5"/>
      <c r="BN21" s="5"/>
      <c r="BO21" s="5"/>
      <c r="BP21" s="1102">
        <f t="shared" si="13"/>
        <v>0</v>
      </c>
      <c r="BR21" s="575">
        <f t="shared" ca="1" si="14"/>
        <v>0</v>
      </c>
      <c r="BS21" s="5">
        <f t="shared" ca="1" si="15"/>
        <v>0</v>
      </c>
      <c r="BT21" s="5">
        <f t="shared" ca="1" si="16"/>
        <v>0</v>
      </c>
      <c r="BU21" s="5">
        <f t="shared" ca="1" si="17"/>
        <v>0</v>
      </c>
      <c r="BV21" s="5">
        <f t="shared" ca="1" si="18"/>
        <v>0</v>
      </c>
      <c r="BW21" s="5">
        <f t="shared" ca="1" si="19"/>
        <v>0</v>
      </c>
      <c r="BX21" s="2175">
        <f t="shared" ca="1" si="20"/>
        <v>0</v>
      </c>
      <c r="BY21" s="573">
        <f t="shared" ca="1" si="21"/>
        <v>0</v>
      </c>
      <c r="BZ21" s="1"/>
      <c r="CB21" s="1182"/>
      <c r="CC21" s="387">
        <f ca="1">'Calc - SENIOR PERS'!$O$110/9*3</f>
        <v>0</v>
      </c>
      <c r="CD21" s="56">
        <f ca="1">'Calc - SENIOR PERS'!$O$110/9*3</f>
        <v>0</v>
      </c>
      <c r="CE21" s="56">
        <f ca="1">'Calc - SENIOR PERS'!$O$110/9*2</f>
        <v>0</v>
      </c>
      <c r="CF21" s="56">
        <f ca="1">'Calc - SENIOR PERS'!$O$110/9*0.5</f>
        <v>0</v>
      </c>
      <c r="CG21" s="1183">
        <f ca="1">'Calc - SENIOR PERS'!$O$110/9*0.5</f>
        <v>0</v>
      </c>
      <c r="CH21" s="1184">
        <f ca="1">'Calc - SENIOR PERS'!$O$111/9*3</f>
        <v>0</v>
      </c>
      <c r="CI21" s="1185">
        <f ca="1">'Calc - SENIOR PERS'!$O$111/9*3</f>
        <v>0</v>
      </c>
      <c r="CJ21" s="1185">
        <f ca="1">'Calc - SENIOR PERS'!$O$111/9*2</f>
        <v>0</v>
      </c>
      <c r="CK21" s="1185">
        <f ca="1">'Calc - SENIOR PERS'!$O$111/9*0.5</f>
        <v>0</v>
      </c>
      <c r="CL21" s="1186">
        <f ca="1">'Calc - SENIOR PERS'!$O$111/9*0.5</f>
        <v>0</v>
      </c>
      <c r="CM21" s="1187">
        <f ca="1">'Calc - SENIOR PERS'!$O$112/8*3</f>
        <v>0</v>
      </c>
      <c r="CN21" s="1188">
        <f ca="1">'Calc - SENIOR PERS'!$O$112/8*3</f>
        <v>0</v>
      </c>
      <c r="CO21" s="1189">
        <f ca="1">'Calc - SENIOR PERS'!$O$112/8*2</f>
        <v>0</v>
      </c>
      <c r="CP21" s="1179">
        <f t="shared" ca="1" si="22"/>
        <v>0</v>
      </c>
      <c r="CR21" s="310"/>
      <c r="CS21" s="575"/>
      <c r="CT21" s="5"/>
      <c r="CU21" s="1180"/>
      <c r="CV21" s="575"/>
      <c r="CW21" s="5"/>
      <c r="CX21" s="1180"/>
      <c r="CY21" s="575"/>
      <c r="CZ21" s="5"/>
      <c r="DA21" s="1180"/>
      <c r="DB21" s="575"/>
      <c r="DC21" s="5"/>
      <c r="DD21" s="1180"/>
      <c r="DE21" s="1181">
        <f t="shared" si="23"/>
        <v>0</v>
      </c>
      <c r="DG21" s="575"/>
      <c r="DH21" s="5"/>
      <c r="DI21" s="1180"/>
      <c r="DJ21" s="575"/>
      <c r="DK21" s="5"/>
      <c r="DL21" s="1180"/>
      <c r="DM21" s="575"/>
      <c r="DN21" s="5"/>
      <c r="DO21" s="1180"/>
      <c r="DP21" s="575"/>
      <c r="DQ21" s="5"/>
      <c r="DR21" s="1180"/>
      <c r="DS21" s="1181">
        <f t="shared" si="24"/>
        <v>0</v>
      </c>
      <c r="DU21" s="575"/>
      <c r="DV21" s="5"/>
      <c r="DW21" s="1180"/>
      <c r="DX21" s="575"/>
      <c r="DY21" s="5"/>
      <c r="DZ21" s="1180"/>
      <c r="EA21" s="575"/>
      <c r="EB21" s="5"/>
      <c r="EC21" s="1180"/>
      <c r="ED21" s="575"/>
      <c r="EE21" s="5"/>
      <c r="EF21" s="1180"/>
      <c r="EG21" s="1181">
        <f t="shared" si="25"/>
        <v>0</v>
      </c>
      <c r="EI21" s="403"/>
      <c r="EJ21" s="3215"/>
      <c r="EK21" s="2140">
        <f t="shared" ca="1" si="26"/>
        <v>0</v>
      </c>
      <c r="EL21" s="21">
        <f t="shared" ca="1" si="27"/>
        <v>0</v>
      </c>
      <c r="EM21" s="21">
        <f t="shared" ca="1" si="28"/>
        <v>0</v>
      </c>
      <c r="EN21" s="21">
        <f t="shared" ca="1" si="29"/>
        <v>0</v>
      </c>
      <c r="EO21" s="21">
        <f t="shared" ca="1" si="30"/>
        <v>0</v>
      </c>
      <c r="EP21" s="21">
        <f t="shared" ca="1" si="31"/>
        <v>0</v>
      </c>
      <c r="EQ21" s="21">
        <f t="shared" ca="1" si="32"/>
        <v>0</v>
      </c>
      <c r="ER21" s="88">
        <f t="shared" ca="1" si="33"/>
        <v>0</v>
      </c>
      <c r="ES21" s="9"/>
      <c r="ET21" s="4"/>
      <c r="EU21" s="4"/>
      <c r="EV21" s="133">
        <f t="shared" ca="1" si="34"/>
        <v>0</v>
      </c>
      <c r="EW21" s="5">
        <f t="shared" ca="1" si="35"/>
        <v>0</v>
      </c>
      <c r="EX21" s="5">
        <f t="shared" ca="1" si="36"/>
        <v>0</v>
      </c>
      <c r="EY21" s="5">
        <f t="shared" ca="1" si="37"/>
        <v>0</v>
      </c>
      <c r="EZ21" s="5">
        <f t="shared" ca="1" si="38"/>
        <v>0</v>
      </c>
      <c r="FA21" s="5">
        <f t="shared" ca="1" si="39"/>
        <v>0</v>
      </c>
      <c r="FB21" s="164">
        <f t="shared" ca="1" si="40"/>
        <v>0</v>
      </c>
      <c r="FD21" s="133">
        <f t="shared" ca="1" si="41"/>
        <v>0</v>
      </c>
      <c r="FE21" s="5">
        <f t="shared" ca="1" si="42"/>
        <v>0</v>
      </c>
      <c r="FF21" s="5">
        <f t="shared" ca="1" si="43"/>
        <v>0</v>
      </c>
      <c r="FG21" s="5">
        <f t="shared" ca="1" si="44"/>
        <v>0</v>
      </c>
      <c r="FH21" s="5">
        <f t="shared" ca="1" si="45"/>
        <v>0</v>
      </c>
      <c r="FI21" s="5">
        <f t="shared" ca="1" si="46"/>
        <v>0</v>
      </c>
      <c r="FJ21" s="138">
        <f t="shared" ca="1" si="47"/>
        <v>0</v>
      </c>
      <c r="FL21" s="133">
        <f t="shared" ca="1" si="48"/>
        <v>0</v>
      </c>
      <c r="FM21" s="5">
        <f t="shared" ca="1" si="49"/>
        <v>0</v>
      </c>
      <c r="FN21" s="5">
        <f t="shared" ca="1" si="50"/>
        <v>0</v>
      </c>
      <c r="FO21" s="5">
        <f t="shared" ca="1" si="51"/>
        <v>0</v>
      </c>
      <c r="FP21" s="5">
        <f t="shared" ca="1" si="52"/>
        <v>0</v>
      </c>
      <c r="FQ21" s="5">
        <f t="shared" ca="1" si="53"/>
        <v>0</v>
      </c>
      <c r="FR21" s="206">
        <f t="shared" ca="1" si="54"/>
        <v>0</v>
      </c>
      <c r="FT21" s="133">
        <f t="shared" ca="1" si="55"/>
        <v>0</v>
      </c>
      <c r="FU21" s="5">
        <f t="shared" ca="1" si="56"/>
        <v>0</v>
      </c>
      <c r="FV21" s="5">
        <f t="shared" ca="1" si="57"/>
        <v>0</v>
      </c>
      <c r="FW21" s="5">
        <f t="shared" ca="1" si="58"/>
        <v>0</v>
      </c>
      <c r="FX21" s="5">
        <f t="shared" ca="1" si="59"/>
        <v>0</v>
      </c>
      <c r="FY21" s="5">
        <f t="shared" ca="1" si="60"/>
        <v>0</v>
      </c>
      <c r="FZ21" s="178">
        <f t="shared" ca="1" si="61"/>
        <v>0</v>
      </c>
      <c r="GB21" s="133">
        <f t="shared" ca="1" si="62"/>
        <v>0</v>
      </c>
      <c r="GC21" s="5">
        <f t="shared" ca="1" si="63"/>
        <v>0</v>
      </c>
      <c r="GD21" s="5">
        <f t="shared" ca="1" si="64"/>
        <v>0</v>
      </c>
      <c r="GE21" s="5">
        <f t="shared" ca="1" si="65"/>
        <v>0</v>
      </c>
      <c r="GF21" s="5">
        <f t="shared" ca="1" si="66"/>
        <v>0</v>
      </c>
      <c r="GG21" s="5">
        <f t="shared" ca="1" si="67"/>
        <v>0</v>
      </c>
      <c r="GH21" s="150">
        <f t="shared" ca="1" si="68"/>
        <v>0</v>
      </c>
      <c r="GJ21" s="133">
        <f t="shared" ca="1" si="69"/>
        <v>0</v>
      </c>
      <c r="GK21" s="5">
        <f t="shared" ca="1" si="70"/>
        <v>0</v>
      </c>
      <c r="GL21" s="5">
        <f t="shared" ca="1" si="71"/>
        <v>0</v>
      </c>
      <c r="GM21" s="5">
        <f t="shared" ca="1" si="72"/>
        <v>0</v>
      </c>
      <c r="GN21" s="5">
        <f t="shared" ca="1" si="73"/>
        <v>0</v>
      </c>
      <c r="GO21" s="5">
        <f t="shared" ca="1" si="74"/>
        <v>0</v>
      </c>
      <c r="GP21" s="192">
        <f t="shared" ca="1" si="75"/>
        <v>0</v>
      </c>
      <c r="GR21" s="133"/>
      <c r="GS21" s="5"/>
      <c r="GT21" s="5"/>
      <c r="GU21" s="5"/>
      <c r="GV21" s="5"/>
      <c r="GW21" s="5"/>
      <c r="GX21" s="1102">
        <f t="shared" si="76"/>
        <v>0</v>
      </c>
      <c r="GZ21" s="575">
        <f t="shared" ca="1" si="77"/>
        <v>0</v>
      </c>
      <c r="HA21" s="5">
        <f t="shared" ca="1" si="78"/>
        <v>0</v>
      </c>
      <c r="HB21" s="5">
        <f t="shared" ca="1" si="79"/>
        <v>0</v>
      </c>
      <c r="HC21" s="5">
        <f t="shared" ca="1" si="80"/>
        <v>0</v>
      </c>
      <c r="HD21" s="5">
        <f t="shared" ca="1" si="81"/>
        <v>0</v>
      </c>
      <c r="HE21" s="5">
        <f t="shared" ca="1" si="82"/>
        <v>0</v>
      </c>
      <c r="HF21" s="2175">
        <f t="shared" ca="1" si="83"/>
        <v>0</v>
      </c>
      <c r="HG21" s="573">
        <f t="shared" ca="1" si="84"/>
        <v>0</v>
      </c>
      <c r="HH21" s="1"/>
    </row>
    <row r="22" spans="1:216" ht="15" hidden="1" customHeight="1" x14ac:dyDescent="0.25">
      <c r="A22" s="403"/>
      <c r="B22" s="3215"/>
      <c r="C22" s="2140">
        <f ca="1">'Calc - SENIOR PERS'!$B$118</f>
        <v>0</v>
      </c>
      <c r="D22" s="21">
        <f ca="1">'Calc - SENIOR PERS'!$O$123</f>
        <v>0</v>
      </c>
      <c r="E22" s="5">
        <f ca="1">'Calc - SENIOR PERS'!$O$124</f>
        <v>0</v>
      </c>
      <c r="F22" s="5">
        <f ca="1">'Calc - SENIOR PERS'!$O$125</f>
        <v>0</v>
      </c>
      <c r="G22" s="5">
        <f ca="1">'Calc - SENIOR PERS'!$O$126</f>
        <v>0</v>
      </c>
      <c r="H22" s="5">
        <f ca="1">'Calc - SENIOR PERS'!$O$127</f>
        <v>0</v>
      </c>
      <c r="I22" s="5">
        <f ca="1">'Calc - SENIOR PERS'!$O$128</f>
        <v>0</v>
      </c>
      <c r="J22" s="88">
        <f t="shared" ca="1" si="6"/>
        <v>0</v>
      </c>
      <c r="K22" s="9" t="str">
        <f ca="1">IF(J22&lt;&gt;'Calc - SENIOR PERS'!$O$129,"ERROR","")</f>
        <v/>
      </c>
      <c r="L22" s="4"/>
      <c r="M22" s="4"/>
      <c r="N22" s="133">
        <f ca="1">IF(AND((OFFSET('DATA INPUT'!$C$11, ROW()-ROW($N$14),0)=$N$10),
 OR(OFFSET('DATA INPUT'!$H$11,ROW()-ROW($N$14),0)=3,
OFFSET('DATA INPUT'!$V$11, ROW()-ROW($N$14),0)=3,
OFFSET('DATA INPUT'!$AD$11, ROW()-ROW($N$14),0)=3)),
OFFSET('Calc - SENIOR PERS'!$Y$11,COLUMN()-COLUMN($N$14) + (ROW()-ROW($N$14))*14,0),0)</f>
        <v>0</v>
      </c>
      <c r="O22" s="5">
        <f ca="1">IF(AND((OFFSET('DATA INPUT'!$C$11, ROW()-ROW($N$14),0)=$N$10),
 OR(OFFSET('DATA INPUT'!$H$11,ROW()-ROW($N$14),0)=3,
OFFSET('DATA INPUT'!$V$11, ROW()-ROW($N$14),0)=3,
OFFSET('DATA INPUT'!$AD$11, ROW()-ROW($N$14),0)=3)),
OFFSET('Calc - SENIOR PERS'!$Y$11,COLUMN()-COLUMN($N$14) + (ROW()-ROW($N$14))*14,0),0)</f>
        <v>0</v>
      </c>
      <c r="P22" s="5">
        <f ca="1">IF(AND((OFFSET('DATA INPUT'!$C$11, ROW()-ROW($N$14),0)=$N$10),
 OR(OFFSET('DATA INPUT'!$H$11,ROW()-ROW($N$14),0)=3,
OFFSET('DATA INPUT'!$V$11, ROW()-ROW($N$14),0)=3,
OFFSET('DATA INPUT'!$AD$11, ROW()-ROW($N$14),0)=3)),
OFFSET('Calc - SENIOR PERS'!$Y$11,COLUMN()-COLUMN($N$14) + (ROW()-ROW($N$14))*14,0),0)</f>
        <v>0</v>
      </c>
      <c r="Q22" s="5">
        <f ca="1">IF(AND((OFFSET('DATA INPUT'!$C$11, ROW()-ROW($N$14),0)=$N$10),
 OR(OFFSET('DATA INPUT'!$H$11,ROW()-ROW($N$14),0)=3,
OFFSET('DATA INPUT'!$V$11, ROW()-ROW($N$14),0)=3,
OFFSET('DATA INPUT'!$AD$11, ROW()-ROW($N$14),0)=3)),
OFFSET('Calc - SENIOR PERS'!$Y$11,COLUMN()-COLUMN($N$14) + (ROW()-ROW($N$14))*14,0),0)</f>
        <v>0</v>
      </c>
      <c r="R22" s="5">
        <f ca="1">IF(AND((OFFSET('DATA INPUT'!$C$11, ROW()-ROW($N$14),0)=$N$10),
 OR(OFFSET('DATA INPUT'!$H$11,ROW()-ROW($N$14),0)=3,
OFFSET('DATA INPUT'!$V$11, ROW()-ROW($N$14),0)=3,
OFFSET('DATA INPUT'!$AD$11, ROW()-ROW($N$14),0)=3)),
OFFSET('Calc - SENIOR PERS'!$Y$11,COLUMN()-COLUMN($N$14) + (ROW()-ROW($N$14))*14,0),0)</f>
        <v>0</v>
      </c>
      <c r="S22" s="5">
        <f ca="1">IF(AND((OFFSET('DATA INPUT'!$C$11, ROW()-ROW($N$14),0)=$N$10),
 OR(OFFSET('DATA INPUT'!$H$11,ROW()-ROW($N$14),0)=3,
OFFSET('DATA INPUT'!$V$11, ROW()-ROW($N$14),0)=3,
OFFSET('DATA INPUT'!$AD$11, ROW()-ROW($N$14),0)=3)),
OFFSET('Calc - SENIOR PERS'!$Y$11,COLUMN()-COLUMN($N$14) + (ROW()-ROW($N$14))*14,0),0)</f>
        <v>0</v>
      </c>
      <c r="T22" s="164">
        <f t="shared" ca="1" si="7"/>
        <v>0</v>
      </c>
      <c r="V22" s="133">
        <f ca="1">IF(AND((OFFSET('DATA INPUT'!$C$11, ROW()-ROW($V$14),0)=$V$10),
 OR(OFFSET('DATA INPUT'!$H$11,ROW()-ROW($V$14),0)=3,
OFFSET('DATA INPUT'!$V$11, ROW()-ROW($V$14),0)=3,
OFFSET('DATA INPUT'!$AD$11, ROW()-ROW($V$14),0)=3)),
OFFSET('Calc - SENIOR PERS'!$Y$11,COLUMN()-COLUMN($V$14) + (ROW()-ROW($V$14))*14,0),0)</f>
        <v>0</v>
      </c>
      <c r="W22" s="5">
        <f ca="1">IF(AND((OFFSET('DATA INPUT'!$C$11, ROW()-ROW($V$14),0)=$V$10),
 OR(OFFSET('DATA INPUT'!$H$11,ROW()-ROW($V$14),0)=3,
OFFSET('DATA INPUT'!$V$11, ROW()-ROW($V$14),0)=3,
OFFSET('DATA INPUT'!$AD$11, ROW()-ROW($V$14),0)=3)),
OFFSET('Calc - SENIOR PERS'!$Y$11,COLUMN()-COLUMN($V$14) + (ROW()-ROW($V$14))*14,0),0)</f>
        <v>0</v>
      </c>
      <c r="X22" s="5">
        <f ca="1">IF(AND((OFFSET('DATA INPUT'!$C$11, ROW()-ROW($V$14),0)=$V$10),
 OR(OFFSET('DATA INPUT'!$H$11,ROW()-ROW($V$14),0)=3,
OFFSET('DATA INPUT'!$V$11, ROW()-ROW($V$14),0)=3,
OFFSET('DATA INPUT'!$AD$11, ROW()-ROW($V$14),0)=3)),
OFFSET('Calc - SENIOR PERS'!$Y$11,COLUMN()-COLUMN($V$14) + (ROW()-ROW($V$14))*14,0),0)</f>
        <v>0</v>
      </c>
      <c r="Y22" s="5">
        <f ca="1">IF(AND((OFFSET('DATA INPUT'!$C$11, ROW()-ROW($V$14),0)=$V$10),
 OR(OFFSET('DATA INPUT'!$H$11,ROW()-ROW($V$14),0)=3,
OFFSET('DATA INPUT'!$V$11, ROW()-ROW($V$14),0)=3,
OFFSET('DATA INPUT'!$AD$11, ROW()-ROW($V$14),0)=3)),
OFFSET('Calc - SENIOR PERS'!$Y$11,COLUMN()-COLUMN($V$14) + (ROW()-ROW($V$14))*14,0),0)</f>
        <v>0</v>
      </c>
      <c r="Z22" s="5">
        <f ca="1">IF(AND((OFFSET('DATA INPUT'!$C$11, ROW()-ROW($V$14),0)=$V$10),
 OR(OFFSET('DATA INPUT'!$H$11,ROW()-ROW($V$14),0)=3,
OFFSET('DATA INPUT'!$V$11, ROW()-ROW($V$14),0)=3,
OFFSET('DATA INPUT'!$AD$11, ROW()-ROW($V$14),0)=3)),
OFFSET('Calc - SENIOR PERS'!$Y$11,COLUMN()-COLUMN($V$14) + (ROW()-ROW($V$14))*14,0),0)</f>
        <v>0</v>
      </c>
      <c r="AA22" s="5">
        <f ca="1">IF(AND((OFFSET('DATA INPUT'!$C$11, ROW()-ROW($V$14),0)=$V$10),
 OR(OFFSET('DATA INPUT'!$H$11,ROW()-ROW($V$14),0)=3,
OFFSET('DATA INPUT'!$V$11, ROW()-ROW($V$14),0)=3,
OFFSET('DATA INPUT'!$AD$11, ROW()-ROW($V$14),0)=3)),
OFFSET('Calc - SENIOR PERS'!$Y$11,COLUMN()-COLUMN($V$14) + (ROW()-ROW($V$14))*14,0),0)</f>
        <v>0</v>
      </c>
      <c r="AB22" s="138">
        <f t="shared" ca="1" si="8"/>
        <v>0</v>
      </c>
      <c r="AD22" s="133">
        <f ca="1">IF(AND((OFFSET('DATA INPUT'!$C$11, ROW()-ROW($AD$14),0)=$AD$10),
 OR(OFFSET('DATA INPUT'!$H$11,ROW()-ROW($AD$14),0)=3,
OFFSET('DATA INPUT'!$V$11, ROW()-ROW($AD$14),0)=3,
OFFSET('DATA INPUT'!$AD$11, ROW()-ROW($AD$14),0)=3)),
OFFSET('Calc - SENIOR PERS'!$Y$11,COLUMN()-COLUMN($AD$14) + (ROW()-ROW($AD$14))*14,0),0)</f>
        <v>0</v>
      </c>
      <c r="AE22" s="5">
        <f ca="1">IF(AND((OFFSET('DATA INPUT'!$C$11, ROW()-ROW($AD$14),0)=$AD$10),
 OR(OFFSET('DATA INPUT'!$H$11,ROW()-ROW($AD$14),0)=3,
OFFSET('DATA INPUT'!$V$11, ROW()-ROW($AD$14),0)=3,
OFFSET('DATA INPUT'!$AD$11, ROW()-ROW($AD$14),0)=3)),
OFFSET('Calc - SENIOR PERS'!$Y$11,COLUMN()-COLUMN($AD$14) + (ROW()-ROW($AD$14))*14,0),0)</f>
        <v>0</v>
      </c>
      <c r="AF22" s="5">
        <f ca="1">IF(AND((OFFSET('DATA INPUT'!$C$11, ROW()-ROW($AD$14),0)=$AD$10),
 OR(OFFSET('DATA INPUT'!$H$11,ROW()-ROW($AD$14),0)=3,
OFFSET('DATA INPUT'!$V$11, ROW()-ROW($AD$14),0)=3,
OFFSET('DATA INPUT'!$AD$11, ROW()-ROW($AD$14),0)=3)),
OFFSET('Calc - SENIOR PERS'!$Y$11,COLUMN()-COLUMN($AD$14) + (ROW()-ROW($AD$14))*14,0),0)</f>
        <v>0</v>
      </c>
      <c r="AG22" s="5">
        <f ca="1">IF(AND((OFFSET('DATA INPUT'!$C$11, ROW()-ROW($AD$14),0)=$AD$10),
 OR(OFFSET('DATA INPUT'!$H$11,ROW()-ROW($AD$14),0)=3,
OFFSET('DATA INPUT'!$V$11, ROW()-ROW($AD$14),0)=3,
OFFSET('DATA INPUT'!$AD$11, ROW()-ROW($AD$14),0)=3)),
OFFSET('Calc - SENIOR PERS'!$Y$11,COLUMN()-COLUMN($AD$14) + (ROW()-ROW($AD$14))*14,0),0)</f>
        <v>0</v>
      </c>
      <c r="AH22" s="5">
        <f ca="1">IF(AND((OFFSET('DATA INPUT'!$C$11, ROW()-ROW($AD$14),0)=$AD$10),
 OR(OFFSET('DATA INPUT'!$H$11,ROW()-ROW($AD$14),0)=3,
OFFSET('DATA INPUT'!$V$11, ROW()-ROW($AD$14),0)=3,
OFFSET('DATA INPUT'!$AD$11, ROW()-ROW($AD$14),0)=3)),
OFFSET('Calc - SENIOR PERS'!$Y$11,COLUMN()-COLUMN($AD$14) + (ROW()-ROW($AD$14))*14,0),0)</f>
        <v>0</v>
      </c>
      <c r="AI22" s="5">
        <f ca="1">IF(AND((OFFSET('DATA INPUT'!$C$11, ROW()-ROW($AD$14),0)=$AD$10),
 OR(OFFSET('DATA INPUT'!$H$11,ROW()-ROW($AD$14),0)=3,
OFFSET('DATA INPUT'!$V$11, ROW()-ROW($AD$14),0)=3,
OFFSET('DATA INPUT'!$AD$11, ROW()-ROW($AD$14),0)=3)),
OFFSET('Calc - SENIOR PERS'!$Y$11,COLUMN()-COLUMN($AD$14) + (ROW()-ROW($AD$14))*14,0),0)</f>
        <v>0</v>
      </c>
      <c r="AJ22" s="206">
        <f t="shared" ca="1" si="9"/>
        <v>0</v>
      </c>
      <c r="AL22" s="133">
        <f ca="1">IF(AND((OFFSET('DATA INPUT'!$C$11, ROW()-ROW($AL$14),0)=$AL$10),
 OR(OFFSET('DATA INPUT'!$H$11,ROW()-ROW($AL$14),0)=3,
OFFSET('DATA INPUT'!$V$11, ROW()-ROW($AL$14),0)=3,
OFFSET('DATA INPUT'!$AD$11, ROW()-ROW($AL$14),0)=3)),
OFFSET('Calc - SENIOR PERS'!$Y$11,COLUMN()-COLUMN($AL$14) + (ROW()-ROW($AL$14))*14,0),0)</f>
        <v>0</v>
      </c>
      <c r="AM22" s="5">
        <f ca="1">IF(AND((OFFSET('DATA INPUT'!$C$11, ROW()-ROW($AL$14),0)=$AL$10),
 OR(OFFSET('DATA INPUT'!$H$11,ROW()-ROW($AL$14),0)=3,
OFFSET('DATA INPUT'!$V$11, ROW()-ROW($AL$14),0)=3,
OFFSET('DATA INPUT'!$AD$11, ROW()-ROW($AL$14),0)=3)),
OFFSET('Calc - SENIOR PERS'!$Y$11,COLUMN()-COLUMN($AL$14) + (ROW()-ROW($AL$14))*14,0),0)</f>
        <v>0</v>
      </c>
      <c r="AN22" s="5">
        <f ca="1">IF(AND((OFFSET('DATA INPUT'!$C$11, ROW()-ROW($AL$14),0)=$AL$10),
 OR(OFFSET('DATA INPUT'!$H$11,ROW()-ROW($AL$14),0)=3,
OFFSET('DATA INPUT'!$V$11, ROW()-ROW($AL$14),0)=3,
OFFSET('DATA INPUT'!$AD$11, ROW()-ROW($AL$14),0)=3)),
OFFSET('Calc - SENIOR PERS'!$Y$11,COLUMN()-COLUMN($AL$14) + (ROW()-ROW($AL$14))*14,0),0)</f>
        <v>0</v>
      </c>
      <c r="AO22" s="5">
        <f ca="1">IF(AND((OFFSET('DATA INPUT'!$C$11, ROW()-ROW($AL$14),0)=$AL$10),
 OR(OFFSET('DATA INPUT'!$H$11,ROW()-ROW($AL$14),0)=3,
OFFSET('DATA INPUT'!$V$11, ROW()-ROW($AL$14),0)=3,
OFFSET('DATA INPUT'!$AD$11, ROW()-ROW($AL$14),0)=3)),
OFFSET('Calc - SENIOR PERS'!$Y$11,COLUMN()-COLUMN($AL$14) + (ROW()-ROW($AL$14))*14,0),0)</f>
        <v>0</v>
      </c>
      <c r="AP22" s="5">
        <f ca="1">IF(AND((OFFSET('DATA INPUT'!$C$11, ROW()-ROW($AL$14),0)=$AL$10),
 OR(OFFSET('DATA INPUT'!$H$11,ROW()-ROW($AL$14),0)=3,
OFFSET('DATA INPUT'!$V$11, ROW()-ROW($AL$14),0)=3,
OFFSET('DATA INPUT'!$AD$11, ROW()-ROW($AL$14),0)=3)),
OFFSET('Calc - SENIOR PERS'!$Y$11,COLUMN()-COLUMN($AL$14) + (ROW()-ROW($AL$14))*14,0),0)</f>
        <v>0</v>
      </c>
      <c r="AQ22" s="5">
        <f ca="1">IF(AND((OFFSET('DATA INPUT'!$C$11, ROW()-ROW($AL$14),0)=$AL$10),
 OR(OFFSET('DATA INPUT'!$H$11,ROW()-ROW($AL$14),0)=3,
OFFSET('DATA INPUT'!$V$11, ROW()-ROW($AL$14),0)=3,
OFFSET('DATA INPUT'!$AD$11, ROW()-ROW($AL$14),0)=3)),
OFFSET('Calc - SENIOR PERS'!$Y$11,COLUMN()-COLUMN($AL$14) + (ROW()-ROW($AL$14))*14,0),0)</f>
        <v>0</v>
      </c>
      <c r="AR22" s="178">
        <f t="shared" ca="1" si="10"/>
        <v>0</v>
      </c>
      <c r="AT22" s="133">
        <f ca="1">IF(AND((OFFSET('DATA INPUT'!$C$11, ROW()-ROW($AT$14),0)=$AT$10),
 OR(OFFSET('DATA INPUT'!$H$11,ROW()-ROW($AT$14),0)=3,
OFFSET('DATA INPUT'!$V$11, ROW()-ROW($AT$14),0)=3,
OFFSET('DATA INPUT'!$AD$11, ROW()-ROW($AT$14),0)=3)),
OFFSET('Calc - SENIOR PERS'!$Y$11,COLUMN()-COLUMN($AT$14) + (ROW()-ROW($AT$14))*14,0),0)</f>
        <v>0</v>
      </c>
      <c r="AU22" s="5">
        <f ca="1">IF(AND((OFFSET('DATA INPUT'!$C$11, ROW()-ROW($AT$14),0)=$AT$10),
 OR(OFFSET('DATA INPUT'!$H$11,ROW()-ROW($AT$14),0)=3,
OFFSET('DATA INPUT'!$V$11, ROW()-ROW($AT$14),0)=3,
OFFSET('DATA INPUT'!$AD$11, ROW()-ROW($AT$14),0)=3)),
OFFSET('Calc - SENIOR PERS'!$Y$11,COLUMN()-COLUMN($AT$14) + (ROW()-ROW($AT$14))*14,0),0)</f>
        <v>0</v>
      </c>
      <c r="AV22" s="5">
        <f ca="1">IF(AND((OFFSET('DATA INPUT'!$C$11, ROW()-ROW($AT$14),0)=$AT$10),
 OR(OFFSET('DATA INPUT'!$H$11,ROW()-ROW($AT$14),0)=3,
OFFSET('DATA INPUT'!$V$11, ROW()-ROW($AT$14),0)=3,
OFFSET('DATA INPUT'!$AD$11, ROW()-ROW($AT$14),0)=3)),
OFFSET('Calc - SENIOR PERS'!$Y$11,COLUMN()-COLUMN($AT$14) + (ROW()-ROW($AT$14))*14,0),0)</f>
        <v>0</v>
      </c>
      <c r="AW22" s="5">
        <f ca="1">IF(AND((OFFSET('DATA INPUT'!$C$11, ROW()-ROW($AT$14),0)=$AT$10),
 OR(OFFSET('DATA INPUT'!$H$11,ROW()-ROW($AT$14),0)=3,
OFFSET('DATA INPUT'!$V$11, ROW()-ROW($AT$14),0)=3,
OFFSET('DATA INPUT'!$AD$11, ROW()-ROW($AT$14),0)=3)),
OFFSET('Calc - SENIOR PERS'!$Y$11,COLUMN()-COLUMN($AT$14) + (ROW()-ROW($AT$14))*14,0),0)</f>
        <v>0</v>
      </c>
      <c r="AX22" s="5">
        <f ca="1">IF(AND((OFFSET('DATA INPUT'!$C$11, ROW()-ROW($AT$14),0)=$AT$10),
 OR(OFFSET('DATA INPUT'!$H$11,ROW()-ROW($AT$14),0)=3,
OFFSET('DATA INPUT'!$V$11, ROW()-ROW($AT$14),0)=3,
OFFSET('DATA INPUT'!$AD$11, ROW()-ROW($AT$14),0)=3)),
OFFSET('Calc - SENIOR PERS'!$Y$11,COLUMN()-COLUMN($AT$14) + (ROW()-ROW($AT$14))*14,0),0)</f>
        <v>0</v>
      </c>
      <c r="AY22" s="5">
        <f ca="1">IF(AND((OFFSET('DATA INPUT'!$C$11, ROW()-ROW($AT$14),0)=$AT$10),
 OR(OFFSET('DATA INPUT'!$H$11,ROW()-ROW($AT$14),0)=3,
OFFSET('DATA INPUT'!$V$11, ROW()-ROW($AT$14),0)=3,
OFFSET('DATA INPUT'!$AD$11, ROW()-ROW($AT$14),0)=3)),
OFFSET('Calc - SENIOR PERS'!$Y$11,COLUMN()-COLUMN($AT$14) + (ROW()-ROW($AT$14))*14,0),0)</f>
        <v>0</v>
      </c>
      <c r="AZ22" s="150">
        <f t="shared" ca="1" si="11"/>
        <v>0</v>
      </c>
      <c r="BB22" s="133">
        <f ca="1">IF(AND((OFFSET('DATA INPUT'!$C$11, ROW()-ROW($BB$14),0)=$BB$10),
 OR(OFFSET('DATA INPUT'!$H$11,ROW()-ROW($BB$14),0)=3,
OFFSET('DATA INPUT'!$V$11, ROW()-ROW($BB$14),0)=3,
OFFSET('DATA INPUT'!$AD$11, ROW()-ROW($BB$14),0)=3)),
OFFSET('Calc - SENIOR PERS'!$Y$11,COLUMN()-COLUMN($BB$14) + (ROW()-ROW($BB$14))*14,0),0)</f>
        <v>0</v>
      </c>
      <c r="BC22" s="5">
        <f ca="1">IF(AND((OFFSET('DATA INPUT'!$C$11, ROW()-ROW($BB$14),0)=$BB$10),
 OR(OFFSET('DATA INPUT'!$H$11,ROW()-ROW($BB$14),0)=3,
OFFSET('DATA INPUT'!$V$11, ROW()-ROW($BB$14),0)=3,
OFFSET('DATA INPUT'!$AD$11, ROW()-ROW($BB$14),0)=3)),
OFFSET('Calc - SENIOR PERS'!$Y$11,COLUMN()-COLUMN($BB$14) + (ROW()-ROW($BB$14))*14,0),0)</f>
        <v>0</v>
      </c>
      <c r="BD22" s="5">
        <f ca="1">IF(AND((OFFSET('DATA INPUT'!$C$11, ROW()-ROW($BB$14),0)=$BB$10),
 OR(OFFSET('DATA INPUT'!$H$11,ROW()-ROW($BB$14),0)=3,
OFFSET('DATA INPUT'!$V$11, ROW()-ROW($BB$14),0)=3,
OFFSET('DATA INPUT'!$AD$11, ROW()-ROW($BB$14),0)=3)),
OFFSET('Calc - SENIOR PERS'!$Y$11,COLUMN()-COLUMN($BB$14) + (ROW()-ROW($BB$14))*14,0),0)</f>
        <v>0</v>
      </c>
      <c r="BE22" s="5">
        <f ca="1">IF(AND((OFFSET('DATA INPUT'!$C$11, ROW()-ROW($BB$14),0)=$BB$10),
 OR(OFFSET('DATA INPUT'!$H$11,ROW()-ROW($BB$14),0)=3,
OFFSET('DATA INPUT'!$V$11, ROW()-ROW($BB$14),0)=3,
OFFSET('DATA INPUT'!$AD$11, ROW()-ROW($BB$14),0)=3)),
OFFSET('Calc - SENIOR PERS'!$Y$11,COLUMN()-COLUMN($BB$14) + (ROW()-ROW($BB$14))*14,0),0)</f>
        <v>0</v>
      </c>
      <c r="BF22" s="5">
        <f ca="1">IF(AND((OFFSET('DATA INPUT'!$C$11, ROW()-ROW($BB$14),0)=$BB$10),
 OR(OFFSET('DATA INPUT'!$H$11,ROW()-ROW($BB$14),0)=3,
OFFSET('DATA INPUT'!$V$11, ROW()-ROW($BB$14),0)=3,
OFFSET('DATA INPUT'!$AD$11, ROW()-ROW($BB$14),0)=3)),
OFFSET('Calc - SENIOR PERS'!$Y$11,COLUMN()-COLUMN($BB$14) + (ROW()-ROW($BB$14))*14,0),0)</f>
        <v>0</v>
      </c>
      <c r="BG22" s="5">
        <f ca="1">IF(AND((OFFSET('DATA INPUT'!$C$11, ROW()-ROW($BB$14),0)=$BB$10),
 OR(OFFSET('DATA INPUT'!$H$11,ROW()-ROW($BB$14),0)=3,
OFFSET('DATA INPUT'!$V$11, ROW()-ROW($BB$14),0)=3,
OFFSET('DATA INPUT'!$AD$11, ROW()-ROW($BB$14),0)=3)),
OFFSET('Calc - SENIOR PERS'!$Y$11,COLUMN()-COLUMN($BB$14) + (ROW()-ROW($BB$14))*14,0),0)</f>
        <v>0</v>
      </c>
      <c r="BH22" s="192">
        <f t="shared" ca="1" si="12"/>
        <v>0</v>
      </c>
      <c r="BJ22" s="133"/>
      <c r="BK22" s="5"/>
      <c r="BL22" s="5"/>
      <c r="BM22" s="5"/>
      <c r="BN22" s="5"/>
      <c r="BO22" s="5"/>
      <c r="BP22" s="1102">
        <f t="shared" si="13"/>
        <v>0</v>
      </c>
      <c r="BR22" s="575">
        <f t="shared" ca="1" si="14"/>
        <v>0</v>
      </c>
      <c r="BS22" s="5">
        <f t="shared" ca="1" si="15"/>
        <v>0</v>
      </c>
      <c r="BT22" s="5">
        <f t="shared" ca="1" si="16"/>
        <v>0</v>
      </c>
      <c r="BU22" s="5">
        <f t="shared" ca="1" si="17"/>
        <v>0</v>
      </c>
      <c r="BV22" s="5">
        <f t="shared" ca="1" si="18"/>
        <v>0</v>
      </c>
      <c r="BW22" s="5">
        <f t="shared" ca="1" si="19"/>
        <v>0</v>
      </c>
      <c r="BX22" s="2175">
        <f t="shared" ca="1" si="20"/>
        <v>0</v>
      </c>
      <c r="BY22" s="573">
        <f t="shared" ca="1" si="21"/>
        <v>0</v>
      </c>
      <c r="BZ22" s="1"/>
      <c r="CB22" s="1182"/>
      <c r="CC22" s="387">
        <f ca="1">'Calc - SENIOR PERS'!$O$124/9*3</f>
        <v>0</v>
      </c>
      <c r="CD22" s="56">
        <f ca="1">'Calc - SENIOR PERS'!$O$124/9*3</f>
        <v>0</v>
      </c>
      <c r="CE22" s="56">
        <f ca="1">'Calc - SENIOR PERS'!$O$124/9*2</f>
        <v>0</v>
      </c>
      <c r="CF22" s="56">
        <f ca="1">'Calc - SENIOR PERS'!$O$124/9*0.5</f>
        <v>0</v>
      </c>
      <c r="CG22" s="1183">
        <f ca="1">'Calc - SENIOR PERS'!$O$124/9*0.5</f>
        <v>0</v>
      </c>
      <c r="CH22" s="1184">
        <f ca="1">'Calc - SENIOR PERS'!$O$125/9*3</f>
        <v>0</v>
      </c>
      <c r="CI22" s="1185">
        <f ca="1">'Calc - SENIOR PERS'!$O$125/9*3</f>
        <v>0</v>
      </c>
      <c r="CJ22" s="1185">
        <f ca="1">'Calc - SENIOR PERS'!$O$125/9*2</f>
        <v>0</v>
      </c>
      <c r="CK22" s="1185">
        <f ca="1">'Calc - SENIOR PERS'!$O$125/9*0.5</f>
        <v>0</v>
      </c>
      <c r="CL22" s="1186">
        <f ca="1">'Calc - SENIOR PERS'!$O$125/9*0.5</f>
        <v>0</v>
      </c>
      <c r="CM22" s="1187">
        <f ca="1">'Calc - SENIOR PERS'!$O$126/8*3</f>
        <v>0</v>
      </c>
      <c r="CN22" s="1188">
        <f ca="1">'Calc - SENIOR PERS'!$O$126/8*3</f>
        <v>0</v>
      </c>
      <c r="CO22" s="1189">
        <f ca="1">'Calc - SENIOR PERS'!$O$126/8*2</f>
        <v>0</v>
      </c>
      <c r="CP22" s="1179">
        <f t="shared" ca="1" si="22"/>
        <v>0</v>
      </c>
      <c r="CR22" s="310"/>
      <c r="CS22" s="575"/>
      <c r="CT22" s="5"/>
      <c r="CU22" s="1180"/>
      <c r="CV22" s="575"/>
      <c r="CW22" s="5"/>
      <c r="CX22" s="1180"/>
      <c r="CY22" s="575"/>
      <c r="CZ22" s="5"/>
      <c r="DA22" s="1180"/>
      <c r="DB22" s="575"/>
      <c r="DC22" s="5"/>
      <c r="DD22" s="1180"/>
      <c r="DE22" s="1181">
        <f t="shared" si="23"/>
        <v>0</v>
      </c>
      <c r="DG22" s="575"/>
      <c r="DH22" s="5"/>
      <c r="DI22" s="1180"/>
      <c r="DJ22" s="575"/>
      <c r="DK22" s="5"/>
      <c r="DL22" s="1180"/>
      <c r="DM22" s="575"/>
      <c r="DN22" s="5"/>
      <c r="DO22" s="1180"/>
      <c r="DP22" s="575"/>
      <c r="DQ22" s="5"/>
      <c r="DR22" s="1180"/>
      <c r="DS22" s="1181">
        <f t="shared" si="24"/>
        <v>0</v>
      </c>
      <c r="DU22" s="575"/>
      <c r="DV22" s="5"/>
      <c r="DW22" s="1180"/>
      <c r="DX22" s="575"/>
      <c r="DY22" s="5"/>
      <c r="DZ22" s="1180"/>
      <c r="EA22" s="575"/>
      <c r="EB22" s="5"/>
      <c r="EC22" s="1180"/>
      <c r="ED22" s="575"/>
      <c r="EE22" s="5"/>
      <c r="EF22" s="1180"/>
      <c r="EG22" s="1181">
        <f t="shared" si="25"/>
        <v>0</v>
      </c>
      <c r="EI22" s="403"/>
      <c r="EJ22" s="3215"/>
      <c r="EK22" s="2140">
        <f t="shared" ca="1" si="26"/>
        <v>0</v>
      </c>
      <c r="EL22" s="21">
        <f t="shared" ca="1" si="27"/>
        <v>0</v>
      </c>
      <c r="EM22" s="21">
        <f t="shared" ca="1" si="28"/>
        <v>0</v>
      </c>
      <c r="EN22" s="21">
        <f t="shared" ca="1" si="29"/>
        <v>0</v>
      </c>
      <c r="EO22" s="21">
        <f t="shared" ca="1" si="30"/>
        <v>0</v>
      </c>
      <c r="EP22" s="21">
        <f t="shared" ca="1" si="31"/>
        <v>0</v>
      </c>
      <c r="EQ22" s="21">
        <f t="shared" ca="1" si="32"/>
        <v>0</v>
      </c>
      <c r="ER22" s="88">
        <f t="shared" ca="1" si="33"/>
        <v>0</v>
      </c>
      <c r="ES22" s="9"/>
      <c r="ET22" s="4"/>
      <c r="EU22" s="4"/>
      <c r="EV22" s="133">
        <f t="shared" ca="1" si="34"/>
        <v>0</v>
      </c>
      <c r="EW22" s="5">
        <f t="shared" ca="1" si="35"/>
        <v>0</v>
      </c>
      <c r="EX22" s="5">
        <f t="shared" ca="1" si="36"/>
        <v>0</v>
      </c>
      <c r="EY22" s="5">
        <f t="shared" ca="1" si="37"/>
        <v>0</v>
      </c>
      <c r="EZ22" s="5">
        <f t="shared" ca="1" si="38"/>
        <v>0</v>
      </c>
      <c r="FA22" s="5">
        <f t="shared" ca="1" si="39"/>
        <v>0</v>
      </c>
      <c r="FB22" s="164">
        <f t="shared" ca="1" si="40"/>
        <v>0</v>
      </c>
      <c r="FD22" s="133">
        <f t="shared" ca="1" si="41"/>
        <v>0</v>
      </c>
      <c r="FE22" s="5">
        <f t="shared" ca="1" si="42"/>
        <v>0</v>
      </c>
      <c r="FF22" s="5">
        <f t="shared" ca="1" si="43"/>
        <v>0</v>
      </c>
      <c r="FG22" s="5">
        <f t="shared" ca="1" si="44"/>
        <v>0</v>
      </c>
      <c r="FH22" s="5">
        <f t="shared" ca="1" si="45"/>
        <v>0</v>
      </c>
      <c r="FI22" s="5">
        <f t="shared" ca="1" si="46"/>
        <v>0</v>
      </c>
      <c r="FJ22" s="138">
        <f t="shared" ca="1" si="47"/>
        <v>0</v>
      </c>
      <c r="FL22" s="133">
        <f t="shared" ca="1" si="48"/>
        <v>0</v>
      </c>
      <c r="FM22" s="5">
        <f t="shared" ca="1" si="49"/>
        <v>0</v>
      </c>
      <c r="FN22" s="5">
        <f t="shared" ca="1" si="50"/>
        <v>0</v>
      </c>
      <c r="FO22" s="5">
        <f t="shared" ca="1" si="51"/>
        <v>0</v>
      </c>
      <c r="FP22" s="5">
        <f t="shared" ca="1" si="52"/>
        <v>0</v>
      </c>
      <c r="FQ22" s="5">
        <f t="shared" ca="1" si="53"/>
        <v>0</v>
      </c>
      <c r="FR22" s="206">
        <f t="shared" ca="1" si="54"/>
        <v>0</v>
      </c>
      <c r="FT22" s="133">
        <f t="shared" ca="1" si="55"/>
        <v>0</v>
      </c>
      <c r="FU22" s="5">
        <f t="shared" ca="1" si="56"/>
        <v>0</v>
      </c>
      <c r="FV22" s="5">
        <f t="shared" ca="1" si="57"/>
        <v>0</v>
      </c>
      <c r="FW22" s="5">
        <f t="shared" ca="1" si="58"/>
        <v>0</v>
      </c>
      <c r="FX22" s="5">
        <f t="shared" ca="1" si="59"/>
        <v>0</v>
      </c>
      <c r="FY22" s="5">
        <f t="shared" ca="1" si="60"/>
        <v>0</v>
      </c>
      <c r="FZ22" s="178">
        <f t="shared" ca="1" si="61"/>
        <v>0</v>
      </c>
      <c r="GB22" s="133">
        <f t="shared" ca="1" si="62"/>
        <v>0</v>
      </c>
      <c r="GC22" s="5">
        <f t="shared" ca="1" si="63"/>
        <v>0</v>
      </c>
      <c r="GD22" s="5">
        <f t="shared" ca="1" si="64"/>
        <v>0</v>
      </c>
      <c r="GE22" s="5">
        <f t="shared" ca="1" si="65"/>
        <v>0</v>
      </c>
      <c r="GF22" s="5">
        <f t="shared" ca="1" si="66"/>
        <v>0</v>
      </c>
      <c r="GG22" s="5">
        <f t="shared" ca="1" si="67"/>
        <v>0</v>
      </c>
      <c r="GH22" s="150">
        <f t="shared" ca="1" si="68"/>
        <v>0</v>
      </c>
      <c r="GJ22" s="133">
        <f t="shared" ca="1" si="69"/>
        <v>0</v>
      </c>
      <c r="GK22" s="5">
        <f t="shared" ca="1" si="70"/>
        <v>0</v>
      </c>
      <c r="GL22" s="5">
        <f t="shared" ca="1" si="71"/>
        <v>0</v>
      </c>
      <c r="GM22" s="5">
        <f t="shared" ca="1" si="72"/>
        <v>0</v>
      </c>
      <c r="GN22" s="5">
        <f t="shared" ca="1" si="73"/>
        <v>0</v>
      </c>
      <c r="GO22" s="5">
        <f t="shared" ca="1" si="74"/>
        <v>0</v>
      </c>
      <c r="GP22" s="192">
        <f t="shared" ca="1" si="75"/>
        <v>0</v>
      </c>
      <c r="GR22" s="133"/>
      <c r="GS22" s="5"/>
      <c r="GT22" s="5"/>
      <c r="GU22" s="5"/>
      <c r="GV22" s="5"/>
      <c r="GW22" s="5"/>
      <c r="GX22" s="1102">
        <f t="shared" si="76"/>
        <v>0</v>
      </c>
      <c r="GZ22" s="575">
        <f t="shared" ca="1" si="77"/>
        <v>0</v>
      </c>
      <c r="HA22" s="5">
        <f t="shared" ca="1" si="78"/>
        <v>0</v>
      </c>
      <c r="HB22" s="5">
        <f t="shared" ca="1" si="79"/>
        <v>0</v>
      </c>
      <c r="HC22" s="5">
        <f t="shared" ca="1" si="80"/>
        <v>0</v>
      </c>
      <c r="HD22" s="5">
        <f t="shared" ca="1" si="81"/>
        <v>0</v>
      </c>
      <c r="HE22" s="5">
        <f t="shared" ca="1" si="82"/>
        <v>0</v>
      </c>
      <c r="HF22" s="2175">
        <f t="shared" ca="1" si="83"/>
        <v>0</v>
      </c>
      <c r="HG22" s="573">
        <f t="shared" ca="1" si="84"/>
        <v>0</v>
      </c>
      <c r="HH22" s="1"/>
    </row>
    <row r="23" spans="1:216" ht="15" hidden="1" customHeight="1" x14ac:dyDescent="0.25">
      <c r="A23" s="406"/>
      <c r="B23" s="3215"/>
      <c r="C23" s="2140">
        <f ca="1">'Calc - SENIOR PERS'!$B$132</f>
        <v>0</v>
      </c>
      <c r="D23" s="21">
        <f ca="1">'Calc - SENIOR PERS'!$O$137</f>
        <v>0</v>
      </c>
      <c r="E23" s="5">
        <f ca="1">'Calc - SENIOR PERS'!$O$138</f>
        <v>0</v>
      </c>
      <c r="F23" s="5">
        <f ca="1">'Calc - SENIOR PERS'!$O$139</f>
        <v>0</v>
      </c>
      <c r="G23" s="5">
        <f ca="1">'Calc - SENIOR PERS'!$O$140</f>
        <v>0</v>
      </c>
      <c r="H23" s="5">
        <f ca="1">'Calc - SENIOR PERS'!$O$141</f>
        <v>0</v>
      </c>
      <c r="I23" s="5">
        <f ca="1">'Calc - SENIOR PERS'!$O$142</f>
        <v>0</v>
      </c>
      <c r="J23" s="351">
        <f t="shared" ca="1" si="6"/>
        <v>0</v>
      </c>
      <c r="K23" s="9" t="str">
        <f ca="1">IF(J23&lt;&gt;'Calc - SENIOR PERS'!$O$143,"ERROR","")</f>
        <v/>
      </c>
      <c r="L23" s="4"/>
      <c r="M23" s="4"/>
      <c r="N23" s="133">
        <f ca="1">IF(AND((OFFSET('DATA INPUT'!$C$11, ROW()-ROW($N$14),0)=$N$10),
 OR(OFFSET('DATA INPUT'!$H$11,ROW()-ROW($N$14),0)=3,
OFFSET('DATA INPUT'!$V$11, ROW()-ROW($N$14),0)=3,
OFFSET('DATA INPUT'!$AD$11, ROW()-ROW($N$14),0)=3)),
OFFSET('Calc - SENIOR PERS'!$Y$11,COLUMN()-COLUMN($N$14) + (ROW()-ROW($N$14))*14,0),0)</f>
        <v>0</v>
      </c>
      <c r="O23" s="5">
        <f ca="1">IF(AND((OFFSET('DATA INPUT'!$C$11, ROW()-ROW($N$14),0)=$N$10),
 OR(OFFSET('DATA INPUT'!$H$11,ROW()-ROW($N$14),0)=3,
OFFSET('DATA INPUT'!$V$11, ROW()-ROW($N$14),0)=3,
OFFSET('DATA INPUT'!$AD$11, ROW()-ROW($N$14),0)=3)),
OFFSET('Calc - SENIOR PERS'!$Y$11,COLUMN()-COLUMN($N$14) + (ROW()-ROW($N$14))*14,0),0)</f>
        <v>0</v>
      </c>
      <c r="P23" s="5">
        <f ca="1">IF(AND((OFFSET('DATA INPUT'!$C$11, ROW()-ROW($N$14),0)=$N$10),
 OR(OFFSET('DATA INPUT'!$H$11,ROW()-ROW($N$14),0)=3,
OFFSET('DATA INPUT'!$V$11, ROW()-ROW($N$14),0)=3,
OFFSET('DATA INPUT'!$AD$11, ROW()-ROW($N$14),0)=3)),
OFFSET('Calc - SENIOR PERS'!$Y$11,COLUMN()-COLUMN($N$14) + (ROW()-ROW($N$14))*14,0),0)</f>
        <v>0</v>
      </c>
      <c r="Q23" s="5">
        <f ca="1">IF(AND((OFFSET('DATA INPUT'!$C$11, ROW()-ROW($N$14),0)=$N$10),
 OR(OFFSET('DATA INPUT'!$H$11,ROW()-ROW($N$14),0)=3,
OFFSET('DATA INPUT'!$V$11, ROW()-ROW($N$14),0)=3,
OFFSET('DATA INPUT'!$AD$11, ROW()-ROW($N$14),0)=3)),
OFFSET('Calc - SENIOR PERS'!$Y$11,COLUMN()-COLUMN($N$14) + (ROW()-ROW($N$14))*14,0),0)</f>
        <v>0</v>
      </c>
      <c r="R23" s="5">
        <f ca="1">IF(AND((OFFSET('DATA INPUT'!$C$11, ROW()-ROW($N$14),0)=$N$10),
 OR(OFFSET('DATA INPUT'!$H$11,ROW()-ROW($N$14),0)=3,
OFFSET('DATA INPUT'!$V$11, ROW()-ROW($N$14),0)=3,
OFFSET('DATA INPUT'!$AD$11, ROW()-ROW($N$14),0)=3)),
OFFSET('Calc - SENIOR PERS'!$Y$11,COLUMN()-COLUMN($N$14) + (ROW()-ROW($N$14))*14,0),0)</f>
        <v>0</v>
      </c>
      <c r="S23" s="5">
        <f ca="1">IF(AND((OFFSET('DATA INPUT'!$C$11, ROW()-ROW($N$14),0)=$N$10),
 OR(OFFSET('DATA INPUT'!$H$11,ROW()-ROW($N$14),0)=3,
OFFSET('DATA INPUT'!$V$11, ROW()-ROW($N$14),0)=3,
OFFSET('DATA INPUT'!$AD$11, ROW()-ROW($N$14),0)=3)),
OFFSET('Calc - SENIOR PERS'!$Y$11,COLUMN()-COLUMN($N$14) + (ROW()-ROW($N$14))*14,0),0)</f>
        <v>0</v>
      </c>
      <c r="T23" s="164">
        <f t="shared" ca="1" si="7"/>
        <v>0</v>
      </c>
      <c r="V23" s="133">
        <f ca="1">IF(AND((OFFSET('DATA INPUT'!$C$11, ROW()-ROW($V$14),0)=$V$10),
 OR(OFFSET('DATA INPUT'!$H$11,ROW()-ROW($V$14),0)=3,
OFFSET('DATA INPUT'!$V$11, ROW()-ROW($V$14),0)=3,
OFFSET('DATA INPUT'!$AD$11, ROW()-ROW($V$14),0)=3)),
OFFSET('Calc - SENIOR PERS'!$Y$11,COLUMN()-COLUMN($V$14) + (ROW()-ROW($V$14))*14,0),0)</f>
        <v>0</v>
      </c>
      <c r="W23" s="5">
        <f ca="1">IF(AND((OFFSET('DATA INPUT'!$C$11, ROW()-ROW($V$14),0)=$V$10),
 OR(OFFSET('DATA INPUT'!$H$11,ROW()-ROW($V$14),0)=3,
OFFSET('DATA INPUT'!$V$11, ROW()-ROW($V$14),0)=3,
OFFSET('DATA INPUT'!$AD$11, ROW()-ROW($V$14),0)=3)),
OFFSET('Calc - SENIOR PERS'!$Y$11,COLUMN()-COLUMN($V$14) + (ROW()-ROW($V$14))*14,0),0)</f>
        <v>0</v>
      </c>
      <c r="X23" s="5">
        <f ca="1">IF(AND((OFFSET('DATA INPUT'!$C$11, ROW()-ROW($V$14),0)=$V$10),
 OR(OFFSET('DATA INPUT'!$H$11,ROW()-ROW($V$14),0)=3,
OFFSET('DATA INPUT'!$V$11, ROW()-ROW($V$14),0)=3,
OFFSET('DATA INPUT'!$AD$11, ROW()-ROW($V$14),0)=3)),
OFFSET('Calc - SENIOR PERS'!$Y$11,COLUMN()-COLUMN($V$14) + (ROW()-ROW($V$14))*14,0),0)</f>
        <v>0</v>
      </c>
      <c r="Y23" s="5">
        <f ca="1">IF(AND((OFFSET('DATA INPUT'!$C$11, ROW()-ROW($V$14),0)=$V$10),
 OR(OFFSET('DATA INPUT'!$H$11,ROW()-ROW($V$14),0)=3,
OFFSET('DATA INPUT'!$V$11, ROW()-ROW($V$14),0)=3,
OFFSET('DATA INPUT'!$AD$11, ROW()-ROW($V$14),0)=3)),
OFFSET('Calc - SENIOR PERS'!$Y$11,COLUMN()-COLUMN($V$14) + (ROW()-ROW($V$14))*14,0),0)</f>
        <v>0</v>
      </c>
      <c r="Z23" s="5">
        <f ca="1">IF(AND((OFFSET('DATA INPUT'!$C$11, ROW()-ROW($V$14),0)=$V$10),
 OR(OFFSET('DATA INPUT'!$H$11,ROW()-ROW($V$14),0)=3,
OFFSET('DATA INPUT'!$V$11, ROW()-ROW($V$14),0)=3,
OFFSET('DATA INPUT'!$AD$11, ROW()-ROW($V$14),0)=3)),
OFFSET('Calc - SENIOR PERS'!$Y$11,COLUMN()-COLUMN($V$14) + (ROW()-ROW($V$14))*14,0),0)</f>
        <v>0</v>
      </c>
      <c r="AA23" s="5">
        <f ca="1">IF(AND((OFFSET('DATA INPUT'!$C$11, ROW()-ROW($V$14),0)=$V$10),
 OR(OFFSET('DATA INPUT'!$H$11,ROW()-ROW($V$14),0)=3,
OFFSET('DATA INPUT'!$V$11, ROW()-ROW($V$14),0)=3,
OFFSET('DATA INPUT'!$AD$11, ROW()-ROW($V$14),0)=3)),
OFFSET('Calc - SENIOR PERS'!$Y$11,COLUMN()-COLUMN($V$14) + (ROW()-ROW($V$14))*14,0),0)</f>
        <v>0</v>
      </c>
      <c r="AB23" s="138">
        <f t="shared" ca="1" si="8"/>
        <v>0</v>
      </c>
      <c r="AD23" s="133">
        <f ca="1">IF(AND((OFFSET('DATA INPUT'!$C$11, ROW()-ROW($AD$14),0)=$AD$10),
 OR(OFFSET('DATA INPUT'!$H$11,ROW()-ROW($AD$14),0)=3,
OFFSET('DATA INPUT'!$V$11, ROW()-ROW($AD$14),0)=3,
OFFSET('DATA INPUT'!$AD$11, ROW()-ROW($AD$14),0)=3)),
OFFSET('Calc - SENIOR PERS'!$Y$11,COLUMN()-COLUMN($AD$14) + (ROW()-ROW($AD$14))*14,0),0)</f>
        <v>0</v>
      </c>
      <c r="AE23" s="5">
        <f ca="1">IF(AND((OFFSET('DATA INPUT'!$C$11, ROW()-ROW($AD$14),0)=$AD$10),
 OR(OFFSET('DATA INPUT'!$H$11,ROW()-ROW($AD$14),0)=3,
OFFSET('DATA INPUT'!$V$11, ROW()-ROW($AD$14),0)=3,
OFFSET('DATA INPUT'!$AD$11, ROW()-ROW($AD$14),0)=3)),
OFFSET('Calc - SENIOR PERS'!$Y$11,COLUMN()-COLUMN($AD$14) + (ROW()-ROW($AD$14))*14,0),0)</f>
        <v>0</v>
      </c>
      <c r="AF23" s="5">
        <f ca="1">IF(AND((OFFSET('DATA INPUT'!$C$11, ROW()-ROW($AD$14),0)=$AD$10),
 OR(OFFSET('DATA INPUT'!$H$11,ROW()-ROW($AD$14),0)=3,
OFFSET('DATA INPUT'!$V$11, ROW()-ROW($AD$14),0)=3,
OFFSET('DATA INPUT'!$AD$11, ROW()-ROW($AD$14),0)=3)),
OFFSET('Calc - SENIOR PERS'!$Y$11,COLUMN()-COLUMN($AD$14) + (ROW()-ROW($AD$14))*14,0),0)</f>
        <v>0</v>
      </c>
      <c r="AG23" s="5">
        <f ca="1">IF(AND((OFFSET('DATA INPUT'!$C$11, ROW()-ROW($AD$14),0)=$AD$10),
 OR(OFFSET('DATA INPUT'!$H$11,ROW()-ROW($AD$14),0)=3,
OFFSET('DATA INPUT'!$V$11, ROW()-ROW($AD$14),0)=3,
OFFSET('DATA INPUT'!$AD$11, ROW()-ROW($AD$14),0)=3)),
OFFSET('Calc - SENIOR PERS'!$Y$11,COLUMN()-COLUMN($AD$14) + (ROW()-ROW($AD$14))*14,0),0)</f>
        <v>0</v>
      </c>
      <c r="AH23" s="5">
        <f ca="1">IF(AND((OFFSET('DATA INPUT'!$C$11, ROW()-ROW($AD$14),0)=$AD$10),
 OR(OFFSET('DATA INPUT'!$H$11,ROW()-ROW($AD$14),0)=3,
OFFSET('DATA INPUT'!$V$11, ROW()-ROW($AD$14),0)=3,
OFFSET('DATA INPUT'!$AD$11, ROW()-ROW($AD$14),0)=3)),
OFFSET('Calc - SENIOR PERS'!$Y$11,COLUMN()-COLUMN($AD$14) + (ROW()-ROW($AD$14))*14,0),0)</f>
        <v>0</v>
      </c>
      <c r="AI23" s="5">
        <f ca="1">IF(AND((OFFSET('DATA INPUT'!$C$11, ROW()-ROW($AD$14),0)=$AD$10),
 OR(OFFSET('DATA INPUT'!$H$11,ROW()-ROW($AD$14),0)=3,
OFFSET('DATA INPUT'!$V$11, ROW()-ROW($AD$14),0)=3,
OFFSET('DATA INPUT'!$AD$11, ROW()-ROW($AD$14),0)=3)),
OFFSET('Calc - SENIOR PERS'!$Y$11,COLUMN()-COLUMN($AD$14) + (ROW()-ROW($AD$14))*14,0),0)</f>
        <v>0</v>
      </c>
      <c r="AJ23" s="206">
        <f t="shared" ca="1" si="9"/>
        <v>0</v>
      </c>
      <c r="AL23" s="133">
        <f ca="1">IF(AND((OFFSET('DATA INPUT'!$C$11, ROW()-ROW($AL$14),0)=$AL$10),
 OR(OFFSET('DATA INPUT'!$H$11,ROW()-ROW($AL$14),0)=3,
OFFSET('DATA INPUT'!$V$11, ROW()-ROW($AL$14),0)=3,
OFFSET('DATA INPUT'!$AD$11, ROW()-ROW($AL$14),0)=3)),
OFFSET('Calc - SENIOR PERS'!$Y$11,COLUMN()-COLUMN($AL$14) + (ROW()-ROW($AL$14))*14,0),0)</f>
        <v>0</v>
      </c>
      <c r="AM23" s="5">
        <f ca="1">IF(AND((OFFSET('DATA INPUT'!$C$11, ROW()-ROW($AL$14),0)=$AL$10),
 OR(OFFSET('DATA INPUT'!$H$11,ROW()-ROW($AL$14),0)=3,
OFFSET('DATA INPUT'!$V$11, ROW()-ROW($AL$14),0)=3,
OFFSET('DATA INPUT'!$AD$11, ROW()-ROW($AL$14),0)=3)),
OFFSET('Calc - SENIOR PERS'!$Y$11,COLUMN()-COLUMN($AL$14) + (ROW()-ROW($AL$14))*14,0),0)</f>
        <v>0</v>
      </c>
      <c r="AN23" s="5">
        <f ca="1">IF(AND((OFFSET('DATA INPUT'!$C$11, ROW()-ROW($AL$14),0)=$AL$10),
 OR(OFFSET('DATA INPUT'!$H$11,ROW()-ROW($AL$14),0)=3,
OFFSET('DATA INPUT'!$V$11, ROW()-ROW($AL$14),0)=3,
OFFSET('DATA INPUT'!$AD$11, ROW()-ROW($AL$14),0)=3)),
OFFSET('Calc - SENIOR PERS'!$Y$11,COLUMN()-COLUMN($AL$14) + (ROW()-ROW($AL$14))*14,0),0)</f>
        <v>0</v>
      </c>
      <c r="AO23" s="5">
        <f ca="1">IF(AND((OFFSET('DATA INPUT'!$C$11, ROW()-ROW($AL$14),0)=$AL$10),
 OR(OFFSET('DATA INPUT'!$H$11,ROW()-ROW($AL$14),0)=3,
OFFSET('DATA INPUT'!$V$11, ROW()-ROW($AL$14),0)=3,
OFFSET('DATA INPUT'!$AD$11, ROW()-ROW($AL$14),0)=3)),
OFFSET('Calc - SENIOR PERS'!$Y$11,COLUMN()-COLUMN($AL$14) + (ROW()-ROW($AL$14))*14,0),0)</f>
        <v>0</v>
      </c>
      <c r="AP23" s="5">
        <f ca="1">IF(AND((OFFSET('DATA INPUT'!$C$11, ROW()-ROW($AL$14),0)=$AL$10),
 OR(OFFSET('DATA INPUT'!$H$11,ROW()-ROW($AL$14),0)=3,
OFFSET('DATA INPUT'!$V$11, ROW()-ROW($AL$14),0)=3,
OFFSET('DATA INPUT'!$AD$11, ROW()-ROW($AL$14),0)=3)),
OFFSET('Calc - SENIOR PERS'!$Y$11,COLUMN()-COLUMN($AL$14) + (ROW()-ROW($AL$14))*14,0),0)</f>
        <v>0</v>
      </c>
      <c r="AQ23" s="5">
        <f ca="1">IF(AND((OFFSET('DATA INPUT'!$C$11, ROW()-ROW($AL$14),0)=$AL$10),
 OR(OFFSET('DATA INPUT'!$H$11,ROW()-ROW($AL$14),0)=3,
OFFSET('DATA INPUT'!$V$11, ROW()-ROW($AL$14),0)=3,
OFFSET('DATA INPUT'!$AD$11, ROW()-ROW($AL$14),0)=3)),
OFFSET('Calc - SENIOR PERS'!$Y$11,COLUMN()-COLUMN($AL$14) + (ROW()-ROW($AL$14))*14,0),0)</f>
        <v>0</v>
      </c>
      <c r="AR23" s="178">
        <f t="shared" ca="1" si="10"/>
        <v>0</v>
      </c>
      <c r="AT23" s="133">
        <f ca="1">IF(AND((OFFSET('DATA INPUT'!$C$11, ROW()-ROW($AT$14),0)=$AT$10),
 OR(OFFSET('DATA INPUT'!$H$11,ROW()-ROW($AT$14),0)=3,
OFFSET('DATA INPUT'!$V$11, ROW()-ROW($AT$14),0)=3,
OFFSET('DATA INPUT'!$AD$11, ROW()-ROW($AT$14),0)=3)),
OFFSET('Calc - SENIOR PERS'!$Y$11,COLUMN()-COLUMN($AT$14) + (ROW()-ROW($AT$14))*14,0),0)</f>
        <v>0</v>
      </c>
      <c r="AU23" s="5">
        <f ca="1">IF(AND((OFFSET('DATA INPUT'!$C$11, ROW()-ROW($AT$14),0)=$AT$10),
 OR(OFFSET('DATA INPUT'!$H$11,ROW()-ROW($AT$14),0)=3,
OFFSET('DATA INPUT'!$V$11, ROW()-ROW($AT$14),0)=3,
OFFSET('DATA INPUT'!$AD$11, ROW()-ROW($AT$14),0)=3)),
OFFSET('Calc - SENIOR PERS'!$Y$11,COLUMN()-COLUMN($AT$14) + (ROW()-ROW($AT$14))*14,0),0)</f>
        <v>0</v>
      </c>
      <c r="AV23" s="5">
        <f ca="1">IF(AND((OFFSET('DATA INPUT'!$C$11, ROW()-ROW($AT$14),0)=$AT$10),
 OR(OFFSET('DATA INPUT'!$H$11,ROW()-ROW($AT$14),0)=3,
OFFSET('DATA INPUT'!$V$11, ROW()-ROW($AT$14),0)=3,
OFFSET('DATA INPUT'!$AD$11, ROW()-ROW($AT$14),0)=3)),
OFFSET('Calc - SENIOR PERS'!$Y$11,COLUMN()-COLUMN($AT$14) + (ROW()-ROW($AT$14))*14,0),0)</f>
        <v>0</v>
      </c>
      <c r="AW23" s="5">
        <f ca="1">IF(AND((OFFSET('DATA INPUT'!$C$11, ROW()-ROW($AT$14),0)=$AT$10),
 OR(OFFSET('DATA INPUT'!$H$11,ROW()-ROW($AT$14),0)=3,
OFFSET('DATA INPUT'!$V$11, ROW()-ROW($AT$14),0)=3,
OFFSET('DATA INPUT'!$AD$11, ROW()-ROW($AT$14),0)=3)),
OFFSET('Calc - SENIOR PERS'!$Y$11,COLUMN()-COLUMN($AT$14) + (ROW()-ROW($AT$14))*14,0),0)</f>
        <v>0</v>
      </c>
      <c r="AX23" s="5">
        <f ca="1">IF(AND((OFFSET('DATA INPUT'!$C$11, ROW()-ROW($AT$14),0)=$AT$10),
 OR(OFFSET('DATA INPUT'!$H$11,ROW()-ROW($AT$14),0)=3,
OFFSET('DATA INPUT'!$V$11, ROW()-ROW($AT$14),0)=3,
OFFSET('DATA INPUT'!$AD$11, ROW()-ROW($AT$14),0)=3)),
OFFSET('Calc - SENIOR PERS'!$Y$11,COLUMN()-COLUMN($AT$14) + (ROW()-ROW($AT$14))*14,0),0)</f>
        <v>0</v>
      </c>
      <c r="AY23" s="5">
        <f ca="1">IF(AND((OFFSET('DATA INPUT'!$C$11, ROW()-ROW($AT$14),0)=$AT$10),
 OR(OFFSET('DATA INPUT'!$H$11,ROW()-ROW($AT$14),0)=3,
OFFSET('DATA INPUT'!$V$11, ROW()-ROW($AT$14),0)=3,
OFFSET('DATA INPUT'!$AD$11, ROW()-ROW($AT$14),0)=3)),
OFFSET('Calc - SENIOR PERS'!$Y$11,COLUMN()-COLUMN($AT$14) + (ROW()-ROW($AT$14))*14,0),0)</f>
        <v>0</v>
      </c>
      <c r="AZ23" s="150">
        <f t="shared" ca="1" si="11"/>
        <v>0</v>
      </c>
      <c r="BB23" s="133">
        <f ca="1">IF(AND((OFFSET('DATA INPUT'!$C$11, ROW()-ROW($BB$14),0)=$BB$10),
 OR(OFFSET('DATA INPUT'!$H$11,ROW()-ROW($BB$14),0)=3,
OFFSET('DATA INPUT'!$V$11, ROW()-ROW($BB$14),0)=3,
OFFSET('DATA INPUT'!$AD$11, ROW()-ROW($BB$14),0)=3)),
OFFSET('Calc - SENIOR PERS'!$Y$11,COLUMN()-COLUMN($BB$14) + (ROW()-ROW($BB$14))*14,0),0)</f>
        <v>0</v>
      </c>
      <c r="BC23" s="5">
        <f ca="1">IF(AND((OFFSET('DATA INPUT'!$C$11, ROW()-ROW($BB$14),0)=$BB$10),
 OR(OFFSET('DATA INPUT'!$H$11,ROW()-ROW($BB$14),0)=3,
OFFSET('DATA INPUT'!$V$11, ROW()-ROW($BB$14),0)=3,
OFFSET('DATA INPUT'!$AD$11, ROW()-ROW($BB$14),0)=3)),
OFFSET('Calc - SENIOR PERS'!$Y$11,COLUMN()-COLUMN($BB$14) + (ROW()-ROW($BB$14))*14,0),0)</f>
        <v>0</v>
      </c>
      <c r="BD23" s="5">
        <f ca="1">IF(AND((OFFSET('DATA INPUT'!$C$11, ROW()-ROW($BB$14),0)=$BB$10),
 OR(OFFSET('DATA INPUT'!$H$11,ROW()-ROW($BB$14),0)=3,
OFFSET('DATA INPUT'!$V$11, ROW()-ROW($BB$14),0)=3,
OFFSET('DATA INPUT'!$AD$11, ROW()-ROW($BB$14),0)=3)),
OFFSET('Calc - SENIOR PERS'!$Y$11,COLUMN()-COLUMN($BB$14) + (ROW()-ROW($BB$14))*14,0),0)</f>
        <v>0</v>
      </c>
      <c r="BE23" s="5">
        <f ca="1">IF(AND((OFFSET('DATA INPUT'!$C$11, ROW()-ROW($BB$14),0)=$BB$10),
 OR(OFFSET('DATA INPUT'!$H$11,ROW()-ROW($BB$14),0)=3,
OFFSET('DATA INPUT'!$V$11, ROW()-ROW($BB$14),0)=3,
OFFSET('DATA INPUT'!$AD$11, ROW()-ROW($BB$14),0)=3)),
OFFSET('Calc - SENIOR PERS'!$Y$11,COLUMN()-COLUMN($BB$14) + (ROW()-ROW($BB$14))*14,0),0)</f>
        <v>0</v>
      </c>
      <c r="BF23" s="5">
        <f ca="1">IF(AND((OFFSET('DATA INPUT'!$C$11, ROW()-ROW($BB$14),0)=$BB$10),
 OR(OFFSET('DATA INPUT'!$H$11,ROW()-ROW($BB$14),0)=3,
OFFSET('DATA INPUT'!$V$11, ROW()-ROW($BB$14),0)=3,
OFFSET('DATA INPUT'!$AD$11, ROW()-ROW($BB$14),0)=3)),
OFFSET('Calc - SENIOR PERS'!$Y$11,COLUMN()-COLUMN($BB$14) + (ROW()-ROW($BB$14))*14,0),0)</f>
        <v>0</v>
      </c>
      <c r="BG23" s="5">
        <f ca="1">IF(AND((OFFSET('DATA INPUT'!$C$11, ROW()-ROW($BB$14),0)=$BB$10),
 OR(OFFSET('DATA INPUT'!$H$11,ROW()-ROW($BB$14),0)=3,
OFFSET('DATA INPUT'!$V$11, ROW()-ROW($BB$14),0)=3,
OFFSET('DATA INPUT'!$AD$11, ROW()-ROW($BB$14),0)=3)),
OFFSET('Calc - SENIOR PERS'!$Y$11,COLUMN()-COLUMN($BB$14) + (ROW()-ROW($BB$14))*14,0),0)</f>
        <v>0</v>
      </c>
      <c r="BH23" s="192">
        <f t="shared" ca="1" si="12"/>
        <v>0</v>
      </c>
      <c r="BJ23" s="133"/>
      <c r="BK23" s="5"/>
      <c r="BL23" s="5"/>
      <c r="BM23" s="5"/>
      <c r="BN23" s="5"/>
      <c r="BO23" s="5"/>
      <c r="BP23" s="1102">
        <f t="shared" si="13"/>
        <v>0</v>
      </c>
      <c r="BR23" s="575">
        <f t="shared" ca="1" si="14"/>
        <v>0</v>
      </c>
      <c r="BS23" s="5">
        <f t="shared" ca="1" si="15"/>
        <v>0</v>
      </c>
      <c r="BT23" s="5">
        <f t="shared" ca="1" si="16"/>
        <v>0</v>
      </c>
      <c r="BU23" s="5">
        <f t="shared" ca="1" si="17"/>
        <v>0</v>
      </c>
      <c r="BV23" s="5">
        <f t="shared" ca="1" si="18"/>
        <v>0</v>
      </c>
      <c r="BW23" s="5">
        <f t="shared" ca="1" si="19"/>
        <v>0</v>
      </c>
      <c r="BX23" s="2175">
        <f t="shared" ca="1" si="20"/>
        <v>0</v>
      </c>
      <c r="BY23" s="573">
        <f t="shared" ca="1" si="21"/>
        <v>0</v>
      </c>
      <c r="BZ23" s="1"/>
      <c r="CB23" s="1182"/>
      <c r="CC23" s="387">
        <f ca="1">'Calc - SENIOR PERS'!$O$138/9*3</f>
        <v>0</v>
      </c>
      <c r="CD23" s="56">
        <f ca="1">'Calc - SENIOR PERS'!$O$138/9*3</f>
        <v>0</v>
      </c>
      <c r="CE23" s="56">
        <f ca="1">'Calc - SENIOR PERS'!$O$138/9*2</f>
        <v>0</v>
      </c>
      <c r="CF23" s="56">
        <f ca="1">'Calc - SENIOR PERS'!$O$138/9*0.5</f>
        <v>0</v>
      </c>
      <c r="CG23" s="1183">
        <f ca="1">'Calc - SENIOR PERS'!$O$138/9*0.5</f>
        <v>0</v>
      </c>
      <c r="CH23" s="1184">
        <f ca="1">'Calc - SENIOR PERS'!$O$139/9*3</f>
        <v>0</v>
      </c>
      <c r="CI23" s="1185">
        <f ca="1">'Calc - SENIOR PERS'!$O$139/9*3</f>
        <v>0</v>
      </c>
      <c r="CJ23" s="1185">
        <f ca="1">'Calc - SENIOR PERS'!$O$139/9*2</f>
        <v>0</v>
      </c>
      <c r="CK23" s="1185">
        <f ca="1">'Calc - SENIOR PERS'!$O$139/9*0.5</f>
        <v>0</v>
      </c>
      <c r="CL23" s="1186">
        <f ca="1">'Calc - SENIOR PERS'!$O$139/9*0.5</f>
        <v>0</v>
      </c>
      <c r="CM23" s="1187">
        <f ca="1">'Calc - SENIOR PERS'!$O$140/8*3</f>
        <v>0</v>
      </c>
      <c r="CN23" s="1188">
        <f ca="1">'Calc - SENIOR PERS'!$O$140/8*3</f>
        <v>0</v>
      </c>
      <c r="CO23" s="1189">
        <f ca="1">'Calc - SENIOR PERS'!$O$140/8*2</f>
        <v>0</v>
      </c>
      <c r="CP23" s="1179">
        <f t="shared" ca="1" si="22"/>
        <v>0</v>
      </c>
      <c r="CR23" s="310"/>
      <c r="CS23" s="575"/>
      <c r="CT23" s="5"/>
      <c r="CU23" s="1180"/>
      <c r="CV23" s="575"/>
      <c r="CW23" s="5"/>
      <c r="CX23" s="1180"/>
      <c r="CY23" s="575"/>
      <c r="CZ23" s="5"/>
      <c r="DA23" s="1180"/>
      <c r="DB23" s="575"/>
      <c r="DC23" s="5"/>
      <c r="DD23" s="1180"/>
      <c r="DE23" s="1181">
        <f t="shared" si="23"/>
        <v>0</v>
      </c>
      <c r="DG23" s="575"/>
      <c r="DH23" s="5"/>
      <c r="DI23" s="1180"/>
      <c r="DJ23" s="575"/>
      <c r="DK23" s="5"/>
      <c r="DL23" s="1180"/>
      <c r="DM23" s="575"/>
      <c r="DN23" s="5"/>
      <c r="DO23" s="1180"/>
      <c r="DP23" s="575"/>
      <c r="DQ23" s="5"/>
      <c r="DR23" s="1180"/>
      <c r="DS23" s="1181">
        <f t="shared" si="24"/>
        <v>0</v>
      </c>
      <c r="DU23" s="575"/>
      <c r="DV23" s="5"/>
      <c r="DW23" s="1180"/>
      <c r="DX23" s="575"/>
      <c r="DY23" s="5"/>
      <c r="DZ23" s="1180"/>
      <c r="EA23" s="575"/>
      <c r="EB23" s="5"/>
      <c r="EC23" s="1180"/>
      <c r="ED23" s="575"/>
      <c r="EE23" s="5"/>
      <c r="EF23" s="1180"/>
      <c r="EG23" s="1181">
        <f t="shared" si="25"/>
        <v>0</v>
      </c>
      <c r="EI23" s="406"/>
      <c r="EJ23" s="3215"/>
      <c r="EK23" s="2140">
        <f t="shared" ca="1" si="26"/>
        <v>0</v>
      </c>
      <c r="EL23" s="21">
        <f t="shared" ca="1" si="27"/>
        <v>0</v>
      </c>
      <c r="EM23" s="21">
        <f t="shared" ca="1" si="28"/>
        <v>0</v>
      </c>
      <c r="EN23" s="21">
        <f t="shared" ca="1" si="29"/>
        <v>0</v>
      </c>
      <c r="EO23" s="21">
        <f t="shared" ca="1" si="30"/>
        <v>0</v>
      </c>
      <c r="EP23" s="21">
        <f t="shared" ca="1" si="31"/>
        <v>0</v>
      </c>
      <c r="EQ23" s="21">
        <f t="shared" ca="1" si="32"/>
        <v>0</v>
      </c>
      <c r="ER23" s="351">
        <f t="shared" ca="1" si="33"/>
        <v>0</v>
      </c>
      <c r="ES23" s="9"/>
      <c r="ET23" s="4"/>
      <c r="EU23" s="4"/>
      <c r="EV23" s="133">
        <f t="shared" ca="1" si="34"/>
        <v>0</v>
      </c>
      <c r="EW23" s="5">
        <f t="shared" ca="1" si="35"/>
        <v>0</v>
      </c>
      <c r="EX23" s="5">
        <f t="shared" ca="1" si="36"/>
        <v>0</v>
      </c>
      <c r="EY23" s="5">
        <f t="shared" ca="1" si="37"/>
        <v>0</v>
      </c>
      <c r="EZ23" s="5">
        <f t="shared" ca="1" si="38"/>
        <v>0</v>
      </c>
      <c r="FA23" s="5">
        <f t="shared" ca="1" si="39"/>
        <v>0</v>
      </c>
      <c r="FB23" s="164">
        <f t="shared" ca="1" si="40"/>
        <v>0</v>
      </c>
      <c r="FD23" s="133">
        <f t="shared" ca="1" si="41"/>
        <v>0</v>
      </c>
      <c r="FE23" s="5">
        <f t="shared" ca="1" si="42"/>
        <v>0</v>
      </c>
      <c r="FF23" s="5">
        <f t="shared" ca="1" si="43"/>
        <v>0</v>
      </c>
      <c r="FG23" s="5">
        <f t="shared" ca="1" si="44"/>
        <v>0</v>
      </c>
      <c r="FH23" s="5">
        <f t="shared" ca="1" si="45"/>
        <v>0</v>
      </c>
      <c r="FI23" s="5">
        <f t="shared" ca="1" si="46"/>
        <v>0</v>
      </c>
      <c r="FJ23" s="138">
        <f t="shared" ca="1" si="47"/>
        <v>0</v>
      </c>
      <c r="FL23" s="133">
        <f t="shared" ca="1" si="48"/>
        <v>0</v>
      </c>
      <c r="FM23" s="5">
        <f t="shared" ca="1" si="49"/>
        <v>0</v>
      </c>
      <c r="FN23" s="5">
        <f t="shared" ca="1" si="50"/>
        <v>0</v>
      </c>
      <c r="FO23" s="5">
        <f t="shared" ca="1" si="51"/>
        <v>0</v>
      </c>
      <c r="FP23" s="5">
        <f t="shared" ca="1" si="52"/>
        <v>0</v>
      </c>
      <c r="FQ23" s="5">
        <f t="shared" ca="1" si="53"/>
        <v>0</v>
      </c>
      <c r="FR23" s="206">
        <f t="shared" ca="1" si="54"/>
        <v>0</v>
      </c>
      <c r="FT23" s="133">
        <f t="shared" ca="1" si="55"/>
        <v>0</v>
      </c>
      <c r="FU23" s="5">
        <f t="shared" ca="1" si="56"/>
        <v>0</v>
      </c>
      <c r="FV23" s="5">
        <f t="shared" ca="1" si="57"/>
        <v>0</v>
      </c>
      <c r="FW23" s="5">
        <f t="shared" ca="1" si="58"/>
        <v>0</v>
      </c>
      <c r="FX23" s="5">
        <f t="shared" ca="1" si="59"/>
        <v>0</v>
      </c>
      <c r="FY23" s="5">
        <f t="shared" ca="1" si="60"/>
        <v>0</v>
      </c>
      <c r="FZ23" s="178">
        <f t="shared" ca="1" si="61"/>
        <v>0</v>
      </c>
      <c r="GB23" s="133">
        <f t="shared" ca="1" si="62"/>
        <v>0</v>
      </c>
      <c r="GC23" s="5">
        <f t="shared" ca="1" si="63"/>
        <v>0</v>
      </c>
      <c r="GD23" s="5">
        <f t="shared" ca="1" si="64"/>
        <v>0</v>
      </c>
      <c r="GE23" s="5">
        <f t="shared" ca="1" si="65"/>
        <v>0</v>
      </c>
      <c r="GF23" s="5">
        <f t="shared" ca="1" si="66"/>
        <v>0</v>
      </c>
      <c r="GG23" s="5">
        <f t="shared" ca="1" si="67"/>
        <v>0</v>
      </c>
      <c r="GH23" s="150">
        <f t="shared" ca="1" si="68"/>
        <v>0</v>
      </c>
      <c r="GJ23" s="133">
        <f t="shared" ca="1" si="69"/>
        <v>0</v>
      </c>
      <c r="GK23" s="5">
        <f t="shared" ca="1" si="70"/>
        <v>0</v>
      </c>
      <c r="GL23" s="5">
        <f t="shared" ca="1" si="71"/>
        <v>0</v>
      </c>
      <c r="GM23" s="5">
        <f t="shared" ca="1" si="72"/>
        <v>0</v>
      </c>
      <c r="GN23" s="5">
        <f t="shared" ca="1" si="73"/>
        <v>0</v>
      </c>
      <c r="GO23" s="5">
        <f t="shared" ca="1" si="74"/>
        <v>0</v>
      </c>
      <c r="GP23" s="192">
        <f t="shared" ca="1" si="75"/>
        <v>0</v>
      </c>
      <c r="GR23" s="133"/>
      <c r="GS23" s="5"/>
      <c r="GT23" s="5"/>
      <c r="GU23" s="5"/>
      <c r="GV23" s="5"/>
      <c r="GW23" s="5"/>
      <c r="GX23" s="1102">
        <f t="shared" si="76"/>
        <v>0</v>
      </c>
      <c r="GZ23" s="575">
        <f t="shared" ca="1" si="77"/>
        <v>0</v>
      </c>
      <c r="HA23" s="5">
        <f t="shared" ca="1" si="78"/>
        <v>0</v>
      </c>
      <c r="HB23" s="5">
        <f t="shared" ca="1" si="79"/>
        <v>0</v>
      </c>
      <c r="HC23" s="5">
        <f t="shared" ca="1" si="80"/>
        <v>0</v>
      </c>
      <c r="HD23" s="5">
        <f t="shared" ca="1" si="81"/>
        <v>0</v>
      </c>
      <c r="HE23" s="5">
        <f t="shared" ca="1" si="82"/>
        <v>0</v>
      </c>
      <c r="HF23" s="2175">
        <f t="shared" ca="1" si="83"/>
        <v>0</v>
      </c>
      <c r="HG23" s="573">
        <f t="shared" ca="1" si="84"/>
        <v>0</v>
      </c>
      <c r="HH23" s="1"/>
    </row>
    <row r="24" spans="1:216" ht="15" hidden="1" customHeight="1" x14ac:dyDescent="0.25">
      <c r="A24" s="403"/>
      <c r="B24" s="3215"/>
      <c r="C24" s="2140">
        <f ca="1">'Calc - SENIOR PERS'!$B$146</f>
        <v>0</v>
      </c>
      <c r="D24" s="21">
        <f ca="1">'Calc - SENIOR PERS'!$O$151</f>
        <v>0</v>
      </c>
      <c r="E24" s="5">
        <f ca="1">'Calc - SENIOR PERS'!$O$152</f>
        <v>0</v>
      </c>
      <c r="F24" s="5">
        <f ca="1">'Calc - SENIOR PERS'!$O$153</f>
        <v>0</v>
      </c>
      <c r="G24" s="5">
        <f ca="1">'Calc - SENIOR PERS'!$O$154</f>
        <v>0</v>
      </c>
      <c r="H24" s="5">
        <f ca="1">'Calc - SENIOR PERS'!$O$155</f>
        <v>0</v>
      </c>
      <c r="I24" s="5">
        <f ca="1">'Calc - SENIOR PERS'!$O$156</f>
        <v>0</v>
      </c>
      <c r="J24" s="88">
        <f t="shared" ca="1" si="6"/>
        <v>0</v>
      </c>
      <c r="K24" s="9" t="str">
        <f ca="1">IF(J24&lt;&gt;'Calc - SENIOR PERS'!$O$157,"ERROR","")</f>
        <v/>
      </c>
      <c r="L24" s="4"/>
      <c r="M24" s="4"/>
      <c r="N24" s="133">
        <f ca="1">IF(AND((OFFSET('DATA INPUT'!$C$11, ROW()-ROW($N$14),0)=$N$10),
 OR(OFFSET('DATA INPUT'!$H$11,ROW()-ROW($N$14),0)=3,
OFFSET('DATA INPUT'!$V$11, ROW()-ROW($N$14),0)=3,
OFFSET('DATA INPUT'!$AD$11, ROW()-ROW($N$14),0)=3)),
OFFSET('Calc - SENIOR PERS'!$Y$11,COLUMN()-COLUMN($N$14) + (ROW()-ROW($N$14))*14,0),0)</f>
        <v>0</v>
      </c>
      <c r="O24" s="5">
        <f ca="1">IF(AND((OFFSET('DATA INPUT'!$C$11, ROW()-ROW($N$14),0)=$N$10),
 OR(OFFSET('DATA INPUT'!$H$11,ROW()-ROW($N$14),0)=3,
OFFSET('DATA INPUT'!$V$11, ROW()-ROW($N$14),0)=3,
OFFSET('DATA INPUT'!$AD$11, ROW()-ROW($N$14),0)=3)),
OFFSET('Calc - SENIOR PERS'!$Y$11,COLUMN()-COLUMN($N$14) + (ROW()-ROW($N$14))*14,0),0)</f>
        <v>0</v>
      </c>
      <c r="P24" s="5">
        <f ca="1">IF(AND((OFFSET('DATA INPUT'!$C$11, ROW()-ROW($N$14),0)=$N$10),
 OR(OFFSET('DATA INPUT'!$H$11,ROW()-ROW($N$14),0)=3,
OFFSET('DATA INPUT'!$V$11, ROW()-ROW($N$14),0)=3,
OFFSET('DATA INPUT'!$AD$11, ROW()-ROW($N$14),0)=3)),
OFFSET('Calc - SENIOR PERS'!$Y$11,COLUMN()-COLUMN($N$14) + (ROW()-ROW($N$14))*14,0),0)</f>
        <v>0</v>
      </c>
      <c r="Q24" s="5">
        <f ca="1">IF(AND((OFFSET('DATA INPUT'!$C$11, ROW()-ROW($N$14),0)=$N$10),
 OR(OFFSET('DATA INPUT'!$H$11,ROW()-ROW($N$14),0)=3,
OFFSET('DATA INPUT'!$V$11, ROW()-ROW($N$14),0)=3,
OFFSET('DATA INPUT'!$AD$11, ROW()-ROW($N$14),0)=3)),
OFFSET('Calc - SENIOR PERS'!$Y$11,COLUMN()-COLUMN($N$14) + (ROW()-ROW($N$14))*14,0),0)</f>
        <v>0</v>
      </c>
      <c r="R24" s="5">
        <f ca="1">IF(AND((OFFSET('DATA INPUT'!$C$11, ROW()-ROW($N$14),0)=$N$10),
 OR(OFFSET('DATA INPUT'!$H$11,ROW()-ROW($N$14),0)=3,
OFFSET('DATA INPUT'!$V$11, ROW()-ROW($N$14),0)=3,
OFFSET('DATA INPUT'!$AD$11, ROW()-ROW($N$14),0)=3)),
OFFSET('Calc - SENIOR PERS'!$Y$11,COLUMN()-COLUMN($N$14) + (ROW()-ROW($N$14))*14,0),0)</f>
        <v>0</v>
      </c>
      <c r="S24" s="5">
        <f ca="1">IF(AND((OFFSET('DATA INPUT'!$C$11, ROW()-ROW($N$14),0)=$N$10),
 OR(OFFSET('DATA INPUT'!$H$11,ROW()-ROW($N$14),0)=3,
OFFSET('DATA INPUT'!$V$11, ROW()-ROW($N$14),0)=3,
OFFSET('DATA INPUT'!$AD$11, ROW()-ROW($N$14),0)=3)),
OFFSET('Calc - SENIOR PERS'!$Y$11,COLUMN()-COLUMN($N$14) + (ROW()-ROW($N$14))*14,0),0)</f>
        <v>0</v>
      </c>
      <c r="T24" s="164">
        <f t="shared" ca="1" si="7"/>
        <v>0</v>
      </c>
      <c r="V24" s="133">
        <f ca="1">IF(AND((OFFSET('DATA INPUT'!$C$11, ROW()-ROW($V$14),0)=$V$10),
 OR(OFFSET('DATA INPUT'!$H$11,ROW()-ROW($V$14),0)=3,
OFFSET('DATA INPUT'!$V$11, ROW()-ROW($V$14),0)=3,
OFFSET('DATA INPUT'!$AD$11, ROW()-ROW($V$14),0)=3)),
OFFSET('Calc - SENIOR PERS'!$Y$11,COLUMN()-COLUMN($V$14) + (ROW()-ROW($V$14))*14,0),0)</f>
        <v>0</v>
      </c>
      <c r="W24" s="5">
        <f ca="1">IF(AND((OFFSET('DATA INPUT'!$C$11, ROW()-ROW($V$14),0)=$V$10),
 OR(OFFSET('DATA INPUT'!$H$11,ROW()-ROW($V$14),0)=3,
OFFSET('DATA INPUT'!$V$11, ROW()-ROW($V$14),0)=3,
OFFSET('DATA INPUT'!$AD$11, ROW()-ROW($V$14),0)=3)),
OFFSET('Calc - SENIOR PERS'!$Y$11,COLUMN()-COLUMN($V$14) + (ROW()-ROW($V$14))*14,0),0)</f>
        <v>0</v>
      </c>
      <c r="X24" s="5">
        <f ca="1">IF(AND((OFFSET('DATA INPUT'!$C$11, ROW()-ROW($V$14),0)=$V$10),
 OR(OFFSET('DATA INPUT'!$H$11,ROW()-ROW($V$14),0)=3,
OFFSET('DATA INPUT'!$V$11, ROW()-ROW($V$14),0)=3,
OFFSET('DATA INPUT'!$AD$11, ROW()-ROW($V$14),0)=3)),
OFFSET('Calc - SENIOR PERS'!$Y$11,COLUMN()-COLUMN($V$14) + (ROW()-ROW($V$14))*14,0),0)</f>
        <v>0</v>
      </c>
      <c r="Y24" s="5">
        <f ca="1">IF(AND((OFFSET('DATA INPUT'!$C$11, ROW()-ROW($V$14),0)=$V$10),
 OR(OFFSET('DATA INPUT'!$H$11,ROW()-ROW($V$14),0)=3,
OFFSET('DATA INPUT'!$V$11, ROW()-ROW($V$14),0)=3,
OFFSET('DATA INPUT'!$AD$11, ROW()-ROW($V$14),0)=3)),
OFFSET('Calc - SENIOR PERS'!$Y$11,COLUMN()-COLUMN($V$14) + (ROW()-ROW($V$14))*14,0),0)</f>
        <v>0</v>
      </c>
      <c r="Z24" s="5">
        <f ca="1">IF(AND((OFFSET('DATA INPUT'!$C$11, ROW()-ROW($V$14),0)=$V$10),
 OR(OFFSET('DATA INPUT'!$H$11,ROW()-ROW($V$14),0)=3,
OFFSET('DATA INPUT'!$V$11, ROW()-ROW($V$14),0)=3,
OFFSET('DATA INPUT'!$AD$11, ROW()-ROW($V$14),0)=3)),
OFFSET('Calc - SENIOR PERS'!$Y$11,COLUMN()-COLUMN($V$14) + (ROW()-ROW($V$14))*14,0),0)</f>
        <v>0</v>
      </c>
      <c r="AA24" s="5">
        <f ca="1">IF(AND((OFFSET('DATA INPUT'!$C$11, ROW()-ROW($V$14),0)=$V$10),
 OR(OFFSET('DATA INPUT'!$H$11,ROW()-ROW($V$14),0)=3,
OFFSET('DATA INPUT'!$V$11, ROW()-ROW($V$14),0)=3,
OFFSET('DATA INPUT'!$AD$11, ROW()-ROW($V$14),0)=3)),
OFFSET('Calc - SENIOR PERS'!$Y$11,COLUMN()-COLUMN($V$14) + (ROW()-ROW($V$14))*14,0),0)</f>
        <v>0</v>
      </c>
      <c r="AB24" s="138">
        <f t="shared" ca="1" si="8"/>
        <v>0</v>
      </c>
      <c r="AD24" s="133">
        <f ca="1">IF(AND((OFFSET('DATA INPUT'!$C$11, ROW()-ROW($AD$14),0)=$AD$10),
 OR(OFFSET('DATA INPUT'!$H$11,ROW()-ROW($AD$14),0)=3,
OFFSET('DATA INPUT'!$V$11, ROW()-ROW($AD$14),0)=3,
OFFSET('DATA INPUT'!$AD$11, ROW()-ROW($AD$14),0)=3)),
OFFSET('Calc - SENIOR PERS'!$Y$11,COLUMN()-COLUMN($AD$14) + (ROW()-ROW($AD$14))*14,0),0)</f>
        <v>0</v>
      </c>
      <c r="AE24" s="5">
        <f ca="1">IF(AND((OFFSET('DATA INPUT'!$C$11, ROW()-ROW($AD$14),0)=$AD$10),
 OR(OFFSET('DATA INPUT'!$H$11,ROW()-ROW($AD$14),0)=3,
OFFSET('DATA INPUT'!$V$11, ROW()-ROW($AD$14),0)=3,
OFFSET('DATA INPUT'!$AD$11, ROW()-ROW($AD$14),0)=3)),
OFFSET('Calc - SENIOR PERS'!$Y$11,COLUMN()-COLUMN($AD$14) + (ROW()-ROW($AD$14))*14,0),0)</f>
        <v>0</v>
      </c>
      <c r="AF24" s="5">
        <f ca="1">IF(AND((OFFSET('DATA INPUT'!$C$11, ROW()-ROW($AD$14),0)=$AD$10),
 OR(OFFSET('DATA INPUT'!$H$11,ROW()-ROW($AD$14),0)=3,
OFFSET('DATA INPUT'!$V$11, ROW()-ROW($AD$14),0)=3,
OFFSET('DATA INPUT'!$AD$11, ROW()-ROW($AD$14),0)=3)),
OFFSET('Calc - SENIOR PERS'!$Y$11,COLUMN()-COLUMN($AD$14) + (ROW()-ROW($AD$14))*14,0),0)</f>
        <v>0</v>
      </c>
      <c r="AG24" s="5">
        <f ca="1">IF(AND((OFFSET('DATA INPUT'!$C$11, ROW()-ROW($AD$14),0)=$AD$10),
 OR(OFFSET('DATA INPUT'!$H$11,ROW()-ROW($AD$14),0)=3,
OFFSET('DATA INPUT'!$V$11, ROW()-ROW($AD$14),0)=3,
OFFSET('DATA INPUT'!$AD$11, ROW()-ROW($AD$14),0)=3)),
OFFSET('Calc - SENIOR PERS'!$Y$11,COLUMN()-COLUMN($AD$14) + (ROW()-ROW($AD$14))*14,0),0)</f>
        <v>0</v>
      </c>
      <c r="AH24" s="5">
        <f ca="1">IF(AND((OFFSET('DATA INPUT'!$C$11, ROW()-ROW($AD$14),0)=$AD$10),
 OR(OFFSET('DATA INPUT'!$H$11,ROW()-ROW($AD$14),0)=3,
OFFSET('DATA INPUT'!$V$11, ROW()-ROW($AD$14),0)=3,
OFFSET('DATA INPUT'!$AD$11, ROW()-ROW($AD$14),0)=3)),
OFFSET('Calc - SENIOR PERS'!$Y$11,COLUMN()-COLUMN($AD$14) + (ROW()-ROW($AD$14))*14,0),0)</f>
        <v>0</v>
      </c>
      <c r="AI24" s="5">
        <f ca="1">IF(AND((OFFSET('DATA INPUT'!$C$11, ROW()-ROW($AD$14),0)=$AD$10),
 OR(OFFSET('DATA INPUT'!$H$11,ROW()-ROW($AD$14),0)=3,
OFFSET('DATA INPUT'!$V$11, ROW()-ROW($AD$14),0)=3,
OFFSET('DATA INPUT'!$AD$11, ROW()-ROW($AD$14),0)=3)),
OFFSET('Calc - SENIOR PERS'!$Y$11,COLUMN()-COLUMN($AD$14) + (ROW()-ROW($AD$14))*14,0),0)</f>
        <v>0</v>
      </c>
      <c r="AJ24" s="206">
        <f t="shared" ca="1" si="9"/>
        <v>0</v>
      </c>
      <c r="AL24" s="133">
        <f ca="1">IF(AND((OFFSET('DATA INPUT'!$C$11, ROW()-ROW($AL$14),0)=$AL$10),
 OR(OFFSET('DATA INPUT'!$H$11,ROW()-ROW($AL$14),0)=3,
OFFSET('DATA INPUT'!$V$11, ROW()-ROW($AL$14),0)=3,
OFFSET('DATA INPUT'!$AD$11, ROW()-ROW($AL$14),0)=3)),
OFFSET('Calc - SENIOR PERS'!$Y$11,COLUMN()-COLUMN($AL$14) + (ROW()-ROW($AL$14))*14,0),0)</f>
        <v>0</v>
      </c>
      <c r="AM24" s="5">
        <f ca="1">IF(AND((OFFSET('DATA INPUT'!$C$11, ROW()-ROW($AL$14),0)=$AL$10),
 OR(OFFSET('DATA INPUT'!$H$11,ROW()-ROW($AL$14),0)=3,
OFFSET('DATA INPUT'!$V$11, ROW()-ROW($AL$14),0)=3,
OFFSET('DATA INPUT'!$AD$11, ROW()-ROW($AL$14),0)=3)),
OFFSET('Calc - SENIOR PERS'!$Y$11,COLUMN()-COLUMN($AL$14) + (ROW()-ROW($AL$14))*14,0),0)</f>
        <v>0</v>
      </c>
      <c r="AN24" s="5">
        <f ca="1">IF(AND((OFFSET('DATA INPUT'!$C$11, ROW()-ROW($AL$14),0)=$AL$10),
 OR(OFFSET('DATA INPUT'!$H$11,ROW()-ROW($AL$14),0)=3,
OFFSET('DATA INPUT'!$V$11, ROW()-ROW($AL$14),0)=3,
OFFSET('DATA INPUT'!$AD$11, ROW()-ROW($AL$14),0)=3)),
OFFSET('Calc - SENIOR PERS'!$Y$11,COLUMN()-COLUMN($AL$14) + (ROW()-ROW($AL$14))*14,0),0)</f>
        <v>0</v>
      </c>
      <c r="AO24" s="5">
        <f ca="1">IF(AND((OFFSET('DATA INPUT'!$C$11, ROW()-ROW($AL$14),0)=$AL$10),
 OR(OFFSET('DATA INPUT'!$H$11,ROW()-ROW($AL$14),0)=3,
OFFSET('DATA INPUT'!$V$11, ROW()-ROW($AL$14),0)=3,
OFFSET('DATA INPUT'!$AD$11, ROW()-ROW($AL$14),0)=3)),
OFFSET('Calc - SENIOR PERS'!$Y$11,COLUMN()-COLUMN($AL$14) + (ROW()-ROW($AL$14))*14,0),0)</f>
        <v>0</v>
      </c>
      <c r="AP24" s="5">
        <f ca="1">IF(AND((OFFSET('DATA INPUT'!$C$11, ROW()-ROW($AL$14),0)=$AL$10),
 OR(OFFSET('DATA INPUT'!$H$11,ROW()-ROW($AL$14),0)=3,
OFFSET('DATA INPUT'!$V$11, ROW()-ROW($AL$14),0)=3,
OFFSET('DATA INPUT'!$AD$11, ROW()-ROW($AL$14),0)=3)),
OFFSET('Calc - SENIOR PERS'!$Y$11,COLUMN()-COLUMN($AL$14) + (ROW()-ROW($AL$14))*14,0),0)</f>
        <v>0</v>
      </c>
      <c r="AQ24" s="5">
        <f ca="1">IF(AND((OFFSET('DATA INPUT'!$C$11, ROW()-ROW($AL$14),0)=$AL$10),
 OR(OFFSET('DATA INPUT'!$H$11,ROW()-ROW($AL$14),0)=3,
OFFSET('DATA INPUT'!$V$11, ROW()-ROW($AL$14),0)=3,
OFFSET('DATA INPUT'!$AD$11, ROW()-ROW($AL$14),0)=3)),
OFFSET('Calc - SENIOR PERS'!$Y$11,COLUMN()-COLUMN($AL$14) + (ROW()-ROW($AL$14))*14,0),0)</f>
        <v>0</v>
      </c>
      <c r="AR24" s="178">
        <f t="shared" ca="1" si="10"/>
        <v>0</v>
      </c>
      <c r="AT24" s="133">
        <f ca="1">IF(AND((OFFSET('DATA INPUT'!$C$11, ROW()-ROW($AT$14),0)=$AT$10),
 OR(OFFSET('DATA INPUT'!$H$11,ROW()-ROW($AT$14),0)=3,
OFFSET('DATA INPUT'!$V$11, ROW()-ROW($AT$14),0)=3,
OFFSET('DATA INPUT'!$AD$11, ROW()-ROW($AT$14),0)=3)),
OFFSET('Calc - SENIOR PERS'!$Y$11,COLUMN()-COLUMN($AT$14) + (ROW()-ROW($AT$14))*14,0),0)</f>
        <v>0</v>
      </c>
      <c r="AU24" s="5">
        <f ca="1">IF(AND((OFFSET('DATA INPUT'!$C$11, ROW()-ROW($AT$14),0)=$AT$10),
 OR(OFFSET('DATA INPUT'!$H$11,ROW()-ROW($AT$14),0)=3,
OFFSET('DATA INPUT'!$V$11, ROW()-ROW($AT$14),0)=3,
OFFSET('DATA INPUT'!$AD$11, ROW()-ROW($AT$14),0)=3)),
OFFSET('Calc - SENIOR PERS'!$Y$11,COLUMN()-COLUMN($AT$14) + (ROW()-ROW($AT$14))*14,0),0)</f>
        <v>0</v>
      </c>
      <c r="AV24" s="5">
        <f ca="1">IF(AND((OFFSET('DATA INPUT'!$C$11, ROW()-ROW($AT$14),0)=$AT$10),
 OR(OFFSET('DATA INPUT'!$H$11,ROW()-ROW($AT$14),0)=3,
OFFSET('DATA INPUT'!$V$11, ROW()-ROW($AT$14),0)=3,
OFFSET('DATA INPUT'!$AD$11, ROW()-ROW($AT$14),0)=3)),
OFFSET('Calc - SENIOR PERS'!$Y$11,COLUMN()-COLUMN($AT$14) + (ROW()-ROW($AT$14))*14,0),0)</f>
        <v>0</v>
      </c>
      <c r="AW24" s="5">
        <f ca="1">IF(AND((OFFSET('DATA INPUT'!$C$11, ROW()-ROW($AT$14),0)=$AT$10),
 OR(OFFSET('DATA INPUT'!$H$11,ROW()-ROW($AT$14),0)=3,
OFFSET('DATA INPUT'!$V$11, ROW()-ROW($AT$14),0)=3,
OFFSET('DATA INPUT'!$AD$11, ROW()-ROW($AT$14),0)=3)),
OFFSET('Calc - SENIOR PERS'!$Y$11,COLUMN()-COLUMN($AT$14) + (ROW()-ROW($AT$14))*14,0),0)</f>
        <v>0</v>
      </c>
      <c r="AX24" s="5">
        <f ca="1">IF(AND((OFFSET('DATA INPUT'!$C$11, ROW()-ROW($AT$14),0)=$AT$10),
 OR(OFFSET('DATA INPUT'!$H$11,ROW()-ROW($AT$14),0)=3,
OFFSET('DATA INPUT'!$V$11, ROW()-ROW($AT$14),0)=3,
OFFSET('DATA INPUT'!$AD$11, ROW()-ROW($AT$14),0)=3)),
OFFSET('Calc - SENIOR PERS'!$Y$11,COLUMN()-COLUMN($AT$14) + (ROW()-ROW($AT$14))*14,0),0)</f>
        <v>0</v>
      </c>
      <c r="AY24" s="5">
        <f ca="1">IF(AND((OFFSET('DATA INPUT'!$C$11, ROW()-ROW($AT$14),0)=$AT$10),
 OR(OFFSET('DATA INPUT'!$H$11,ROW()-ROW($AT$14),0)=3,
OFFSET('DATA INPUT'!$V$11, ROW()-ROW($AT$14),0)=3,
OFFSET('DATA INPUT'!$AD$11, ROW()-ROW($AT$14),0)=3)),
OFFSET('Calc - SENIOR PERS'!$Y$11,COLUMN()-COLUMN($AT$14) + (ROW()-ROW($AT$14))*14,0),0)</f>
        <v>0</v>
      </c>
      <c r="AZ24" s="150">
        <f t="shared" ca="1" si="11"/>
        <v>0</v>
      </c>
      <c r="BB24" s="133">
        <f ca="1">IF(AND((OFFSET('DATA INPUT'!$C$11, ROW()-ROW($BB$14),0)=$BB$10),
 OR(OFFSET('DATA INPUT'!$H$11,ROW()-ROW($BB$14),0)=3,
OFFSET('DATA INPUT'!$V$11, ROW()-ROW($BB$14),0)=3,
OFFSET('DATA INPUT'!$AD$11, ROW()-ROW($BB$14),0)=3)),
OFFSET('Calc - SENIOR PERS'!$Y$11,COLUMN()-COLUMN($BB$14) + (ROW()-ROW($BB$14))*14,0),0)</f>
        <v>0</v>
      </c>
      <c r="BC24" s="5">
        <f ca="1">IF(AND((OFFSET('DATA INPUT'!$C$11, ROW()-ROW($BB$14),0)=$BB$10),
 OR(OFFSET('DATA INPUT'!$H$11,ROW()-ROW($BB$14),0)=3,
OFFSET('DATA INPUT'!$V$11, ROW()-ROW($BB$14),0)=3,
OFFSET('DATA INPUT'!$AD$11, ROW()-ROW($BB$14),0)=3)),
OFFSET('Calc - SENIOR PERS'!$Y$11,COLUMN()-COLUMN($BB$14) + (ROW()-ROW($BB$14))*14,0),0)</f>
        <v>0</v>
      </c>
      <c r="BD24" s="5">
        <f ca="1">IF(AND((OFFSET('DATA INPUT'!$C$11, ROW()-ROW($BB$14),0)=$BB$10),
 OR(OFFSET('DATA INPUT'!$H$11,ROW()-ROW($BB$14),0)=3,
OFFSET('DATA INPUT'!$V$11, ROW()-ROW($BB$14),0)=3,
OFFSET('DATA INPUT'!$AD$11, ROW()-ROW($BB$14),0)=3)),
OFFSET('Calc - SENIOR PERS'!$Y$11,COLUMN()-COLUMN($BB$14) + (ROW()-ROW($BB$14))*14,0),0)</f>
        <v>0</v>
      </c>
      <c r="BE24" s="5">
        <f ca="1">IF(AND((OFFSET('DATA INPUT'!$C$11, ROW()-ROW($BB$14),0)=$BB$10),
 OR(OFFSET('DATA INPUT'!$H$11,ROW()-ROW($BB$14),0)=3,
OFFSET('DATA INPUT'!$V$11, ROW()-ROW($BB$14),0)=3,
OFFSET('DATA INPUT'!$AD$11, ROW()-ROW($BB$14),0)=3)),
OFFSET('Calc - SENIOR PERS'!$Y$11,COLUMN()-COLUMN($BB$14) + (ROW()-ROW($BB$14))*14,0),0)</f>
        <v>0</v>
      </c>
      <c r="BF24" s="5">
        <f ca="1">IF(AND((OFFSET('DATA INPUT'!$C$11, ROW()-ROW($BB$14),0)=$BB$10),
 OR(OFFSET('DATA INPUT'!$H$11,ROW()-ROW($BB$14),0)=3,
OFFSET('DATA INPUT'!$V$11, ROW()-ROW($BB$14),0)=3,
OFFSET('DATA INPUT'!$AD$11, ROW()-ROW($BB$14),0)=3)),
OFFSET('Calc - SENIOR PERS'!$Y$11,COLUMN()-COLUMN($BB$14) + (ROW()-ROW($BB$14))*14,0),0)</f>
        <v>0</v>
      </c>
      <c r="BG24" s="5">
        <f ca="1">IF(AND((OFFSET('DATA INPUT'!$C$11, ROW()-ROW($BB$14),0)=$BB$10),
 OR(OFFSET('DATA INPUT'!$H$11,ROW()-ROW($BB$14),0)=3,
OFFSET('DATA INPUT'!$V$11, ROW()-ROW($BB$14),0)=3,
OFFSET('DATA INPUT'!$AD$11, ROW()-ROW($BB$14),0)=3)),
OFFSET('Calc - SENIOR PERS'!$Y$11,COLUMN()-COLUMN($BB$14) + (ROW()-ROW($BB$14))*14,0),0)</f>
        <v>0</v>
      </c>
      <c r="BH24" s="192">
        <f t="shared" ca="1" si="12"/>
        <v>0</v>
      </c>
      <c r="BJ24" s="133"/>
      <c r="BK24" s="5"/>
      <c r="BL24" s="5"/>
      <c r="BM24" s="5"/>
      <c r="BN24" s="5"/>
      <c r="BO24" s="5"/>
      <c r="BP24" s="1102">
        <f t="shared" si="13"/>
        <v>0</v>
      </c>
      <c r="BR24" s="575">
        <f t="shared" ca="1" si="14"/>
        <v>0</v>
      </c>
      <c r="BS24" s="5">
        <f t="shared" ca="1" si="15"/>
        <v>0</v>
      </c>
      <c r="BT24" s="5">
        <f t="shared" ca="1" si="16"/>
        <v>0</v>
      </c>
      <c r="BU24" s="5">
        <f t="shared" ca="1" si="17"/>
        <v>0</v>
      </c>
      <c r="BV24" s="5">
        <f t="shared" ca="1" si="18"/>
        <v>0</v>
      </c>
      <c r="BW24" s="5">
        <f t="shared" ca="1" si="19"/>
        <v>0</v>
      </c>
      <c r="BX24" s="2175">
        <f t="shared" ca="1" si="20"/>
        <v>0</v>
      </c>
      <c r="BY24" s="573">
        <f t="shared" ca="1" si="21"/>
        <v>0</v>
      </c>
      <c r="BZ24" s="1"/>
      <c r="CB24" s="1182"/>
      <c r="CC24" s="387">
        <f ca="1">'Calc - SENIOR PERS'!$O$152/9*3</f>
        <v>0</v>
      </c>
      <c r="CD24" s="56">
        <f ca="1">'Calc - SENIOR PERS'!$O$152/9*3</f>
        <v>0</v>
      </c>
      <c r="CE24" s="56">
        <f ca="1">'Calc - SENIOR PERS'!$O$152/9*2</f>
        <v>0</v>
      </c>
      <c r="CF24" s="56">
        <f ca="1">'Calc - SENIOR PERS'!$O$152/9*0.5</f>
        <v>0</v>
      </c>
      <c r="CG24" s="1183">
        <f ca="1">'Calc - SENIOR PERS'!$O$152/9*0.5</f>
        <v>0</v>
      </c>
      <c r="CH24" s="1184">
        <f ca="1">'Calc - SENIOR PERS'!$O$153/9*3</f>
        <v>0</v>
      </c>
      <c r="CI24" s="1185">
        <f ca="1">'Calc - SENIOR PERS'!$O$153/9*3</f>
        <v>0</v>
      </c>
      <c r="CJ24" s="1185">
        <f ca="1">'Calc - SENIOR PERS'!$O$153/9*2</f>
        <v>0</v>
      </c>
      <c r="CK24" s="1185">
        <f ca="1">'Calc - SENIOR PERS'!$O$153/9*0.5</f>
        <v>0</v>
      </c>
      <c r="CL24" s="1186">
        <f ca="1">'Calc - SENIOR PERS'!$O$153/9*0.5</f>
        <v>0</v>
      </c>
      <c r="CM24" s="1187">
        <f ca="1">'Calc - SENIOR PERS'!$O$154/8*3</f>
        <v>0</v>
      </c>
      <c r="CN24" s="1188">
        <f ca="1">'Calc - SENIOR PERS'!$O$154/8*3</f>
        <v>0</v>
      </c>
      <c r="CO24" s="1189">
        <f ca="1">'Calc - SENIOR PERS'!$O$154/8*2</f>
        <v>0</v>
      </c>
      <c r="CP24" s="1179">
        <f t="shared" ca="1" si="22"/>
        <v>0</v>
      </c>
      <c r="CR24" s="310"/>
      <c r="CS24" s="575"/>
      <c r="CT24" s="5"/>
      <c r="CU24" s="1180"/>
      <c r="CV24" s="575"/>
      <c r="CW24" s="5"/>
      <c r="CX24" s="1180"/>
      <c r="CY24" s="575"/>
      <c r="CZ24" s="5"/>
      <c r="DA24" s="1180"/>
      <c r="DB24" s="575"/>
      <c r="DC24" s="5"/>
      <c r="DD24" s="1180"/>
      <c r="DE24" s="1181">
        <f t="shared" si="23"/>
        <v>0</v>
      </c>
      <c r="DG24" s="575"/>
      <c r="DH24" s="5"/>
      <c r="DI24" s="1180"/>
      <c r="DJ24" s="575"/>
      <c r="DK24" s="5"/>
      <c r="DL24" s="1180"/>
      <c r="DM24" s="575"/>
      <c r="DN24" s="5"/>
      <c r="DO24" s="1180"/>
      <c r="DP24" s="575"/>
      <c r="DQ24" s="5"/>
      <c r="DR24" s="1180"/>
      <c r="DS24" s="1181">
        <f t="shared" si="24"/>
        <v>0</v>
      </c>
      <c r="DU24" s="575"/>
      <c r="DV24" s="5"/>
      <c r="DW24" s="1180"/>
      <c r="DX24" s="575"/>
      <c r="DY24" s="5"/>
      <c r="DZ24" s="1180"/>
      <c r="EA24" s="575"/>
      <c r="EB24" s="5"/>
      <c r="EC24" s="1180"/>
      <c r="ED24" s="575"/>
      <c r="EE24" s="5"/>
      <c r="EF24" s="1180"/>
      <c r="EG24" s="1181">
        <f t="shared" si="25"/>
        <v>0</v>
      </c>
      <c r="EI24" s="403"/>
      <c r="EJ24" s="3215"/>
      <c r="EK24" s="2140">
        <f t="shared" ca="1" si="26"/>
        <v>0</v>
      </c>
      <c r="EL24" s="21">
        <f t="shared" ca="1" si="27"/>
        <v>0</v>
      </c>
      <c r="EM24" s="21">
        <f t="shared" ca="1" si="28"/>
        <v>0</v>
      </c>
      <c r="EN24" s="21">
        <f t="shared" ca="1" si="29"/>
        <v>0</v>
      </c>
      <c r="EO24" s="21">
        <f t="shared" ca="1" si="30"/>
        <v>0</v>
      </c>
      <c r="EP24" s="21">
        <f t="shared" ca="1" si="31"/>
        <v>0</v>
      </c>
      <c r="EQ24" s="21">
        <f t="shared" ca="1" si="32"/>
        <v>0</v>
      </c>
      <c r="ER24" s="88">
        <f t="shared" ca="1" si="33"/>
        <v>0</v>
      </c>
      <c r="ES24" s="9"/>
      <c r="ET24" s="4"/>
      <c r="EU24" s="4"/>
      <c r="EV24" s="133">
        <f t="shared" ca="1" si="34"/>
        <v>0</v>
      </c>
      <c r="EW24" s="5">
        <f t="shared" ca="1" si="35"/>
        <v>0</v>
      </c>
      <c r="EX24" s="5">
        <f t="shared" ca="1" si="36"/>
        <v>0</v>
      </c>
      <c r="EY24" s="5">
        <f t="shared" ca="1" si="37"/>
        <v>0</v>
      </c>
      <c r="EZ24" s="5">
        <f t="shared" ca="1" si="38"/>
        <v>0</v>
      </c>
      <c r="FA24" s="5">
        <f t="shared" ca="1" si="39"/>
        <v>0</v>
      </c>
      <c r="FB24" s="164">
        <f t="shared" ca="1" si="40"/>
        <v>0</v>
      </c>
      <c r="FD24" s="133">
        <f t="shared" ca="1" si="41"/>
        <v>0</v>
      </c>
      <c r="FE24" s="5">
        <f t="shared" ca="1" si="42"/>
        <v>0</v>
      </c>
      <c r="FF24" s="5">
        <f t="shared" ca="1" si="43"/>
        <v>0</v>
      </c>
      <c r="FG24" s="5">
        <f t="shared" ca="1" si="44"/>
        <v>0</v>
      </c>
      <c r="FH24" s="5">
        <f t="shared" ca="1" si="45"/>
        <v>0</v>
      </c>
      <c r="FI24" s="5">
        <f t="shared" ca="1" si="46"/>
        <v>0</v>
      </c>
      <c r="FJ24" s="138">
        <f t="shared" ca="1" si="47"/>
        <v>0</v>
      </c>
      <c r="FL24" s="133">
        <f t="shared" ca="1" si="48"/>
        <v>0</v>
      </c>
      <c r="FM24" s="5">
        <f t="shared" ca="1" si="49"/>
        <v>0</v>
      </c>
      <c r="FN24" s="5">
        <f t="shared" ca="1" si="50"/>
        <v>0</v>
      </c>
      <c r="FO24" s="5">
        <f t="shared" ca="1" si="51"/>
        <v>0</v>
      </c>
      <c r="FP24" s="5">
        <f t="shared" ca="1" si="52"/>
        <v>0</v>
      </c>
      <c r="FQ24" s="5">
        <f t="shared" ca="1" si="53"/>
        <v>0</v>
      </c>
      <c r="FR24" s="206">
        <f t="shared" ca="1" si="54"/>
        <v>0</v>
      </c>
      <c r="FT24" s="133">
        <f t="shared" ca="1" si="55"/>
        <v>0</v>
      </c>
      <c r="FU24" s="5">
        <f t="shared" ca="1" si="56"/>
        <v>0</v>
      </c>
      <c r="FV24" s="5">
        <f t="shared" ca="1" si="57"/>
        <v>0</v>
      </c>
      <c r="FW24" s="5">
        <f t="shared" ca="1" si="58"/>
        <v>0</v>
      </c>
      <c r="FX24" s="5">
        <f t="shared" ca="1" si="59"/>
        <v>0</v>
      </c>
      <c r="FY24" s="5">
        <f t="shared" ca="1" si="60"/>
        <v>0</v>
      </c>
      <c r="FZ24" s="178">
        <f t="shared" ca="1" si="61"/>
        <v>0</v>
      </c>
      <c r="GB24" s="133">
        <f t="shared" ca="1" si="62"/>
        <v>0</v>
      </c>
      <c r="GC24" s="5">
        <f t="shared" ca="1" si="63"/>
        <v>0</v>
      </c>
      <c r="GD24" s="5">
        <f t="shared" ca="1" si="64"/>
        <v>0</v>
      </c>
      <c r="GE24" s="5">
        <f t="shared" ca="1" si="65"/>
        <v>0</v>
      </c>
      <c r="GF24" s="5">
        <f t="shared" ca="1" si="66"/>
        <v>0</v>
      </c>
      <c r="GG24" s="5">
        <f t="shared" ca="1" si="67"/>
        <v>0</v>
      </c>
      <c r="GH24" s="150">
        <f t="shared" ca="1" si="68"/>
        <v>0</v>
      </c>
      <c r="GJ24" s="133">
        <f t="shared" ca="1" si="69"/>
        <v>0</v>
      </c>
      <c r="GK24" s="5">
        <f t="shared" ca="1" si="70"/>
        <v>0</v>
      </c>
      <c r="GL24" s="5">
        <f t="shared" ca="1" si="71"/>
        <v>0</v>
      </c>
      <c r="GM24" s="5">
        <f t="shared" ca="1" si="72"/>
        <v>0</v>
      </c>
      <c r="GN24" s="5">
        <f t="shared" ca="1" si="73"/>
        <v>0</v>
      </c>
      <c r="GO24" s="5">
        <f t="shared" ca="1" si="74"/>
        <v>0</v>
      </c>
      <c r="GP24" s="192">
        <f t="shared" ca="1" si="75"/>
        <v>0</v>
      </c>
      <c r="GR24" s="133"/>
      <c r="GS24" s="5"/>
      <c r="GT24" s="5"/>
      <c r="GU24" s="5"/>
      <c r="GV24" s="5"/>
      <c r="GW24" s="5"/>
      <c r="GX24" s="1102">
        <f t="shared" si="76"/>
        <v>0</v>
      </c>
      <c r="GZ24" s="575">
        <f t="shared" ca="1" si="77"/>
        <v>0</v>
      </c>
      <c r="HA24" s="5">
        <f t="shared" ca="1" si="78"/>
        <v>0</v>
      </c>
      <c r="HB24" s="5">
        <f t="shared" ca="1" si="79"/>
        <v>0</v>
      </c>
      <c r="HC24" s="5">
        <f t="shared" ca="1" si="80"/>
        <v>0</v>
      </c>
      <c r="HD24" s="5">
        <f t="shared" ca="1" si="81"/>
        <v>0</v>
      </c>
      <c r="HE24" s="5">
        <f t="shared" ca="1" si="82"/>
        <v>0</v>
      </c>
      <c r="HF24" s="2175">
        <f t="shared" ca="1" si="83"/>
        <v>0</v>
      </c>
      <c r="HG24" s="573">
        <f t="shared" ca="1" si="84"/>
        <v>0</v>
      </c>
      <c r="HH24" s="1"/>
    </row>
    <row r="25" spans="1:216" ht="15" hidden="1" customHeight="1" x14ac:dyDescent="0.25">
      <c r="A25" s="403"/>
      <c r="B25" s="3215"/>
      <c r="C25" s="2140">
        <f ca="1">'Calc - SENIOR PERS'!$B$160</f>
        <v>0</v>
      </c>
      <c r="D25" s="21">
        <f ca="1">'Calc - SENIOR PERS'!$O$165</f>
        <v>0</v>
      </c>
      <c r="E25" s="5">
        <f ca="1">'Calc - SENIOR PERS'!$O$166</f>
        <v>0</v>
      </c>
      <c r="F25" s="5">
        <f ca="1">'Calc - SENIOR PERS'!$O$167</f>
        <v>0</v>
      </c>
      <c r="G25" s="5">
        <f ca="1">'Calc - SENIOR PERS'!$O$168</f>
        <v>0</v>
      </c>
      <c r="H25" s="5">
        <f ca="1">'Calc - SENIOR PERS'!$O$169</f>
        <v>0</v>
      </c>
      <c r="I25" s="5">
        <f ca="1">'Calc - SENIOR PERS'!$O$170</f>
        <v>0</v>
      </c>
      <c r="J25" s="88">
        <f t="shared" ca="1" si="6"/>
        <v>0</v>
      </c>
      <c r="K25" s="9" t="str">
        <f ca="1">IF(J25&lt;&gt;'Calc - SENIOR PERS'!$O$171,"ERROR","")</f>
        <v/>
      </c>
      <c r="L25" s="4"/>
      <c r="M25" s="4"/>
      <c r="N25" s="133">
        <f ca="1">IF(AND((OFFSET('DATA INPUT'!$C$11, ROW()-ROW($N$14),0)=$N$10),
 OR(OFFSET('DATA INPUT'!$H$11,ROW()-ROW($N$14),0)=3,
OFFSET('DATA INPUT'!$V$11, ROW()-ROW($N$14),0)=3,
OFFSET('DATA INPUT'!$AD$11, ROW()-ROW($N$14),0)=3)),
OFFSET('Calc - SENIOR PERS'!$Y$11,COLUMN()-COLUMN($N$14) + (ROW()-ROW($N$14))*14,0),0)</f>
        <v>0</v>
      </c>
      <c r="O25" s="5">
        <f ca="1">IF(AND((OFFSET('DATA INPUT'!$C$11, ROW()-ROW($N$14),0)=$N$10),
 OR(OFFSET('DATA INPUT'!$H$11,ROW()-ROW($N$14),0)=3,
OFFSET('DATA INPUT'!$V$11, ROW()-ROW($N$14),0)=3,
OFFSET('DATA INPUT'!$AD$11, ROW()-ROW($N$14),0)=3)),
OFFSET('Calc - SENIOR PERS'!$Y$11,COLUMN()-COLUMN($N$14) + (ROW()-ROW($N$14))*14,0),0)</f>
        <v>0</v>
      </c>
      <c r="P25" s="5">
        <f ca="1">IF(AND((OFFSET('DATA INPUT'!$C$11, ROW()-ROW($N$14),0)=$N$10),
 OR(OFFSET('DATA INPUT'!$H$11,ROW()-ROW($N$14),0)=3,
OFFSET('DATA INPUT'!$V$11, ROW()-ROW($N$14),0)=3,
OFFSET('DATA INPUT'!$AD$11, ROW()-ROW($N$14),0)=3)),
OFFSET('Calc - SENIOR PERS'!$Y$11,COLUMN()-COLUMN($N$14) + (ROW()-ROW($N$14))*14,0),0)</f>
        <v>0</v>
      </c>
      <c r="Q25" s="5">
        <f ca="1">IF(AND((OFFSET('DATA INPUT'!$C$11, ROW()-ROW($N$14),0)=$N$10),
 OR(OFFSET('DATA INPUT'!$H$11,ROW()-ROW($N$14),0)=3,
OFFSET('DATA INPUT'!$V$11, ROW()-ROW($N$14),0)=3,
OFFSET('DATA INPUT'!$AD$11, ROW()-ROW($N$14),0)=3)),
OFFSET('Calc - SENIOR PERS'!$Y$11,COLUMN()-COLUMN($N$14) + (ROW()-ROW($N$14))*14,0),0)</f>
        <v>0</v>
      </c>
      <c r="R25" s="5">
        <f ca="1">IF(AND((OFFSET('DATA INPUT'!$C$11, ROW()-ROW($N$14),0)=$N$10),
 OR(OFFSET('DATA INPUT'!$H$11,ROW()-ROW($N$14),0)=3,
OFFSET('DATA INPUT'!$V$11, ROW()-ROW($N$14),0)=3,
OFFSET('DATA INPUT'!$AD$11, ROW()-ROW($N$14),0)=3)),
OFFSET('Calc - SENIOR PERS'!$Y$11,COLUMN()-COLUMN($N$14) + (ROW()-ROW($N$14))*14,0),0)</f>
        <v>0</v>
      </c>
      <c r="S25" s="5">
        <f ca="1">IF(AND((OFFSET('DATA INPUT'!$C$11, ROW()-ROW($N$14),0)=$N$10),
 OR(OFFSET('DATA INPUT'!$H$11,ROW()-ROW($N$14),0)=3,
OFFSET('DATA INPUT'!$V$11, ROW()-ROW($N$14),0)=3,
OFFSET('DATA INPUT'!$AD$11, ROW()-ROW($N$14),0)=3)),
OFFSET('Calc - SENIOR PERS'!$Y$11,COLUMN()-COLUMN($N$14) + (ROW()-ROW($N$14))*14,0),0)</f>
        <v>0</v>
      </c>
      <c r="T25" s="164">
        <f t="shared" ca="1" si="7"/>
        <v>0</v>
      </c>
      <c r="V25" s="133">
        <f ca="1">IF(AND((OFFSET('DATA INPUT'!$C$11, ROW()-ROW($V$14),0)=$V$10),
 OR(OFFSET('DATA INPUT'!$H$11,ROW()-ROW($V$14),0)=3,
OFFSET('DATA INPUT'!$V$11, ROW()-ROW($V$14),0)=3,
OFFSET('DATA INPUT'!$AD$11, ROW()-ROW($V$14),0)=3)),
OFFSET('Calc - SENIOR PERS'!$Y$11,COLUMN()-COLUMN($V$14) + (ROW()-ROW($V$14))*14,0),0)</f>
        <v>0</v>
      </c>
      <c r="W25" s="5">
        <f ca="1">IF(AND((OFFSET('DATA INPUT'!$C$11, ROW()-ROW($V$14),0)=$V$10),
 OR(OFFSET('DATA INPUT'!$H$11,ROW()-ROW($V$14),0)=3,
OFFSET('DATA INPUT'!$V$11, ROW()-ROW($V$14),0)=3,
OFFSET('DATA INPUT'!$AD$11, ROW()-ROW($V$14),0)=3)),
OFFSET('Calc - SENIOR PERS'!$Y$11,COLUMN()-COLUMN($V$14) + (ROW()-ROW($V$14))*14,0),0)</f>
        <v>0</v>
      </c>
      <c r="X25" s="5">
        <f ca="1">IF(AND((OFFSET('DATA INPUT'!$C$11, ROW()-ROW($V$14),0)=$V$10),
 OR(OFFSET('DATA INPUT'!$H$11,ROW()-ROW($V$14),0)=3,
OFFSET('DATA INPUT'!$V$11, ROW()-ROW($V$14),0)=3,
OFFSET('DATA INPUT'!$AD$11, ROW()-ROW($V$14),0)=3)),
OFFSET('Calc - SENIOR PERS'!$Y$11,COLUMN()-COLUMN($V$14) + (ROW()-ROW($V$14))*14,0),0)</f>
        <v>0</v>
      </c>
      <c r="Y25" s="5">
        <f ca="1">IF(AND((OFFSET('DATA INPUT'!$C$11, ROW()-ROW($V$14),0)=$V$10),
 OR(OFFSET('DATA INPUT'!$H$11,ROW()-ROW($V$14),0)=3,
OFFSET('DATA INPUT'!$V$11, ROW()-ROW($V$14),0)=3,
OFFSET('DATA INPUT'!$AD$11, ROW()-ROW($V$14),0)=3)),
OFFSET('Calc - SENIOR PERS'!$Y$11,COLUMN()-COLUMN($V$14) + (ROW()-ROW($V$14))*14,0),0)</f>
        <v>0</v>
      </c>
      <c r="Z25" s="5">
        <f ca="1">IF(AND((OFFSET('DATA INPUT'!$C$11, ROW()-ROW($V$14),0)=$V$10),
 OR(OFFSET('DATA INPUT'!$H$11,ROW()-ROW($V$14),0)=3,
OFFSET('DATA INPUT'!$V$11, ROW()-ROW($V$14),0)=3,
OFFSET('DATA INPUT'!$AD$11, ROW()-ROW($V$14),0)=3)),
OFFSET('Calc - SENIOR PERS'!$Y$11,COLUMN()-COLUMN($V$14) + (ROW()-ROW($V$14))*14,0),0)</f>
        <v>0</v>
      </c>
      <c r="AA25" s="5">
        <f ca="1">IF(AND((OFFSET('DATA INPUT'!$C$11, ROW()-ROW($V$14),0)=$V$10),
 OR(OFFSET('DATA INPUT'!$H$11,ROW()-ROW($V$14),0)=3,
OFFSET('DATA INPUT'!$V$11, ROW()-ROW($V$14),0)=3,
OFFSET('DATA INPUT'!$AD$11, ROW()-ROW($V$14),0)=3)),
OFFSET('Calc - SENIOR PERS'!$Y$11,COLUMN()-COLUMN($V$14) + (ROW()-ROW($V$14))*14,0),0)</f>
        <v>0</v>
      </c>
      <c r="AB25" s="138">
        <f t="shared" ca="1" si="8"/>
        <v>0</v>
      </c>
      <c r="AD25" s="133">
        <f ca="1">IF(AND((OFFSET('DATA INPUT'!$C$11, ROW()-ROW($AD$14),0)=$AD$10),
 OR(OFFSET('DATA INPUT'!$H$11,ROW()-ROW($AD$14),0)=3,
OFFSET('DATA INPUT'!$V$11, ROW()-ROW($AD$14),0)=3,
OFFSET('DATA INPUT'!$AD$11, ROW()-ROW($AD$14),0)=3)),
OFFSET('Calc - SENIOR PERS'!$Y$11,COLUMN()-COLUMN($AD$14) + (ROW()-ROW($AD$14))*14,0),0)</f>
        <v>0</v>
      </c>
      <c r="AE25" s="5">
        <f ca="1">IF(AND((OFFSET('DATA INPUT'!$C$11, ROW()-ROW($AD$14),0)=$AD$10),
 OR(OFFSET('DATA INPUT'!$H$11,ROW()-ROW($AD$14),0)=3,
OFFSET('DATA INPUT'!$V$11, ROW()-ROW($AD$14),0)=3,
OFFSET('DATA INPUT'!$AD$11, ROW()-ROW($AD$14),0)=3)),
OFFSET('Calc - SENIOR PERS'!$Y$11,COLUMN()-COLUMN($AD$14) + (ROW()-ROW($AD$14))*14,0),0)</f>
        <v>0</v>
      </c>
      <c r="AF25" s="5">
        <f ca="1">IF(AND((OFFSET('DATA INPUT'!$C$11, ROW()-ROW($AD$14),0)=$AD$10),
 OR(OFFSET('DATA INPUT'!$H$11,ROW()-ROW($AD$14),0)=3,
OFFSET('DATA INPUT'!$V$11, ROW()-ROW($AD$14),0)=3,
OFFSET('DATA INPUT'!$AD$11, ROW()-ROW($AD$14),0)=3)),
OFFSET('Calc - SENIOR PERS'!$Y$11,COLUMN()-COLUMN($AD$14) + (ROW()-ROW($AD$14))*14,0),0)</f>
        <v>0</v>
      </c>
      <c r="AG25" s="5">
        <f ca="1">IF(AND((OFFSET('DATA INPUT'!$C$11, ROW()-ROW($AD$14),0)=$AD$10),
 OR(OFFSET('DATA INPUT'!$H$11,ROW()-ROW($AD$14),0)=3,
OFFSET('DATA INPUT'!$V$11, ROW()-ROW($AD$14),0)=3,
OFFSET('DATA INPUT'!$AD$11, ROW()-ROW($AD$14),0)=3)),
OFFSET('Calc - SENIOR PERS'!$Y$11,COLUMN()-COLUMN($AD$14) + (ROW()-ROW($AD$14))*14,0),0)</f>
        <v>0</v>
      </c>
      <c r="AH25" s="5">
        <f ca="1">IF(AND((OFFSET('DATA INPUT'!$C$11, ROW()-ROW($AD$14),0)=$AD$10),
 OR(OFFSET('DATA INPUT'!$H$11,ROW()-ROW($AD$14),0)=3,
OFFSET('DATA INPUT'!$V$11, ROW()-ROW($AD$14),0)=3,
OFFSET('DATA INPUT'!$AD$11, ROW()-ROW($AD$14),0)=3)),
OFFSET('Calc - SENIOR PERS'!$Y$11,COLUMN()-COLUMN($AD$14) + (ROW()-ROW($AD$14))*14,0),0)</f>
        <v>0</v>
      </c>
      <c r="AI25" s="5">
        <f ca="1">IF(AND((OFFSET('DATA INPUT'!$C$11, ROW()-ROW($AD$14),0)=$AD$10),
 OR(OFFSET('DATA INPUT'!$H$11,ROW()-ROW($AD$14),0)=3,
OFFSET('DATA INPUT'!$V$11, ROW()-ROW($AD$14),0)=3,
OFFSET('DATA INPUT'!$AD$11, ROW()-ROW($AD$14),0)=3)),
OFFSET('Calc - SENIOR PERS'!$Y$11,COLUMN()-COLUMN($AD$14) + (ROW()-ROW($AD$14))*14,0),0)</f>
        <v>0</v>
      </c>
      <c r="AJ25" s="206">
        <f t="shared" ca="1" si="9"/>
        <v>0</v>
      </c>
      <c r="AL25" s="133">
        <f ca="1">IF(AND((OFFSET('DATA INPUT'!$C$11, ROW()-ROW($AL$14),0)=$AL$10),
 OR(OFFSET('DATA INPUT'!$H$11,ROW()-ROW($AL$14),0)=3,
OFFSET('DATA INPUT'!$V$11, ROW()-ROW($AL$14),0)=3,
OFFSET('DATA INPUT'!$AD$11, ROW()-ROW($AL$14),0)=3)),
OFFSET('Calc - SENIOR PERS'!$Y$11,COLUMN()-COLUMN($AL$14) + (ROW()-ROW($AL$14))*14,0),0)</f>
        <v>0</v>
      </c>
      <c r="AM25" s="5">
        <f ca="1">IF(AND((OFFSET('DATA INPUT'!$C$11, ROW()-ROW($AL$14),0)=$AL$10),
 OR(OFFSET('DATA INPUT'!$H$11,ROW()-ROW($AL$14),0)=3,
OFFSET('DATA INPUT'!$V$11, ROW()-ROW($AL$14),0)=3,
OFFSET('DATA INPUT'!$AD$11, ROW()-ROW($AL$14),0)=3)),
OFFSET('Calc - SENIOR PERS'!$Y$11,COLUMN()-COLUMN($AL$14) + (ROW()-ROW($AL$14))*14,0),0)</f>
        <v>0</v>
      </c>
      <c r="AN25" s="5">
        <f ca="1">IF(AND((OFFSET('DATA INPUT'!$C$11, ROW()-ROW($AL$14),0)=$AL$10),
 OR(OFFSET('DATA INPUT'!$H$11,ROW()-ROW($AL$14),0)=3,
OFFSET('DATA INPUT'!$V$11, ROW()-ROW($AL$14),0)=3,
OFFSET('DATA INPUT'!$AD$11, ROW()-ROW($AL$14),0)=3)),
OFFSET('Calc - SENIOR PERS'!$Y$11,COLUMN()-COLUMN($AL$14) + (ROW()-ROW($AL$14))*14,0),0)</f>
        <v>0</v>
      </c>
      <c r="AO25" s="5">
        <f ca="1">IF(AND((OFFSET('DATA INPUT'!$C$11, ROW()-ROW($AL$14),0)=$AL$10),
 OR(OFFSET('DATA INPUT'!$H$11,ROW()-ROW($AL$14),0)=3,
OFFSET('DATA INPUT'!$V$11, ROW()-ROW($AL$14),0)=3,
OFFSET('DATA INPUT'!$AD$11, ROW()-ROW($AL$14),0)=3)),
OFFSET('Calc - SENIOR PERS'!$Y$11,COLUMN()-COLUMN($AL$14) + (ROW()-ROW($AL$14))*14,0),0)</f>
        <v>0</v>
      </c>
      <c r="AP25" s="5">
        <f ca="1">IF(AND((OFFSET('DATA INPUT'!$C$11, ROW()-ROW($AL$14),0)=$AL$10),
 OR(OFFSET('DATA INPUT'!$H$11,ROW()-ROW($AL$14),0)=3,
OFFSET('DATA INPUT'!$V$11, ROW()-ROW($AL$14),0)=3,
OFFSET('DATA INPUT'!$AD$11, ROW()-ROW($AL$14),0)=3)),
OFFSET('Calc - SENIOR PERS'!$Y$11,COLUMN()-COLUMN($AL$14) + (ROW()-ROW($AL$14))*14,0),0)</f>
        <v>0</v>
      </c>
      <c r="AQ25" s="5">
        <f ca="1">IF(AND((OFFSET('DATA INPUT'!$C$11, ROW()-ROW($AL$14),0)=$AL$10),
 OR(OFFSET('DATA INPUT'!$H$11,ROW()-ROW($AL$14),0)=3,
OFFSET('DATA INPUT'!$V$11, ROW()-ROW($AL$14),0)=3,
OFFSET('DATA INPUT'!$AD$11, ROW()-ROW($AL$14),0)=3)),
OFFSET('Calc - SENIOR PERS'!$Y$11,COLUMN()-COLUMN($AL$14) + (ROW()-ROW($AL$14))*14,0),0)</f>
        <v>0</v>
      </c>
      <c r="AR25" s="178">
        <f t="shared" ca="1" si="10"/>
        <v>0</v>
      </c>
      <c r="AT25" s="133">
        <f ca="1">IF(AND((OFFSET('DATA INPUT'!$C$11, ROW()-ROW($AT$14),0)=$AT$10),
 OR(OFFSET('DATA INPUT'!$H$11,ROW()-ROW($AT$14),0)=3,
OFFSET('DATA INPUT'!$V$11, ROW()-ROW($AT$14),0)=3,
OFFSET('DATA INPUT'!$AD$11, ROW()-ROW($AT$14),0)=3)),
OFFSET('Calc - SENIOR PERS'!$Y$11,COLUMN()-COLUMN($AT$14) + (ROW()-ROW($AT$14))*14,0),0)</f>
        <v>0</v>
      </c>
      <c r="AU25" s="5">
        <f ca="1">IF(AND((OFFSET('DATA INPUT'!$C$11, ROW()-ROW($AT$14),0)=$AT$10),
 OR(OFFSET('DATA INPUT'!$H$11,ROW()-ROW($AT$14),0)=3,
OFFSET('DATA INPUT'!$V$11, ROW()-ROW($AT$14),0)=3,
OFFSET('DATA INPUT'!$AD$11, ROW()-ROW($AT$14),0)=3)),
OFFSET('Calc - SENIOR PERS'!$Y$11,COLUMN()-COLUMN($AT$14) + (ROW()-ROW($AT$14))*14,0),0)</f>
        <v>0</v>
      </c>
      <c r="AV25" s="5">
        <f ca="1">IF(AND((OFFSET('DATA INPUT'!$C$11, ROW()-ROW($AT$14),0)=$AT$10),
 OR(OFFSET('DATA INPUT'!$H$11,ROW()-ROW($AT$14),0)=3,
OFFSET('DATA INPUT'!$V$11, ROW()-ROW($AT$14),0)=3,
OFFSET('DATA INPUT'!$AD$11, ROW()-ROW($AT$14),0)=3)),
OFFSET('Calc - SENIOR PERS'!$Y$11,COLUMN()-COLUMN($AT$14) + (ROW()-ROW($AT$14))*14,0),0)</f>
        <v>0</v>
      </c>
      <c r="AW25" s="5">
        <f ca="1">IF(AND((OFFSET('DATA INPUT'!$C$11, ROW()-ROW($AT$14),0)=$AT$10),
 OR(OFFSET('DATA INPUT'!$H$11,ROW()-ROW($AT$14),0)=3,
OFFSET('DATA INPUT'!$V$11, ROW()-ROW($AT$14),0)=3,
OFFSET('DATA INPUT'!$AD$11, ROW()-ROW($AT$14),0)=3)),
OFFSET('Calc - SENIOR PERS'!$Y$11,COLUMN()-COLUMN($AT$14) + (ROW()-ROW($AT$14))*14,0),0)</f>
        <v>0</v>
      </c>
      <c r="AX25" s="5">
        <f ca="1">IF(AND((OFFSET('DATA INPUT'!$C$11, ROW()-ROW($AT$14),0)=$AT$10),
 OR(OFFSET('DATA INPUT'!$H$11,ROW()-ROW($AT$14),0)=3,
OFFSET('DATA INPUT'!$V$11, ROW()-ROW($AT$14),0)=3,
OFFSET('DATA INPUT'!$AD$11, ROW()-ROW($AT$14),0)=3)),
OFFSET('Calc - SENIOR PERS'!$Y$11,COLUMN()-COLUMN($AT$14) + (ROW()-ROW($AT$14))*14,0),0)</f>
        <v>0</v>
      </c>
      <c r="AY25" s="5">
        <f ca="1">IF(AND((OFFSET('DATA INPUT'!$C$11, ROW()-ROW($AT$14),0)=$AT$10),
 OR(OFFSET('DATA INPUT'!$H$11,ROW()-ROW($AT$14),0)=3,
OFFSET('DATA INPUT'!$V$11, ROW()-ROW($AT$14),0)=3,
OFFSET('DATA INPUT'!$AD$11, ROW()-ROW($AT$14),0)=3)),
OFFSET('Calc - SENIOR PERS'!$Y$11,COLUMN()-COLUMN($AT$14) + (ROW()-ROW($AT$14))*14,0),0)</f>
        <v>0</v>
      </c>
      <c r="AZ25" s="150">
        <f t="shared" ca="1" si="11"/>
        <v>0</v>
      </c>
      <c r="BB25" s="133">
        <f ca="1">IF(AND((OFFSET('DATA INPUT'!$C$11, ROW()-ROW($BB$14),0)=$BB$10),
 OR(OFFSET('DATA INPUT'!$H$11,ROW()-ROW($BB$14),0)=3,
OFFSET('DATA INPUT'!$V$11, ROW()-ROW($BB$14),0)=3,
OFFSET('DATA INPUT'!$AD$11, ROW()-ROW($BB$14),0)=3)),
OFFSET('Calc - SENIOR PERS'!$Y$11,COLUMN()-COLUMN($BB$14) + (ROW()-ROW($BB$14))*14,0),0)</f>
        <v>0</v>
      </c>
      <c r="BC25" s="5">
        <f ca="1">IF(AND((OFFSET('DATA INPUT'!$C$11, ROW()-ROW($BB$14),0)=$BB$10),
 OR(OFFSET('DATA INPUT'!$H$11,ROW()-ROW($BB$14),0)=3,
OFFSET('DATA INPUT'!$V$11, ROW()-ROW($BB$14),0)=3,
OFFSET('DATA INPUT'!$AD$11, ROW()-ROW($BB$14),0)=3)),
OFFSET('Calc - SENIOR PERS'!$Y$11,COLUMN()-COLUMN($BB$14) + (ROW()-ROW($BB$14))*14,0),0)</f>
        <v>0</v>
      </c>
      <c r="BD25" s="5">
        <f ca="1">IF(AND((OFFSET('DATA INPUT'!$C$11, ROW()-ROW($BB$14),0)=$BB$10),
 OR(OFFSET('DATA INPUT'!$H$11,ROW()-ROW($BB$14),0)=3,
OFFSET('DATA INPUT'!$V$11, ROW()-ROW($BB$14),0)=3,
OFFSET('DATA INPUT'!$AD$11, ROW()-ROW($BB$14),0)=3)),
OFFSET('Calc - SENIOR PERS'!$Y$11,COLUMN()-COLUMN($BB$14) + (ROW()-ROW($BB$14))*14,0),0)</f>
        <v>0</v>
      </c>
      <c r="BE25" s="5">
        <f ca="1">IF(AND((OFFSET('DATA INPUT'!$C$11, ROW()-ROW($BB$14),0)=$BB$10),
 OR(OFFSET('DATA INPUT'!$H$11,ROW()-ROW($BB$14),0)=3,
OFFSET('DATA INPUT'!$V$11, ROW()-ROW($BB$14),0)=3,
OFFSET('DATA INPUT'!$AD$11, ROW()-ROW($BB$14),0)=3)),
OFFSET('Calc - SENIOR PERS'!$Y$11,COLUMN()-COLUMN($BB$14) + (ROW()-ROW($BB$14))*14,0),0)</f>
        <v>0</v>
      </c>
      <c r="BF25" s="5">
        <f ca="1">IF(AND((OFFSET('DATA INPUT'!$C$11, ROW()-ROW($BB$14),0)=$BB$10),
 OR(OFFSET('DATA INPUT'!$H$11,ROW()-ROW($BB$14),0)=3,
OFFSET('DATA INPUT'!$V$11, ROW()-ROW($BB$14),0)=3,
OFFSET('DATA INPUT'!$AD$11, ROW()-ROW($BB$14),0)=3)),
OFFSET('Calc - SENIOR PERS'!$Y$11,COLUMN()-COLUMN($BB$14) + (ROW()-ROW($BB$14))*14,0),0)</f>
        <v>0</v>
      </c>
      <c r="BG25" s="5">
        <f ca="1">IF(AND((OFFSET('DATA INPUT'!$C$11, ROW()-ROW($BB$14),0)=$BB$10),
 OR(OFFSET('DATA INPUT'!$H$11,ROW()-ROW($BB$14),0)=3,
OFFSET('DATA INPUT'!$V$11, ROW()-ROW($BB$14),0)=3,
OFFSET('DATA INPUT'!$AD$11, ROW()-ROW($BB$14),0)=3)),
OFFSET('Calc - SENIOR PERS'!$Y$11,COLUMN()-COLUMN($BB$14) + (ROW()-ROW($BB$14))*14,0),0)</f>
        <v>0</v>
      </c>
      <c r="BH25" s="192">
        <f t="shared" ca="1" si="12"/>
        <v>0</v>
      </c>
      <c r="BJ25" s="133"/>
      <c r="BK25" s="5"/>
      <c r="BL25" s="5"/>
      <c r="BM25" s="5"/>
      <c r="BN25" s="5"/>
      <c r="BO25" s="5"/>
      <c r="BP25" s="1102">
        <f t="shared" si="13"/>
        <v>0</v>
      </c>
      <c r="BR25" s="575">
        <f t="shared" ca="1" si="14"/>
        <v>0</v>
      </c>
      <c r="BS25" s="5">
        <f t="shared" ca="1" si="15"/>
        <v>0</v>
      </c>
      <c r="BT25" s="5">
        <f t="shared" ca="1" si="16"/>
        <v>0</v>
      </c>
      <c r="BU25" s="5">
        <f t="shared" ca="1" si="17"/>
        <v>0</v>
      </c>
      <c r="BV25" s="5">
        <f t="shared" ca="1" si="18"/>
        <v>0</v>
      </c>
      <c r="BW25" s="5">
        <f t="shared" ca="1" si="19"/>
        <v>0</v>
      </c>
      <c r="BX25" s="2175">
        <f t="shared" ca="1" si="20"/>
        <v>0</v>
      </c>
      <c r="BY25" s="573">
        <f t="shared" ca="1" si="21"/>
        <v>0</v>
      </c>
      <c r="BZ25" s="1"/>
      <c r="CB25" s="1182"/>
      <c r="CC25" s="1197">
        <f ca="1">'Calc - SENIOR PERS'!$O$166/9*3</f>
        <v>0</v>
      </c>
      <c r="CD25" s="56">
        <f ca="1">'Calc - SENIOR PERS'!$O$166/9*3</f>
        <v>0</v>
      </c>
      <c r="CE25" s="56">
        <f ca="1">'Calc - SENIOR PERS'!$O$166/9*2</f>
        <v>0</v>
      </c>
      <c r="CF25" s="56">
        <f ca="1">'Calc - SENIOR PERS'!$O$166/9*0.5</f>
        <v>0</v>
      </c>
      <c r="CG25" s="1199">
        <f ca="1">'Calc - SENIOR PERS'!$O$166/9*0.5</f>
        <v>0</v>
      </c>
      <c r="CH25" s="1184">
        <f ca="1">'Calc - SENIOR PERS'!$O$167/9*3</f>
        <v>0</v>
      </c>
      <c r="CI25" s="1185">
        <f ca="1">'Calc - SENIOR PERS'!$O$167/9*3</f>
        <v>0</v>
      </c>
      <c r="CJ25" s="1185">
        <f ca="1">'Calc - SENIOR PERS'!$O$167/9*2</f>
        <v>0</v>
      </c>
      <c r="CK25" s="1185">
        <f ca="1">'Calc - SENIOR PERS'!$O$167/9*0.5</f>
        <v>0</v>
      </c>
      <c r="CL25" s="1186">
        <f ca="1">'Calc - SENIOR PERS'!$O$167/9*0.5</f>
        <v>0</v>
      </c>
      <c r="CM25" s="1187">
        <f ca="1">'Calc - SENIOR PERS'!$O$168/8*3</f>
        <v>0</v>
      </c>
      <c r="CN25" s="1188">
        <f ca="1">'Calc - SENIOR PERS'!$O$168/8*3</f>
        <v>0</v>
      </c>
      <c r="CO25" s="1189">
        <f ca="1">'Calc - SENIOR PERS'!$O$168/8*2</f>
        <v>0</v>
      </c>
      <c r="CP25" s="1179">
        <f t="shared" ca="1" si="22"/>
        <v>0</v>
      </c>
      <c r="CR25" s="310"/>
      <c r="CS25" s="575"/>
      <c r="CT25" s="5"/>
      <c r="CU25" s="1180"/>
      <c r="CV25" s="575"/>
      <c r="CW25" s="5"/>
      <c r="CX25" s="1180"/>
      <c r="CY25" s="575"/>
      <c r="CZ25" s="5"/>
      <c r="DA25" s="1180"/>
      <c r="DB25" s="575"/>
      <c r="DC25" s="5"/>
      <c r="DD25" s="1180"/>
      <c r="DE25" s="1181">
        <f t="shared" si="23"/>
        <v>0</v>
      </c>
      <c r="DG25" s="575"/>
      <c r="DH25" s="5"/>
      <c r="DI25" s="1180"/>
      <c r="DJ25" s="575"/>
      <c r="DK25" s="5"/>
      <c r="DL25" s="1180"/>
      <c r="DM25" s="575"/>
      <c r="DN25" s="5"/>
      <c r="DO25" s="1180"/>
      <c r="DP25" s="575"/>
      <c r="DQ25" s="5"/>
      <c r="DR25" s="1180"/>
      <c r="DS25" s="1181">
        <f t="shared" si="24"/>
        <v>0</v>
      </c>
      <c r="DU25" s="575"/>
      <c r="DV25" s="5"/>
      <c r="DW25" s="1180"/>
      <c r="DX25" s="575"/>
      <c r="DY25" s="5"/>
      <c r="DZ25" s="1180"/>
      <c r="EA25" s="575"/>
      <c r="EB25" s="5"/>
      <c r="EC25" s="1180"/>
      <c r="ED25" s="575"/>
      <c r="EE25" s="5"/>
      <c r="EF25" s="1180"/>
      <c r="EG25" s="1181">
        <f t="shared" si="25"/>
        <v>0</v>
      </c>
      <c r="EI25" s="403"/>
      <c r="EJ25" s="3215"/>
      <c r="EK25" s="2140">
        <f t="shared" ca="1" si="26"/>
        <v>0</v>
      </c>
      <c r="EL25" s="21">
        <f t="shared" ca="1" si="27"/>
        <v>0</v>
      </c>
      <c r="EM25" s="21">
        <f t="shared" ca="1" si="28"/>
        <v>0</v>
      </c>
      <c r="EN25" s="21">
        <f t="shared" ca="1" si="29"/>
        <v>0</v>
      </c>
      <c r="EO25" s="21">
        <f t="shared" ca="1" si="30"/>
        <v>0</v>
      </c>
      <c r="EP25" s="21">
        <f t="shared" ca="1" si="31"/>
        <v>0</v>
      </c>
      <c r="EQ25" s="21">
        <f t="shared" ca="1" si="32"/>
        <v>0</v>
      </c>
      <c r="ER25" s="88">
        <f t="shared" ca="1" si="33"/>
        <v>0</v>
      </c>
      <c r="ES25" s="9"/>
      <c r="ET25" s="4"/>
      <c r="EU25" s="4"/>
      <c r="EV25" s="133">
        <f t="shared" ca="1" si="34"/>
        <v>0</v>
      </c>
      <c r="EW25" s="5">
        <f t="shared" ca="1" si="35"/>
        <v>0</v>
      </c>
      <c r="EX25" s="5">
        <f t="shared" ca="1" si="36"/>
        <v>0</v>
      </c>
      <c r="EY25" s="5">
        <f t="shared" ca="1" si="37"/>
        <v>0</v>
      </c>
      <c r="EZ25" s="5">
        <f t="shared" ca="1" si="38"/>
        <v>0</v>
      </c>
      <c r="FA25" s="5">
        <f t="shared" ca="1" si="39"/>
        <v>0</v>
      </c>
      <c r="FB25" s="164">
        <f t="shared" ca="1" si="40"/>
        <v>0</v>
      </c>
      <c r="FD25" s="133">
        <f t="shared" ca="1" si="41"/>
        <v>0</v>
      </c>
      <c r="FE25" s="5">
        <f t="shared" ca="1" si="42"/>
        <v>0</v>
      </c>
      <c r="FF25" s="5">
        <f t="shared" ca="1" si="43"/>
        <v>0</v>
      </c>
      <c r="FG25" s="5">
        <f t="shared" ca="1" si="44"/>
        <v>0</v>
      </c>
      <c r="FH25" s="5">
        <f t="shared" ca="1" si="45"/>
        <v>0</v>
      </c>
      <c r="FI25" s="5">
        <f t="shared" ca="1" si="46"/>
        <v>0</v>
      </c>
      <c r="FJ25" s="138">
        <f t="shared" ca="1" si="47"/>
        <v>0</v>
      </c>
      <c r="FL25" s="133">
        <f t="shared" ca="1" si="48"/>
        <v>0</v>
      </c>
      <c r="FM25" s="5">
        <f t="shared" ca="1" si="49"/>
        <v>0</v>
      </c>
      <c r="FN25" s="5">
        <f t="shared" ca="1" si="50"/>
        <v>0</v>
      </c>
      <c r="FO25" s="5">
        <f t="shared" ca="1" si="51"/>
        <v>0</v>
      </c>
      <c r="FP25" s="5">
        <f t="shared" ca="1" si="52"/>
        <v>0</v>
      </c>
      <c r="FQ25" s="5">
        <f t="shared" ca="1" si="53"/>
        <v>0</v>
      </c>
      <c r="FR25" s="206">
        <f t="shared" ca="1" si="54"/>
        <v>0</v>
      </c>
      <c r="FT25" s="133">
        <f t="shared" ca="1" si="55"/>
        <v>0</v>
      </c>
      <c r="FU25" s="5">
        <f t="shared" ca="1" si="56"/>
        <v>0</v>
      </c>
      <c r="FV25" s="5">
        <f t="shared" ca="1" si="57"/>
        <v>0</v>
      </c>
      <c r="FW25" s="5">
        <f t="shared" ca="1" si="58"/>
        <v>0</v>
      </c>
      <c r="FX25" s="5">
        <f t="shared" ca="1" si="59"/>
        <v>0</v>
      </c>
      <c r="FY25" s="5">
        <f t="shared" ca="1" si="60"/>
        <v>0</v>
      </c>
      <c r="FZ25" s="178">
        <f t="shared" ca="1" si="61"/>
        <v>0</v>
      </c>
      <c r="GB25" s="133">
        <f t="shared" ca="1" si="62"/>
        <v>0</v>
      </c>
      <c r="GC25" s="5">
        <f t="shared" ca="1" si="63"/>
        <v>0</v>
      </c>
      <c r="GD25" s="5">
        <f t="shared" ca="1" si="64"/>
        <v>0</v>
      </c>
      <c r="GE25" s="5">
        <f t="shared" ca="1" si="65"/>
        <v>0</v>
      </c>
      <c r="GF25" s="5">
        <f t="shared" ca="1" si="66"/>
        <v>0</v>
      </c>
      <c r="GG25" s="5">
        <f t="shared" ca="1" si="67"/>
        <v>0</v>
      </c>
      <c r="GH25" s="150">
        <f t="shared" ca="1" si="68"/>
        <v>0</v>
      </c>
      <c r="GJ25" s="133">
        <f t="shared" ca="1" si="69"/>
        <v>0</v>
      </c>
      <c r="GK25" s="5">
        <f t="shared" ca="1" si="70"/>
        <v>0</v>
      </c>
      <c r="GL25" s="5">
        <f t="shared" ca="1" si="71"/>
        <v>0</v>
      </c>
      <c r="GM25" s="5">
        <f t="shared" ca="1" si="72"/>
        <v>0</v>
      </c>
      <c r="GN25" s="5">
        <f t="shared" ca="1" si="73"/>
        <v>0</v>
      </c>
      <c r="GO25" s="5">
        <f t="shared" ca="1" si="74"/>
        <v>0</v>
      </c>
      <c r="GP25" s="192">
        <f t="shared" ca="1" si="75"/>
        <v>0</v>
      </c>
      <c r="GR25" s="133"/>
      <c r="GS25" s="5"/>
      <c r="GT25" s="5"/>
      <c r="GU25" s="5"/>
      <c r="GV25" s="5"/>
      <c r="GW25" s="5"/>
      <c r="GX25" s="1102">
        <f t="shared" si="76"/>
        <v>0</v>
      </c>
      <c r="GZ25" s="575">
        <f t="shared" ca="1" si="77"/>
        <v>0</v>
      </c>
      <c r="HA25" s="5">
        <f t="shared" ca="1" si="78"/>
        <v>0</v>
      </c>
      <c r="HB25" s="5">
        <f t="shared" ca="1" si="79"/>
        <v>0</v>
      </c>
      <c r="HC25" s="5">
        <f t="shared" ca="1" si="80"/>
        <v>0</v>
      </c>
      <c r="HD25" s="5">
        <f t="shared" ca="1" si="81"/>
        <v>0</v>
      </c>
      <c r="HE25" s="5">
        <f t="shared" ca="1" si="82"/>
        <v>0</v>
      </c>
      <c r="HF25" s="2175">
        <f t="shared" ca="1" si="83"/>
        <v>0</v>
      </c>
      <c r="HG25" s="573">
        <f t="shared" ca="1" si="84"/>
        <v>0</v>
      </c>
      <c r="HH25" s="1"/>
    </row>
    <row r="26" spans="1:216" ht="15" hidden="1" customHeight="1" x14ac:dyDescent="0.25">
      <c r="A26" s="403"/>
      <c r="B26" s="3215"/>
      <c r="C26" s="2140">
        <f ca="1">'Calc - SENIOR PERS'!$B$174</f>
        <v>0</v>
      </c>
      <c r="D26" s="21">
        <f ca="1">'Calc - SENIOR PERS'!$O$179</f>
        <v>0</v>
      </c>
      <c r="E26" s="5">
        <f ca="1">'Calc - SENIOR PERS'!$O$180</f>
        <v>0</v>
      </c>
      <c r="F26" s="5">
        <f ca="1">'Calc - SENIOR PERS'!$O$181</f>
        <v>0</v>
      </c>
      <c r="G26" s="5">
        <f ca="1">'Calc - SENIOR PERS'!$O$182</f>
        <v>0</v>
      </c>
      <c r="H26" s="5">
        <f ca="1">'Calc - SENIOR PERS'!$O$183</f>
        <v>0</v>
      </c>
      <c r="I26" s="5">
        <f ca="1">'Calc - SENIOR PERS'!$O$184</f>
        <v>0</v>
      </c>
      <c r="J26" s="88">
        <f t="shared" ca="1" si="6"/>
        <v>0</v>
      </c>
      <c r="K26" s="9" t="str">
        <f ca="1">IF(J26&lt;&gt;'Calc - SENIOR PERS'!$O$185,"ERROR","")</f>
        <v/>
      </c>
      <c r="L26" s="4"/>
      <c r="M26" s="4"/>
      <c r="N26" s="133">
        <f ca="1">IF(AND((OFFSET('DATA INPUT'!$C$11, ROW()-ROW($N$14),0)=$N$10),
 OR(OFFSET('DATA INPUT'!$H$11,ROW()-ROW($N$14),0)=3,
OFFSET('DATA INPUT'!$V$11, ROW()-ROW($N$14),0)=3,
OFFSET('DATA INPUT'!$AD$11, ROW()-ROW($N$14),0)=3)),
OFFSET('Calc - SENIOR PERS'!$Y$11,COLUMN()-COLUMN($N$14) + (ROW()-ROW($N$14))*14,0),0)</f>
        <v>0</v>
      </c>
      <c r="O26" s="5">
        <f ca="1">IF(AND((OFFSET('DATA INPUT'!$C$11, ROW()-ROW($N$14),0)=$N$10),
 OR(OFFSET('DATA INPUT'!$H$11,ROW()-ROW($N$14),0)=3,
OFFSET('DATA INPUT'!$V$11, ROW()-ROW($N$14),0)=3,
OFFSET('DATA INPUT'!$AD$11, ROW()-ROW($N$14),0)=3)),
OFFSET('Calc - SENIOR PERS'!$Y$11,COLUMN()-COLUMN($N$14) + (ROW()-ROW($N$14))*14,0),0)</f>
        <v>0</v>
      </c>
      <c r="P26" s="5">
        <f ca="1">IF(AND((OFFSET('DATA INPUT'!$C$11, ROW()-ROW($N$14),0)=$N$10),
 OR(OFFSET('DATA INPUT'!$H$11,ROW()-ROW($N$14),0)=3,
OFFSET('DATA INPUT'!$V$11, ROW()-ROW($N$14),0)=3,
OFFSET('DATA INPUT'!$AD$11, ROW()-ROW($N$14),0)=3)),
OFFSET('Calc - SENIOR PERS'!$Y$11,COLUMN()-COLUMN($N$14) + (ROW()-ROW($N$14))*14,0),0)</f>
        <v>0</v>
      </c>
      <c r="Q26" s="5">
        <f ca="1">IF(AND((OFFSET('DATA INPUT'!$C$11, ROW()-ROW($N$14),0)=$N$10),
 OR(OFFSET('DATA INPUT'!$H$11,ROW()-ROW($N$14),0)=3,
OFFSET('DATA INPUT'!$V$11, ROW()-ROW($N$14),0)=3,
OFFSET('DATA INPUT'!$AD$11, ROW()-ROW($N$14),0)=3)),
OFFSET('Calc - SENIOR PERS'!$Y$11,COLUMN()-COLUMN($N$14) + (ROW()-ROW($N$14))*14,0),0)</f>
        <v>0</v>
      </c>
      <c r="R26" s="5">
        <f ca="1">IF(AND((OFFSET('DATA INPUT'!$C$11, ROW()-ROW($N$14),0)=$N$10),
 OR(OFFSET('DATA INPUT'!$H$11,ROW()-ROW($N$14),0)=3,
OFFSET('DATA INPUT'!$V$11, ROW()-ROW($N$14),0)=3,
OFFSET('DATA INPUT'!$AD$11, ROW()-ROW($N$14),0)=3)),
OFFSET('Calc - SENIOR PERS'!$Y$11,COLUMN()-COLUMN($N$14) + (ROW()-ROW($N$14))*14,0),0)</f>
        <v>0</v>
      </c>
      <c r="S26" s="5">
        <f ca="1">IF(AND((OFFSET('DATA INPUT'!$C$11, ROW()-ROW($N$14),0)=$N$10),
 OR(OFFSET('DATA INPUT'!$H$11,ROW()-ROW($N$14),0)=3,
OFFSET('DATA INPUT'!$V$11, ROW()-ROW($N$14),0)=3,
OFFSET('DATA INPUT'!$AD$11, ROW()-ROW($N$14),0)=3)),
OFFSET('Calc - SENIOR PERS'!$Y$11,COLUMN()-COLUMN($N$14) + (ROW()-ROW($N$14))*14,0),0)</f>
        <v>0</v>
      </c>
      <c r="T26" s="164">
        <f t="shared" ca="1" si="7"/>
        <v>0</v>
      </c>
      <c r="V26" s="133">
        <f ca="1">IF(AND((OFFSET('DATA INPUT'!$C$11, ROW()-ROW($V$14),0)=$V$10),
 OR(OFFSET('DATA INPUT'!$H$11,ROW()-ROW($V$14),0)=3,
OFFSET('DATA INPUT'!$V$11, ROW()-ROW($V$14),0)=3,
OFFSET('DATA INPUT'!$AD$11, ROW()-ROW($V$14),0)=3)),
OFFSET('Calc - SENIOR PERS'!$Y$11,COLUMN()-COLUMN($V$14) + (ROW()-ROW($V$14))*14,0),0)</f>
        <v>0</v>
      </c>
      <c r="W26" s="5">
        <f ca="1">IF(AND((OFFSET('DATA INPUT'!$C$11, ROW()-ROW($V$14),0)=$V$10),
 OR(OFFSET('DATA INPUT'!$H$11,ROW()-ROW($V$14),0)=3,
OFFSET('DATA INPUT'!$V$11, ROW()-ROW($V$14),0)=3,
OFFSET('DATA INPUT'!$AD$11, ROW()-ROW($V$14),0)=3)),
OFFSET('Calc - SENIOR PERS'!$Y$11,COLUMN()-COLUMN($V$14) + (ROW()-ROW($V$14))*14,0),0)</f>
        <v>0</v>
      </c>
      <c r="X26" s="5">
        <f ca="1">IF(AND((OFFSET('DATA INPUT'!$C$11, ROW()-ROW($V$14),0)=$V$10),
 OR(OFFSET('DATA INPUT'!$H$11,ROW()-ROW($V$14),0)=3,
OFFSET('DATA INPUT'!$V$11, ROW()-ROW($V$14),0)=3,
OFFSET('DATA INPUT'!$AD$11, ROW()-ROW($V$14),0)=3)),
OFFSET('Calc - SENIOR PERS'!$Y$11,COLUMN()-COLUMN($V$14) + (ROW()-ROW($V$14))*14,0),0)</f>
        <v>0</v>
      </c>
      <c r="Y26" s="5">
        <f ca="1">IF(AND((OFFSET('DATA INPUT'!$C$11, ROW()-ROW($V$14),0)=$V$10),
 OR(OFFSET('DATA INPUT'!$H$11,ROW()-ROW($V$14),0)=3,
OFFSET('DATA INPUT'!$V$11, ROW()-ROW($V$14),0)=3,
OFFSET('DATA INPUT'!$AD$11, ROW()-ROW($V$14),0)=3)),
OFFSET('Calc - SENIOR PERS'!$Y$11,COLUMN()-COLUMN($V$14) + (ROW()-ROW($V$14))*14,0),0)</f>
        <v>0</v>
      </c>
      <c r="Z26" s="5">
        <f ca="1">IF(AND((OFFSET('DATA INPUT'!$C$11, ROW()-ROW($V$14),0)=$V$10),
 OR(OFFSET('DATA INPUT'!$H$11,ROW()-ROW($V$14),0)=3,
OFFSET('DATA INPUT'!$V$11, ROW()-ROW($V$14),0)=3,
OFFSET('DATA INPUT'!$AD$11, ROW()-ROW($V$14),0)=3)),
OFFSET('Calc - SENIOR PERS'!$Y$11,COLUMN()-COLUMN($V$14) + (ROW()-ROW($V$14))*14,0),0)</f>
        <v>0</v>
      </c>
      <c r="AA26" s="5">
        <f ca="1">IF(AND((OFFSET('DATA INPUT'!$C$11, ROW()-ROW($V$14),0)=$V$10),
 OR(OFFSET('DATA INPUT'!$H$11,ROW()-ROW($V$14),0)=3,
OFFSET('DATA INPUT'!$V$11, ROW()-ROW($V$14),0)=3,
OFFSET('DATA INPUT'!$AD$11, ROW()-ROW($V$14),0)=3)),
OFFSET('Calc - SENIOR PERS'!$Y$11,COLUMN()-COLUMN($V$14) + (ROW()-ROW($V$14))*14,0),0)</f>
        <v>0</v>
      </c>
      <c r="AB26" s="138">
        <f t="shared" ca="1" si="8"/>
        <v>0</v>
      </c>
      <c r="AD26" s="133">
        <f ca="1">IF(AND((OFFSET('DATA INPUT'!$C$11, ROW()-ROW($AD$14),0)=$AD$10),
 OR(OFFSET('DATA INPUT'!$H$11,ROW()-ROW($AD$14),0)=3,
OFFSET('DATA INPUT'!$V$11, ROW()-ROW($AD$14),0)=3,
OFFSET('DATA INPUT'!$AD$11, ROW()-ROW($AD$14),0)=3)),
OFFSET('Calc - SENIOR PERS'!$Y$11,COLUMN()-COLUMN($AD$14) + (ROW()-ROW($AD$14))*14,0),0)</f>
        <v>0</v>
      </c>
      <c r="AE26" s="5">
        <f ca="1">IF(AND((OFFSET('DATA INPUT'!$C$11, ROW()-ROW($AD$14),0)=$AD$10),
 OR(OFFSET('DATA INPUT'!$H$11,ROW()-ROW($AD$14),0)=3,
OFFSET('DATA INPUT'!$V$11, ROW()-ROW($AD$14),0)=3,
OFFSET('DATA INPUT'!$AD$11, ROW()-ROW($AD$14),0)=3)),
OFFSET('Calc - SENIOR PERS'!$Y$11,COLUMN()-COLUMN($AD$14) + (ROW()-ROW($AD$14))*14,0),0)</f>
        <v>0</v>
      </c>
      <c r="AF26" s="5">
        <f ca="1">IF(AND((OFFSET('DATA INPUT'!$C$11, ROW()-ROW($AD$14),0)=$AD$10),
 OR(OFFSET('DATA INPUT'!$H$11,ROW()-ROW($AD$14),0)=3,
OFFSET('DATA INPUT'!$V$11, ROW()-ROW($AD$14),0)=3,
OFFSET('DATA INPUT'!$AD$11, ROW()-ROW($AD$14),0)=3)),
OFFSET('Calc - SENIOR PERS'!$Y$11,COLUMN()-COLUMN($AD$14) + (ROW()-ROW($AD$14))*14,0),0)</f>
        <v>0</v>
      </c>
      <c r="AG26" s="5">
        <f ca="1">IF(AND((OFFSET('DATA INPUT'!$C$11, ROW()-ROW($AD$14),0)=$AD$10),
 OR(OFFSET('DATA INPUT'!$H$11,ROW()-ROW($AD$14),0)=3,
OFFSET('DATA INPUT'!$V$11, ROW()-ROW($AD$14),0)=3,
OFFSET('DATA INPUT'!$AD$11, ROW()-ROW($AD$14),0)=3)),
OFFSET('Calc - SENIOR PERS'!$Y$11,COLUMN()-COLUMN($AD$14) + (ROW()-ROW($AD$14))*14,0),0)</f>
        <v>0</v>
      </c>
      <c r="AH26" s="5">
        <f ca="1">IF(AND((OFFSET('DATA INPUT'!$C$11, ROW()-ROW($AD$14),0)=$AD$10),
 OR(OFFSET('DATA INPUT'!$H$11,ROW()-ROW($AD$14),0)=3,
OFFSET('DATA INPUT'!$V$11, ROW()-ROW($AD$14),0)=3,
OFFSET('DATA INPUT'!$AD$11, ROW()-ROW($AD$14),0)=3)),
OFFSET('Calc - SENIOR PERS'!$Y$11,COLUMN()-COLUMN($AD$14) + (ROW()-ROW($AD$14))*14,0),0)</f>
        <v>0</v>
      </c>
      <c r="AI26" s="5">
        <f ca="1">IF(AND((OFFSET('DATA INPUT'!$C$11, ROW()-ROW($AD$14),0)=$AD$10),
 OR(OFFSET('DATA INPUT'!$H$11,ROW()-ROW($AD$14),0)=3,
OFFSET('DATA INPUT'!$V$11, ROW()-ROW($AD$14),0)=3,
OFFSET('DATA INPUT'!$AD$11, ROW()-ROW($AD$14),0)=3)),
OFFSET('Calc - SENIOR PERS'!$Y$11,COLUMN()-COLUMN($AD$14) + (ROW()-ROW($AD$14))*14,0),0)</f>
        <v>0</v>
      </c>
      <c r="AJ26" s="206">
        <f t="shared" ca="1" si="9"/>
        <v>0</v>
      </c>
      <c r="AL26" s="133">
        <f ca="1">IF(AND((OFFSET('DATA INPUT'!$C$11, ROW()-ROW($AL$14),0)=$AL$10),
 OR(OFFSET('DATA INPUT'!$H$11,ROW()-ROW($AL$14),0)=3,
OFFSET('DATA INPUT'!$V$11, ROW()-ROW($AL$14),0)=3,
OFFSET('DATA INPUT'!$AD$11, ROW()-ROW($AL$14),0)=3)),
OFFSET('Calc - SENIOR PERS'!$Y$11,COLUMN()-COLUMN($AL$14) + (ROW()-ROW($AL$14))*14,0),0)</f>
        <v>0</v>
      </c>
      <c r="AM26" s="5">
        <f ca="1">IF(AND((OFFSET('DATA INPUT'!$C$11, ROW()-ROW($AL$14),0)=$AL$10),
 OR(OFFSET('DATA INPUT'!$H$11,ROW()-ROW($AL$14),0)=3,
OFFSET('DATA INPUT'!$V$11, ROW()-ROW($AL$14),0)=3,
OFFSET('DATA INPUT'!$AD$11, ROW()-ROW($AL$14),0)=3)),
OFFSET('Calc - SENIOR PERS'!$Y$11,COLUMN()-COLUMN($AL$14) + (ROW()-ROW($AL$14))*14,0),0)</f>
        <v>0</v>
      </c>
      <c r="AN26" s="5">
        <f ca="1">IF(AND((OFFSET('DATA INPUT'!$C$11, ROW()-ROW($AL$14),0)=$AL$10),
 OR(OFFSET('DATA INPUT'!$H$11,ROW()-ROW($AL$14),0)=3,
OFFSET('DATA INPUT'!$V$11, ROW()-ROW($AL$14),0)=3,
OFFSET('DATA INPUT'!$AD$11, ROW()-ROW($AL$14),0)=3)),
OFFSET('Calc - SENIOR PERS'!$Y$11,COLUMN()-COLUMN($AL$14) + (ROW()-ROW($AL$14))*14,0),0)</f>
        <v>0</v>
      </c>
      <c r="AO26" s="5">
        <f ca="1">IF(AND((OFFSET('DATA INPUT'!$C$11, ROW()-ROW($AL$14),0)=$AL$10),
 OR(OFFSET('DATA INPUT'!$H$11,ROW()-ROW($AL$14),0)=3,
OFFSET('DATA INPUT'!$V$11, ROW()-ROW($AL$14),0)=3,
OFFSET('DATA INPUT'!$AD$11, ROW()-ROW($AL$14),0)=3)),
OFFSET('Calc - SENIOR PERS'!$Y$11,COLUMN()-COLUMN($AL$14) + (ROW()-ROW($AL$14))*14,0),0)</f>
        <v>0</v>
      </c>
      <c r="AP26" s="5">
        <f ca="1">IF(AND((OFFSET('DATA INPUT'!$C$11, ROW()-ROW($AL$14),0)=$AL$10),
 OR(OFFSET('DATA INPUT'!$H$11,ROW()-ROW($AL$14),0)=3,
OFFSET('DATA INPUT'!$V$11, ROW()-ROW($AL$14),0)=3,
OFFSET('DATA INPUT'!$AD$11, ROW()-ROW($AL$14),0)=3)),
OFFSET('Calc - SENIOR PERS'!$Y$11,COLUMN()-COLUMN($AL$14) + (ROW()-ROW($AL$14))*14,0),0)</f>
        <v>0</v>
      </c>
      <c r="AQ26" s="5">
        <f ca="1">IF(AND((OFFSET('DATA INPUT'!$C$11, ROW()-ROW($AL$14),0)=$AL$10),
 OR(OFFSET('DATA INPUT'!$H$11,ROW()-ROW($AL$14),0)=3,
OFFSET('DATA INPUT'!$V$11, ROW()-ROW($AL$14),0)=3,
OFFSET('DATA INPUT'!$AD$11, ROW()-ROW($AL$14),0)=3)),
OFFSET('Calc - SENIOR PERS'!$Y$11,COLUMN()-COLUMN($AL$14) + (ROW()-ROW($AL$14))*14,0),0)</f>
        <v>0</v>
      </c>
      <c r="AR26" s="178">
        <f t="shared" ca="1" si="10"/>
        <v>0</v>
      </c>
      <c r="AT26" s="133">
        <f ca="1">IF(AND((OFFSET('DATA INPUT'!$C$11, ROW()-ROW($AT$14),0)=$AT$10),
 OR(OFFSET('DATA INPUT'!$H$11,ROW()-ROW($AT$14),0)=3,
OFFSET('DATA INPUT'!$V$11, ROW()-ROW($AT$14),0)=3,
OFFSET('DATA INPUT'!$AD$11, ROW()-ROW($AT$14),0)=3)),
OFFSET('Calc - SENIOR PERS'!$Y$11,COLUMN()-COLUMN($AT$14) + (ROW()-ROW($AT$14))*14,0),0)</f>
        <v>0</v>
      </c>
      <c r="AU26" s="5">
        <f ca="1">IF(AND((OFFSET('DATA INPUT'!$C$11, ROW()-ROW($AT$14),0)=$AT$10),
 OR(OFFSET('DATA INPUT'!$H$11,ROW()-ROW($AT$14),0)=3,
OFFSET('DATA INPUT'!$V$11, ROW()-ROW($AT$14),0)=3,
OFFSET('DATA INPUT'!$AD$11, ROW()-ROW($AT$14),0)=3)),
OFFSET('Calc - SENIOR PERS'!$Y$11,COLUMN()-COLUMN($AT$14) + (ROW()-ROW($AT$14))*14,0),0)</f>
        <v>0</v>
      </c>
      <c r="AV26" s="5">
        <f ca="1">IF(AND((OFFSET('DATA INPUT'!$C$11, ROW()-ROW($AT$14),0)=$AT$10),
 OR(OFFSET('DATA INPUT'!$H$11,ROW()-ROW($AT$14),0)=3,
OFFSET('DATA INPUT'!$V$11, ROW()-ROW($AT$14),0)=3,
OFFSET('DATA INPUT'!$AD$11, ROW()-ROW($AT$14),0)=3)),
OFFSET('Calc - SENIOR PERS'!$Y$11,COLUMN()-COLUMN($AT$14) + (ROW()-ROW($AT$14))*14,0),0)</f>
        <v>0</v>
      </c>
      <c r="AW26" s="5">
        <f ca="1">IF(AND((OFFSET('DATA INPUT'!$C$11, ROW()-ROW($AT$14),0)=$AT$10),
 OR(OFFSET('DATA INPUT'!$H$11,ROW()-ROW($AT$14),0)=3,
OFFSET('DATA INPUT'!$V$11, ROW()-ROW($AT$14),0)=3,
OFFSET('DATA INPUT'!$AD$11, ROW()-ROW($AT$14),0)=3)),
OFFSET('Calc - SENIOR PERS'!$Y$11,COLUMN()-COLUMN($AT$14) + (ROW()-ROW($AT$14))*14,0),0)</f>
        <v>0</v>
      </c>
      <c r="AX26" s="5">
        <f ca="1">IF(AND((OFFSET('DATA INPUT'!$C$11, ROW()-ROW($AT$14),0)=$AT$10),
 OR(OFFSET('DATA INPUT'!$H$11,ROW()-ROW($AT$14),0)=3,
OFFSET('DATA INPUT'!$V$11, ROW()-ROW($AT$14),0)=3,
OFFSET('DATA INPUT'!$AD$11, ROW()-ROW($AT$14),0)=3)),
OFFSET('Calc - SENIOR PERS'!$Y$11,COLUMN()-COLUMN($AT$14) + (ROW()-ROW($AT$14))*14,0),0)</f>
        <v>0</v>
      </c>
      <c r="AY26" s="5">
        <f ca="1">IF(AND((OFFSET('DATA INPUT'!$C$11, ROW()-ROW($AT$14),0)=$AT$10),
 OR(OFFSET('DATA INPUT'!$H$11,ROW()-ROW($AT$14),0)=3,
OFFSET('DATA INPUT'!$V$11, ROW()-ROW($AT$14),0)=3,
OFFSET('DATA INPUT'!$AD$11, ROW()-ROW($AT$14),0)=3)),
OFFSET('Calc - SENIOR PERS'!$Y$11,COLUMN()-COLUMN($AT$14) + (ROW()-ROW($AT$14))*14,0),0)</f>
        <v>0</v>
      </c>
      <c r="AZ26" s="150">
        <f t="shared" ca="1" si="11"/>
        <v>0</v>
      </c>
      <c r="BB26" s="133">
        <f ca="1">IF(AND((OFFSET('DATA INPUT'!$C$11, ROW()-ROW($BB$14),0)=$BB$10),
 OR(OFFSET('DATA INPUT'!$H$11,ROW()-ROW($BB$14),0)=3,
OFFSET('DATA INPUT'!$V$11, ROW()-ROW($BB$14),0)=3,
OFFSET('DATA INPUT'!$AD$11, ROW()-ROW($BB$14),0)=3)),
OFFSET('Calc - SENIOR PERS'!$Y$11,COLUMN()-COLUMN($BB$14) + (ROW()-ROW($BB$14))*14,0),0)</f>
        <v>0</v>
      </c>
      <c r="BC26" s="5">
        <f ca="1">IF(AND((OFFSET('DATA INPUT'!$C$11, ROW()-ROW($BB$14),0)=$BB$10),
 OR(OFFSET('DATA INPUT'!$H$11,ROW()-ROW($BB$14),0)=3,
OFFSET('DATA INPUT'!$V$11, ROW()-ROW($BB$14),0)=3,
OFFSET('DATA INPUT'!$AD$11, ROW()-ROW($BB$14),0)=3)),
OFFSET('Calc - SENIOR PERS'!$Y$11,COLUMN()-COLUMN($BB$14) + (ROW()-ROW($BB$14))*14,0),0)</f>
        <v>0</v>
      </c>
      <c r="BD26" s="5">
        <f ca="1">IF(AND((OFFSET('DATA INPUT'!$C$11, ROW()-ROW($BB$14),0)=$BB$10),
 OR(OFFSET('DATA INPUT'!$H$11,ROW()-ROW($BB$14),0)=3,
OFFSET('DATA INPUT'!$V$11, ROW()-ROW($BB$14),0)=3,
OFFSET('DATA INPUT'!$AD$11, ROW()-ROW($BB$14),0)=3)),
OFFSET('Calc - SENIOR PERS'!$Y$11,COLUMN()-COLUMN($BB$14) + (ROW()-ROW($BB$14))*14,0),0)</f>
        <v>0</v>
      </c>
      <c r="BE26" s="5">
        <f ca="1">IF(AND((OFFSET('DATA INPUT'!$C$11, ROW()-ROW($BB$14),0)=$BB$10),
 OR(OFFSET('DATA INPUT'!$H$11,ROW()-ROW($BB$14),0)=3,
OFFSET('DATA INPUT'!$V$11, ROW()-ROW($BB$14),0)=3,
OFFSET('DATA INPUT'!$AD$11, ROW()-ROW($BB$14),0)=3)),
OFFSET('Calc - SENIOR PERS'!$Y$11,COLUMN()-COLUMN($BB$14) + (ROW()-ROW($BB$14))*14,0),0)</f>
        <v>0</v>
      </c>
      <c r="BF26" s="5">
        <f ca="1">IF(AND((OFFSET('DATA INPUT'!$C$11, ROW()-ROW($BB$14),0)=$BB$10),
 OR(OFFSET('DATA INPUT'!$H$11,ROW()-ROW($BB$14),0)=3,
OFFSET('DATA INPUT'!$V$11, ROW()-ROW($BB$14),0)=3,
OFFSET('DATA INPUT'!$AD$11, ROW()-ROW($BB$14),0)=3)),
OFFSET('Calc - SENIOR PERS'!$Y$11,COLUMN()-COLUMN($BB$14) + (ROW()-ROW($BB$14))*14,0),0)</f>
        <v>0</v>
      </c>
      <c r="BG26" s="5">
        <f ca="1">IF(AND((OFFSET('DATA INPUT'!$C$11, ROW()-ROW($BB$14),0)=$BB$10),
 OR(OFFSET('DATA INPUT'!$H$11,ROW()-ROW($BB$14),0)=3,
OFFSET('DATA INPUT'!$V$11, ROW()-ROW($BB$14),0)=3,
OFFSET('DATA INPUT'!$AD$11, ROW()-ROW($BB$14),0)=3)),
OFFSET('Calc - SENIOR PERS'!$Y$11,COLUMN()-COLUMN($BB$14) + (ROW()-ROW($BB$14))*14,0),0)</f>
        <v>0</v>
      </c>
      <c r="BH26" s="192">
        <f t="shared" ca="1" si="12"/>
        <v>0</v>
      </c>
      <c r="BJ26" s="133"/>
      <c r="BK26" s="5"/>
      <c r="BL26" s="5"/>
      <c r="BM26" s="5"/>
      <c r="BN26" s="5"/>
      <c r="BO26" s="5"/>
      <c r="BP26" s="1102">
        <f t="shared" si="13"/>
        <v>0</v>
      </c>
      <c r="BR26" s="575">
        <f t="shared" ca="1" si="14"/>
        <v>0</v>
      </c>
      <c r="BS26" s="5">
        <f t="shared" ca="1" si="15"/>
        <v>0</v>
      </c>
      <c r="BT26" s="5">
        <f t="shared" ca="1" si="16"/>
        <v>0</v>
      </c>
      <c r="BU26" s="5">
        <f t="shared" ca="1" si="17"/>
        <v>0</v>
      </c>
      <c r="BV26" s="5">
        <f t="shared" ca="1" si="18"/>
        <v>0</v>
      </c>
      <c r="BW26" s="5">
        <f t="shared" ca="1" si="19"/>
        <v>0</v>
      </c>
      <c r="BX26" s="2175">
        <f t="shared" ca="1" si="20"/>
        <v>0</v>
      </c>
      <c r="BY26" s="573">
        <f t="shared" ca="1" si="21"/>
        <v>0</v>
      </c>
      <c r="BZ26" s="1"/>
      <c r="CB26" s="1182"/>
      <c r="CC26" s="387">
        <f ca="1">'Calc - SENIOR PERS'!$O$180/9*3</f>
        <v>0</v>
      </c>
      <c r="CD26" s="56">
        <f ca="1">'Calc - SENIOR PERS'!$O$180/9*3</f>
        <v>0</v>
      </c>
      <c r="CE26" s="56">
        <f ca="1">'Calc - SENIOR PERS'!$O$180/9*2</f>
        <v>0</v>
      </c>
      <c r="CF26" s="56">
        <f ca="1">'Calc - SENIOR PERS'!$O$180/9*0.5</f>
        <v>0</v>
      </c>
      <c r="CG26" s="1183">
        <f ca="1">'Calc - SENIOR PERS'!$O$180/9*0.5</f>
        <v>0</v>
      </c>
      <c r="CH26" s="1184">
        <f ca="1">'Calc - SENIOR PERS'!$O$181/9*3</f>
        <v>0</v>
      </c>
      <c r="CI26" s="1185">
        <f ca="1">'Calc - SENIOR PERS'!$O$181/9*3</f>
        <v>0</v>
      </c>
      <c r="CJ26" s="1185">
        <f ca="1">'Calc - SENIOR PERS'!$O$181/9*2</f>
        <v>0</v>
      </c>
      <c r="CK26" s="1185">
        <f ca="1">'Calc - SENIOR PERS'!$O$181/9*0.5</f>
        <v>0</v>
      </c>
      <c r="CL26" s="1186">
        <f ca="1">'Calc - SENIOR PERS'!$O$181/9*0.5</f>
        <v>0</v>
      </c>
      <c r="CM26" s="1187">
        <f ca="1">'Calc - SENIOR PERS'!$O$182/8*3</f>
        <v>0</v>
      </c>
      <c r="CN26" s="1188">
        <f ca="1">'Calc - SENIOR PERS'!$O$182/8*3</f>
        <v>0</v>
      </c>
      <c r="CO26" s="1189">
        <f ca="1">'Calc - SENIOR PERS'!$O$182/8*2</f>
        <v>0</v>
      </c>
      <c r="CP26" s="1179">
        <f t="shared" ca="1" si="22"/>
        <v>0</v>
      </c>
      <c r="CR26" s="310"/>
      <c r="CS26" s="575"/>
      <c r="CT26" s="5"/>
      <c r="CU26" s="1180"/>
      <c r="CV26" s="575"/>
      <c r="CW26" s="5"/>
      <c r="CX26" s="1180"/>
      <c r="CY26" s="575"/>
      <c r="CZ26" s="5"/>
      <c r="DA26" s="1180"/>
      <c r="DB26" s="575"/>
      <c r="DC26" s="5"/>
      <c r="DD26" s="1180"/>
      <c r="DE26" s="1181">
        <f t="shared" si="23"/>
        <v>0</v>
      </c>
      <c r="DG26" s="575"/>
      <c r="DH26" s="5"/>
      <c r="DI26" s="1180"/>
      <c r="DJ26" s="575"/>
      <c r="DK26" s="5"/>
      <c r="DL26" s="1180"/>
      <c r="DM26" s="575"/>
      <c r="DN26" s="5"/>
      <c r="DO26" s="1180"/>
      <c r="DP26" s="575"/>
      <c r="DQ26" s="5"/>
      <c r="DR26" s="1180"/>
      <c r="DS26" s="1181">
        <f t="shared" si="24"/>
        <v>0</v>
      </c>
      <c r="DU26" s="575"/>
      <c r="DV26" s="5"/>
      <c r="DW26" s="1180"/>
      <c r="DX26" s="575"/>
      <c r="DY26" s="5"/>
      <c r="DZ26" s="1180"/>
      <c r="EA26" s="575"/>
      <c r="EB26" s="5"/>
      <c r="EC26" s="1180"/>
      <c r="ED26" s="575"/>
      <c r="EE26" s="5"/>
      <c r="EF26" s="1180"/>
      <c r="EG26" s="1181">
        <f t="shared" si="25"/>
        <v>0</v>
      </c>
      <c r="EI26" s="403"/>
      <c r="EJ26" s="3215"/>
      <c r="EK26" s="2140">
        <f t="shared" ca="1" si="26"/>
        <v>0</v>
      </c>
      <c r="EL26" s="21">
        <f t="shared" ca="1" si="27"/>
        <v>0</v>
      </c>
      <c r="EM26" s="21">
        <f t="shared" ca="1" si="28"/>
        <v>0</v>
      </c>
      <c r="EN26" s="21">
        <f t="shared" ca="1" si="29"/>
        <v>0</v>
      </c>
      <c r="EO26" s="21">
        <f t="shared" ca="1" si="30"/>
        <v>0</v>
      </c>
      <c r="EP26" s="21">
        <f t="shared" ca="1" si="31"/>
        <v>0</v>
      </c>
      <c r="EQ26" s="21">
        <f t="shared" ca="1" si="32"/>
        <v>0</v>
      </c>
      <c r="ER26" s="88">
        <f t="shared" ca="1" si="33"/>
        <v>0</v>
      </c>
      <c r="ES26" s="9"/>
      <c r="ET26" s="4"/>
      <c r="EU26" s="4"/>
      <c r="EV26" s="133">
        <f t="shared" ca="1" si="34"/>
        <v>0</v>
      </c>
      <c r="EW26" s="5">
        <f t="shared" ca="1" si="35"/>
        <v>0</v>
      </c>
      <c r="EX26" s="5">
        <f t="shared" ca="1" si="36"/>
        <v>0</v>
      </c>
      <c r="EY26" s="5">
        <f t="shared" ca="1" si="37"/>
        <v>0</v>
      </c>
      <c r="EZ26" s="5">
        <f t="shared" ca="1" si="38"/>
        <v>0</v>
      </c>
      <c r="FA26" s="5">
        <f t="shared" ca="1" si="39"/>
        <v>0</v>
      </c>
      <c r="FB26" s="164">
        <f t="shared" ca="1" si="40"/>
        <v>0</v>
      </c>
      <c r="FD26" s="133">
        <f t="shared" ca="1" si="41"/>
        <v>0</v>
      </c>
      <c r="FE26" s="5">
        <f t="shared" ca="1" si="42"/>
        <v>0</v>
      </c>
      <c r="FF26" s="5">
        <f t="shared" ca="1" si="43"/>
        <v>0</v>
      </c>
      <c r="FG26" s="5">
        <f t="shared" ca="1" si="44"/>
        <v>0</v>
      </c>
      <c r="FH26" s="5">
        <f t="shared" ca="1" si="45"/>
        <v>0</v>
      </c>
      <c r="FI26" s="5">
        <f t="shared" ca="1" si="46"/>
        <v>0</v>
      </c>
      <c r="FJ26" s="138">
        <f t="shared" ca="1" si="47"/>
        <v>0</v>
      </c>
      <c r="FL26" s="133">
        <f t="shared" ca="1" si="48"/>
        <v>0</v>
      </c>
      <c r="FM26" s="5">
        <f t="shared" ca="1" si="49"/>
        <v>0</v>
      </c>
      <c r="FN26" s="5">
        <f t="shared" ca="1" si="50"/>
        <v>0</v>
      </c>
      <c r="FO26" s="5">
        <f t="shared" ca="1" si="51"/>
        <v>0</v>
      </c>
      <c r="FP26" s="5">
        <f t="shared" ca="1" si="52"/>
        <v>0</v>
      </c>
      <c r="FQ26" s="5">
        <f t="shared" ca="1" si="53"/>
        <v>0</v>
      </c>
      <c r="FR26" s="206">
        <f t="shared" ca="1" si="54"/>
        <v>0</v>
      </c>
      <c r="FT26" s="133">
        <f t="shared" ca="1" si="55"/>
        <v>0</v>
      </c>
      <c r="FU26" s="5">
        <f t="shared" ca="1" si="56"/>
        <v>0</v>
      </c>
      <c r="FV26" s="5">
        <f t="shared" ca="1" si="57"/>
        <v>0</v>
      </c>
      <c r="FW26" s="5">
        <f t="shared" ca="1" si="58"/>
        <v>0</v>
      </c>
      <c r="FX26" s="5">
        <f t="shared" ca="1" si="59"/>
        <v>0</v>
      </c>
      <c r="FY26" s="5">
        <f t="shared" ca="1" si="60"/>
        <v>0</v>
      </c>
      <c r="FZ26" s="178">
        <f t="shared" ca="1" si="61"/>
        <v>0</v>
      </c>
      <c r="GB26" s="133">
        <f t="shared" ca="1" si="62"/>
        <v>0</v>
      </c>
      <c r="GC26" s="5">
        <f t="shared" ca="1" si="63"/>
        <v>0</v>
      </c>
      <c r="GD26" s="5">
        <f t="shared" ca="1" si="64"/>
        <v>0</v>
      </c>
      <c r="GE26" s="5">
        <f t="shared" ca="1" si="65"/>
        <v>0</v>
      </c>
      <c r="GF26" s="5">
        <f t="shared" ca="1" si="66"/>
        <v>0</v>
      </c>
      <c r="GG26" s="5">
        <f t="shared" ca="1" si="67"/>
        <v>0</v>
      </c>
      <c r="GH26" s="150">
        <f t="shared" ca="1" si="68"/>
        <v>0</v>
      </c>
      <c r="GJ26" s="133">
        <f t="shared" ca="1" si="69"/>
        <v>0</v>
      </c>
      <c r="GK26" s="5">
        <f t="shared" ca="1" si="70"/>
        <v>0</v>
      </c>
      <c r="GL26" s="5">
        <f t="shared" ca="1" si="71"/>
        <v>0</v>
      </c>
      <c r="GM26" s="5">
        <f t="shared" ca="1" si="72"/>
        <v>0</v>
      </c>
      <c r="GN26" s="5">
        <f t="shared" ca="1" si="73"/>
        <v>0</v>
      </c>
      <c r="GO26" s="5">
        <f t="shared" ca="1" si="74"/>
        <v>0</v>
      </c>
      <c r="GP26" s="192">
        <f t="shared" ca="1" si="75"/>
        <v>0</v>
      </c>
      <c r="GR26" s="133"/>
      <c r="GS26" s="5"/>
      <c r="GT26" s="5"/>
      <c r="GU26" s="5"/>
      <c r="GV26" s="5"/>
      <c r="GW26" s="5"/>
      <c r="GX26" s="1102">
        <f t="shared" si="76"/>
        <v>0</v>
      </c>
      <c r="GZ26" s="575">
        <f t="shared" ca="1" si="77"/>
        <v>0</v>
      </c>
      <c r="HA26" s="5">
        <f t="shared" ca="1" si="78"/>
        <v>0</v>
      </c>
      <c r="HB26" s="5">
        <f t="shared" ca="1" si="79"/>
        <v>0</v>
      </c>
      <c r="HC26" s="5">
        <f t="shared" ca="1" si="80"/>
        <v>0</v>
      </c>
      <c r="HD26" s="5">
        <f t="shared" ca="1" si="81"/>
        <v>0</v>
      </c>
      <c r="HE26" s="5">
        <f t="shared" ca="1" si="82"/>
        <v>0</v>
      </c>
      <c r="HF26" s="2175">
        <f t="shared" ca="1" si="83"/>
        <v>0</v>
      </c>
      <c r="HG26" s="573">
        <f t="shared" ca="1" si="84"/>
        <v>0</v>
      </c>
      <c r="HH26" s="1"/>
    </row>
    <row r="27" spans="1:216" ht="15" hidden="1" customHeight="1" x14ac:dyDescent="0.25">
      <c r="A27" s="403"/>
      <c r="B27" s="3215"/>
      <c r="C27" s="2140">
        <f ca="1">'Calc - SENIOR PERS'!$B$188</f>
        <v>0</v>
      </c>
      <c r="D27" s="21">
        <f ca="1">'Calc - SENIOR PERS'!$O$193</f>
        <v>0</v>
      </c>
      <c r="E27" s="5">
        <f ca="1">'Calc - SENIOR PERS'!$O$194</f>
        <v>0</v>
      </c>
      <c r="F27" s="5">
        <f ca="1">'Calc - SENIOR PERS'!$O$195</f>
        <v>0</v>
      </c>
      <c r="G27" s="5">
        <f ca="1">'Calc - SENIOR PERS'!$O$196</f>
        <v>0</v>
      </c>
      <c r="H27" s="5">
        <f ca="1">'Calc - SENIOR PERS'!$O$197</f>
        <v>0</v>
      </c>
      <c r="I27" s="5">
        <f ca="1">'Calc - SENIOR PERS'!$O$198</f>
        <v>0</v>
      </c>
      <c r="J27" s="88">
        <f t="shared" ca="1" si="6"/>
        <v>0</v>
      </c>
      <c r="K27" s="9" t="str">
        <f ca="1">IF(J27&lt;&gt;'Calc - SENIOR PERS'!$O$199,"ERROR","")</f>
        <v/>
      </c>
      <c r="L27" s="4"/>
      <c r="M27" s="4"/>
      <c r="N27" s="133">
        <f ca="1">IF(AND((OFFSET('DATA INPUT'!$C$11, ROW()-ROW($N$14),0)=$N$10),
 OR(OFFSET('DATA INPUT'!$H$11,ROW()-ROW($N$14),0)=3,
OFFSET('DATA INPUT'!$V$11, ROW()-ROW($N$14),0)=3,
OFFSET('DATA INPUT'!$AD$11, ROW()-ROW($N$14),0)=3)),
OFFSET('Calc - SENIOR PERS'!$Y$11,COLUMN()-COLUMN($N$14) + (ROW()-ROW($N$14))*14,0),0)</f>
        <v>0</v>
      </c>
      <c r="O27" s="5">
        <f ca="1">IF(AND((OFFSET('DATA INPUT'!$C$11, ROW()-ROW($N$14),0)=$N$10),
 OR(OFFSET('DATA INPUT'!$H$11,ROW()-ROW($N$14),0)=3,
OFFSET('DATA INPUT'!$V$11, ROW()-ROW($N$14),0)=3,
OFFSET('DATA INPUT'!$AD$11, ROW()-ROW($N$14),0)=3)),
OFFSET('Calc - SENIOR PERS'!$Y$11,COLUMN()-COLUMN($N$14) + (ROW()-ROW($N$14))*14,0),0)</f>
        <v>0</v>
      </c>
      <c r="P27" s="5">
        <f ca="1">IF(AND((OFFSET('DATA INPUT'!$C$11, ROW()-ROW($N$14),0)=$N$10),
 OR(OFFSET('DATA INPUT'!$H$11,ROW()-ROW($N$14),0)=3,
OFFSET('DATA INPUT'!$V$11, ROW()-ROW($N$14),0)=3,
OFFSET('DATA INPUT'!$AD$11, ROW()-ROW($N$14),0)=3)),
OFFSET('Calc - SENIOR PERS'!$Y$11,COLUMN()-COLUMN($N$14) + (ROW()-ROW($N$14))*14,0),0)</f>
        <v>0</v>
      </c>
      <c r="Q27" s="5">
        <f ca="1">IF(AND((OFFSET('DATA INPUT'!$C$11, ROW()-ROW($N$14),0)=$N$10),
 OR(OFFSET('DATA INPUT'!$H$11,ROW()-ROW($N$14),0)=3,
OFFSET('DATA INPUT'!$V$11, ROW()-ROW($N$14),0)=3,
OFFSET('DATA INPUT'!$AD$11, ROW()-ROW($N$14),0)=3)),
OFFSET('Calc - SENIOR PERS'!$Y$11,COLUMN()-COLUMN($N$14) + (ROW()-ROW($N$14))*14,0),0)</f>
        <v>0</v>
      </c>
      <c r="R27" s="5">
        <f ca="1">IF(AND((OFFSET('DATA INPUT'!$C$11, ROW()-ROW($N$14),0)=$N$10),
 OR(OFFSET('DATA INPUT'!$H$11,ROW()-ROW($N$14),0)=3,
OFFSET('DATA INPUT'!$V$11, ROW()-ROW($N$14),0)=3,
OFFSET('DATA INPUT'!$AD$11, ROW()-ROW($N$14),0)=3)),
OFFSET('Calc - SENIOR PERS'!$Y$11,COLUMN()-COLUMN($N$14) + (ROW()-ROW($N$14))*14,0),0)</f>
        <v>0</v>
      </c>
      <c r="S27" s="5">
        <f ca="1">IF(AND((OFFSET('DATA INPUT'!$C$11, ROW()-ROW($N$14),0)=$N$10),
 OR(OFFSET('DATA INPUT'!$H$11,ROW()-ROW($N$14),0)=3,
OFFSET('DATA INPUT'!$V$11, ROW()-ROW($N$14),0)=3,
OFFSET('DATA INPUT'!$AD$11, ROW()-ROW($N$14),0)=3)),
OFFSET('Calc - SENIOR PERS'!$Y$11,COLUMN()-COLUMN($N$14) + (ROW()-ROW($N$14))*14,0),0)</f>
        <v>0</v>
      </c>
      <c r="T27" s="164">
        <f t="shared" ca="1" si="7"/>
        <v>0</v>
      </c>
      <c r="V27" s="133">
        <f ca="1">IF(AND((OFFSET('DATA INPUT'!$C$11, ROW()-ROW($V$14),0)=$V$10),
 OR(OFFSET('DATA INPUT'!$H$11,ROW()-ROW($V$14),0)=3,
OFFSET('DATA INPUT'!$V$11, ROW()-ROW($V$14),0)=3,
OFFSET('DATA INPUT'!$AD$11, ROW()-ROW($V$14),0)=3)),
OFFSET('Calc - SENIOR PERS'!$Y$11,COLUMN()-COLUMN($V$14) + (ROW()-ROW($V$14))*14,0),0)</f>
        <v>0</v>
      </c>
      <c r="W27" s="5">
        <f ca="1">IF(AND((OFFSET('DATA INPUT'!$C$11, ROW()-ROW($V$14),0)=$V$10),
 OR(OFFSET('DATA INPUT'!$H$11,ROW()-ROW($V$14),0)=3,
OFFSET('DATA INPUT'!$V$11, ROW()-ROW($V$14),0)=3,
OFFSET('DATA INPUT'!$AD$11, ROW()-ROW($V$14),0)=3)),
OFFSET('Calc - SENIOR PERS'!$Y$11,COLUMN()-COLUMN($V$14) + (ROW()-ROW($V$14))*14,0),0)</f>
        <v>0</v>
      </c>
      <c r="X27" s="5">
        <f ca="1">IF(AND((OFFSET('DATA INPUT'!$C$11, ROW()-ROW($V$14),0)=$V$10),
 OR(OFFSET('DATA INPUT'!$H$11,ROW()-ROW($V$14),0)=3,
OFFSET('DATA INPUT'!$V$11, ROW()-ROW($V$14),0)=3,
OFFSET('DATA INPUT'!$AD$11, ROW()-ROW($V$14),0)=3)),
OFFSET('Calc - SENIOR PERS'!$Y$11,COLUMN()-COLUMN($V$14) + (ROW()-ROW($V$14))*14,0),0)</f>
        <v>0</v>
      </c>
      <c r="Y27" s="5">
        <f ca="1">IF(AND((OFFSET('DATA INPUT'!$C$11, ROW()-ROW($V$14),0)=$V$10),
 OR(OFFSET('DATA INPUT'!$H$11,ROW()-ROW($V$14),0)=3,
OFFSET('DATA INPUT'!$V$11, ROW()-ROW($V$14),0)=3,
OFFSET('DATA INPUT'!$AD$11, ROW()-ROW($V$14),0)=3)),
OFFSET('Calc - SENIOR PERS'!$Y$11,COLUMN()-COLUMN($V$14) + (ROW()-ROW($V$14))*14,0),0)</f>
        <v>0</v>
      </c>
      <c r="Z27" s="5">
        <f ca="1">IF(AND((OFFSET('DATA INPUT'!$C$11, ROW()-ROW($V$14),0)=$V$10),
 OR(OFFSET('DATA INPUT'!$H$11,ROW()-ROW($V$14),0)=3,
OFFSET('DATA INPUT'!$V$11, ROW()-ROW($V$14),0)=3,
OFFSET('DATA INPUT'!$AD$11, ROW()-ROW($V$14),0)=3)),
OFFSET('Calc - SENIOR PERS'!$Y$11,COLUMN()-COLUMN($V$14) + (ROW()-ROW($V$14))*14,0),0)</f>
        <v>0</v>
      </c>
      <c r="AA27" s="5">
        <f ca="1">IF(AND((OFFSET('DATA INPUT'!$C$11, ROW()-ROW($V$14),0)=$V$10),
 OR(OFFSET('DATA INPUT'!$H$11,ROW()-ROW($V$14),0)=3,
OFFSET('DATA INPUT'!$V$11, ROW()-ROW($V$14),0)=3,
OFFSET('DATA INPUT'!$AD$11, ROW()-ROW($V$14),0)=3)),
OFFSET('Calc - SENIOR PERS'!$Y$11,COLUMN()-COLUMN($V$14) + (ROW()-ROW($V$14))*14,0),0)</f>
        <v>0</v>
      </c>
      <c r="AB27" s="138">
        <f t="shared" ca="1" si="8"/>
        <v>0</v>
      </c>
      <c r="AD27" s="133">
        <f ca="1">IF(AND((OFFSET('DATA INPUT'!$C$11, ROW()-ROW($AD$14),0)=$AD$10),
 OR(OFFSET('DATA INPUT'!$H$11,ROW()-ROW($AD$14),0)=3,
OFFSET('DATA INPUT'!$V$11, ROW()-ROW($AD$14),0)=3,
OFFSET('DATA INPUT'!$AD$11, ROW()-ROW($AD$14),0)=3)),
OFFSET('Calc - SENIOR PERS'!$Y$11,COLUMN()-COLUMN($AD$14) + (ROW()-ROW($AD$14))*14,0),0)</f>
        <v>0</v>
      </c>
      <c r="AE27" s="5">
        <f ca="1">IF(AND((OFFSET('DATA INPUT'!$C$11, ROW()-ROW($AD$14),0)=$AD$10),
 OR(OFFSET('DATA INPUT'!$H$11,ROW()-ROW($AD$14),0)=3,
OFFSET('DATA INPUT'!$V$11, ROW()-ROW($AD$14),0)=3,
OFFSET('DATA INPUT'!$AD$11, ROW()-ROW($AD$14),0)=3)),
OFFSET('Calc - SENIOR PERS'!$Y$11,COLUMN()-COLUMN($AD$14) + (ROW()-ROW($AD$14))*14,0),0)</f>
        <v>0</v>
      </c>
      <c r="AF27" s="5">
        <f ca="1">IF(AND((OFFSET('DATA INPUT'!$C$11, ROW()-ROW($AD$14),0)=$AD$10),
 OR(OFFSET('DATA INPUT'!$H$11,ROW()-ROW($AD$14),0)=3,
OFFSET('DATA INPUT'!$V$11, ROW()-ROW($AD$14),0)=3,
OFFSET('DATA INPUT'!$AD$11, ROW()-ROW($AD$14),0)=3)),
OFFSET('Calc - SENIOR PERS'!$Y$11,COLUMN()-COLUMN($AD$14) + (ROW()-ROW($AD$14))*14,0),0)</f>
        <v>0</v>
      </c>
      <c r="AG27" s="5">
        <f ca="1">IF(AND((OFFSET('DATA INPUT'!$C$11, ROW()-ROW($AD$14),0)=$AD$10),
 OR(OFFSET('DATA INPUT'!$H$11,ROW()-ROW($AD$14),0)=3,
OFFSET('DATA INPUT'!$V$11, ROW()-ROW($AD$14),0)=3,
OFFSET('DATA INPUT'!$AD$11, ROW()-ROW($AD$14),0)=3)),
OFFSET('Calc - SENIOR PERS'!$Y$11,COLUMN()-COLUMN($AD$14) + (ROW()-ROW($AD$14))*14,0),0)</f>
        <v>0</v>
      </c>
      <c r="AH27" s="5">
        <f ca="1">IF(AND((OFFSET('DATA INPUT'!$C$11, ROW()-ROW($AD$14),0)=$AD$10),
 OR(OFFSET('DATA INPUT'!$H$11,ROW()-ROW($AD$14),0)=3,
OFFSET('DATA INPUT'!$V$11, ROW()-ROW($AD$14),0)=3,
OFFSET('DATA INPUT'!$AD$11, ROW()-ROW($AD$14),0)=3)),
OFFSET('Calc - SENIOR PERS'!$Y$11,COLUMN()-COLUMN($AD$14) + (ROW()-ROW($AD$14))*14,0),0)</f>
        <v>0</v>
      </c>
      <c r="AI27" s="5">
        <f ca="1">IF(AND((OFFSET('DATA INPUT'!$C$11, ROW()-ROW($AD$14),0)=$AD$10),
 OR(OFFSET('DATA INPUT'!$H$11,ROW()-ROW($AD$14),0)=3,
OFFSET('DATA INPUT'!$V$11, ROW()-ROW($AD$14),0)=3,
OFFSET('DATA INPUT'!$AD$11, ROW()-ROW($AD$14),0)=3)),
OFFSET('Calc - SENIOR PERS'!$Y$11,COLUMN()-COLUMN($AD$14) + (ROW()-ROW($AD$14))*14,0),0)</f>
        <v>0</v>
      </c>
      <c r="AJ27" s="206">
        <f t="shared" ca="1" si="9"/>
        <v>0</v>
      </c>
      <c r="AL27" s="133">
        <f ca="1">IF(AND((OFFSET('DATA INPUT'!$C$11, ROW()-ROW($AL$14),0)=$AL$10),
 OR(OFFSET('DATA INPUT'!$H$11,ROW()-ROW($AL$14),0)=3,
OFFSET('DATA INPUT'!$V$11, ROW()-ROW($AL$14),0)=3,
OFFSET('DATA INPUT'!$AD$11, ROW()-ROW($AL$14),0)=3)),
OFFSET('Calc - SENIOR PERS'!$Y$11,COLUMN()-COLUMN($AL$14) + (ROW()-ROW($AL$14))*14,0),0)</f>
        <v>0</v>
      </c>
      <c r="AM27" s="5">
        <f ca="1">IF(AND((OFFSET('DATA INPUT'!$C$11, ROW()-ROW($AL$14),0)=$AL$10),
 OR(OFFSET('DATA INPUT'!$H$11,ROW()-ROW($AL$14),0)=3,
OFFSET('DATA INPUT'!$V$11, ROW()-ROW($AL$14),0)=3,
OFFSET('DATA INPUT'!$AD$11, ROW()-ROW($AL$14),0)=3)),
OFFSET('Calc - SENIOR PERS'!$Y$11,COLUMN()-COLUMN($AL$14) + (ROW()-ROW($AL$14))*14,0),0)</f>
        <v>0</v>
      </c>
      <c r="AN27" s="5">
        <f ca="1">IF(AND((OFFSET('DATA INPUT'!$C$11, ROW()-ROW($AL$14),0)=$AL$10),
 OR(OFFSET('DATA INPUT'!$H$11,ROW()-ROW($AL$14),0)=3,
OFFSET('DATA INPUT'!$V$11, ROW()-ROW($AL$14),0)=3,
OFFSET('DATA INPUT'!$AD$11, ROW()-ROW($AL$14),0)=3)),
OFFSET('Calc - SENIOR PERS'!$Y$11,COLUMN()-COLUMN($AL$14) + (ROW()-ROW($AL$14))*14,0),0)</f>
        <v>0</v>
      </c>
      <c r="AO27" s="5">
        <f ca="1">IF(AND((OFFSET('DATA INPUT'!$C$11, ROW()-ROW($AL$14),0)=$AL$10),
 OR(OFFSET('DATA INPUT'!$H$11,ROW()-ROW($AL$14),0)=3,
OFFSET('DATA INPUT'!$V$11, ROW()-ROW($AL$14),0)=3,
OFFSET('DATA INPUT'!$AD$11, ROW()-ROW($AL$14),0)=3)),
OFFSET('Calc - SENIOR PERS'!$Y$11,COLUMN()-COLUMN($AL$14) + (ROW()-ROW($AL$14))*14,0),0)</f>
        <v>0</v>
      </c>
      <c r="AP27" s="5">
        <f ca="1">IF(AND((OFFSET('DATA INPUT'!$C$11, ROW()-ROW($AL$14),0)=$AL$10),
 OR(OFFSET('DATA INPUT'!$H$11,ROW()-ROW($AL$14),0)=3,
OFFSET('DATA INPUT'!$V$11, ROW()-ROW($AL$14),0)=3,
OFFSET('DATA INPUT'!$AD$11, ROW()-ROW($AL$14),0)=3)),
OFFSET('Calc - SENIOR PERS'!$Y$11,COLUMN()-COLUMN($AL$14) + (ROW()-ROW($AL$14))*14,0),0)</f>
        <v>0</v>
      </c>
      <c r="AQ27" s="5">
        <f ca="1">IF(AND((OFFSET('DATA INPUT'!$C$11, ROW()-ROW($AL$14),0)=$AL$10),
 OR(OFFSET('DATA INPUT'!$H$11,ROW()-ROW($AL$14),0)=3,
OFFSET('DATA INPUT'!$V$11, ROW()-ROW($AL$14),0)=3,
OFFSET('DATA INPUT'!$AD$11, ROW()-ROW($AL$14),0)=3)),
OFFSET('Calc - SENIOR PERS'!$Y$11,COLUMN()-COLUMN($AL$14) + (ROW()-ROW($AL$14))*14,0),0)</f>
        <v>0</v>
      </c>
      <c r="AR27" s="178">
        <f t="shared" ca="1" si="10"/>
        <v>0</v>
      </c>
      <c r="AT27" s="133">
        <f ca="1">IF(AND((OFFSET('DATA INPUT'!$C$11, ROW()-ROW($AT$14),0)=$AT$10),
 OR(OFFSET('DATA INPUT'!$H$11,ROW()-ROW($AT$14),0)=3,
OFFSET('DATA INPUT'!$V$11, ROW()-ROW($AT$14),0)=3,
OFFSET('DATA INPUT'!$AD$11, ROW()-ROW($AT$14),0)=3)),
OFFSET('Calc - SENIOR PERS'!$Y$11,COLUMN()-COLUMN($AT$14) + (ROW()-ROW($AT$14))*14,0),0)</f>
        <v>0</v>
      </c>
      <c r="AU27" s="5">
        <f ca="1">IF(AND((OFFSET('DATA INPUT'!$C$11, ROW()-ROW($AT$14),0)=$AT$10),
 OR(OFFSET('DATA INPUT'!$H$11,ROW()-ROW($AT$14),0)=3,
OFFSET('DATA INPUT'!$V$11, ROW()-ROW($AT$14),0)=3,
OFFSET('DATA INPUT'!$AD$11, ROW()-ROW($AT$14),0)=3)),
OFFSET('Calc - SENIOR PERS'!$Y$11,COLUMN()-COLUMN($AT$14) + (ROW()-ROW($AT$14))*14,0),0)</f>
        <v>0</v>
      </c>
      <c r="AV27" s="5">
        <f ca="1">IF(AND((OFFSET('DATA INPUT'!$C$11, ROW()-ROW($AT$14),0)=$AT$10),
 OR(OFFSET('DATA INPUT'!$H$11,ROW()-ROW($AT$14),0)=3,
OFFSET('DATA INPUT'!$V$11, ROW()-ROW($AT$14),0)=3,
OFFSET('DATA INPUT'!$AD$11, ROW()-ROW($AT$14),0)=3)),
OFFSET('Calc - SENIOR PERS'!$Y$11,COLUMN()-COLUMN($AT$14) + (ROW()-ROW($AT$14))*14,0),0)</f>
        <v>0</v>
      </c>
      <c r="AW27" s="5">
        <f ca="1">IF(AND((OFFSET('DATA INPUT'!$C$11, ROW()-ROW($AT$14),0)=$AT$10),
 OR(OFFSET('DATA INPUT'!$H$11,ROW()-ROW($AT$14),0)=3,
OFFSET('DATA INPUT'!$V$11, ROW()-ROW($AT$14),0)=3,
OFFSET('DATA INPUT'!$AD$11, ROW()-ROW($AT$14),0)=3)),
OFFSET('Calc - SENIOR PERS'!$Y$11,COLUMN()-COLUMN($AT$14) + (ROW()-ROW($AT$14))*14,0),0)</f>
        <v>0</v>
      </c>
      <c r="AX27" s="5">
        <f ca="1">IF(AND((OFFSET('DATA INPUT'!$C$11, ROW()-ROW($AT$14),0)=$AT$10),
 OR(OFFSET('DATA INPUT'!$H$11,ROW()-ROW($AT$14),0)=3,
OFFSET('DATA INPUT'!$V$11, ROW()-ROW($AT$14),0)=3,
OFFSET('DATA INPUT'!$AD$11, ROW()-ROW($AT$14),0)=3)),
OFFSET('Calc - SENIOR PERS'!$Y$11,COLUMN()-COLUMN($AT$14) + (ROW()-ROW($AT$14))*14,0),0)</f>
        <v>0</v>
      </c>
      <c r="AY27" s="5">
        <f ca="1">IF(AND((OFFSET('DATA INPUT'!$C$11, ROW()-ROW($AT$14),0)=$AT$10),
 OR(OFFSET('DATA INPUT'!$H$11,ROW()-ROW($AT$14),0)=3,
OFFSET('DATA INPUT'!$V$11, ROW()-ROW($AT$14),0)=3,
OFFSET('DATA INPUT'!$AD$11, ROW()-ROW($AT$14),0)=3)),
OFFSET('Calc - SENIOR PERS'!$Y$11,COLUMN()-COLUMN($AT$14) + (ROW()-ROW($AT$14))*14,0),0)</f>
        <v>0</v>
      </c>
      <c r="AZ27" s="150">
        <f t="shared" ca="1" si="11"/>
        <v>0</v>
      </c>
      <c r="BB27" s="133">
        <f ca="1">IF(AND((OFFSET('DATA INPUT'!$C$11, ROW()-ROW($BB$14),0)=$BB$10),
 OR(OFFSET('DATA INPUT'!$H$11,ROW()-ROW($BB$14),0)=3,
OFFSET('DATA INPUT'!$V$11, ROW()-ROW($BB$14),0)=3,
OFFSET('DATA INPUT'!$AD$11, ROW()-ROW($BB$14),0)=3)),
OFFSET('Calc - SENIOR PERS'!$Y$11,COLUMN()-COLUMN($BB$14) + (ROW()-ROW($BB$14))*14,0),0)</f>
        <v>0</v>
      </c>
      <c r="BC27" s="5">
        <f ca="1">IF(AND((OFFSET('DATA INPUT'!$C$11, ROW()-ROW($BB$14),0)=$BB$10),
 OR(OFFSET('DATA INPUT'!$H$11,ROW()-ROW($BB$14),0)=3,
OFFSET('DATA INPUT'!$V$11, ROW()-ROW($BB$14),0)=3,
OFFSET('DATA INPUT'!$AD$11, ROW()-ROW($BB$14),0)=3)),
OFFSET('Calc - SENIOR PERS'!$Y$11,COLUMN()-COLUMN($BB$14) + (ROW()-ROW($BB$14))*14,0),0)</f>
        <v>0</v>
      </c>
      <c r="BD27" s="5">
        <f ca="1">IF(AND((OFFSET('DATA INPUT'!$C$11, ROW()-ROW($BB$14),0)=$BB$10),
 OR(OFFSET('DATA INPUT'!$H$11,ROW()-ROW($BB$14),0)=3,
OFFSET('DATA INPUT'!$V$11, ROW()-ROW($BB$14),0)=3,
OFFSET('DATA INPUT'!$AD$11, ROW()-ROW($BB$14),0)=3)),
OFFSET('Calc - SENIOR PERS'!$Y$11,COLUMN()-COLUMN($BB$14) + (ROW()-ROW($BB$14))*14,0),0)</f>
        <v>0</v>
      </c>
      <c r="BE27" s="5">
        <f ca="1">IF(AND((OFFSET('DATA INPUT'!$C$11, ROW()-ROW($BB$14),0)=$BB$10),
 OR(OFFSET('DATA INPUT'!$H$11,ROW()-ROW($BB$14),0)=3,
OFFSET('DATA INPUT'!$V$11, ROW()-ROW($BB$14),0)=3,
OFFSET('DATA INPUT'!$AD$11, ROW()-ROW($BB$14),0)=3)),
OFFSET('Calc - SENIOR PERS'!$Y$11,COLUMN()-COLUMN($BB$14) + (ROW()-ROW($BB$14))*14,0),0)</f>
        <v>0</v>
      </c>
      <c r="BF27" s="5">
        <f ca="1">IF(AND((OFFSET('DATA INPUT'!$C$11, ROW()-ROW($BB$14),0)=$BB$10),
 OR(OFFSET('DATA INPUT'!$H$11,ROW()-ROW($BB$14),0)=3,
OFFSET('DATA INPUT'!$V$11, ROW()-ROW($BB$14),0)=3,
OFFSET('DATA INPUT'!$AD$11, ROW()-ROW($BB$14),0)=3)),
OFFSET('Calc - SENIOR PERS'!$Y$11,COLUMN()-COLUMN($BB$14) + (ROW()-ROW($BB$14))*14,0),0)</f>
        <v>0</v>
      </c>
      <c r="BG27" s="5">
        <f ca="1">IF(AND((OFFSET('DATA INPUT'!$C$11, ROW()-ROW($BB$14),0)=$BB$10),
 OR(OFFSET('DATA INPUT'!$H$11,ROW()-ROW($BB$14),0)=3,
OFFSET('DATA INPUT'!$V$11, ROW()-ROW($BB$14),0)=3,
OFFSET('DATA INPUT'!$AD$11, ROW()-ROW($BB$14),0)=3)),
OFFSET('Calc - SENIOR PERS'!$Y$11,COLUMN()-COLUMN($BB$14) + (ROW()-ROW($BB$14))*14,0),0)</f>
        <v>0</v>
      </c>
      <c r="BH27" s="192">
        <f t="shared" ca="1" si="12"/>
        <v>0</v>
      </c>
      <c r="BJ27" s="133"/>
      <c r="BK27" s="5"/>
      <c r="BL27" s="5"/>
      <c r="BM27" s="5"/>
      <c r="BN27" s="5"/>
      <c r="BO27" s="5"/>
      <c r="BP27" s="1102">
        <f t="shared" si="13"/>
        <v>0</v>
      </c>
      <c r="BR27" s="575">
        <f t="shared" ca="1" si="14"/>
        <v>0</v>
      </c>
      <c r="BS27" s="5">
        <f t="shared" ca="1" si="15"/>
        <v>0</v>
      </c>
      <c r="BT27" s="5">
        <f t="shared" ca="1" si="16"/>
        <v>0</v>
      </c>
      <c r="BU27" s="5">
        <f t="shared" ca="1" si="17"/>
        <v>0</v>
      </c>
      <c r="BV27" s="5">
        <f t="shared" ca="1" si="18"/>
        <v>0</v>
      </c>
      <c r="BW27" s="5">
        <f t="shared" ca="1" si="19"/>
        <v>0</v>
      </c>
      <c r="BX27" s="2175">
        <f t="shared" ca="1" si="20"/>
        <v>0</v>
      </c>
      <c r="BY27" s="573">
        <f t="shared" ca="1" si="21"/>
        <v>0</v>
      </c>
      <c r="BZ27" s="1"/>
      <c r="CB27" s="1182"/>
      <c r="CC27" s="387">
        <f ca="1">'Calc - SENIOR PERS'!$O$194/9*3</f>
        <v>0</v>
      </c>
      <c r="CD27" s="56">
        <f ca="1">'Calc - SENIOR PERS'!$O$194/9*3</f>
        <v>0</v>
      </c>
      <c r="CE27" s="56">
        <f ca="1">'Calc - SENIOR PERS'!$O$194/9*2</f>
        <v>0</v>
      </c>
      <c r="CF27" s="56">
        <f ca="1">'Calc - SENIOR PERS'!$O$194/9*0.5</f>
        <v>0</v>
      </c>
      <c r="CG27" s="1183">
        <f ca="1">'Calc - SENIOR PERS'!$O$194/9*0.5</f>
        <v>0</v>
      </c>
      <c r="CH27" s="1184">
        <f ca="1">'Calc - SENIOR PERS'!$O$195/9*3</f>
        <v>0</v>
      </c>
      <c r="CI27" s="1185">
        <f ca="1">'Calc - SENIOR PERS'!$O$195/9*3</f>
        <v>0</v>
      </c>
      <c r="CJ27" s="1185">
        <f ca="1">'Calc - SENIOR PERS'!$O$195/9*2</f>
        <v>0</v>
      </c>
      <c r="CK27" s="1185">
        <f ca="1">'Calc - SENIOR PERS'!$O$195/9*0.5</f>
        <v>0</v>
      </c>
      <c r="CL27" s="1186">
        <f ca="1">'Calc - SENIOR PERS'!$O$195/9*0.5</f>
        <v>0</v>
      </c>
      <c r="CM27" s="1187">
        <f ca="1">'Calc - SENIOR PERS'!$O$196/8*3</f>
        <v>0</v>
      </c>
      <c r="CN27" s="1188">
        <f ca="1">'Calc - SENIOR PERS'!$O$196/8*3</f>
        <v>0</v>
      </c>
      <c r="CO27" s="1189">
        <f ca="1">'Calc - SENIOR PERS'!$O$196/8*2</f>
        <v>0</v>
      </c>
      <c r="CP27" s="1179">
        <f t="shared" ca="1" si="22"/>
        <v>0</v>
      </c>
      <c r="CR27" s="310"/>
      <c r="CS27" s="575"/>
      <c r="CT27" s="5"/>
      <c r="CU27" s="1180"/>
      <c r="CV27" s="575"/>
      <c r="CW27" s="5"/>
      <c r="CX27" s="1180"/>
      <c r="CY27" s="575"/>
      <c r="CZ27" s="5"/>
      <c r="DA27" s="1180"/>
      <c r="DB27" s="575"/>
      <c r="DC27" s="5"/>
      <c r="DD27" s="1180"/>
      <c r="DE27" s="1181">
        <f t="shared" si="23"/>
        <v>0</v>
      </c>
      <c r="DG27" s="575"/>
      <c r="DH27" s="5"/>
      <c r="DI27" s="1180"/>
      <c r="DJ27" s="575"/>
      <c r="DK27" s="5"/>
      <c r="DL27" s="1180"/>
      <c r="DM27" s="575"/>
      <c r="DN27" s="5"/>
      <c r="DO27" s="1180"/>
      <c r="DP27" s="575"/>
      <c r="DQ27" s="5"/>
      <c r="DR27" s="1180"/>
      <c r="DS27" s="1181">
        <f t="shared" si="24"/>
        <v>0</v>
      </c>
      <c r="DU27" s="575"/>
      <c r="DV27" s="5"/>
      <c r="DW27" s="1180"/>
      <c r="DX27" s="575"/>
      <c r="DY27" s="5"/>
      <c r="DZ27" s="1180"/>
      <c r="EA27" s="575"/>
      <c r="EB27" s="5"/>
      <c r="EC27" s="1180"/>
      <c r="ED27" s="575"/>
      <c r="EE27" s="5"/>
      <c r="EF27" s="1180"/>
      <c r="EG27" s="1181">
        <f t="shared" si="25"/>
        <v>0</v>
      </c>
      <c r="EI27" s="403"/>
      <c r="EJ27" s="3215"/>
      <c r="EK27" s="2140">
        <f t="shared" ca="1" si="26"/>
        <v>0</v>
      </c>
      <c r="EL27" s="21">
        <f t="shared" ca="1" si="27"/>
        <v>0</v>
      </c>
      <c r="EM27" s="21">
        <f t="shared" ca="1" si="28"/>
        <v>0</v>
      </c>
      <c r="EN27" s="21">
        <f t="shared" ca="1" si="29"/>
        <v>0</v>
      </c>
      <c r="EO27" s="21">
        <f t="shared" ca="1" si="30"/>
        <v>0</v>
      </c>
      <c r="EP27" s="21">
        <f t="shared" ca="1" si="31"/>
        <v>0</v>
      </c>
      <c r="EQ27" s="21">
        <f t="shared" ca="1" si="32"/>
        <v>0</v>
      </c>
      <c r="ER27" s="88">
        <f t="shared" ca="1" si="33"/>
        <v>0</v>
      </c>
      <c r="ES27" s="9"/>
      <c r="ET27" s="4"/>
      <c r="EU27" s="4"/>
      <c r="EV27" s="133">
        <f t="shared" ca="1" si="34"/>
        <v>0</v>
      </c>
      <c r="EW27" s="5">
        <f t="shared" ca="1" si="35"/>
        <v>0</v>
      </c>
      <c r="EX27" s="5">
        <f t="shared" ca="1" si="36"/>
        <v>0</v>
      </c>
      <c r="EY27" s="5">
        <f t="shared" ca="1" si="37"/>
        <v>0</v>
      </c>
      <c r="EZ27" s="5">
        <f t="shared" ca="1" si="38"/>
        <v>0</v>
      </c>
      <c r="FA27" s="5">
        <f t="shared" ca="1" si="39"/>
        <v>0</v>
      </c>
      <c r="FB27" s="164">
        <f t="shared" ca="1" si="40"/>
        <v>0</v>
      </c>
      <c r="FD27" s="133">
        <f t="shared" ca="1" si="41"/>
        <v>0</v>
      </c>
      <c r="FE27" s="5">
        <f t="shared" ca="1" si="42"/>
        <v>0</v>
      </c>
      <c r="FF27" s="5">
        <f t="shared" ca="1" si="43"/>
        <v>0</v>
      </c>
      <c r="FG27" s="5">
        <f t="shared" ca="1" si="44"/>
        <v>0</v>
      </c>
      <c r="FH27" s="5">
        <f t="shared" ca="1" si="45"/>
        <v>0</v>
      </c>
      <c r="FI27" s="5">
        <f t="shared" ca="1" si="46"/>
        <v>0</v>
      </c>
      <c r="FJ27" s="138">
        <f t="shared" ca="1" si="47"/>
        <v>0</v>
      </c>
      <c r="FL27" s="133">
        <f t="shared" ca="1" si="48"/>
        <v>0</v>
      </c>
      <c r="FM27" s="5">
        <f t="shared" ca="1" si="49"/>
        <v>0</v>
      </c>
      <c r="FN27" s="5">
        <f t="shared" ca="1" si="50"/>
        <v>0</v>
      </c>
      <c r="FO27" s="5">
        <f t="shared" ca="1" si="51"/>
        <v>0</v>
      </c>
      <c r="FP27" s="5">
        <f t="shared" ca="1" si="52"/>
        <v>0</v>
      </c>
      <c r="FQ27" s="5">
        <f t="shared" ca="1" si="53"/>
        <v>0</v>
      </c>
      <c r="FR27" s="206">
        <f t="shared" ca="1" si="54"/>
        <v>0</v>
      </c>
      <c r="FT27" s="133">
        <f t="shared" ca="1" si="55"/>
        <v>0</v>
      </c>
      <c r="FU27" s="5">
        <f t="shared" ca="1" si="56"/>
        <v>0</v>
      </c>
      <c r="FV27" s="5">
        <f t="shared" ca="1" si="57"/>
        <v>0</v>
      </c>
      <c r="FW27" s="5">
        <f t="shared" ca="1" si="58"/>
        <v>0</v>
      </c>
      <c r="FX27" s="5">
        <f t="shared" ca="1" si="59"/>
        <v>0</v>
      </c>
      <c r="FY27" s="5">
        <f t="shared" ca="1" si="60"/>
        <v>0</v>
      </c>
      <c r="FZ27" s="178">
        <f t="shared" ca="1" si="61"/>
        <v>0</v>
      </c>
      <c r="GB27" s="133">
        <f t="shared" ca="1" si="62"/>
        <v>0</v>
      </c>
      <c r="GC27" s="5">
        <f t="shared" ca="1" si="63"/>
        <v>0</v>
      </c>
      <c r="GD27" s="5">
        <f t="shared" ca="1" si="64"/>
        <v>0</v>
      </c>
      <c r="GE27" s="5">
        <f t="shared" ca="1" si="65"/>
        <v>0</v>
      </c>
      <c r="GF27" s="5">
        <f t="shared" ca="1" si="66"/>
        <v>0</v>
      </c>
      <c r="GG27" s="5">
        <f t="shared" ca="1" si="67"/>
        <v>0</v>
      </c>
      <c r="GH27" s="150">
        <f t="shared" ca="1" si="68"/>
        <v>0</v>
      </c>
      <c r="GJ27" s="133">
        <f t="shared" ca="1" si="69"/>
        <v>0</v>
      </c>
      <c r="GK27" s="5">
        <f t="shared" ca="1" si="70"/>
        <v>0</v>
      </c>
      <c r="GL27" s="5">
        <f t="shared" ca="1" si="71"/>
        <v>0</v>
      </c>
      <c r="GM27" s="5">
        <f t="shared" ca="1" si="72"/>
        <v>0</v>
      </c>
      <c r="GN27" s="5">
        <f t="shared" ca="1" si="73"/>
        <v>0</v>
      </c>
      <c r="GO27" s="5">
        <f t="shared" ca="1" si="74"/>
        <v>0</v>
      </c>
      <c r="GP27" s="192">
        <f t="shared" ca="1" si="75"/>
        <v>0</v>
      </c>
      <c r="GR27" s="133"/>
      <c r="GS27" s="5"/>
      <c r="GT27" s="5"/>
      <c r="GU27" s="5"/>
      <c r="GV27" s="5"/>
      <c r="GW27" s="5"/>
      <c r="GX27" s="1102">
        <f t="shared" si="76"/>
        <v>0</v>
      </c>
      <c r="GZ27" s="575">
        <f t="shared" ca="1" si="77"/>
        <v>0</v>
      </c>
      <c r="HA27" s="5">
        <f t="shared" ca="1" si="78"/>
        <v>0</v>
      </c>
      <c r="HB27" s="5">
        <f t="shared" ca="1" si="79"/>
        <v>0</v>
      </c>
      <c r="HC27" s="5">
        <f t="shared" ca="1" si="80"/>
        <v>0</v>
      </c>
      <c r="HD27" s="5">
        <f t="shared" ca="1" si="81"/>
        <v>0</v>
      </c>
      <c r="HE27" s="5">
        <f t="shared" ca="1" si="82"/>
        <v>0</v>
      </c>
      <c r="HF27" s="2175">
        <f t="shared" ca="1" si="83"/>
        <v>0</v>
      </c>
      <c r="HG27" s="573">
        <f t="shared" ca="1" si="84"/>
        <v>0</v>
      </c>
      <c r="HH27" s="1"/>
    </row>
    <row r="28" spans="1:216" ht="15" hidden="1" customHeight="1" thickBot="1" x14ac:dyDescent="0.3">
      <c r="A28" s="406"/>
      <c r="B28" s="3215"/>
      <c r="C28" s="2141">
        <f ca="1">'Calc - SENIOR PERS'!$B$202</f>
        <v>0</v>
      </c>
      <c r="D28" s="410">
        <f ca="1">'Calc - SENIOR PERS'!$O$207</f>
        <v>0</v>
      </c>
      <c r="E28" s="321">
        <f ca="1">'Calc - SENIOR PERS'!$O$208</f>
        <v>0</v>
      </c>
      <c r="F28" s="321">
        <f ca="1">'Calc - SENIOR PERS'!$O$209</f>
        <v>0</v>
      </c>
      <c r="G28" s="321">
        <f ca="1">'Calc - SENIOR PERS'!$O$210</f>
        <v>0</v>
      </c>
      <c r="H28" s="321">
        <f ca="1">'Calc - SENIOR PERS'!$O$211</f>
        <v>0</v>
      </c>
      <c r="I28" s="321">
        <f ca="1">'Calc - SENIOR PERS'!$O$212</f>
        <v>0</v>
      </c>
      <c r="J28" s="351">
        <f t="shared" ca="1" si="6"/>
        <v>0</v>
      </c>
      <c r="K28" s="9" t="str">
        <f ca="1">IF(J28&lt;&gt;'Calc - SENIOR PERS'!$O$213,"ERROR","")</f>
        <v/>
      </c>
      <c r="L28" s="4"/>
      <c r="M28" s="4"/>
      <c r="N28" s="133">
        <f ca="1">IF(AND((OFFSET('DATA INPUT'!$C$11, ROW()-ROW($N$14),0)=$N$10),
 OR(OFFSET('DATA INPUT'!$H$11,ROW()-ROW($N$14),0)=3,
OFFSET('DATA INPUT'!$V$11, ROW()-ROW($N$14),0)=3,
OFFSET('DATA INPUT'!$AD$11, ROW()-ROW($N$14),0)=3)),
OFFSET('Calc - SENIOR PERS'!$Y$11,COLUMN()-COLUMN($N$14) + (ROW()-ROW($N$14))*14,0),0)</f>
        <v>0</v>
      </c>
      <c r="O28" s="321">
        <f ca="1">IF(AND((OFFSET('DATA INPUT'!$C$11, ROW()-ROW($N$14),0)=$N$10),
 OR(OFFSET('DATA INPUT'!$H$11,ROW()-ROW($N$14),0)=3,
OFFSET('DATA INPUT'!$V$11, ROW()-ROW($N$14),0)=3,
OFFSET('DATA INPUT'!$AD$11, ROW()-ROW($N$14),0)=3)),
OFFSET('Calc - SENIOR PERS'!$Y$11,COLUMN()-COLUMN($N$14) + (ROW()-ROW($N$14))*14,0),0)</f>
        <v>0</v>
      </c>
      <c r="P28" s="321">
        <f ca="1">IF(AND((OFFSET('DATA INPUT'!$C$11, ROW()-ROW($N$14),0)=$N$10),
 OR(OFFSET('DATA INPUT'!$H$11,ROW()-ROW($N$14),0)=3,
OFFSET('DATA INPUT'!$V$11, ROW()-ROW($N$14),0)=3,
OFFSET('DATA INPUT'!$AD$11, ROW()-ROW($N$14),0)=3)),
OFFSET('Calc - SENIOR PERS'!$Y$11,COLUMN()-COLUMN($N$14) + (ROW()-ROW($N$14))*14,0),0)</f>
        <v>0</v>
      </c>
      <c r="Q28" s="321">
        <f ca="1">IF(AND((OFFSET('DATA INPUT'!$C$11, ROW()-ROW($N$14),0)=$N$10),
 OR(OFFSET('DATA INPUT'!$H$11,ROW()-ROW($N$14),0)=3,
OFFSET('DATA INPUT'!$V$11, ROW()-ROW($N$14),0)=3,
OFFSET('DATA INPUT'!$AD$11, ROW()-ROW($N$14),0)=3)),
OFFSET('Calc - SENIOR PERS'!$Y$11,COLUMN()-COLUMN($N$14) + (ROW()-ROW($N$14))*14,0),0)</f>
        <v>0</v>
      </c>
      <c r="R28" s="321">
        <f ca="1">IF(AND((OFFSET('DATA INPUT'!$C$11, ROW()-ROW($N$14),0)=$N$10),
 OR(OFFSET('DATA INPUT'!$H$11,ROW()-ROW($N$14),0)=3,
OFFSET('DATA INPUT'!$V$11, ROW()-ROW($N$14),0)=3,
OFFSET('DATA INPUT'!$AD$11, ROW()-ROW($N$14),0)=3)),
OFFSET('Calc - SENIOR PERS'!$Y$11,COLUMN()-COLUMN($N$14) + (ROW()-ROW($N$14))*14,0),0)</f>
        <v>0</v>
      </c>
      <c r="S28" s="321">
        <f ca="1">IF(AND((OFFSET('DATA INPUT'!$C$11, ROW()-ROW($N$14),0)=$N$10),
 OR(OFFSET('DATA INPUT'!$H$11,ROW()-ROW($N$14),0)=3,
OFFSET('DATA INPUT'!$V$11, ROW()-ROW($N$14),0)=3,
OFFSET('DATA INPUT'!$AD$11, ROW()-ROW($N$14),0)=3)),
OFFSET('Calc - SENIOR PERS'!$Y$11,COLUMN()-COLUMN($N$14) + (ROW()-ROW($N$14))*14,0),0)</f>
        <v>0</v>
      </c>
      <c r="T28" s="380">
        <f t="shared" ca="1" si="7"/>
        <v>0</v>
      </c>
      <c r="V28" s="133">
        <f ca="1">IF(AND((OFFSET('DATA INPUT'!$C$11, ROW()-ROW($V$14),0)=$V$10),
 OR(OFFSET('DATA INPUT'!$H$11,ROW()-ROW($V$14),0)=3,
OFFSET('DATA INPUT'!$V$11, ROW()-ROW($V$14),0)=3,
OFFSET('DATA INPUT'!$AD$11, ROW()-ROW($V$14),0)=3)),
OFFSET('Calc - SENIOR PERS'!$Y$11,COLUMN()-COLUMN($V$14) + (ROW()-ROW($V$14))*14,0),0)</f>
        <v>0</v>
      </c>
      <c r="W28" s="321">
        <f ca="1">IF(AND((OFFSET('DATA INPUT'!$C$11, ROW()-ROW($V$14),0)=$V$10),
 OR(OFFSET('DATA INPUT'!$H$11,ROW()-ROW($V$14),0)=3,
OFFSET('DATA INPUT'!$V$11, ROW()-ROW($V$14),0)=3,
OFFSET('DATA INPUT'!$AD$11, ROW()-ROW($V$14),0)=3)),
OFFSET('Calc - SENIOR PERS'!$Y$11,COLUMN()-COLUMN($V$14) + (ROW()-ROW($V$14))*14,0),0)</f>
        <v>0</v>
      </c>
      <c r="X28" s="321">
        <f ca="1">IF(AND((OFFSET('DATA INPUT'!$C$11, ROW()-ROW($V$14),0)=$V$10),
 OR(OFFSET('DATA INPUT'!$H$11,ROW()-ROW($V$14),0)=3,
OFFSET('DATA INPUT'!$V$11, ROW()-ROW($V$14),0)=3,
OFFSET('DATA INPUT'!$AD$11, ROW()-ROW($V$14),0)=3)),
OFFSET('Calc - SENIOR PERS'!$Y$11,COLUMN()-COLUMN($V$14) + (ROW()-ROW($V$14))*14,0),0)</f>
        <v>0</v>
      </c>
      <c r="Y28" s="321">
        <f ca="1">IF(AND((OFFSET('DATA INPUT'!$C$11, ROW()-ROW($V$14),0)=$V$10),
 OR(OFFSET('DATA INPUT'!$H$11,ROW()-ROW($V$14),0)=3,
OFFSET('DATA INPUT'!$V$11, ROW()-ROW($V$14),0)=3,
OFFSET('DATA INPUT'!$AD$11, ROW()-ROW($V$14),0)=3)),
OFFSET('Calc - SENIOR PERS'!$Y$11,COLUMN()-COLUMN($V$14) + (ROW()-ROW($V$14))*14,0),0)</f>
        <v>0</v>
      </c>
      <c r="Z28" s="321">
        <f ca="1">IF(AND((OFFSET('DATA INPUT'!$C$11, ROW()-ROW($V$14),0)=$V$10),
 OR(OFFSET('DATA INPUT'!$H$11,ROW()-ROW($V$14),0)=3,
OFFSET('DATA INPUT'!$V$11, ROW()-ROW($V$14),0)=3,
OFFSET('DATA INPUT'!$AD$11, ROW()-ROW($V$14),0)=3)),
OFFSET('Calc - SENIOR PERS'!$Y$11,COLUMN()-COLUMN($V$14) + (ROW()-ROW($V$14))*14,0),0)</f>
        <v>0</v>
      </c>
      <c r="AA28" s="321">
        <f ca="1">IF(AND((OFFSET('DATA INPUT'!$C$11, ROW()-ROW($V$14),0)=$V$10),
 OR(OFFSET('DATA INPUT'!$H$11,ROW()-ROW($V$14),0)=3,
OFFSET('DATA INPUT'!$V$11, ROW()-ROW($V$14),0)=3,
OFFSET('DATA INPUT'!$AD$11, ROW()-ROW($V$14),0)=3)),
OFFSET('Calc - SENIOR PERS'!$Y$11,COLUMN()-COLUMN($V$14) + (ROW()-ROW($V$14))*14,0),0)</f>
        <v>0</v>
      </c>
      <c r="AB28" s="2152">
        <f t="shared" ca="1" si="8"/>
        <v>0</v>
      </c>
      <c r="AD28" s="2151">
        <f ca="1">IF(AND((OFFSET('DATA INPUT'!$C$11, ROW()-ROW($AD$14),0)=$AD$10),
 OR(OFFSET('DATA INPUT'!$H$11,ROW()-ROW($AD$14),0)=3,
OFFSET('DATA INPUT'!$V$11, ROW()-ROW($AD$14),0)=3,
OFFSET('DATA INPUT'!$AD$11, ROW()-ROW($AD$14),0)=3)),
OFFSET('Calc - SENIOR PERS'!$Y$11,COLUMN()-COLUMN($AD$14) + (ROW()-ROW($AD$14))*14,0),0)</f>
        <v>0</v>
      </c>
      <c r="AE28" s="321">
        <f ca="1">IF(AND((OFFSET('DATA INPUT'!$C$11, ROW()-ROW($AD$14),0)=$AD$10),
 OR(OFFSET('DATA INPUT'!$H$11,ROW()-ROW($AD$14),0)=3,
OFFSET('DATA INPUT'!$V$11, ROW()-ROW($AD$14),0)=3,
OFFSET('DATA INPUT'!$AD$11, ROW()-ROW($AD$14),0)=3)),
OFFSET('Calc - SENIOR PERS'!$Y$11,COLUMN()-COLUMN($AD$14) + (ROW()-ROW($AD$14))*14,0),0)</f>
        <v>0</v>
      </c>
      <c r="AF28" s="321">
        <f ca="1">IF(AND((OFFSET('DATA INPUT'!$C$11, ROW()-ROW($AD$14),0)=$AD$10),
 OR(OFFSET('DATA INPUT'!$H$11,ROW()-ROW($AD$14),0)=3,
OFFSET('DATA INPUT'!$V$11, ROW()-ROW($AD$14),0)=3,
OFFSET('DATA INPUT'!$AD$11, ROW()-ROW($AD$14),0)=3)),
OFFSET('Calc - SENIOR PERS'!$Y$11,COLUMN()-COLUMN($AD$14) + (ROW()-ROW($AD$14))*14,0),0)</f>
        <v>0</v>
      </c>
      <c r="AG28" s="321">
        <f ca="1">IF(AND((OFFSET('DATA INPUT'!$C$11, ROW()-ROW($AD$14),0)=$AD$10),
 OR(OFFSET('DATA INPUT'!$H$11,ROW()-ROW($AD$14),0)=3,
OFFSET('DATA INPUT'!$V$11, ROW()-ROW($AD$14),0)=3,
OFFSET('DATA INPUT'!$AD$11, ROW()-ROW($AD$14),0)=3)),
OFFSET('Calc - SENIOR PERS'!$Y$11,COLUMN()-COLUMN($AD$14) + (ROW()-ROW($AD$14))*14,0),0)</f>
        <v>0</v>
      </c>
      <c r="AH28" s="321">
        <f ca="1">IF(AND((OFFSET('DATA INPUT'!$C$11, ROW()-ROW($AD$14),0)=$AD$10),
 OR(OFFSET('DATA INPUT'!$H$11,ROW()-ROW($AD$14),0)=3,
OFFSET('DATA INPUT'!$V$11, ROW()-ROW($AD$14),0)=3,
OFFSET('DATA INPUT'!$AD$11, ROW()-ROW($AD$14),0)=3)),
OFFSET('Calc - SENIOR PERS'!$Y$11,COLUMN()-COLUMN($AD$14) + (ROW()-ROW($AD$14))*14,0),0)</f>
        <v>0</v>
      </c>
      <c r="AI28" s="321">
        <f ca="1">IF(AND((OFFSET('DATA INPUT'!$C$11, ROW()-ROW($AD$14),0)=$AD$10),
 OR(OFFSET('DATA INPUT'!$H$11,ROW()-ROW($AD$14),0)=3,
OFFSET('DATA INPUT'!$V$11, ROW()-ROW($AD$14),0)=3,
OFFSET('DATA INPUT'!$AD$11, ROW()-ROW($AD$14),0)=3)),
OFFSET('Calc - SENIOR PERS'!$Y$11,COLUMN()-COLUMN($AD$14) + (ROW()-ROW($AD$14))*14,0),0)</f>
        <v>0</v>
      </c>
      <c r="AJ28" s="385">
        <f t="shared" ca="1" si="9"/>
        <v>0</v>
      </c>
      <c r="AL28" s="2151">
        <f ca="1">IF(AND((OFFSET('DATA INPUT'!$C$11, ROW()-ROW($AL$14),0)=$AL$10),
 OR(OFFSET('DATA INPUT'!$H$11,ROW()-ROW($AL$14),0)=3,
OFFSET('DATA INPUT'!$V$11, ROW()-ROW($AL$14),0)=3,
OFFSET('DATA INPUT'!$AD$11, ROW()-ROW($AL$14),0)=3)),
OFFSET('Calc - SENIOR PERS'!$Y$11,COLUMN()-COLUMN($AL$14) + (ROW()-ROW($AL$14))*14,0),0)</f>
        <v>0</v>
      </c>
      <c r="AM28" s="321">
        <f ca="1">IF(AND((OFFSET('DATA INPUT'!$C$11, ROW()-ROW($AL$14),0)=$AL$10),
 OR(OFFSET('DATA INPUT'!$H$11,ROW()-ROW($AL$14),0)=3,
OFFSET('DATA INPUT'!$V$11, ROW()-ROW($AL$14),0)=3,
OFFSET('DATA INPUT'!$AD$11, ROW()-ROW($AL$14),0)=3)),
OFFSET('Calc - SENIOR PERS'!$Y$11,COLUMN()-COLUMN($AL$14) + (ROW()-ROW($AL$14))*14,0),0)</f>
        <v>0</v>
      </c>
      <c r="AN28" s="321">
        <f ca="1">IF(AND((OFFSET('DATA INPUT'!$C$11, ROW()-ROW($AL$14),0)=$AL$10),
 OR(OFFSET('DATA INPUT'!$H$11,ROW()-ROW($AL$14),0)=3,
OFFSET('DATA INPUT'!$V$11, ROW()-ROW($AL$14),0)=3,
OFFSET('DATA INPUT'!$AD$11, ROW()-ROW($AL$14),0)=3)),
OFFSET('Calc - SENIOR PERS'!$Y$11,COLUMN()-COLUMN($AL$14) + (ROW()-ROW($AL$14))*14,0),0)</f>
        <v>0</v>
      </c>
      <c r="AO28" s="321">
        <f ca="1">IF(AND((OFFSET('DATA INPUT'!$C$11, ROW()-ROW($AL$14),0)=$AL$10),
 OR(OFFSET('DATA INPUT'!$H$11,ROW()-ROW($AL$14),0)=3,
OFFSET('DATA INPUT'!$V$11, ROW()-ROW($AL$14),0)=3,
OFFSET('DATA INPUT'!$AD$11, ROW()-ROW($AL$14),0)=3)),
OFFSET('Calc - SENIOR PERS'!$Y$11,COLUMN()-COLUMN($AL$14) + (ROW()-ROW($AL$14))*14,0),0)</f>
        <v>0</v>
      </c>
      <c r="AP28" s="321">
        <f ca="1">IF(AND((OFFSET('DATA INPUT'!$C$11, ROW()-ROW($AL$14),0)=$AL$10),
 OR(OFFSET('DATA INPUT'!$H$11,ROW()-ROW($AL$14),0)=3,
OFFSET('DATA INPUT'!$V$11, ROW()-ROW($AL$14),0)=3,
OFFSET('DATA INPUT'!$AD$11, ROW()-ROW($AL$14),0)=3)),
OFFSET('Calc - SENIOR PERS'!$Y$11,COLUMN()-COLUMN($AL$14) + (ROW()-ROW($AL$14))*14,0),0)</f>
        <v>0</v>
      </c>
      <c r="AQ28" s="321">
        <f ca="1">IF(AND((OFFSET('DATA INPUT'!$C$11, ROW()-ROW($AL$14),0)=$AL$10),
 OR(OFFSET('DATA INPUT'!$H$11,ROW()-ROW($AL$14),0)=3,
OFFSET('DATA INPUT'!$V$11, ROW()-ROW($AL$14),0)=3,
OFFSET('DATA INPUT'!$AD$11, ROW()-ROW($AL$14),0)=3)),
OFFSET('Calc - SENIOR PERS'!$Y$11,COLUMN()-COLUMN($AL$14) + (ROW()-ROW($AL$14))*14,0),0)</f>
        <v>0</v>
      </c>
      <c r="AR28" s="384">
        <f t="shared" ca="1" si="10"/>
        <v>0</v>
      </c>
      <c r="AT28" s="2151">
        <f ca="1">IF(AND((OFFSET('DATA INPUT'!$C$11, ROW()-ROW($AT$14),0)=$AT$10),
 OR(OFFSET('DATA INPUT'!$H$11,ROW()-ROW($AT$14),0)=3,
OFFSET('DATA INPUT'!$V$11, ROW()-ROW($AT$14),0)=3,
OFFSET('DATA INPUT'!$AD$11, ROW()-ROW($AT$14),0)=3)),
OFFSET('Calc - SENIOR PERS'!$Y$11,COLUMN()-COLUMN($AT$14) + (ROW()-ROW($AT$14))*14,0),0)</f>
        <v>0</v>
      </c>
      <c r="AU28" s="321">
        <f ca="1">IF(AND((OFFSET('DATA INPUT'!$C$11, ROW()-ROW($AT$14),0)=$AT$10),
 OR(OFFSET('DATA INPUT'!$H$11,ROW()-ROW($AT$14),0)=3,
OFFSET('DATA INPUT'!$V$11, ROW()-ROW($AT$14),0)=3,
OFFSET('DATA INPUT'!$AD$11, ROW()-ROW($AT$14),0)=3)),
OFFSET('Calc - SENIOR PERS'!$Y$11,COLUMN()-COLUMN($AT$14) + (ROW()-ROW($AT$14))*14,0),0)</f>
        <v>0</v>
      </c>
      <c r="AV28" s="321">
        <f ca="1">IF(AND((OFFSET('DATA INPUT'!$C$11, ROW()-ROW($AT$14),0)=$AT$10),
 OR(OFFSET('DATA INPUT'!$H$11,ROW()-ROW($AT$14),0)=3,
OFFSET('DATA INPUT'!$V$11, ROW()-ROW($AT$14),0)=3,
OFFSET('DATA INPUT'!$AD$11, ROW()-ROW($AT$14),0)=3)),
OFFSET('Calc - SENIOR PERS'!$Y$11,COLUMN()-COLUMN($AT$14) + (ROW()-ROW($AT$14))*14,0),0)</f>
        <v>0</v>
      </c>
      <c r="AW28" s="321">
        <f ca="1">IF(AND((OFFSET('DATA INPUT'!$C$11, ROW()-ROW($AT$14),0)=$AT$10),
 OR(OFFSET('DATA INPUT'!$H$11,ROW()-ROW($AT$14),0)=3,
OFFSET('DATA INPUT'!$V$11, ROW()-ROW($AT$14),0)=3,
OFFSET('DATA INPUT'!$AD$11, ROW()-ROW($AT$14),0)=3)),
OFFSET('Calc - SENIOR PERS'!$Y$11,COLUMN()-COLUMN($AT$14) + (ROW()-ROW($AT$14))*14,0),0)</f>
        <v>0</v>
      </c>
      <c r="AX28" s="321">
        <f ca="1">IF(AND((OFFSET('DATA INPUT'!$C$11, ROW()-ROW($AT$14),0)=$AT$10),
 OR(OFFSET('DATA INPUT'!$H$11,ROW()-ROW($AT$14),0)=3,
OFFSET('DATA INPUT'!$V$11, ROW()-ROW($AT$14),0)=3,
OFFSET('DATA INPUT'!$AD$11, ROW()-ROW($AT$14),0)=3)),
OFFSET('Calc - SENIOR PERS'!$Y$11,COLUMN()-COLUMN($AT$14) + (ROW()-ROW($AT$14))*14,0),0)</f>
        <v>0</v>
      </c>
      <c r="AY28" s="321">
        <f ca="1">IF(AND((OFFSET('DATA INPUT'!$C$11, ROW()-ROW($AT$14),0)=$AT$10),
 OR(OFFSET('DATA INPUT'!$H$11,ROW()-ROW($AT$14),0)=3,
OFFSET('DATA INPUT'!$V$11, ROW()-ROW($AT$14),0)=3,
OFFSET('DATA INPUT'!$AD$11, ROW()-ROW($AT$14),0)=3)),
OFFSET('Calc - SENIOR PERS'!$Y$11,COLUMN()-COLUMN($AT$14) + (ROW()-ROW($AT$14))*14,0),0)</f>
        <v>0</v>
      </c>
      <c r="AZ28" s="383">
        <f t="shared" ca="1" si="11"/>
        <v>0</v>
      </c>
      <c r="BB28" s="2151">
        <f ca="1">IF(AND((OFFSET('DATA INPUT'!$C$11, ROW()-ROW($BB$14),0)=$BB$10),
 OR(OFFSET('DATA INPUT'!$H$11,ROW()-ROW($BB$14),0)=3,
OFFSET('DATA INPUT'!$V$11, ROW()-ROW($BB$14),0)=3,
OFFSET('DATA INPUT'!$AD$11, ROW()-ROW($BB$14),0)=3)),
OFFSET('Calc - SENIOR PERS'!$Y$11,COLUMN()-COLUMN($BB$14) + (ROW()-ROW($BB$14))*14,0),0)</f>
        <v>0</v>
      </c>
      <c r="BC28" s="321">
        <f ca="1">IF(AND((OFFSET('DATA INPUT'!$C$11, ROW()-ROW($BB$14),0)=$BB$10),
 OR(OFFSET('DATA INPUT'!$H$11,ROW()-ROW($BB$14),0)=3,
OFFSET('DATA INPUT'!$V$11, ROW()-ROW($BB$14),0)=3,
OFFSET('DATA INPUT'!$AD$11, ROW()-ROW($BB$14),0)=3)),
OFFSET('Calc - SENIOR PERS'!$Y$11,COLUMN()-COLUMN($BB$14) + (ROW()-ROW($BB$14))*14,0),0)</f>
        <v>0</v>
      </c>
      <c r="BD28" s="321">
        <f ca="1">IF(AND((OFFSET('DATA INPUT'!$C$11, ROW()-ROW($BB$14),0)=$BB$10),
 OR(OFFSET('DATA INPUT'!$H$11,ROW()-ROW($BB$14),0)=3,
OFFSET('DATA INPUT'!$V$11, ROW()-ROW($BB$14),0)=3,
OFFSET('DATA INPUT'!$AD$11, ROW()-ROW($BB$14),0)=3)),
OFFSET('Calc - SENIOR PERS'!$Y$11,COLUMN()-COLUMN($BB$14) + (ROW()-ROW($BB$14))*14,0),0)</f>
        <v>0</v>
      </c>
      <c r="BE28" s="321">
        <f ca="1">IF(AND((OFFSET('DATA INPUT'!$C$11, ROW()-ROW($BB$14),0)=$BB$10),
 OR(OFFSET('DATA INPUT'!$H$11,ROW()-ROW($BB$14),0)=3,
OFFSET('DATA INPUT'!$V$11, ROW()-ROW($BB$14),0)=3,
OFFSET('DATA INPUT'!$AD$11, ROW()-ROW($BB$14),0)=3)),
OFFSET('Calc - SENIOR PERS'!$Y$11,COLUMN()-COLUMN($BB$14) + (ROW()-ROW($BB$14))*14,0),0)</f>
        <v>0</v>
      </c>
      <c r="BF28" s="321">
        <f ca="1">IF(AND((OFFSET('DATA INPUT'!$C$11, ROW()-ROW($BB$14),0)=$BB$10),
 OR(OFFSET('DATA INPUT'!$H$11,ROW()-ROW($BB$14),0)=3,
OFFSET('DATA INPUT'!$V$11, ROW()-ROW($BB$14),0)=3,
OFFSET('DATA INPUT'!$AD$11, ROW()-ROW($BB$14),0)=3)),
OFFSET('Calc - SENIOR PERS'!$Y$11,COLUMN()-COLUMN($BB$14) + (ROW()-ROW($BB$14))*14,0),0)</f>
        <v>0</v>
      </c>
      <c r="BG28" s="321">
        <f ca="1">IF(AND((OFFSET('DATA INPUT'!$C$11, ROW()-ROW($BB$14),0)=$BB$10),
 OR(OFFSET('DATA INPUT'!$H$11,ROW()-ROW($BB$14),0)=3,
OFFSET('DATA INPUT'!$V$11, ROW()-ROW($BB$14),0)=3,
OFFSET('DATA INPUT'!$AD$11, ROW()-ROW($BB$14),0)=3)),
OFFSET('Calc - SENIOR PERS'!$Y$11,COLUMN()-COLUMN($BB$14) + (ROW()-ROW($BB$14))*14,0),0)</f>
        <v>0</v>
      </c>
      <c r="BH28" s="382">
        <f t="shared" ca="1" si="12"/>
        <v>0</v>
      </c>
      <c r="BJ28" s="134"/>
      <c r="BK28" s="42"/>
      <c r="BL28" s="42"/>
      <c r="BM28" s="42"/>
      <c r="BN28" s="42"/>
      <c r="BO28" s="42"/>
      <c r="BP28" s="1103">
        <f t="shared" si="13"/>
        <v>0</v>
      </c>
      <c r="BR28" s="2147">
        <f t="shared" ca="1" si="14"/>
        <v>0</v>
      </c>
      <c r="BS28" s="42">
        <f t="shared" ca="1" si="15"/>
        <v>0</v>
      </c>
      <c r="BT28" s="42">
        <f t="shared" ca="1" si="16"/>
        <v>0</v>
      </c>
      <c r="BU28" s="42">
        <f t="shared" ca="1" si="17"/>
        <v>0</v>
      </c>
      <c r="BV28" s="42">
        <f t="shared" ca="1" si="18"/>
        <v>0</v>
      </c>
      <c r="BW28" s="42">
        <f t="shared" ca="1" si="19"/>
        <v>0</v>
      </c>
      <c r="BX28" s="2176">
        <f t="shared" ca="1" si="20"/>
        <v>0</v>
      </c>
      <c r="BY28" s="275">
        <f t="shared" ca="1" si="21"/>
        <v>0</v>
      </c>
      <c r="BZ28" s="1"/>
      <c r="CB28" s="1200"/>
      <c r="CC28" s="1201">
        <f ca="1">'Calc - SENIOR PERS'!$O$208/9*3</f>
        <v>0</v>
      </c>
      <c r="CD28" s="1202">
        <f ca="1">'Calc - SENIOR PERS'!$O$208/9*3</f>
        <v>0</v>
      </c>
      <c r="CE28" s="1202">
        <f ca="1">'Calc - SENIOR PERS'!$O$208/9*2</f>
        <v>0</v>
      </c>
      <c r="CF28" s="1202">
        <f ca="1">'Calc - SENIOR PERS'!$O$208/9*0.5</f>
        <v>0</v>
      </c>
      <c r="CG28" s="1203">
        <f ca="1">'Calc - SENIOR PERS'!$O$208/9*0.5</f>
        <v>0</v>
      </c>
      <c r="CH28" s="1204">
        <f ca="1">'Calc - SENIOR PERS'!$O$209/9*3</f>
        <v>0</v>
      </c>
      <c r="CI28" s="1205">
        <f ca="1">'Calc - SENIOR PERS'!$O$209/9*3</f>
        <v>0</v>
      </c>
      <c r="CJ28" s="1205">
        <f ca="1">'Calc - SENIOR PERS'!$O$209/9*2</f>
        <v>0</v>
      </c>
      <c r="CK28" s="1205">
        <f ca="1">'Calc - SENIOR PERS'!$O$209/9*0.5</f>
        <v>0</v>
      </c>
      <c r="CL28" s="1206">
        <f ca="1">'Calc - SENIOR PERS'!$O$209/9*0.5</f>
        <v>0</v>
      </c>
      <c r="CM28" s="1207">
        <f ca="1">'Calc - SENIOR PERS'!$O$210/8*3</f>
        <v>0</v>
      </c>
      <c r="CN28" s="1208">
        <f ca="1">'Calc - SENIOR PERS'!$O$210/8*3</f>
        <v>0</v>
      </c>
      <c r="CO28" s="1209">
        <f ca="1">'Calc - SENIOR PERS'!$O$210/8*2</f>
        <v>0</v>
      </c>
      <c r="CP28" s="1210">
        <f t="shared" ca="1" si="22"/>
        <v>0</v>
      </c>
      <c r="CR28" s="310"/>
      <c r="CS28" s="575"/>
      <c r="CT28" s="5"/>
      <c r="CU28" s="1180"/>
      <c r="CV28" s="575"/>
      <c r="CW28" s="5"/>
      <c r="CX28" s="1180"/>
      <c r="CY28" s="575"/>
      <c r="CZ28" s="5"/>
      <c r="DA28" s="1180"/>
      <c r="DB28" s="575"/>
      <c r="DC28" s="5"/>
      <c r="DD28" s="1180"/>
      <c r="DE28" s="1181">
        <f t="shared" si="23"/>
        <v>0</v>
      </c>
      <c r="DG28" s="575"/>
      <c r="DH28" s="5"/>
      <c r="DI28" s="1180"/>
      <c r="DJ28" s="575"/>
      <c r="DK28" s="5"/>
      <c r="DL28" s="1180"/>
      <c r="DM28" s="575"/>
      <c r="DN28" s="5"/>
      <c r="DO28" s="1180"/>
      <c r="DP28" s="575"/>
      <c r="DQ28" s="5"/>
      <c r="DR28" s="1180"/>
      <c r="DS28" s="1181">
        <f t="shared" si="24"/>
        <v>0</v>
      </c>
      <c r="DU28" s="575"/>
      <c r="DV28" s="5"/>
      <c r="DW28" s="1180"/>
      <c r="DX28" s="575"/>
      <c r="DY28" s="5"/>
      <c r="DZ28" s="1180"/>
      <c r="EA28" s="575"/>
      <c r="EB28" s="5"/>
      <c r="EC28" s="1180"/>
      <c r="ED28" s="575"/>
      <c r="EE28" s="5"/>
      <c r="EF28" s="1180"/>
      <c r="EG28" s="1181">
        <f t="shared" si="25"/>
        <v>0</v>
      </c>
      <c r="EI28" s="406"/>
      <c r="EJ28" s="3215"/>
      <c r="EK28" s="2140">
        <f t="shared" ca="1" si="26"/>
        <v>0</v>
      </c>
      <c r="EL28" s="21">
        <f t="shared" ca="1" si="27"/>
        <v>0</v>
      </c>
      <c r="EM28" s="21">
        <f t="shared" ca="1" si="28"/>
        <v>0</v>
      </c>
      <c r="EN28" s="21">
        <f t="shared" ca="1" si="29"/>
        <v>0</v>
      </c>
      <c r="EO28" s="21">
        <f t="shared" ca="1" si="30"/>
        <v>0</v>
      </c>
      <c r="EP28" s="21">
        <f t="shared" ca="1" si="31"/>
        <v>0</v>
      </c>
      <c r="EQ28" s="21">
        <f t="shared" ca="1" si="32"/>
        <v>0</v>
      </c>
      <c r="ER28" s="351">
        <f t="shared" ca="1" si="33"/>
        <v>0</v>
      </c>
      <c r="ES28" s="9"/>
      <c r="ET28" s="4"/>
      <c r="EU28" s="4"/>
      <c r="EV28" s="133">
        <f t="shared" ca="1" si="34"/>
        <v>0</v>
      </c>
      <c r="EW28" s="5">
        <f t="shared" ca="1" si="35"/>
        <v>0</v>
      </c>
      <c r="EX28" s="5">
        <f t="shared" ca="1" si="36"/>
        <v>0</v>
      </c>
      <c r="EY28" s="5">
        <f t="shared" ca="1" si="37"/>
        <v>0</v>
      </c>
      <c r="EZ28" s="5">
        <f t="shared" ca="1" si="38"/>
        <v>0</v>
      </c>
      <c r="FA28" s="5">
        <f t="shared" ca="1" si="39"/>
        <v>0</v>
      </c>
      <c r="FB28" s="380">
        <f t="shared" ca="1" si="40"/>
        <v>0</v>
      </c>
      <c r="FD28" s="133">
        <f t="shared" ca="1" si="41"/>
        <v>0</v>
      </c>
      <c r="FE28" s="321">
        <f t="shared" ca="1" si="42"/>
        <v>0</v>
      </c>
      <c r="FF28" s="321">
        <f t="shared" ca="1" si="43"/>
        <v>0</v>
      </c>
      <c r="FG28" s="321">
        <f t="shared" ca="1" si="44"/>
        <v>0</v>
      </c>
      <c r="FH28" s="321">
        <f t="shared" ca="1" si="45"/>
        <v>0</v>
      </c>
      <c r="FI28" s="321">
        <f t="shared" ca="1" si="46"/>
        <v>0</v>
      </c>
      <c r="FJ28" s="2152">
        <f t="shared" ca="1" si="47"/>
        <v>0</v>
      </c>
      <c r="FL28" s="2151">
        <f t="shared" ca="1" si="48"/>
        <v>0</v>
      </c>
      <c r="FM28" s="321">
        <f t="shared" ca="1" si="49"/>
        <v>0</v>
      </c>
      <c r="FN28" s="321">
        <f t="shared" ca="1" si="50"/>
        <v>0</v>
      </c>
      <c r="FO28" s="321">
        <f t="shared" ca="1" si="51"/>
        <v>0</v>
      </c>
      <c r="FP28" s="321">
        <f t="shared" ca="1" si="52"/>
        <v>0</v>
      </c>
      <c r="FQ28" s="321">
        <f t="shared" ca="1" si="53"/>
        <v>0</v>
      </c>
      <c r="FR28" s="385">
        <f t="shared" ca="1" si="54"/>
        <v>0</v>
      </c>
      <c r="FT28" s="2151">
        <f t="shared" ca="1" si="55"/>
        <v>0</v>
      </c>
      <c r="FU28" s="321">
        <f t="shared" ca="1" si="56"/>
        <v>0</v>
      </c>
      <c r="FV28" s="321">
        <f t="shared" ca="1" si="57"/>
        <v>0</v>
      </c>
      <c r="FW28" s="321">
        <f t="shared" ca="1" si="58"/>
        <v>0</v>
      </c>
      <c r="FX28" s="321">
        <f t="shared" ca="1" si="59"/>
        <v>0</v>
      </c>
      <c r="FY28" s="321">
        <f t="shared" ca="1" si="60"/>
        <v>0</v>
      </c>
      <c r="FZ28" s="384">
        <f t="shared" ca="1" si="61"/>
        <v>0</v>
      </c>
      <c r="GB28" s="2151">
        <f t="shared" ca="1" si="62"/>
        <v>0</v>
      </c>
      <c r="GC28" s="321">
        <f t="shared" ca="1" si="63"/>
        <v>0</v>
      </c>
      <c r="GD28" s="321">
        <f t="shared" ca="1" si="64"/>
        <v>0</v>
      </c>
      <c r="GE28" s="321">
        <f t="shared" ca="1" si="65"/>
        <v>0</v>
      </c>
      <c r="GF28" s="321">
        <f t="shared" ca="1" si="66"/>
        <v>0</v>
      </c>
      <c r="GG28" s="321">
        <f t="shared" ca="1" si="67"/>
        <v>0</v>
      </c>
      <c r="GH28" s="383">
        <f t="shared" ca="1" si="68"/>
        <v>0</v>
      </c>
      <c r="GJ28" s="2151">
        <f t="shared" ca="1" si="69"/>
        <v>0</v>
      </c>
      <c r="GK28" s="321">
        <f t="shared" ca="1" si="70"/>
        <v>0</v>
      </c>
      <c r="GL28" s="321">
        <f t="shared" ca="1" si="71"/>
        <v>0</v>
      </c>
      <c r="GM28" s="321">
        <f t="shared" ca="1" si="72"/>
        <v>0</v>
      </c>
      <c r="GN28" s="321">
        <f t="shared" ca="1" si="73"/>
        <v>0</v>
      </c>
      <c r="GO28" s="321">
        <f t="shared" ca="1" si="74"/>
        <v>0</v>
      </c>
      <c r="GP28" s="382">
        <f t="shared" ca="1" si="75"/>
        <v>0</v>
      </c>
      <c r="GR28" s="134"/>
      <c r="GS28" s="42"/>
      <c r="GT28" s="42"/>
      <c r="GU28" s="42"/>
      <c r="GV28" s="42"/>
      <c r="GW28" s="42"/>
      <c r="GX28" s="1103">
        <f t="shared" si="76"/>
        <v>0</v>
      </c>
      <c r="GZ28" s="2147">
        <f t="shared" ca="1" si="77"/>
        <v>0</v>
      </c>
      <c r="HA28" s="42">
        <f t="shared" ca="1" si="78"/>
        <v>0</v>
      </c>
      <c r="HB28" s="42">
        <f t="shared" ca="1" si="79"/>
        <v>0</v>
      </c>
      <c r="HC28" s="42">
        <f t="shared" ca="1" si="80"/>
        <v>0</v>
      </c>
      <c r="HD28" s="42">
        <f t="shared" ca="1" si="81"/>
        <v>0</v>
      </c>
      <c r="HE28" s="42">
        <f t="shared" ca="1" si="82"/>
        <v>0</v>
      </c>
      <c r="HF28" s="2176">
        <f t="shared" ca="1" si="83"/>
        <v>0</v>
      </c>
      <c r="HG28" s="275">
        <f t="shared" ca="1" si="84"/>
        <v>0</v>
      </c>
      <c r="HH28" s="1"/>
    </row>
    <row r="29" spans="1:216" ht="15" customHeight="1" thickBot="1" x14ac:dyDescent="0.3">
      <c r="A29" s="407"/>
      <c r="B29" s="3216" t="s">
        <v>17</v>
      </c>
      <c r="C29" s="2142" t="str">
        <f ca="1">'Calc - SENIOR PERS'!$B$6</f>
        <v>Virag Mishra</v>
      </c>
      <c r="D29" s="85">
        <f ca="1">'Calc - SENIOR PERS'!$N$11</f>
        <v>0</v>
      </c>
      <c r="E29" s="86">
        <f ca="1">'Calc - SENIOR PERS'!$N$12</f>
        <v>0</v>
      </c>
      <c r="F29" s="86">
        <f ca="1">'Calc - SENIOR PERS'!$N$13</f>
        <v>0</v>
      </c>
      <c r="G29" s="86">
        <f ca="1">'Calc - SENIOR PERS'!$N$14</f>
        <v>0</v>
      </c>
      <c r="H29" s="86">
        <f ca="1">'Calc - SENIOR PERS'!$N$15</f>
        <v>0</v>
      </c>
      <c r="I29" s="86">
        <f ca="1">'Calc - SENIOR PERS'!$N$16</f>
        <v>0</v>
      </c>
      <c r="J29" s="87">
        <f t="shared" ca="1" si="6"/>
        <v>0</v>
      </c>
      <c r="K29" s="9" t="str">
        <f ca="1">IF(J29&lt;&gt;'Calc - SENIOR PERS'!$N$17,"ERROR","")</f>
        <v/>
      </c>
      <c r="L29" s="4"/>
      <c r="M29" s="4"/>
      <c r="N29" s="135"/>
      <c r="O29" s="86"/>
      <c r="P29" s="86"/>
      <c r="Q29" s="86"/>
      <c r="R29" s="86"/>
      <c r="S29" s="86"/>
      <c r="T29" s="166">
        <f t="shared" si="7"/>
        <v>0</v>
      </c>
      <c r="V29" s="135"/>
      <c r="W29" s="86"/>
      <c r="X29" s="86"/>
      <c r="Y29" s="86"/>
      <c r="Z29" s="86"/>
      <c r="AA29" s="86"/>
      <c r="AB29" s="140">
        <f t="shared" si="8"/>
        <v>0</v>
      </c>
      <c r="AD29" s="135"/>
      <c r="AE29" s="86"/>
      <c r="AF29" s="86"/>
      <c r="AG29" s="86"/>
      <c r="AH29" s="86"/>
      <c r="AI29" s="86"/>
      <c r="AJ29" s="208">
        <f t="shared" si="9"/>
        <v>0</v>
      </c>
      <c r="AL29" s="135"/>
      <c r="AM29" s="86"/>
      <c r="AN29" s="86"/>
      <c r="AO29" s="86"/>
      <c r="AP29" s="86"/>
      <c r="AQ29" s="86"/>
      <c r="AR29" s="180">
        <f t="shared" si="10"/>
        <v>0</v>
      </c>
      <c r="AT29" s="135"/>
      <c r="AU29" s="86"/>
      <c r="AV29" s="86"/>
      <c r="AW29" s="86"/>
      <c r="AX29" s="86"/>
      <c r="AY29" s="86"/>
      <c r="AZ29" s="152">
        <f t="shared" si="11"/>
        <v>0</v>
      </c>
      <c r="BB29" s="135"/>
      <c r="BC29" s="86"/>
      <c r="BD29" s="86"/>
      <c r="BE29" s="86"/>
      <c r="BF29" s="86"/>
      <c r="BG29" s="86"/>
      <c r="BH29" s="194">
        <f t="shared" si="12"/>
        <v>0</v>
      </c>
      <c r="BJ29" s="132"/>
      <c r="BK29" s="41"/>
      <c r="BL29" s="41"/>
      <c r="BM29" s="41"/>
      <c r="BN29" s="41"/>
      <c r="BO29" s="41"/>
      <c r="BP29" s="1101">
        <f t="shared" si="13"/>
        <v>0</v>
      </c>
      <c r="BR29" s="1244">
        <f t="shared" si="14"/>
        <v>0</v>
      </c>
      <c r="BS29" s="41">
        <f t="shared" si="15"/>
        <v>0</v>
      </c>
      <c r="BT29" s="41">
        <f t="shared" si="16"/>
        <v>0</v>
      </c>
      <c r="BU29" s="41">
        <f t="shared" si="17"/>
        <v>0</v>
      </c>
      <c r="BV29" s="41">
        <f t="shared" si="18"/>
        <v>0</v>
      </c>
      <c r="BW29" s="41">
        <f t="shared" si="19"/>
        <v>0</v>
      </c>
      <c r="BX29" s="2183">
        <f t="shared" si="20"/>
        <v>0</v>
      </c>
      <c r="BY29" s="2184">
        <f t="shared" ca="1" si="21"/>
        <v>0</v>
      </c>
      <c r="BZ29" s="257"/>
      <c r="CB29" s="1301">
        <f t="shared" ref="CB29:CB43" ca="1" si="85">D29</f>
        <v>0</v>
      </c>
      <c r="CC29" s="386"/>
      <c r="CD29" s="360"/>
      <c r="CE29" s="360"/>
      <c r="CF29" s="360">
        <f ca="1">'Calc - SENIOR PERS'!$N$12/3*0.5</f>
        <v>0</v>
      </c>
      <c r="CG29" s="1161">
        <f ca="1">'Calc - SENIOR PERS'!$N$12/3*2.5</f>
        <v>0</v>
      </c>
      <c r="CH29" s="1162"/>
      <c r="CI29" s="1163"/>
      <c r="CJ29" s="1163"/>
      <c r="CK29" s="1163">
        <f ca="1">'Calc - SENIOR PERS'!$N$13/3*0.5</f>
        <v>0</v>
      </c>
      <c r="CL29" s="1164">
        <f ca="1">'Calc - SENIOR PERS'!$N$13/3*2.5</f>
        <v>0</v>
      </c>
      <c r="CM29" s="1165"/>
      <c r="CN29" s="1166"/>
      <c r="CO29" s="1167"/>
      <c r="CP29" s="1179">
        <f t="shared" ca="1" si="22"/>
        <v>0</v>
      </c>
      <c r="CR29" s="310"/>
      <c r="CS29" s="575"/>
      <c r="CT29" s="5"/>
      <c r="CU29" s="1180"/>
      <c r="CV29" s="575"/>
      <c r="CW29" s="5"/>
      <c r="CX29" s="1180"/>
      <c r="CY29" s="575"/>
      <c r="CZ29" s="5"/>
      <c r="DA29" s="1180"/>
      <c r="DB29" s="575"/>
      <c r="DC29" s="5"/>
      <c r="DD29" s="1180"/>
      <c r="DE29" s="1181">
        <f t="shared" si="23"/>
        <v>0</v>
      </c>
      <c r="DG29" s="575"/>
      <c r="DH29" s="5"/>
      <c r="DI29" s="1180"/>
      <c r="DJ29" s="575"/>
      <c r="DK29" s="5"/>
      <c r="DL29" s="1180"/>
      <c r="DM29" s="575"/>
      <c r="DN29" s="5"/>
      <c r="DO29" s="1180"/>
      <c r="DP29" s="575"/>
      <c r="DQ29" s="5"/>
      <c r="DR29" s="1180"/>
      <c r="DS29" s="1181">
        <f t="shared" si="24"/>
        <v>0</v>
      </c>
      <c r="DU29" s="575"/>
      <c r="DV29" s="5"/>
      <c r="DW29" s="1180"/>
      <c r="DX29" s="575"/>
      <c r="DY29" s="5"/>
      <c r="DZ29" s="1180"/>
      <c r="EA29" s="575"/>
      <c r="EB29" s="5"/>
      <c r="EC29" s="1180"/>
      <c r="ED29" s="575"/>
      <c r="EE29" s="5"/>
      <c r="EF29" s="1180"/>
      <c r="EG29" s="1181">
        <f t="shared" si="25"/>
        <v>0</v>
      </c>
      <c r="EI29" s="407"/>
      <c r="EJ29" s="3216" t="s">
        <v>17</v>
      </c>
      <c r="EK29" s="91" t="str">
        <f t="shared" ca="1" si="26"/>
        <v>Virag Mishra</v>
      </c>
      <c r="EL29" s="85">
        <f t="shared" ca="1" si="27"/>
        <v>0</v>
      </c>
      <c r="EM29" s="85">
        <f t="shared" ca="1" si="28"/>
        <v>0</v>
      </c>
      <c r="EN29" s="85">
        <f t="shared" ca="1" si="29"/>
        <v>0</v>
      </c>
      <c r="EO29" s="85">
        <f t="shared" ca="1" si="30"/>
        <v>0</v>
      </c>
      <c r="EP29" s="85">
        <f t="shared" ca="1" si="31"/>
        <v>0</v>
      </c>
      <c r="EQ29" s="85">
        <f t="shared" ca="1" si="32"/>
        <v>0</v>
      </c>
      <c r="ER29" s="87">
        <f t="shared" ca="1" si="33"/>
        <v>0</v>
      </c>
      <c r="ES29" s="9"/>
      <c r="ET29" s="4"/>
      <c r="EU29" s="4"/>
      <c r="EV29" s="135">
        <f t="shared" si="34"/>
        <v>0</v>
      </c>
      <c r="EW29" s="86">
        <f t="shared" si="35"/>
        <v>0</v>
      </c>
      <c r="EX29" s="86">
        <f t="shared" si="36"/>
        <v>0</v>
      </c>
      <c r="EY29" s="86">
        <f t="shared" si="37"/>
        <v>0</v>
      </c>
      <c r="EZ29" s="86">
        <f t="shared" si="38"/>
        <v>0</v>
      </c>
      <c r="FA29" s="86">
        <f t="shared" si="39"/>
        <v>0</v>
      </c>
      <c r="FB29" s="166">
        <f t="shared" si="40"/>
        <v>0</v>
      </c>
      <c r="FD29" s="135">
        <f t="shared" si="41"/>
        <v>0</v>
      </c>
      <c r="FE29" s="86">
        <f t="shared" si="42"/>
        <v>0</v>
      </c>
      <c r="FF29" s="86">
        <f t="shared" si="43"/>
        <v>0</v>
      </c>
      <c r="FG29" s="86">
        <f t="shared" si="44"/>
        <v>0</v>
      </c>
      <c r="FH29" s="86">
        <f t="shared" si="45"/>
        <v>0</v>
      </c>
      <c r="FI29" s="86">
        <f t="shared" si="46"/>
        <v>0</v>
      </c>
      <c r="FJ29" s="140">
        <f t="shared" si="47"/>
        <v>0</v>
      </c>
      <c r="FL29" s="135">
        <f t="shared" si="48"/>
        <v>0</v>
      </c>
      <c r="FM29" s="86">
        <f t="shared" si="49"/>
        <v>0</v>
      </c>
      <c r="FN29" s="86">
        <f t="shared" si="50"/>
        <v>0</v>
      </c>
      <c r="FO29" s="86">
        <f t="shared" si="51"/>
        <v>0</v>
      </c>
      <c r="FP29" s="86">
        <f t="shared" si="52"/>
        <v>0</v>
      </c>
      <c r="FQ29" s="86">
        <f t="shared" si="53"/>
        <v>0</v>
      </c>
      <c r="FR29" s="208">
        <f t="shared" si="54"/>
        <v>0</v>
      </c>
      <c r="FT29" s="135">
        <f t="shared" si="55"/>
        <v>0</v>
      </c>
      <c r="FU29" s="86">
        <f t="shared" si="56"/>
        <v>0</v>
      </c>
      <c r="FV29" s="86">
        <f t="shared" si="57"/>
        <v>0</v>
      </c>
      <c r="FW29" s="86">
        <f t="shared" si="58"/>
        <v>0</v>
      </c>
      <c r="FX29" s="86">
        <f t="shared" si="59"/>
        <v>0</v>
      </c>
      <c r="FY29" s="86">
        <f t="shared" si="60"/>
        <v>0</v>
      </c>
      <c r="FZ29" s="180">
        <f t="shared" si="61"/>
        <v>0</v>
      </c>
      <c r="GB29" s="135">
        <f t="shared" si="62"/>
        <v>0</v>
      </c>
      <c r="GC29" s="86">
        <f t="shared" si="63"/>
        <v>0</v>
      </c>
      <c r="GD29" s="86">
        <f t="shared" si="64"/>
        <v>0</v>
      </c>
      <c r="GE29" s="86">
        <f t="shared" si="65"/>
        <v>0</v>
      </c>
      <c r="GF29" s="86">
        <f t="shared" si="66"/>
        <v>0</v>
      </c>
      <c r="GG29" s="86">
        <f t="shared" si="67"/>
        <v>0</v>
      </c>
      <c r="GH29" s="152">
        <f t="shared" si="68"/>
        <v>0</v>
      </c>
      <c r="GJ29" s="135">
        <f t="shared" si="69"/>
        <v>0</v>
      </c>
      <c r="GK29" s="86">
        <f t="shared" si="70"/>
        <v>0</v>
      </c>
      <c r="GL29" s="86">
        <f t="shared" si="71"/>
        <v>0</v>
      </c>
      <c r="GM29" s="86">
        <f t="shared" si="72"/>
        <v>0</v>
      </c>
      <c r="GN29" s="86">
        <f t="shared" si="73"/>
        <v>0</v>
      </c>
      <c r="GO29" s="86">
        <f t="shared" si="74"/>
        <v>0</v>
      </c>
      <c r="GP29" s="194">
        <f t="shared" si="75"/>
        <v>0</v>
      </c>
      <c r="GR29" s="132"/>
      <c r="GS29" s="41"/>
      <c r="GT29" s="41"/>
      <c r="GU29" s="41"/>
      <c r="GV29" s="41"/>
      <c r="GW29" s="41"/>
      <c r="GX29" s="1101">
        <f t="shared" si="76"/>
        <v>0</v>
      </c>
      <c r="GZ29" s="1244">
        <f t="shared" si="77"/>
        <v>0</v>
      </c>
      <c r="HA29" s="41">
        <f t="shared" si="78"/>
        <v>0</v>
      </c>
      <c r="HB29" s="41">
        <f t="shared" si="79"/>
        <v>0</v>
      </c>
      <c r="HC29" s="41">
        <f t="shared" si="80"/>
        <v>0</v>
      </c>
      <c r="HD29" s="41">
        <f t="shared" si="81"/>
        <v>0</v>
      </c>
      <c r="HE29" s="41">
        <f t="shared" si="82"/>
        <v>0</v>
      </c>
      <c r="HF29" s="2183">
        <f t="shared" si="83"/>
        <v>0</v>
      </c>
      <c r="HG29" s="2184">
        <f t="shared" ca="1" si="84"/>
        <v>0</v>
      </c>
      <c r="HH29" s="257"/>
    </row>
    <row r="30" spans="1:216" ht="15" hidden="1" customHeight="1" x14ac:dyDescent="0.25">
      <c r="A30" s="404"/>
      <c r="B30" s="3217"/>
      <c r="C30" s="422">
        <f ca="1">'Calc - SENIOR PERS'!$B$20</f>
        <v>0</v>
      </c>
      <c r="D30" s="21">
        <f ca="1">'Calc - SENIOR PERS'!$N$25</f>
        <v>0</v>
      </c>
      <c r="E30" s="5">
        <f ca="1">'Calc - SENIOR PERS'!$N$26</f>
        <v>0</v>
      </c>
      <c r="F30" s="5">
        <f ca="1">'Calc - SENIOR PERS'!$N$27</f>
        <v>0</v>
      </c>
      <c r="G30" s="5">
        <f ca="1">'Calc - SENIOR PERS'!$N$28</f>
        <v>0</v>
      </c>
      <c r="H30" s="5">
        <f ca="1">'Calc - SENIOR PERS'!$N$29</f>
        <v>0</v>
      </c>
      <c r="I30" s="5">
        <f ca="1">'Calc - SENIOR PERS'!$N$30</f>
        <v>0</v>
      </c>
      <c r="J30" s="88">
        <f t="shared" ca="1" si="6"/>
        <v>0</v>
      </c>
      <c r="K30" s="9" t="str">
        <f ca="1">IF(J30&lt;&gt;'Calc - SENIOR PERS'!$N$31,"ERROR","")</f>
        <v/>
      </c>
      <c r="L30" s="4"/>
      <c r="M30" s="4"/>
      <c r="N30" s="133"/>
      <c r="O30" s="5"/>
      <c r="P30" s="5"/>
      <c r="Q30" s="5"/>
      <c r="R30" s="5"/>
      <c r="S30" s="5"/>
      <c r="T30" s="164">
        <f t="shared" si="7"/>
        <v>0</v>
      </c>
      <c r="V30" s="133"/>
      <c r="W30" s="5"/>
      <c r="X30" s="5"/>
      <c r="Y30" s="5"/>
      <c r="Z30" s="5"/>
      <c r="AA30" s="5"/>
      <c r="AB30" s="138">
        <f t="shared" si="8"/>
        <v>0</v>
      </c>
      <c r="AD30" s="133"/>
      <c r="AE30" s="5"/>
      <c r="AF30" s="5"/>
      <c r="AG30" s="5"/>
      <c r="AH30" s="5"/>
      <c r="AI30" s="5"/>
      <c r="AJ30" s="206">
        <f t="shared" si="9"/>
        <v>0</v>
      </c>
      <c r="AL30" s="133"/>
      <c r="AM30" s="5"/>
      <c r="AN30" s="5"/>
      <c r="AO30" s="5"/>
      <c r="AP30" s="5"/>
      <c r="AQ30" s="5"/>
      <c r="AR30" s="178">
        <f t="shared" si="10"/>
        <v>0</v>
      </c>
      <c r="AT30" s="133"/>
      <c r="AU30" s="5"/>
      <c r="AV30" s="5"/>
      <c r="AW30" s="5"/>
      <c r="AX30" s="5"/>
      <c r="AY30" s="5"/>
      <c r="AZ30" s="150">
        <f t="shared" si="11"/>
        <v>0</v>
      </c>
      <c r="BB30" s="133"/>
      <c r="BC30" s="5"/>
      <c r="BD30" s="5"/>
      <c r="BE30" s="5"/>
      <c r="BF30" s="5"/>
      <c r="BG30" s="5"/>
      <c r="BH30" s="192">
        <f t="shared" si="12"/>
        <v>0</v>
      </c>
      <c r="BJ30" s="133"/>
      <c r="BK30" s="5"/>
      <c r="BL30" s="5"/>
      <c r="BM30" s="5"/>
      <c r="BN30" s="5"/>
      <c r="BO30" s="5"/>
      <c r="BP30" s="1102">
        <f t="shared" si="13"/>
        <v>0</v>
      </c>
      <c r="BR30" s="575">
        <f t="shared" si="14"/>
        <v>0</v>
      </c>
      <c r="BS30" s="5">
        <f t="shared" si="15"/>
        <v>0</v>
      </c>
      <c r="BT30" s="5">
        <f t="shared" si="16"/>
        <v>0</v>
      </c>
      <c r="BU30" s="5">
        <f t="shared" si="17"/>
        <v>0</v>
      </c>
      <c r="BV30" s="5">
        <f t="shared" si="18"/>
        <v>0</v>
      </c>
      <c r="BW30" s="5">
        <f t="shared" si="19"/>
        <v>0</v>
      </c>
      <c r="BX30" s="2175">
        <f t="shared" si="20"/>
        <v>0</v>
      </c>
      <c r="BY30" s="573">
        <f t="shared" ca="1" si="21"/>
        <v>0</v>
      </c>
      <c r="BZ30" s="257"/>
      <c r="CB30" s="1182">
        <f t="shared" ca="1" si="85"/>
        <v>0</v>
      </c>
      <c r="CC30" s="387"/>
      <c r="CD30" s="56"/>
      <c r="CE30" s="56"/>
      <c r="CF30" s="56">
        <f ca="1">'Calc - SENIOR PERS'!$N$26/3*0.5</f>
        <v>0</v>
      </c>
      <c r="CG30" s="1183">
        <f ca="1">'Calc - SENIOR PERS'!$N$26/3*2.5</f>
        <v>0</v>
      </c>
      <c r="CH30" s="1184"/>
      <c r="CI30" s="1185"/>
      <c r="CJ30" s="1185"/>
      <c r="CK30" s="1185">
        <f ca="1">'Calc - SENIOR PERS'!$N$27/3*0.5</f>
        <v>0</v>
      </c>
      <c r="CL30" s="1186">
        <f ca="1">'Calc - SENIOR PERS'!$N$27/3*2.5</f>
        <v>0</v>
      </c>
      <c r="CM30" s="1187"/>
      <c r="CN30" s="1188"/>
      <c r="CO30" s="1189"/>
      <c r="CP30" s="1179">
        <f t="shared" ca="1" si="22"/>
        <v>0</v>
      </c>
      <c r="CR30" s="310"/>
      <c r="CS30" s="575"/>
      <c r="CT30" s="5"/>
      <c r="CU30" s="1180"/>
      <c r="CV30" s="575"/>
      <c r="CW30" s="5"/>
      <c r="CX30" s="1180"/>
      <c r="CY30" s="575"/>
      <c r="CZ30" s="5"/>
      <c r="DA30" s="1180"/>
      <c r="DB30" s="575"/>
      <c r="DC30" s="5"/>
      <c r="DD30" s="1180"/>
      <c r="DE30" s="1181">
        <f t="shared" si="23"/>
        <v>0</v>
      </c>
      <c r="DG30" s="575"/>
      <c r="DH30" s="5"/>
      <c r="DI30" s="1180"/>
      <c r="DJ30" s="575"/>
      <c r="DK30" s="5"/>
      <c r="DL30" s="1180"/>
      <c r="DM30" s="575"/>
      <c r="DN30" s="5"/>
      <c r="DO30" s="1180"/>
      <c r="DP30" s="575"/>
      <c r="DQ30" s="5"/>
      <c r="DR30" s="1180"/>
      <c r="DS30" s="1181">
        <f t="shared" si="24"/>
        <v>0</v>
      </c>
      <c r="DU30" s="575"/>
      <c r="DV30" s="5"/>
      <c r="DW30" s="1180"/>
      <c r="DX30" s="575"/>
      <c r="DY30" s="5"/>
      <c r="DZ30" s="1180"/>
      <c r="EA30" s="575"/>
      <c r="EB30" s="5"/>
      <c r="EC30" s="1180"/>
      <c r="ED30" s="575"/>
      <c r="EE30" s="5"/>
      <c r="EF30" s="1180"/>
      <c r="EG30" s="1181">
        <f t="shared" si="25"/>
        <v>0</v>
      </c>
      <c r="EI30" s="404"/>
      <c r="EJ30" s="3217"/>
      <c r="EK30" s="92">
        <f t="shared" ca="1" si="26"/>
        <v>0</v>
      </c>
      <c r="EL30" s="21">
        <f t="shared" ca="1" si="27"/>
        <v>0</v>
      </c>
      <c r="EM30" s="21">
        <f t="shared" ca="1" si="28"/>
        <v>0</v>
      </c>
      <c r="EN30" s="21">
        <f t="shared" ca="1" si="29"/>
        <v>0</v>
      </c>
      <c r="EO30" s="21">
        <f t="shared" ca="1" si="30"/>
        <v>0</v>
      </c>
      <c r="EP30" s="21">
        <f t="shared" ca="1" si="31"/>
        <v>0</v>
      </c>
      <c r="EQ30" s="21">
        <f t="shared" ca="1" si="32"/>
        <v>0</v>
      </c>
      <c r="ER30" s="88">
        <f t="shared" ca="1" si="33"/>
        <v>0</v>
      </c>
      <c r="ES30" s="9"/>
      <c r="ET30" s="4"/>
      <c r="EU30" s="4"/>
      <c r="EV30" s="133">
        <f t="shared" si="34"/>
        <v>0</v>
      </c>
      <c r="EW30" s="5">
        <f t="shared" si="35"/>
        <v>0</v>
      </c>
      <c r="EX30" s="5">
        <f t="shared" si="36"/>
        <v>0</v>
      </c>
      <c r="EY30" s="5">
        <f t="shared" si="37"/>
        <v>0</v>
      </c>
      <c r="EZ30" s="5">
        <f t="shared" si="38"/>
        <v>0</v>
      </c>
      <c r="FA30" s="5">
        <f t="shared" si="39"/>
        <v>0</v>
      </c>
      <c r="FB30" s="164">
        <f t="shared" si="40"/>
        <v>0</v>
      </c>
      <c r="FD30" s="133">
        <f t="shared" si="41"/>
        <v>0</v>
      </c>
      <c r="FE30" s="5">
        <f t="shared" si="42"/>
        <v>0</v>
      </c>
      <c r="FF30" s="5">
        <f t="shared" si="43"/>
        <v>0</v>
      </c>
      <c r="FG30" s="5">
        <f t="shared" si="44"/>
        <v>0</v>
      </c>
      <c r="FH30" s="5">
        <f t="shared" si="45"/>
        <v>0</v>
      </c>
      <c r="FI30" s="5">
        <f t="shared" si="46"/>
        <v>0</v>
      </c>
      <c r="FJ30" s="138">
        <f t="shared" si="47"/>
        <v>0</v>
      </c>
      <c r="FL30" s="133">
        <f t="shared" si="48"/>
        <v>0</v>
      </c>
      <c r="FM30" s="5">
        <f t="shared" si="49"/>
        <v>0</v>
      </c>
      <c r="FN30" s="5">
        <f t="shared" si="50"/>
        <v>0</v>
      </c>
      <c r="FO30" s="5">
        <f t="shared" si="51"/>
        <v>0</v>
      </c>
      <c r="FP30" s="5">
        <f t="shared" si="52"/>
        <v>0</v>
      </c>
      <c r="FQ30" s="5">
        <f t="shared" si="53"/>
        <v>0</v>
      </c>
      <c r="FR30" s="206">
        <f t="shared" si="54"/>
        <v>0</v>
      </c>
      <c r="FT30" s="133">
        <f t="shared" si="55"/>
        <v>0</v>
      </c>
      <c r="FU30" s="5">
        <f t="shared" si="56"/>
        <v>0</v>
      </c>
      <c r="FV30" s="5">
        <f t="shared" si="57"/>
        <v>0</v>
      </c>
      <c r="FW30" s="5">
        <f t="shared" si="58"/>
        <v>0</v>
      </c>
      <c r="FX30" s="5">
        <f t="shared" si="59"/>
        <v>0</v>
      </c>
      <c r="FY30" s="5">
        <f t="shared" si="60"/>
        <v>0</v>
      </c>
      <c r="FZ30" s="178">
        <f t="shared" si="61"/>
        <v>0</v>
      </c>
      <c r="GB30" s="133">
        <f t="shared" si="62"/>
        <v>0</v>
      </c>
      <c r="GC30" s="5">
        <f t="shared" si="63"/>
        <v>0</v>
      </c>
      <c r="GD30" s="5">
        <f t="shared" si="64"/>
        <v>0</v>
      </c>
      <c r="GE30" s="5">
        <f t="shared" si="65"/>
        <v>0</v>
      </c>
      <c r="GF30" s="5">
        <f t="shared" si="66"/>
        <v>0</v>
      </c>
      <c r="GG30" s="5">
        <f t="shared" si="67"/>
        <v>0</v>
      </c>
      <c r="GH30" s="150">
        <f t="shared" si="68"/>
        <v>0</v>
      </c>
      <c r="GJ30" s="133">
        <f t="shared" si="69"/>
        <v>0</v>
      </c>
      <c r="GK30" s="5">
        <f t="shared" si="70"/>
        <v>0</v>
      </c>
      <c r="GL30" s="5">
        <f t="shared" si="71"/>
        <v>0</v>
      </c>
      <c r="GM30" s="5">
        <f t="shared" si="72"/>
        <v>0</v>
      </c>
      <c r="GN30" s="5">
        <f t="shared" si="73"/>
        <v>0</v>
      </c>
      <c r="GO30" s="5">
        <f t="shared" si="74"/>
        <v>0</v>
      </c>
      <c r="GP30" s="192">
        <f t="shared" si="75"/>
        <v>0</v>
      </c>
      <c r="GR30" s="133"/>
      <c r="GS30" s="5"/>
      <c r="GT30" s="5"/>
      <c r="GU30" s="5"/>
      <c r="GV30" s="5"/>
      <c r="GW30" s="5"/>
      <c r="GX30" s="1102">
        <f t="shared" si="76"/>
        <v>0</v>
      </c>
      <c r="GZ30" s="575">
        <f t="shared" si="77"/>
        <v>0</v>
      </c>
      <c r="HA30" s="5">
        <f t="shared" si="78"/>
        <v>0</v>
      </c>
      <c r="HB30" s="5">
        <f t="shared" si="79"/>
        <v>0</v>
      </c>
      <c r="HC30" s="5">
        <f t="shared" si="80"/>
        <v>0</v>
      </c>
      <c r="HD30" s="5">
        <f t="shared" si="81"/>
        <v>0</v>
      </c>
      <c r="HE30" s="5">
        <f t="shared" si="82"/>
        <v>0</v>
      </c>
      <c r="HF30" s="2175">
        <f t="shared" si="83"/>
        <v>0</v>
      </c>
      <c r="HG30" s="573">
        <f t="shared" ca="1" si="84"/>
        <v>0</v>
      </c>
      <c r="HH30" s="257"/>
    </row>
    <row r="31" spans="1:216" ht="15" hidden="1" customHeight="1" x14ac:dyDescent="0.25">
      <c r="A31" s="404"/>
      <c r="B31" s="3217"/>
      <c r="C31" s="422">
        <f ca="1">'Calc - SENIOR PERS'!$B$34</f>
        <v>0</v>
      </c>
      <c r="D31" s="21">
        <f ca="1">'Calc - SENIOR PERS'!$N$39</f>
        <v>0</v>
      </c>
      <c r="E31" s="21">
        <f ca="1">'Calc - SENIOR PERS'!$N$40</f>
        <v>0</v>
      </c>
      <c r="F31" s="21">
        <f ca="1">'Calc - SENIOR PERS'!$N$41</f>
        <v>0</v>
      </c>
      <c r="G31" s="21">
        <f ca="1">'Calc - SENIOR PERS'!$N$42</f>
        <v>0</v>
      </c>
      <c r="H31" s="21">
        <f ca="1">'Calc - SENIOR PERS'!$N$43</f>
        <v>0</v>
      </c>
      <c r="I31" s="21">
        <f ca="1">'Calc - SENIOR PERS'!$N$44</f>
        <v>0</v>
      </c>
      <c r="J31" s="88">
        <f t="shared" ca="1" si="6"/>
        <v>0</v>
      </c>
      <c r="K31" s="9" t="str">
        <f ca="1">IF(J31&lt;&gt;'Calc - SENIOR PERS'!$N$45,"ERROR","")</f>
        <v/>
      </c>
      <c r="L31" s="4"/>
      <c r="M31" s="4"/>
      <c r="N31" s="133"/>
      <c r="O31" s="5"/>
      <c r="P31" s="5"/>
      <c r="Q31" s="5"/>
      <c r="R31" s="5"/>
      <c r="S31" s="5"/>
      <c r="T31" s="164">
        <f t="shared" si="7"/>
        <v>0</v>
      </c>
      <c r="V31" s="133"/>
      <c r="W31" s="5"/>
      <c r="X31" s="5"/>
      <c r="Y31" s="5"/>
      <c r="Z31" s="5"/>
      <c r="AA31" s="5"/>
      <c r="AB31" s="138">
        <f t="shared" si="8"/>
        <v>0</v>
      </c>
      <c r="AD31" s="133"/>
      <c r="AE31" s="5"/>
      <c r="AF31" s="5"/>
      <c r="AG31" s="5"/>
      <c r="AH31" s="5"/>
      <c r="AI31" s="5"/>
      <c r="AJ31" s="206">
        <f t="shared" si="9"/>
        <v>0</v>
      </c>
      <c r="AL31" s="133"/>
      <c r="AM31" s="5"/>
      <c r="AN31" s="5"/>
      <c r="AO31" s="5"/>
      <c r="AP31" s="5"/>
      <c r="AQ31" s="5"/>
      <c r="AR31" s="178">
        <f t="shared" si="10"/>
        <v>0</v>
      </c>
      <c r="AT31" s="133"/>
      <c r="AU31" s="5"/>
      <c r="AV31" s="5"/>
      <c r="AW31" s="5"/>
      <c r="AX31" s="5"/>
      <c r="AY31" s="5"/>
      <c r="AZ31" s="150">
        <f t="shared" si="11"/>
        <v>0</v>
      </c>
      <c r="BB31" s="133"/>
      <c r="BC31" s="5"/>
      <c r="BD31" s="5"/>
      <c r="BE31" s="5"/>
      <c r="BF31" s="5"/>
      <c r="BG31" s="5"/>
      <c r="BH31" s="192">
        <f t="shared" si="12"/>
        <v>0</v>
      </c>
      <c r="BJ31" s="133"/>
      <c r="BK31" s="5"/>
      <c r="BL31" s="5"/>
      <c r="BM31" s="5"/>
      <c r="BN31" s="5"/>
      <c r="BO31" s="5"/>
      <c r="BP31" s="1102">
        <f t="shared" si="13"/>
        <v>0</v>
      </c>
      <c r="BR31" s="575">
        <f t="shared" si="14"/>
        <v>0</v>
      </c>
      <c r="BS31" s="5">
        <f t="shared" si="15"/>
        <v>0</v>
      </c>
      <c r="BT31" s="5">
        <f t="shared" si="16"/>
        <v>0</v>
      </c>
      <c r="BU31" s="5">
        <f t="shared" si="17"/>
        <v>0</v>
      </c>
      <c r="BV31" s="5">
        <f t="shared" si="18"/>
        <v>0</v>
      </c>
      <c r="BW31" s="5">
        <f t="shared" si="19"/>
        <v>0</v>
      </c>
      <c r="BX31" s="2175">
        <f t="shared" si="20"/>
        <v>0</v>
      </c>
      <c r="BY31" s="573">
        <f t="shared" ca="1" si="21"/>
        <v>0</v>
      </c>
      <c r="BZ31" s="257"/>
      <c r="CB31" s="1182">
        <f t="shared" ca="1" si="85"/>
        <v>0</v>
      </c>
      <c r="CC31" s="387"/>
      <c r="CD31" s="56"/>
      <c r="CE31" s="56"/>
      <c r="CF31" s="56">
        <f ca="1">'Calc - SENIOR PERS'!$N$40/3*0.5</f>
        <v>0</v>
      </c>
      <c r="CG31" s="1183">
        <f ca="1">'Calc - SENIOR PERS'!$N$40/3*2.5</f>
        <v>0</v>
      </c>
      <c r="CH31" s="1184"/>
      <c r="CI31" s="1185"/>
      <c r="CJ31" s="1185"/>
      <c r="CK31" s="1185">
        <f ca="1">'Calc - SENIOR PERS'!$N$41/3*0.5</f>
        <v>0</v>
      </c>
      <c r="CL31" s="1186">
        <f ca="1">'Calc - SENIOR PERS'!$N$41/3*2.5</f>
        <v>0</v>
      </c>
      <c r="CM31" s="1187"/>
      <c r="CN31" s="1188"/>
      <c r="CO31" s="1189"/>
      <c r="CP31" s="1179">
        <f t="shared" ca="1" si="22"/>
        <v>0</v>
      </c>
      <c r="CR31" s="310"/>
      <c r="CS31" s="575"/>
      <c r="CT31" s="5"/>
      <c r="CU31" s="1180"/>
      <c r="CV31" s="575"/>
      <c r="CW31" s="5"/>
      <c r="CX31" s="1180"/>
      <c r="CY31" s="575"/>
      <c r="CZ31" s="5"/>
      <c r="DA31" s="1180"/>
      <c r="DB31" s="575"/>
      <c r="DC31" s="5"/>
      <c r="DD31" s="1180"/>
      <c r="DE31" s="1181">
        <f t="shared" si="23"/>
        <v>0</v>
      </c>
      <c r="DG31" s="575"/>
      <c r="DH31" s="5"/>
      <c r="DI31" s="1180"/>
      <c r="DJ31" s="575"/>
      <c r="DK31" s="5"/>
      <c r="DL31" s="1180"/>
      <c r="DM31" s="575"/>
      <c r="DN31" s="5"/>
      <c r="DO31" s="1180"/>
      <c r="DP31" s="575"/>
      <c r="DQ31" s="5"/>
      <c r="DR31" s="1180"/>
      <c r="DS31" s="1181">
        <f t="shared" si="24"/>
        <v>0</v>
      </c>
      <c r="DU31" s="575"/>
      <c r="DV31" s="5"/>
      <c r="DW31" s="1180"/>
      <c r="DX31" s="575"/>
      <c r="DY31" s="5"/>
      <c r="DZ31" s="1180"/>
      <c r="EA31" s="575"/>
      <c r="EB31" s="5"/>
      <c r="EC31" s="1180"/>
      <c r="ED31" s="575"/>
      <c r="EE31" s="5"/>
      <c r="EF31" s="1180"/>
      <c r="EG31" s="1181">
        <f t="shared" si="25"/>
        <v>0</v>
      </c>
      <c r="EI31" s="404"/>
      <c r="EJ31" s="3217"/>
      <c r="EK31" s="92">
        <f t="shared" ca="1" si="26"/>
        <v>0</v>
      </c>
      <c r="EL31" s="21">
        <f t="shared" ca="1" si="27"/>
        <v>0</v>
      </c>
      <c r="EM31" s="21">
        <f t="shared" ca="1" si="28"/>
        <v>0</v>
      </c>
      <c r="EN31" s="21">
        <f t="shared" ca="1" si="29"/>
        <v>0</v>
      </c>
      <c r="EO31" s="21">
        <f t="shared" ca="1" si="30"/>
        <v>0</v>
      </c>
      <c r="EP31" s="21">
        <f t="shared" ca="1" si="31"/>
        <v>0</v>
      </c>
      <c r="EQ31" s="21">
        <f t="shared" ca="1" si="32"/>
        <v>0</v>
      </c>
      <c r="ER31" s="88">
        <f t="shared" ca="1" si="33"/>
        <v>0</v>
      </c>
      <c r="ES31" s="9"/>
      <c r="ET31" s="4"/>
      <c r="EU31" s="4"/>
      <c r="EV31" s="133">
        <f t="shared" si="34"/>
        <v>0</v>
      </c>
      <c r="EW31" s="5">
        <f t="shared" si="35"/>
        <v>0</v>
      </c>
      <c r="EX31" s="5">
        <f t="shared" si="36"/>
        <v>0</v>
      </c>
      <c r="EY31" s="5">
        <f t="shared" si="37"/>
        <v>0</v>
      </c>
      <c r="EZ31" s="5">
        <f t="shared" si="38"/>
        <v>0</v>
      </c>
      <c r="FA31" s="5">
        <f t="shared" si="39"/>
        <v>0</v>
      </c>
      <c r="FB31" s="164">
        <f t="shared" si="40"/>
        <v>0</v>
      </c>
      <c r="FD31" s="133">
        <f t="shared" si="41"/>
        <v>0</v>
      </c>
      <c r="FE31" s="5">
        <f t="shared" si="42"/>
        <v>0</v>
      </c>
      <c r="FF31" s="5">
        <f t="shared" si="43"/>
        <v>0</v>
      </c>
      <c r="FG31" s="5">
        <f t="shared" si="44"/>
        <v>0</v>
      </c>
      <c r="FH31" s="5">
        <f t="shared" si="45"/>
        <v>0</v>
      </c>
      <c r="FI31" s="5">
        <f t="shared" si="46"/>
        <v>0</v>
      </c>
      <c r="FJ31" s="138">
        <f t="shared" si="47"/>
        <v>0</v>
      </c>
      <c r="FL31" s="133">
        <f t="shared" si="48"/>
        <v>0</v>
      </c>
      <c r="FM31" s="5">
        <f t="shared" si="49"/>
        <v>0</v>
      </c>
      <c r="FN31" s="5">
        <f t="shared" si="50"/>
        <v>0</v>
      </c>
      <c r="FO31" s="5">
        <f t="shared" si="51"/>
        <v>0</v>
      </c>
      <c r="FP31" s="5">
        <f t="shared" si="52"/>
        <v>0</v>
      </c>
      <c r="FQ31" s="5">
        <f t="shared" si="53"/>
        <v>0</v>
      </c>
      <c r="FR31" s="206">
        <f t="shared" si="54"/>
        <v>0</v>
      </c>
      <c r="FT31" s="133">
        <f t="shared" si="55"/>
        <v>0</v>
      </c>
      <c r="FU31" s="5">
        <f t="shared" si="56"/>
        <v>0</v>
      </c>
      <c r="FV31" s="5">
        <f t="shared" si="57"/>
        <v>0</v>
      </c>
      <c r="FW31" s="5">
        <f t="shared" si="58"/>
        <v>0</v>
      </c>
      <c r="FX31" s="5">
        <f t="shared" si="59"/>
        <v>0</v>
      </c>
      <c r="FY31" s="5">
        <f t="shared" si="60"/>
        <v>0</v>
      </c>
      <c r="FZ31" s="178">
        <f t="shared" si="61"/>
        <v>0</v>
      </c>
      <c r="GB31" s="133">
        <f t="shared" si="62"/>
        <v>0</v>
      </c>
      <c r="GC31" s="5">
        <f t="shared" si="63"/>
        <v>0</v>
      </c>
      <c r="GD31" s="5">
        <f t="shared" si="64"/>
        <v>0</v>
      </c>
      <c r="GE31" s="5">
        <f t="shared" si="65"/>
        <v>0</v>
      </c>
      <c r="GF31" s="5">
        <f t="shared" si="66"/>
        <v>0</v>
      </c>
      <c r="GG31" s="5">
        <f t="shared" si="67"/>
        <v>0</v>
      </c>
      <c r="GH31" s="150">
        <f t="shared" si="68"/>
        <v>0</v>
      </c>
      <c r="GJ31" s="133">
        <f t="shared" si="69"/>
        <v>0</v>
      </c>
      <c r="GK31" s="5">
        <f t="shared" si="70"/>
        <v>0</v>
      </c>
      <c r="GL31" s="5">
        <f t="shared" si="71"/>
        <v>0</v>
      </c>
      <c r="GM31" s="5">
        <f t="shared" si="72"/>
        <v>0</v>
      </c>
      <c r="GN31" s="5">
        <f t="shared" si="73"/>
        <v>0</v>
      </c>
      <c r="GO31" s="5">
        <f t="shared" si="74"/>
        <v>0</v>
      </c>
      <c r="GP31" s="192">
        <f t="shared" si="75"/>
        <v>0</v>
      </c>
      <c r="GR31" s="133"/>
      <c r="GS31" s="5"/>
      <c r="GT31" s="5"/>
      <c r="GU31" s="5"/>
      <c r="GV31" s="5"/>
      <c r="GW31" s="5"/>
      <c r="GX31" s="1102">
        <f t="shared" si="76"/>
        <v>0</v>
      </c>
      <c r="GZ31" s="575">
        <f t="shared" si="77"/>
        <v>0</v>
      </c>
      <c r="HA31" s="5">
        <f t="shared" si="78"/>
        <v>0</v>
      </c>
      <c r="HB31" s="5">
        <f t="shared" si="79"/>
        <v>0</v>
      </c>
      <c r="HC31" s="5">
        <f t="shared" si="80"/>
        <v>0</v>
      </c>
      <c r="HD31" s="5">
        <f t="shared" si="81"/>
        <v>0</v>
      </c>
      <c r="HE31" s="5">
        <f t="shared" si="82"/>
        <v>0</v>
      </c>
      <c r="HF31" s="2175">
        <f t="shared" si="83"/>
        <v>0</v>
      </c>
      <c r="HG31" s="573">
        <f t="shared" ca="1" si="84"/>
        <v>0</v>
      </c>
      <c r="HH31" s="257"/>
    </row>
    <row r="32" spans="1:216" ht="15" hidden="1" customHeight="1" x14ac:dyDescent="0.25">
      <c r="A32" s="404"/>
      <c r="B32" s="3217"/>
      <c r="C32" s="422">
        <f ca="1">'Calc - SENIOR PERS'!$B$48</f>
        <v>0</v>
      </c>
      <c r="D32" s="21">
        <f ca="1">'Calc - SENIOR PERS'!$N$53</f>
        <v>0</v>
      </c>
      <c r="E32" s="5">
        <f ca="1">'Calc - SENIOR PERS'!$N$54</f>
        <v>0</v>
      </c>
      <c r="F32" s="5">
        <f ca="1">'Calc - SENIOR PERS'!$N$55</f>
        <v>0</v>
      </c>
      <c r="G32" s="5">
        <f ca="1">'Calc - SENIOR PERS'!$N$56</f>
        <v>0</v>
      </c>
      <c r="H32" s="5">
        <f ca="1">'Calc - SENIOR PERS'!$N$57</f>
        <v>0</v>
      </c>
      <c r="I32" s="5">
        <f ca="1">'Calc - SENIOR PERS'!$N$58</f>
        <v>0</v>
      </c>
      <c r="J32" s="88">
        <f t="shared" ca="1" si="6"/>
        <v>0</v>
      </c>
      <c r="K32" s="9" t="str">
        <f ca="1">IF(J32&lt;&gt;'Calc - SENIOR PERS'!$N$59,"ERROR","")</f>
        <v/>
      </c>
      <c r="L32" s="4"/>
      <c r="M32" s="4"/>
      <c r="N32" s="133"/>
      <c r="O32" s="5"/>
      <c r="P32" s="5"/>
      <c r="Q32" s="5"/>
      <c r="R32" s="5"/>
      <c r="S32" s="5"/>
      <c r="T32" s="164">
        <f t="shared" si="7"/>
        <v>0</v>
      </c>
      <c r="V32" s="133"/>
      <c r="W32" s="5"/>
      <c r="X32" s="5"/>
      <c r="Y32" s="5"/>
      <c r="Z32" s="5"/>
      <c r="AA32" s="5"/>
      <c r="AB32" s="138">
        <f t="shared" si="8"/>
        <v>0</v>
      </c>
      <c r="AD32" s="133"/>
      <c r="AE32" s="5"/>
      <c r="AF32" s="5"/>
      <c r="AG32" s="5"/>
      <c r="AH32" s="5"/>
      <c r="AI32" s="5"/>
      <c r="AJ32" s="206">
        <f t="shared" si="9"/>
        <v>0</v>
      </c>
      <c r="AL32" s="133"/>
      <c r="AM32" s="5"/>
      <c r="AN32" s="5"/>
      <c r="AO32" s="5"/>
      <c r="AP32" s="5"/>
      <c r="AQ32" s="5"/>
      <c r="AR32" s="178">
        <f t="shared" si="10"/>
        <v>0</v>
      </c>
      <c r="AT32" s="133"/>
      <c r="AU32" s="5"/>
      <c r="AV32" s="5"/>
      <c r="AW32" s="5"/>
      <c r="AX32" s="5"/>
      <c r="AY32" s="5"/>
      <c r="AZ32" s="150">
        <f t="shared" si="11"/>
        <v>0</v>
      </c>
      <c r="BB32" s="133"/>
      <c r="BC32" s="5"/>
      <c r="BD32" s="5"/>
      <c r="BE32" s="5"/>
      <c r="BF32" s="5"/>
      <c r="BG32" s="5"/>
      <c r="BH32" s="192">
        <f t="shared" si="12"/>
        <v>0</v>
      </c>
      <c r="BJ32" s="133"/>
      <c r="BK32" s="5"/>
      <c r="BL32" s="5"/>
      <c r="BM32" s="5"/>
      <c r="BN32" s="5"/>
      <c r="BO32" s="5"/>
      <c r="BP32" s="1102">
        <f t="shared" si="13"/>
        <v>0</v>
      </c>
      <c r="BR32" s="575">
        <f t="shared" si="14"/>
        <v>0</v>
      </c>
      <c r="BS32" s="5">
        <f t="shared" si="15"/>
        <v>0</v>
      </c>
      <c r="BT32" s="5">
        <f t="shared" si="16"/>
        <v>0</v>
      </c>
      <c r="BU32" s="5">
        <f t="shared" si="17"/>
        <v>0</v>
      </c>
      <c r="BV32" s="5">
        <f t="shared" si="18"/>
        <v>0</v>
      </c>
      <c r="BW32" s="5">
        <f t="shared" si="19"/>
        <v>0</v>
      </c>
      <c r="BX32" s="2175">
        <f t="shared" si="20"/>
        <v>0</v>
      </c>
      <c r="BY32" s="573">
        <f t="shared" ca="1" si="21"/>
        <v>0</v>
      </c>
      <c r="BZ32" s="257"/>
      <c r="CB32" s="1182">
        <f t="shared" ca="1" si="85"/>
        <v>0</v>
      </c>
      <c r="CC32" s="387"/>
      <c r="CD32" s="56"/>
      <c r="CE32" s="56"/>
      <c r="CF32" s="56">
        <f ca="1">'Calc - SENIOR PERS'!$N$54/3*0.5</f>
        <v>0</v>
      </c>
      <c r="CG32" s="56">
        <f ca="1">'Calc - SENIOR PERS'!$N$54/3*2.5</f>
        <v>0</v>
      </c>
      <c r="CH32" s="1184"/>
      <c r="CI32" s="1185"/>
      <c r="CJ32" s="1185"/>
      <c r="CK32" s="1185">
        <f ca="1">'Calc - SENIOR PERS'!$N$55/3*0.5</f>
        <v>0</v>
      </c>
      <c r="CL32" s="1186">
        <f ca="1">'Calc - SENIOR PERS'!$N$55/3*2.5</f>
        <v>0</v>
      </c>
      <c r="CM32" s="1187"/>
      <c r="CN32" s="1188"/>
      <c r="CO32" s="1189"/>
      <c r="CP32" s="1179">
        <f t="shared" ca="1" si="22"/>
        <v>0</v>
      </c>
      <c r="CR32" s="310"/>
      <c r="CS32" s="575"/>
      <c r="CT32" s="5"/>
      <c r="CU32" s="1180"/>
      <c r="CV32" s="575"/>
      <c r="CW32" s="5"/>
      <c r="CX32" s="1180"/>
      <c r="CY32" s="575"/>
      <c r="CZ32" s="5"/>
      <c r="DA32" s="1180"/>
      <c r="DB32" s="575"/>
      <c r="DC32" s="5"/>
      <c r="DD32" s="1180"/>
      <c r="DE32" s="1181">
        <f t="shared" si="23"/>
        <v>0</v>
      </c>
      <c r="DG32" s="575"/>
      <c r="DH32" s="5"/>
      <c r="DI32" s="1180"/>
      <c r="DJ32" s="575"/>
      <c r="DK32" s="5"/>
      <c r="DL32" s="1180"/>
      <c r="DM32" s="575"/>
      <c r="DN32" s="5"/>
      <c r="DO32" s="1180"/>
      <c r="DP32" s="575"/>
      <c r="DQ32" s="5"/>
      <c r="DR32" s="1180"/>
      <c r="DS32" s="1181">
        <f t="shared" si="24"/>
        <v>0</v>
      </c>
      <c r="DU32" s="575"/>
      <c r="DV32" s="5"/>
      <c r="DW32" s="1180"/>
      <c r="DX32" s="575"/>
      <c r="DY32" s="5"/>
      <c r="DZ32" s="1180"/>
      <c r="EA32" s="575"/>
      <c r="EB32" s="5"/>
      <c r="EC32" s="1180"/>
      <c r="ED32" s="575"/>
      <c r="EE32" s="5"/>
      <c r="EF32" s="1180"/>
      <c r="EG32" s="1181">
        <f t="shared" si="25"/>
        <v>0</v>
      </c>
      <c r="EI32" s="404"/>
      <c r="EJ32" s="3217"/>
      <c r="EK32" s="92">
        <f t="shared" ca="1" si="26"/>
        <v>0</v>
      </c>
      <c r="EL32" s="21">
        <f t="shared" ca="1" si="27"/>
        <v>0</v>
      </c>
      <c r="EM32" s="21">
        <f t="shared" ca="1" si="28"/>
        <v>0</v>
      </c>
      <c r="EN32" s="21">
        <f t="shared" ca="1" si="29"/>
        <v>0</v>
      </c>
      <c r="EO32" s="21">
        <f t="shared" ca="1" si="30"/>
        <v>0</v>
      </c>
      <c r="EP32" s="21">
        <f t="shared" ca="1" si="31"/>
        <v>0</v>
      </c>
      <c r="EQ32" s="21">
        <f t="shared" ca="1" si="32"/>
        <v>0</v>
      </c>
      <c r="ER32" s="88">
        <f t="shared" ca="1" si="33"/>
        <v>0</v>
      </c>
      <c r="ES32" s="9"/>
      <c r="ET32" s="4"/>
      <c r="EU32" s="4"/>
      <c r="EV32" s="133">
        <f t="shared" si="34"/>
        <v>0</v>
      </c>
      <c r="EW32" s="5">
        <f t="shared" si="35"/>
        <v>0</v>
      </c>
      <c r="EX32" s="5">
        <f t="shared" si="36"/>
        <v>0</v>
      </c>
      <c r="EY32" s="5">
        <f t="shared" si="37"/>
        <v>0</v>
      </c>
      <c r="EZ32" s="5">
        <f t="shared" si="38"/>
        <v>0</v>
      </c>
      <c r="FA32" s="5">
        <f t="shared" si="39"/>
        <v>0</v>
      </c>
      <c r="FB32" s="164">
        <f t="shared" si="40"/>
        <v>0</v>
      </c>
      <c r="FD32" s="133">
        <f t="shared" si="41"/>
        <v>0</v>
      </c>
      <c r="FE32" s="5">
        <f t="shared" si="42"/>
        <v>0</v>
      </c>
      <c r="FF32" s="5">
        <f t="shared" si="43"/>
        <v>0</v>
      </c>
      <c r="FG32" s="5">
        <f t="shared" si="44"/>
        <v>0</v>
      </c>
      <c r="FH32" s="5">
        <f t="shared" si="45"/>
        <v>0</v>
      </c>
      <c r="FI32" s="5">
        <f t="shared" si="46"/>
        <v>0</v>
      </c>
      <c r="FJ32" s="138">
        <f t="shared" si="47"/>
        <v>0</v>
      </c>
      <c r="FL32" s="133">
        <f t="shared" si="48"/>
        <v>0</v>
      </c>
      <c r="FM32" s="5">
        <f t="shared" si="49"/>
        <v>0</v>
      </c>
      <c r="FN32" s="5">
        <f t="shared" si="50"/>
        <v>0</v>
      </c>
      <c r="FO32" s="5">
        <f t="shared" si="51"/>
        <v>0</v>
      </c>
      <c r="FP32" s="5">
        <f t="shared" si="52"/>
        <v>0</v>
      </c>
      <c r="FQ32" s="5">
        <f t="shared" si="53"/>
        <v>0</v>
      </c>
      <c r="FR32" s="206">
        <f t="shared" si="54"/>
        <v>0</v>
      </c>
      <c r="FT32" s="133">
        <f t="shared" si="55"/>
        <v>0</v>
      </c>
      <c r="FU32" s="5">
        <f t="shared" si="56"/>
        <v>0</v>
      </c>
      <c r="FV32" s="5">
        <f t="shared" si="57"/>
        <v>0</v>
      </c>
      <c r="FW32" s="5">
        <f t="shared" si="58"/>
        <v>0</v>
      </c>
      <c r="FX32" s="5">
        <f t="shared" si="59"/>
        <v>0</v>
      </c>
      <c r="FY32" s="5">
        <f t="shared" si="60"/>
        <v>0</v>
      </c>
      <c r="FZ32" s="178">
        <f t="shared" si="61"/>
        <v>0</v>
      </c>
      <c r="GB32" s="133">
        <f t="shared" si="62"/>
        <v>0</v>
      </c>
      <c r="GC32" s="5">
        <f t="shared" si="63"/>
        <v>0</v>
      </c>
      <c r="GD32" s="5">
        <f t="shared" si="64"/>
        <v>0</v>
      </c>
      <c r="GE32" s="5">
        <f t="shared" si="65"/>
        <v>0</v>
      </c>
      <c r="GF32" s="5">
        <f t="shared" si="66"/>
        <v>0</v>
      </c>
      <c r="GG32" s="5">
        <f t="shared" si="67"/>
        <v>0</v>
      </c>
      <c r="GH32" s="150">
        <f t="shared" si="68"/>
        <v>0</v>
      </c>
      <c r="GJ32" s="133">
        <f t="shared" si="69"/>
        <v>0</v>
      </c>
      <c r="GK32" s="5">
        <f t="shared" si="70"/>
        <v>0</v>
      </c>
      <c r="GL32" s="5">
        <f t="shared" si="71"/>
        <v>0</v>
      </c>
      <c r="GM32" s="5">
        <f t="shared" si="72"/>
        <v>0</v>
      </c>
      <c r="GN32" s="5">
        <f t="shared" si="73"/>
        <v>0</v>
      </c>
      <c r="GO32" s="5">
        <f t="shared" si="74"/>
        <v>0</v>
      </c>
      <c r="GP32" s="192">
        <f t="shared" si="75"/>
        <v>0</v>
      </c>
      <c r="GR32" s="133"/>
      <c r="GS32" s="5"/>
      <c r="GT32" s="5"/>
      <c r="GU32" s="5"/>
      <c r="GV32" s="5"/>
      <c r="GW32" s="5"/>
      <c r="GX32" s="1102">
        <f t="shared" si="76"/>
        <v>0</v>
      </c>
      <c r="GZ32" s="575">
        <f t="shared" si="77"/>
        <v>0</v>
      </c>
      <c r="HA32" s="5">
        <f t="shared" si="78"/>
        <v>0</v>
      </c>
      <c r="HB32" s="5">
        <f t="shared" si="79"/>
        <v>0</v>
      </c>
      <c r="HC32" s="5">
        <f t="shared" si="80"/>
        <v>0</v>
      </c>
      <c r="HD32" s="5">
        <f t="shared" si="81"/>
        <v>0</v>
      </c>
      <c r="HE32" s="5">
        <f t="shared" si="82"/>
        <v>0</v>
      </c>
      <c r="HF32" s="2175">
        <f t="shared" si="83"/>
        <v>0</v>
      </c>
      <c r="HG32" s="573">
        <f t="shared" ca="1" si="84"/>
        <v>0</v>
      </c>
      <c r="HH32" s="257"/>
    </row>
    <row r="33" spans="1:216" ht="15" hidden="1" customHeight="1" x14ac:dyDescent="0.25">
      <c r="A33" s="404"/>
      <c r="B33" s="3217"/>
      <c r="C33" s="422">
        <f ca="1">'Calc - SENIOR PERS'!$B$62</f>
        <v>0</v>
      </c>
      <c r="D33" s="21">
        <f ca="1">'Calc - SENIOR PERS'!$N$67</f>
        <v>0</v>
      </c>
      <c r="E33" s="5">
        <f ca="1">'Calc - SENIOR PERS'!$N$68</f>
        <v>0</v>
      </c>
      <c r="F33" s="5">
        <f ca="1">'Calc - SENIOR PERS'!$N$69</f>
        <v>0</v>
      </c>
      <c r="G33" s="5">
        <f ca="1">'Calc - SENIOR PERS'!$N$70</f>
        <v>0</v>
      </c>
      <c r="H33" s="5">
        <f ca="1">'Calc - SENIOR PERS'!$N$71</f>
        <v>0</v>
      </c>
      <c r="I33" s="5">
        <f ca="1">'Calc - SENIOR PERS'!$N$72</f>
        <v>0</v>
      </c>
      <c r="J33" s="88">
        <f t="shared" ca="1" si="6"/>
        <v>0</v>
      </c>
      <c r="K33" s="9" t="str">
        <f ca="1">IF(J33&lt;&gt;'Calc - SENIOR PERS'!$N$73,"ERROR","")</f>
        <v/>
      </c>
      <c r="L33" s="4"/>
      <c r="M33" s="4"/>
      <c r="N33" s="133"/>
      <c r="O33" s="5"/>
      <c r="P33" s="5"/>
      <c r="Q33" s="5"/>
      <c r="R33" s="5"/>
      <c r="S33" s="5"/>
      <c r="T33" s="164">
        <f t="shared" si="7"/>
        <v>0</v>
      </c>
      <c r="V33" s="133"/>
      <c r="W33" s="5"/>
      <c r="X33" s="5"/>
      <c r="Y33" s="5"/>
      <c r="Z33" s="5"/>
      <c r="AA33" s="5"/>
      <c r="AB33" s="138">
        <f t="shared" si="8"/>
        <v>0</v>
      </c>
      <c r="AD33" s="133"/>
      <c r="AE33" s="5"/>
      <c r="AF33" s="5"/>
      <c r="AG33" s="5"/>
      <c r="AH33" s="5"/>
      <c r="AI33" s="5"/>
      <c r="AJ33" s="206">
        <f t="shared" si="9"/>
        <v>0</v>
      </c>
      <c r="AL33" s="133"/>
      <c r="AM33" s="5"/>
      <c r="AN33" s="5"/>
      <c r="AO33" s="5"/>
      <c r="AP33" s="5"/>
      <c r="AQ33" s="5"/>
      <c r="AR33" s="178">
        <f t="shared" si="10"/>
        <v>0</v>
      </c>
      <c r="AT33" s="133"/>
      <c r="AU33" s="5"/>
      <c r="AV33" s="5"/>
      <c r="AW33" s="5"/>
      <c r="AX33" s="5"/>
      <c r="AY33" s="5"/>
      <c r="AZ33" s="150">
        <f t="shared" si="11"/>
        <v>0</v>
      </c>
      <c r="BB33" s="133"/>
      <c r="BC33" s="5"/>
      <c r="BD33" s="5"/>
      <c r="BE33" s="5"/>
      <c r="BF33" s="5"/>
      <c r="BG33" s="5"/>
      <c r="BH33" s="192">
        <f t="shared" si="12"/>
        <v>0</v>
      </c>
      <c r="BJ33" s="133"/>
      <c r="BK33" s="5"/>
      <c r="BL33" s="5"/>
      <c r="BM33" s="5"/>
      <c r="BN33" s="5"/>
      <c r="BO33" s="5"/>
      <c r="BP33" s="1102">
        <f t="shared" si="13"/>
        <v>0</v>
      </c>
      <c r="BR33" s="575">
        <f t="shared" si="14"/>
        <v>0</v>
      </c>
      <c r="BS33" s="5">
        <f t="shared" si="15"/>
        <v>0</v>
      </c>
      <c r="BT33" s="5">
        <f t="shared" si="16"/>
        <v>0</v>
      </c>
      <c r="BU33" s="5">
        <f t="shared" si="17"/>
        <v>0</v>
      </c>
      <c r="BV33" s="5">
        <f t="shared" si="18"/>
        <v>0</v>
      </c>
      <c r="BW33" s="5">
        <f t="shared" si="19"/>
        <v>0</v>
      </c>
      <c r="BX33" s="2175">
        <f t="shared" si="20"/>
        <v>0</v>
      </c>
      <c r="BY33" s="573">
        <f t="shared" ca="1" si="21"/>
        <v>0</v>
      </c>
      <c r="BZ33" s="257"/>
      <c r="CB33" s="1182">
        <f t="shared" ca="1" si="85"/>
        <v>0</v>
      </c>
      <c r="CC33" s="387"/>
      <c r="CD33" s="56"/>
      <c r="CE33" s="56"/>
      <c r="CF33" s="56">
        <f ca="1">'Calc - SENIOR PERS'!$N$68/3*0.5</f>
        <v>0</v>
      </c>
      <c r="CG33" s="1183">
        <f ca="1">'Calc - SENIOR PERS'!$N$68/3*2.5</f>
        <v>0</v>
      </c>
      <c r="CH33" s="1184"/>
      <c r="CI33" s="1185"/>
      <c r="CJ33" s="1185"/>
      <c r="CK33" s="1185">
        <f ca="1">'Calc - SENIOR PERS'!$N$69/3*0.5</f>
        <v>0</v>
      </c>
      <c r="CL33" s="1186">
        <f ca="1">'Calc - SENIOR PERS'!$N$69/3*2.5</f>
        <v>0</v>
      </c>
      <c r="CM33" s="1187"/>
      <c r="CN33" s="1188"/>
      <c r="CO33" s="1189"/>
      <c r="CP33" s="1179">
        <f t="shared" ca="1" si="22"/>
        <v>0</v>
      </c>
      <c r="CR33" s="310"/>
      <c r="CS33" s="575"/>
      <c r="CT33" s="5"/>
      <c r="CU33" s="1180"/>
      <c r="CV33" s="575"/>
      <c r="CW33" s="5"/>
      <c r="CX33" s="1180"/>
      <c r="CY33" s="575"/>
      <c r="CZ33" s="5"/>
      <c r="DA33" s="1180"/>
      <c r="DB33" s="575"/>
      <c r="DC33" s="5"/>
      <c r="DD33" s="1180"/>
      <c r="DE33" s="1181">
        <f t="shared" si="23"/>
        <v>0</v>
      </c>
      <c r="DG33" s="575"/>
      <c r="DH33" s="5"/>
      <c r="DI33" s="1180"/>
      <c r="DJ33" s="575"/>
      <c r="DK33" s="5"/>
      <c r="DL33" s="1180"/>
      <c r="DM33" s="575"/>
      <c r="DN33" s="5"/>
      <c r="DO33" s="1180"/>
      <c r="DP33" s="575"/>
      <c r="DQ33" s="5"/>
      <c r="DR33" s="1180"/>
      <c r="DS33" s="1181">
        <f t="shared" si="24"/>
        <v>0</v>
      </c>
      <c r="DU33" s="575"/>
      <c r="DV33" s="5"/>
      <c r="DW33" s="1180"/>
      <c r="DX33" s="575"/>
      <c r="DY33" s="5"/>
      <c r="DZ33" s="1180"/>
      <c r="EA33" s="575"/>
      <c r="EB33" s="5"/>
      <c r="EC33" s="1180"/>
      <c r="ED33" s="575"/>
      <c r="EE33" s="5"/>
      <c r="EF33" s="1180"/>
      <c r="EG33" s="1181">
        <f t="shared" si="25"/>
        <v>0</v>
      </c>
      <c r="EI33" s="404"/>
      <c r="EJ33" s="3217"/>
      <c r="EK33" s="92">
        <f t="shared" ca="1" si="26"/>
        <v>0</v>
      </c>
      <c r="EL33" s="21">
        <f t="shared" ca="1" si="27"/>
        <v>0</v>
      </c>
      <c r="EM33" s="21">
        <f t="shared" ca="1" si="28"/>
        <v>0</v>
      </c>
      <c r="EN33" s="21">
        <f t="shared" ca="1" si="29"/>
        <v>0</v>
      </c>
      <c r="EO33" s="21">
        <f t="shared" ca="1" si="30"/>
        <v>0</v>
      </c>
      <c r="EP33" s="21">
        <f t="shared" ca="1" si="31"/>
        <v>0</v>
      </c>
      <c r="EQ33" s="21">
        <f t="shared" ca="1" si="32"/>
        <v>0</v>
      </c>
      <c r="ER33" s="88">
        <f t="shared" ca="1" si="33"/>
        <v>0</v>
      </c>
      <c r="ES33" s="9"/>
      <c r="ET33" s="4"/>
      <c r="EU33" s="4"/>
      <c r="EV33" s="133">
        <f t="shared" si="34"/>
        <v>0</v>
      </c>
      <c r="EW33" s="5">
        <f t="shared" si="35"/>
        <v>0</v>
      </c>
      <c r="EX33" s="5">
        <f t="shared" si="36"/>
        <v>0</v>
      </c>
      <c r="EY33" s="5">
        <f t="shared" si="37"/>
        <v>0</v>
      </c>
      <c r="EZ33" s="5">
        <f t="shared" si="38"/>
        <v>0</v>
      </c>
      <c r="FA33" s="5">
        <f t="shared" si="39"/>
        <v>0</v>
      </c>
      <c r="FB33" s="164">
        <f t="shared" si="40"/>
        <v>0</v>
      </c>
      <c r="FD33" s="133">
        <f t="shared" si="41"/>
        <v>0</v>
      </c>
      <c r="FE33" s="5">
        <f t="shared" si="42"/>
        <v>0</v>
      </c>
      <c r="FF33" s="5">
        <f t="shared" si="43"/>
        <v>0</v>
      </c>
      <c r="FG33" s="5">
        <f t="shared" si="44"/>
        <v>0</v>
      </c>
      <c r="FH33" s="5">
        <f t="shared" si="45"/>
        <v>0</v>
      </c>
      <c r="FI33" s="5">
        <f t="shared" si="46"/>
        <v>0</v>
      </c>
      <c r="FJ33" s="138">
        <f t="shared" si="47"/>
        <v>0</v>
      </c>
      <c r="FL33" s="133">
        <f t="shared" si="48"/>
        <v>0</v>
      </c>
      <c r="FM33" s="5">
        <f t="shared" si="49"/>
        <v>0</v>
      </c>
      <c r="FN33" s="5">
        <f t="shared" si="50"/>
        <v>0</v>
      </c>
      <c r="FO33" s="5">
        <f t="shared" si="51"/>
        <v>0</v>
      </c>
      <c r="FP33" s="5">
        <f t="shared" si="52"/>
        <v>0</v>
      </c>
      <c r="FQ33" s="5">
        <f t="shared" si="53"/>
        <v>0</v>
      </c>
      <c r="FR33" s="206">
        <f t="shared" si="54"/>
        <v>0</v>
      </c>
      <c r="FT33" s="133">
        <f t="shared" si="55"/>
        <v>0</v>
      </c>
      <c r="FU33" s="5">
        <f t="shared" si="56"/>
        <v>0</v>
      </c>
      <c r="FV33" s="5">
        <f t="shared" si="57"/>
        <v>0</v>
      </c>
      <c r="FW33" s="5">
        <f t="shared" si="58"/>
        <v>0</v>
      </c>
      <c r="FX33" s="5">
        <f t="shared" si="59"/>
        <v>0</v>
      </c>
      <c r="FY33" s="5">
        <f t="shared" si="60"/>
        <v>0</v>
      </c>
      <c r="FZ33" s="178">
        <f t="shared" si="61"/>
        <v>0</v>
      </c>
      <c r="GB33" s="133">
        <f t="shared" si="62"/>
        <v>0</v>
      </c>
      <c r="GC33" s="5">
        <f t="shared" si="63"/>
        <v>0</v>
      </c>
      <c r="GD33" s="5">
        <f t="shared" si="64"/>
        <v>0</v>
      </c>
      <c r="GE33" s="5">
        <f t="shared" si="65"/>
        <v>0</v>
      </c>
      <c r="GF33" s="5">
        <f t="shared" si="66"/>
        <v>0</v>
      </c>
      <c r="GG33" s="5">
        <f t="shared" si="67"/>
        <v>0</v>
      </c>
      <c r="GH33" s="150">
        <f t="shared" si="68"/>
        <v>0</v>
      </c>
      <c r="GJ33" s="133">
        <f t="shared" si="69"/>
        <v>0</v>
      </c>
      <c r="GK33" s="5">
        <f t="shared" si="70"/>
        <v>0</v>
      </c>
      <c r="GL33" s="5">
        <f t="shared" si="71"/>
        <v>0</v>
      </c>
      <c r="GM33" s="5">
        <f t="shared" si="72"/>
        <v>0</v>
      </c>
      <c r="GN33" s="5">
        <f t="shared" si="73"/>
        <v>0</v>
      </c>
      <c r="GO33" s="5">
        <f t="shared" si="74"/>
        <v>0</v>
      </c>
      <c r="GP33" s="192">
        <f t="shared" si="75"/>
        <v>0</v>
      </c>
      <c r="GR33" s="133"/>
      <c r="GS33" s="5"/>
      <c r="GT33" s="5"/>
      <c r="GU33" s="5"/>
      <c r="GV33" s="5"/>
      <c r="GW33" s="5"/>
      <c r="GX33" s="1102">
        <f t="shared" si="76"/>
        <v>0</v>
      </c>
      <c r="GZ33" s="575">
        <f t="shared" si="77"/>
        <v>0</v>
      </c>
      <c r="HA33" s="5">
        <f t="shared" si="78"/>
        <v>0</v>
      </c>
      <c r="HB33" s="5">
        <f t="shared" si="79"/>
        <v>0</v>
      </c>
      <c r="HC33" s="5">
        <f t="shared" si="80"/>
        <v>0</v>
      </c>
      <c r="HD33" s="5">
        <f t="shared" si="81"/>
        <v>0</v>
      </c>
      <c r="HE33" s="5">
        <f t="shared" si="82"/>
        <v>0</v>
      </c>
      <c r="HF33" s="2175">
        <f t="shared" si="83"/>
        <v>0</v>
      </c>
      <c r="HG33" s="573">
        <f t="shared" ca="1" si="84"/>
        <v>0</v>
      </c>
      <c r="HH33" s="257"/>
    </row>
    <row r="34" spans="1:216" ht="15" hidden="1" customHeight="1" x14ac:dyDescent="0.25">
      <c r="A34" s="404"/>
      <c r="B34" s="3217"/>
      <c r="C34" s="422">
        <f ca="1">'Calc - SENIOR PERS'!$B$76</f>
        <v>0</v>
      </c>
      <c r="D34" s="21">
        <f ca="1">'Calc - SENIOR PERS'!$N$81</f>
        <v>0</v>
      </c>
      <c r="E34" s="5">
        <f ca="1">'Calc - SENIOR PERS'!$N$82</f>
        <v>0</v>
      </c>
      <c r="F34" s="5">
        <f ca="1">'Calc - SENIOR PERS'!$N$83</f>
        <v>0</v>
      </c>
      <c r="G34" s="5">
        <f ca="1">'Calc - SENIOR PERS'!$N$84</f>
        <v>0</v>
      </c>
      <c r="H34" s="5">
        <f ca="1">'Calc - SENIOR PERS'!$N$85</f>
        <v>0</v>
      </c>
      <c r="I34" s="5">
        <f ca="1">'Calc - SENIOR PERS'!$N$86</f>
        <v>0</v>
      </c>
      <c r="J34" s="88">
        <f t="shared" ca="1" si="6"/>
        <v>0</v>
      </c>
      <c r="K34" s="9" t="str">
        <f ca="1">IF(J34&lt;&gt;'Calc - SENIOR PERS'!$N$87,"ERROR","")</f>
        <v/>
      </c>
      <c r="L34" s="4"/>
      <c r="M34" s="4"/>
      <c r="N34" s="133"/>
      <c r="O34" s="5"/>
      <c r="P34" s="5"/>
      <c r="Q34" s="5"/>
      <c r="R34" s="5"/>
      <c r="S34" s="5"/>
      <c r="T34" s="164">
        <f t="shared" si="7"/>
        <v>0</v>
      </c>
      <c r="V34" s="133"/>
      <c r="W34" s="5"/>
      <c r="X34" s="5"/>
      <c r="Y34" s="5"/>
      <c r="Z34" s="5"/>
      <c r="AA34" s="5"/>
      <c r="AB34" s="138">
        <f t="shared" si="8"/>
        <v>0</v>
      </c>
      <c r="AD34" s="133"/>
      <c r="AE34" s="5"/>
      <c r="AF34" s="5"/>
      <c r="AG34" s="5"/>
      <c r="AH34" s="5"/>
      <c r="AI34" s="5"/>
      <c r="AJ34" s="206">
        <f t="shared" si="9"/>
        <v>0</v>
      </c>
      <c r="AL34" s="133"/>
      <c r="AM34" s="5"/>
      <c r="AN34" s="5"/>
      <c r="AO34" s="5"/>
      <c r="AP34" s="5"/>
      <c r="AQ34" s="5"/>
      <c r="AR34" s="178">
        <f t="shared" si="10"/>
        <v>0</v>
      </c>
      <c r="AT34" s="133"/>
      <c r="AU34" s="5"/>
      <c r="AV34" s="5"/>
      <c r="AW34" s="5"/>
      <c r="AX34" s="5"/>
      <c r="AY34" s="5"/>
      <c r="AZ34" s="150">
        <f t="shared" si="11"/>
        <v>0</v>
      </c>
      <c r="BB34" s="133"/>
      <c r="BC34" s="5"/>
      <c r="BD34" s="5"/>
      <c r="BE34" s="5"/>
      <c r="BF34" s="5"/>
      <c r="BG34" s="5"/>
      <c r="BH34" s="192">
        <f t="shared" si="12"/>
        <v>0</v>
      </c>
      <c r="BJ34" s="133"/>
      <c r="BK34" s="5"/>
      <c r="BL34" s="5"/>
      <c r="BM34" s="5"/>
      <c r="BN34" s="5"/>
      <c r="BO34" s="5"/>
      <c r="BP34" s="1102">
        <f t="shared" si="13"/>
        <v>0</v>
      </c>
      <c r="BR34" s="575">
        <f t="shared" si="14"/>
        <v>0</v>
      </c>
      <c r="BS34" s="5">
        <f t="shared" si="15"/>
        <v>0</v>
      </c>
      <c r="BT34" s="5">
        <f t="shared" si="16"/>
        <v>0</v>
      </c>
      <c r="BU34" s="5">
        <f t="shared" si="17"/>
        <v>0</v>
      </c>
      <c r="BV34" s="5">
        <f t="shared" si="18"/>
        <v>0</v>
      </c>
      <c r="BW34" s="5">
        <f t="shared" si="19"/>
        <v>0</v>
      </c>
      <c r="BX34" s="2175">
        <f t="shared" si="20"/>
        <v>0</v>
      </c>
      <c r="BY34" s="573">
        <f t="shared" ca="1" si="21"/>
        <v>0</v>
      </c>
      <c r="BZ34" s="257"/>
      <c r="CB34" s="1182">
        <f t="shared" ca="1" si="85"/>
        <v>0</v>
      </c>
      <c r="CC34" s="387"/>
      <c r="CD34" s="56"/>
      <c r="CE34" s="56"/>
      <c r="CF34" s="56">
        <f ca="1">'Calc - SENIOR PERS'!$N$82/3*0.5</f>
        <v>0</v>
      </c>
      <c r="CG34" s="1183">
        <f ca="1">'Calc - SENIOR PERS'!$N$82/3*2.5</f>
        <v>0</v>
      </c>
      <c r="CH34" s="1184"/>
      <c r="CI34" s="1185"/>
      <c r="CJ34" s="1185"/>
      <c r="CK34" s="1185">
        <f ca="1">'Calc - SENIOR PERS'!$N$83/3*0.5</f>
        <v>0</v>
      </c>
      <c r="CL34" s="1186">
        <f ca="1">'Calc - SENIOR PERS'!$N$83/3*2.5</f>
        <v>0</v>
      </c>
      <c r="CM34" s="1187"/>
      <c r="CN34" s="1188"/>
      <c r="CO34" s="1189"/>
      <c r="CP34" s="1179">
        <f t="shared" ca="1" si="22"/>
        <v>0</v>
      </c>
      <c r="CR34" s="310"/>
      <c r="CS34" s="575"/>
      <c r="CT34" s="5"/>
      <c r="CU34" s="1180"/>
      <c r="CV34" s="575"/>
      <c r="CW34" s="5"/>
      <c r="CX34" s="1180"/>
      <c r="CY34" s="575"/>
      <c r="CZ34" s="5"/>
      <c r="DA34" s="1180"/>
      <c r="DB34" s="575"/>
      <c r="DC34" s="5"/>
      <c r="DD34" s="1180"/>
      <c r="DE34" s="1181">
        <f t="shared" si="23"/>
        <v>0</v>
      </c>
      <c r="DG34" s="575"/>
      <c r="DH34" s="5"/>
      <c r="DI34" s="1180"/>
      <c r="DJ34" s="575"/>
      <c r="DK34" s="5"/>
      <c r="DL34" s="1180"/>
      <c r="DM34" s="575"/>
      <c r="DN34" s="5"/>
      <c r="DO34" s="1180"/>
      <c r="DP34" s="575"/>
      <c r="DQ34" s="5"/>
      <c r="DR34" s="1180"/>
      <c r="DS34" s="1181">
        <f t="shared" si="24"/>
        <v>0</v>
      </c>
      <c r="DU34" s="575"/>
      <c r="DV34" s="5"/>
      <c r="DW34" s="1180"/>
      <c r="DX34" s="575"/>
      <c r="DY34" s="5"/>
      <c r="DZ34" s="1180"/>
      <c r="EA34" s="575"/>
      <c r="EB34" s="5"/>
      <c r="EC34" s="1180"/>
      <c r="ED34" s="575"/>
      <c r="EE34" s="5"/>
      <c r="EF34" s="1180"/>
      <c r="EG34" s="1181">
        <f t="shared" si="25"/>
        <v>0</v>
      </c>
      <c r="EI34" s="404"/>
      <c r="EJ34" s="3217"/>
      <c r="EK34" s="92">
        <f t="shared" ca="1" si="26"/>
        <v>0</v>
      </c>
      <c r="EL34" s="21">
        <f t="shared" ca="1" si="27"/>
        <v>0</v>
      </c>
      <c r="EM34" s="21">
        <f t="shared" ca="1" si="28"/>
        <v>0</v>
      </c>
      <c r="EN34" s="21">
        <f t="shared" ca="1" si="29"/>
        <v>0</v>
      </c>
      <c r="EO34" s="21">
        <f t="shared" ca="1" si="30"/>
        <v>0</v>
      </c>
      <c r="EP34" s="21">
        <f t="shared" ca="1" si="31"/>
        <v>0</v>
      </c>
      <c r="EQ34" s="21">
        <f t="shared" ca="1" si="32"/>
        <v>0</v>
      </c>
      <c r="ER34" s="88">
        <f t="shared" ca="1" si="33"/>
        <v>0</v>
      </c>
      <c r="ES34" s="9"/>
      <c r="ET34" s="4"/>
      <c r="EU34" s="4"/>
      <c r="EV34" s="133">
        <f t="shared" si="34"/>
        <v>0</v>
      </c>
      <c r="EW34" s="5">
        <f t="shared" si="35"/>
        <v>0</v>
      </c>
      <c r="EX34" s="5">
        <f t="shared" si="36"/>
        <v>0</v>
      </c>
      <c r="EY34" s="5">
        <f t="shared" si="37"/>
        <v>0</v>
      </c>
      <c r="EZ34" s="5">
        <f t="shared" si="38"/>
        <v>0</v>
      </c>
      <c r="FA34" s="5">
        <f t="shared" si="39"/>
        <v>0</v>
      </c>
      <c r="FB34" s="164">
        <f t="shared" si="40"/>
        <v>0</v>
      </c>
      <c r="FD34" s="133">
        <f t="shared" si="41"/>
        <v>0</v>
      </c>
      <c r="FE34" s="5">
        <f t="shared" si="42"/>
        <v>0</v>
      </c>
      <c r="FF34" s="5">
        <f t="shared" si="43"/>
        <v>0</v>
      </c>
      <c r="FG34" s="5">
        <f t="shared" si="44"/>
        <v>0</v>
      </c>
      <c r="FH34" s="5">
        <f t="shared" si="45"/>
        <v>0</v>
      </c>
      <c r="FI34" s="5">
        <f t="shared" si="46"/>
        <v>0</v>
      </c>
      <c r="FJ34" s="138">
        <f t="shared" si="47"/>
        <v>0</v>
      </c>
      <c r="FL34" s="133">
        <f t="shared" si="48"/>
        <v>0</v>
      </c>
      <c r="FM34" s="5">
        <f t="shared" si="49"/>
        <v>0</v>
      </c>
      <c r="FN34" s="5">
        <f t="shared" si="50"/>
        <v>0</v>
      </c>
      <c r="FO34" s="5">
        <f t="shared" si="51"/>
        <v>0</v>
      </c>
      <c r="FP34" s="5">
        <f t="shared" si="52"/>
        <v>0</v>
      </c>
      <c r="FQ34" s="5">
        <f t="shared" si="53"/>
        <v>0</v>
      </c>
      <c r="FR34" s="206">
        <f t="shared" si="54"/>
        <v>0</v>
      </c>
      <c r="FT34" s="133">
        <f t="shared" si="55"/>
        <v>0</v>
      </c>
      <c r="FU34" s="5">
        <f t="shared" si="56"/>
        <v>0</v>
      </c>
      <c r="FV34" s="5">
        <f t="shared" si="57"/>
        <v>0</v>
      </c>
      <c r="FW34" s="5">
        <f t="shared" si="58"/>
        <v>0</v>
      </c>
      <c r="FX34" s="5">
        <f t="shared" si="59"/>
        <v>0</v>
      </c>
      <c r="FY34" s="5">
        <f t="shared" si="60"/>
        <v>0</v>
      </c>
      <c r="FZ34" s="178">
        <f t="shared" si="61"/>
        <v>0</v>
      </c>
      <c r="GB34" s="133">
        <f t="shared" si="62"/>
        <v>0</v>
      </c>
      <c r="GC34" s="5">
        <f t="shared" si="63"/>
        <v>0</v>
      </c>
      <c r="GD34" s="5">
        <f t="shared" si="64"/>
        <v>0</v>
      </c>
      <c r="GE34" s="5">
        <f t="shared" si="65"/>
        <v>0</v>
      </c>
      <c r="GF34" s="5">
        <f t="shared" si="66"/>
        <v>0</v>
      </c>
      <c r="GG34" s="5">
        <f t="shared" si="67"/>
        <v>0</v>
      </c>
      <c r="GH34" s="150">
        <f t="shared" si="68"/>
        <v>0</v>
      </c>
      <c r="GJ34" s="133">
        <f t="shared" si="69"/>
        <v>0</v>
      </c>
      <c r="GK34" s="5">
        <f t="shared" si="70"/>
        <v>0</v>
      </c>
      <c r="GL34" s="5">
        <f t="shared" si="71"/>
        <v>0</v>
      </c>
      <c r="GM34" s="5">
        <f t="shared" si="72"/>
        <v>0</v>
      </c>
      <c r="GN34" s="5">
        <f t="shared" si="73"/>
        <v>0</v>
      </c>
      <c r="GO34" s="5">
        <f t="shared" si="74"/>
        <v>0</v>
      </c>
      <c r="GP34" s="192">
        <f t="shared" si="75"/>
        <v>0</v>
      </c>
      <c r="GR34" s="133"/>
      <c r="GS34" s="5"/>
      <c r="GT34" s="5"/>
      <c r="GU34" s="5"/>
      <c r="GV34" s="5"/>
      <c r="GW34" s="5"/>
      <c r="GX34" s="1102">
        <f t="shared" si="76"/>
        <v>0</v>
      </c>
      <c r="GZ34" s="575">
        <f t="shared" si="77"/>
        <v>0</v>
      </c>
      <c r="HA34" s="5">
        <f t="shared" si="78"/>
        <v>0</v>
      </c>
      <c r="HB34" s="5">
        <f t="shared" si="79"/>
        <v>0</v>
      </c>
      <c r="HC34" s="5">
        <f t="shared" si="80"/>
        <v>0</v>
      </c>
      <c r="HD34" s="5">
        <f t="shared" si="81"/>
        <v>0</v>
      </c>
      <c r="HE34" s="5">
        <f t="shared" si="82"/>
        <v>0</v>
      </c>
      <c r="HF34" s="2175">
        <f t="shared" si="83"/>
        <v>0</v>
      </c>
      <c r="HG34" s="573">
        <f t="shared" ca="1" si="84"/>
        <v>0</v>
      </c>
      <c r="HH34" s="257"/>
    </row>
    <row r="35" spans="1:216" ht="15" hidden="1" customHeight="1" x14ac:dyDescent="0.25">
      <c r="A35" s="404"/>
      <c r="B35" s="3217"/>
      <c r="C35" s="422">
        <f ca="1">'Calc - SENIOR PERS'!$B$90</f>
        <v>0</v>
      </c>
      <c r="D35" s="21">
        <f ca="1">'Calc - SENIOR PERS'!$N$95</f>
        <v>0</v>
      </c>
      <c r="E35" s="5">
        <f ca="1">'Calc - SENIOR PERS'!$N$96</f>
        <v>0</v>
      </c>
      <c r="F35" s="5">
        <f ca="1">'Calc - SENIOR PERS'!$N$97</f>
        <v>0</v>
      </c>
      <c r="G35" s="5">
        <f ca="1">'Calc - SENIOR PERS'!$N$98</f>
        <v>0</v>
      </c>
      <c r="H35" s="5">
        <f ca="1">'Calc - SENIOR PERS'!$N$99</f>
        <v>0</v>
      </c>
      <c r="I35" s="5">
        <f ca="1">'Calc - SENIOR PERS'!$N$100</f>
        <v>0</v>
      </c>
      <c r="J35" s="88">
        <f t="shared" ca="1" si="6"/>
        <v>0</v>
      </c>
      <c r="K35" s="9" t="str">
        <f ca="1">IF(J35&lt;&gt;'Calc - SENIOR PERS'!$N$101,"ERROR","")</f>
        <v/>
      </c>
      <c r="L35" s="4"/>
      <c r="M35" s="4"/>
      <c r="N35" s="133"/>
      <c r="O35" s="5"/>
      <c r="P35" s="5"/>
      <c r="Q35" s="5"/>
      <c r="R35" s="5"/>
      <c r="S35" s="5"/>
      <c r="T35" s="164">
        <f t="shared" si="7"/>
        <v>0</v>
      </c>
      <c r="V35" s="133"/>
      <c r="W35" s="5"/>
      <c r="X35" s="5"/>
      <c r="Y35" s="5"/>
      <c r="Z35" s="5"/>
      <c r="AA35" s="5"/>
      <c r="AB35" s="138">
        <f t="shared" si="8"/>
        <v>0</v>
      </c>
      <c r="AD35" s="133"/>
      <c r="AE35" s="5"/>
      <c r="AF35" s="5"/>
      <c r="AG35" s="5"/>
      <c r="AH35" s="5"/>
      <c r="AI35" s="5"/>
      <c r="AJ35" s="206">
        <f t="shared" si="9"/>
        <v>0</v>
      </c>
      <c r="AL35" s="133"/>
      <c r="AM35" s="5"/>
      <c r="AN35" s="5"/>
      <c r="AO35" s="5"/>
      <c r="AP35" s="5"/>
      <c r="AQ35" s="5"/>
      <c r="AR35" s="178">
        <f t="shared" si="10"/>
        <v>0</v>
      </c>
      <c r="AT35" s="133"/>
      <c r="AU35" s="5"/>
      <c r="AV35" s="5"/>
      <c r="AW35" s="5"/>
      <c r="AX35" s="5"/>
      <c r="AY35" s="5"/>
      <c r="AZ35" s="150">
        <f t="shared" si="11"/>
        <v>0</v>
      </c>
      <c r="BB35" s="133"/>
      <c r="BC35" s="5"/>
      <c r="BD35" s="5"/>
      <c r="BE35" s="5"/>
      <c r="BF35" s="5"/>
      <c r="BG35" s="5"/>
      <c r="BH35" s="192">
        <f t="shared" si="12"/>
        <v>0</v>
      </c>
      <c r="BJ35" s="133"/>
      <c r="BK35" s="5"/>
      <c r="BL35" s="5"/>
      <c r="BM35" s="5"/>
      <c r="BN35" s="5"/>
      <c r="BO35" s="5"/>
      <c r="BP35" s="1102">
        <f t="shared" si="13"/>
        <v>0</v>
      </c>
      <c r="BR35" s="575">
        <f t="shared" si="14"/>
        <v>0</v>
      </c>
      <c r="BS35" s="5">
        <f t="shared" si="15"/>
        <v>0</v>
      </c>
      <c r="BT35" s="5">
        <f t="shared" si="16"/>
        <v>0</v>
      </c>
      <c r="BU35" s="5">
        <f t="shared" si="17"/>
        <v>0</v>
      </c>
      <c r="BV35" s="5">
        <f t="shared" si="18"/>
        <v>0</v>
      </c>
      <c r="BW35" s="5">
        <f t="shared" si="19"/>
        <v>0</v>
      </c>
      <c r="BX35" s="2175">
        <f t="shared" si="20"/>
        <v>0</v>
      </c>
      <c r="BY35" s="573">
        <f t="shared" ca="1" si="21"/>
        <v>0</v>
      </c>
      <c r="BZ35" s="257"/>
      <c r="CB35" s="1182">
        <f t="shared" ca="1" si="85"/>
        <v>0</v>
      </c>
      <c r="CC35" s="387"/>
      <c r="CD35" s="56"/>
      <c r="CE35" s="56"/>
      <c r="CF35" s="56">
        <f ca="1">'Calc - SENIOR PERS'!$N$96/3*0.5</f>
        <v>0</v>
      </c>
      <c r="CG35" s="1183">
        <f ca="1">'Calc - SENIOR PERS'!$N$96/3*2.5</f>
        <v>0</v>
      </c>
      <c r="CH35" s="1184"/>
      <c r="CI35" s="1185"/>
      <c r="CJ35" s="1185"/>
      <c r="CK35" s="1185">
        <f ca="1">'Calc - SENIOR PERS'!$N$97/3*0.5</f>
        <v>0</v>
      </c>
      <c r="CL35" s="1186">
        <f ca="1">'Calc - SENIOR PERS'!$N$97/3*2.5</f>
        <v>0</v>
      </c>
      <c r="CM35" s="1187"/>
      <c r="CN35" s="1188"/>
      <c r="CO35" s="1189"/>
      <c r="CP35" s="1179">
        <f t="shared" ca="1" si="22"/>
        <v>0</v>
      </c>
      <c r="CR35" s="310"/>
      <c r="CS35" s="575"/>
      <c r="CT35" s="5"/>
      <c r="CU35" s="1180"/>
      <c r="CV35" s="575"/>
      <c r="CW35" s="5"/>
      <c r="CX35" s="1180"/>
      <c r="CY35" s="575"/>
      <c r="CZ35" s="5"/>
      <c r="DA35" s="1180"/>
      <c r="DB35" s="575"/>
      <c r="DC35" s="5"/>
      <c r="DD35" s="1180"/>
      <c r="DE35" s="1181">
        <f t="shared" si="23"/>
        <v>0</v>
      </c>
      <c r="DG35" s="575"/>
      <c r="DH35" s="5"/>
      <c r="DI35" s="1180"/>
      <c r="DJ35" s="575"/>
      <c r="DK35" s="5"/>
      <c r="DL35" s="1180"/>
      <c r="DM35" s="575"/>
      <c r="DN35" s="5"/>
      <c r="DO35" s="1180"/>
      <c r="DP35" s="575"/>
      <c r="DQ35" s="5"/>
      <c r="DR35" s="1180"/>
      <c r="DS35" s="1181">
        <f t="shared" si="24"/>
        <v>0</v>
      </c>
      <c r="DU35" s="575"/>
      <c r="DV35" s="5"/>
      <c r="DW35" s="1180"/>
      <c r="DX35" s="575"/>
      <c r="DY35" s="5"/>
      <c r="DZ35" s="1180"/>
      <c r="EA35" s="575"/>
      <c r="EB35" s="5"/>
      <c r="EC35" s="1180"/>
      <c r="ED35" s="575"/>
      <c r="EE35" s="5"/>
      <c r="EF35" s="1180"/>
      <c r="EG35" s="1181">
        <f t="shared" si="25"/>
        <v>0</v>
      </c>
      <c r="EI35" s="404"/>
      <c r="EJ35" s="3217"/>
      <c r="EK35" s="92">
        <f t="shared" ca="1" si="26"/>
        <v>0</v>
      </c>
      <c r="EL35" s="21">
        <f t="shared" ca="1" si="27"/>
        <v>0</v>
      </c>
      <c r="EM35" s="21">
        <f t="shared" ca="1" si="28"/>
        <v>0</v>
      </c>
      <c r="EN35" s="21">
        <f t="shared" ca="1" si="29"/>
        <v>0</v>
      </c>
      <c r="EO35" s="21">
        <f t="shared" ca="1" si="30"/>
        <v>0</v>
      </c>
      <c r="EP35" s="21">
        <f t="shared" ca="1" si="31"/>
        <v>0</v>
      </c>
      <c r="EQ35" s="21">
        <f t="shared" ca="1" si="32"/>
        <v>0</v>
      </c>
      <c r="ER35" s="88">
        <f t="shared" ca="1" si="33"/>
        <v>0</v>
      </c>
      <c r="ES35" s="9"/>
      <c r="ET35" s="4"/>
      <c r="EU35" s="4"/>
      <c r="EV35" s="133">
        <f t="shared" si="34"/>
        <v>0</v>
      </c>
      <c r="EW35" s="5">
        <f t="shared" si="35"/>
        <v>0</v>
      </c>
      <c r="EX35" s="5">
        <f t="shared" si="36"/>
        <v>0</v>
      </c>
      <c r="EY35" s="5">
        <f t="shared" si="37"/>
        <v>0</v>
      </c>
      <c r="EZ35" s="5">
        <f t="shared" si="38"/>
        <v>0</v>
      </c>
      <c r="FA35" s="5">
        <f t="shared" si="39"/>
        <v>0</v>
      </c>
      <c r="FB35" s="164">
        <f t="shared" si="40"/>
        <v>0</v>
      </c>
      <c r="FD35" s="133">
        <f t="shared" si="41"/>
        <v>0</v>
      </c>
      <c r="FE35" s="5">
        <f t="shared" si="42"/>
        <v>0</v>
      </c>
      <c r="FF35" s="5">
        <f t="shared" si="43"/>
        <v>0</v>
      </c>
      <c r="FG35" s="5">
        <f t="shared" si="44"/>
        <v>0</v>
      </c>
      <c r="FH35" s="5">
        <f t="shared" si="45"/>
        <v>0</v>
      </c>
      <c r="FI35" s="5">
        <f t="shared" si="46"/>
        <v>0</v>
      </c>
      <c r="FJ35" s="138">
        <f t="shared" si="47"/>
        <v>0</v>
      </c>
      <c r="FL35" s="133">
        <f t="shared" si="48"/>
        <v>0</v>
      </c>
      <c r="FM35" s="5">
        <f t="shared" si="49"/>
        <v>0</v>
      </c>
      <c r="FN35" s="5">
        <f t="shared" si="50"/>
        <v>0</v>
      </c>
      <c r="FO35" s="5">
        <f t="shared" si="51"/>
        <v>0</v>
      </c>
      <c r="FP35" s="5">
        <f t="shared" si="52"/>
        <v>0</v>
      </c>
      <c r="FQ35" s="5">
        <f t="shared" si="53"/>
        <v>0</v>
      </c>
      <c r="FR35" s="206">
        <f t="shared" si="54"/>
        <v>0</v>
      </c>
      <c r="FT35" s="133">
        <f t="shared" si="55"/>
        <v>0</v>
      </c>
      <c r="FU35" s="5">
        <f t="shared" si="56"/>
        <v>0</v>
      </c>
      <c r="FV35" s="5">
        <f t="shared" si="57"/>
        <v>0</v>
      </c>
      <c r="FW35" s="5">
        <f t="shared" si="58"/>
        <v>0</v>
      </c>
      <c r="FX35" s="5">
        <f t="shared" si="59"/>
        <v>0</v>
      </c>
      <c r="FY35" s="5">
        <f t="shared" si="60"/>
        <v>0</v>
      </c>
      <c r="FZ35" s="178">
        <f t="shared" si="61"/>
        <v>0</v>
      </c>
      <c r="GB35" s="133">
        <f t="shared" si="62"/>
        <v>0</v>
      </c>
      <c r="GC35" s="5">
        <f t="shared" si="63"/>
        <v>0</v>
      </c>
      <c r="GD35" s="5">
        <f t="shared" si="64"/>
        <v>0</v>
      </c>
      <c r="GE35" s="5">
        <f t="shared" si="65"/>
        <v>0</v>
      </c>
      <c r="GF35" s="5">
        <f t="shared" si="66"/>
        <v>0</v>
      </c>
      <c r="GG35" s="5">
        <f t="shared" si="67"/>
        <v>0</v>
      </c>
      <c r="GH35" s="150">
        <f t="shared" si="68"/>
        <v>0</v>
      </c>
      <c r="GJ35" s="133">
        <f t="shared" si="69"/>
        <v>0</v>
      </c>
      <c r="GK35" s="5">
        <f t="shared" si="70"/>
        <v>0</v>
      </c>
      <c r="GL35" s="5">
        <f t="shared" si="71"/>
        <v>0</v>
      </c>
      <c r="GM35" s="5">
        <f t="shared" si="72"/>
        <v>0</v>
      </c>
      <c r="GN35" s="5">
        <f t="shared" si="73"/>
        <v>0</v>
      </c>
      <c r="GO35" s="5">
        <f t="shared" si="74"/>
        <v>0</v>
      </c>
      <c r="GP35" s="192">
        <f t="shared" si="75"/>
        <v>0</v>
      </c>
      <c r="GR35" s="133"/>
      <c r="GS35" s="5"/>
      <c r="GT35" s="5"/>
      <c r="GU35" s="5"/>
      <c r="GV35" s="5"/>
      <c r="GW35" s="5"/>
      <c r="GX35" s="1102">
        <f t="shared" si="76"/>
        <v>0</v>
      </c>
      <c r="GZ35" s="575">
        <f t="shared" si="77"/>
        <v>0</v>
      </c>
      <c r="HA35" s="5">
        <f t="shared" si="78"/>
        <v>0</v>
      </c>
      <c r="HB35" s="5">
        <f t="shared" si="79"/>
        <v>0</v>
      </c>
      <c r="HC35" s="5">
        <f t="shared" si="80"/>
        <v>0</v>
      </c>
      <c r="HD35" s="5">
        <f t="shared" si="81"/>
        <v>0</v>
      </c>
      <c r="HE35" s="5">
        <f t="shared" si="82"/>
        <v>0</v>
      </c>
      <c r="HF35" s="2175">
        <f t="shared" si="83"/>
        <v>0</v>
      </c>
      <c r="HG35" s="573">
        <f t="shared" ca="1" si="84"/>
        <v>0</v>
      </c>
      <c r="HH35" s="257"/>
    </row>
    <row r="36" spans="1:216" ht="15" hidden="1" customHeight="1" x14ac:dyDescent="0.25">
      <c r="A36" s="404"/>
      <c r="B36" s="3217"/>
      <c r="C36" s="422">
        <f ca="1">'Calc - SENIOR PERS'!$B$104</f>
        <v>0</v>
      </c>
      <c r="D36" s="21">
        <f ca="1">'Calc - SENIOR PERS'!$N$109</f>
        <v>0</v>
      </c>
      <c r="E36" s="5">
        <f ca="1">'Calc - SENIOR PERS'!$N$110</f>
        <v>0</v>
      </c>
      <c r="F36" s="5">
        <f ca="1">'Calc - SENIOR PERS'!$N$111</f>
        <v>0</v>
      </c>
      <c r="G36" s="5">
        <f ca="1">'Calc - SENIOR PERS'!$N$112</f>
        <v>0</v>
      </c>
      <c r="H36" s="5">
        <f ca="1">'Calc - SENIOR PERS'!$N$113</f>
        <v>0</v>
      </c>
      <c r="I36" s="5">
        <f ca="1">'Calc - SENIOR PERS'!$N$114</f>
        <v>0</v>
      </c>
      <c r="J36" s="88">
        <f t="shared" ca="1" si="6"/>
        <v>0</v>
      </c>
      <c r="K36" s="9" t="str">
        <f ca="1">IF(J36&lt;&gt;'Calc - SENIOR PERS'!$N$115,"ERROR","")</f>
        <v/>
      </c>
      <c r="L36" s="4"/>
      <c r="M36" s="4"/>
      <c r="N36" s="133"/>
      <c r="O36" s="5"/>
      <c r="P36" s="5"/>
      <c r="Q36" s="5"/>
      <c r="R36" s="5"/>
      <c r="S36" s="5"/>
      <c r="T36" s="164">
        <f t="shared" si="7"/>
        <v>0</v>
      </c>
      <c r="V36" s="133"/>
      <c r="W36" s="5"/>
      <c r="X36" s="5"/>
      <c r="Y36" s="5"/>
      <c r="Z36" s="5"/>
      <c r="AA36" s="5"/>
      <c r="AB36" s="138">
        <f t="shared" si="8"/>
        <v>0</v>
      </c>
      <c r="AD36" s="133"/>
      <c r="AE36" s="5"/>
      <c r="AF36" s="5"/>
      <c r="AG36" s="5"/>
      <c r="AH36" s="5"/>
      <c r="AI36" s="5"/>
      <c r="AJ36" s="206">
        <f t="shared" si="9"/>
        <v>0</v>
      </c>
      <c r="AL36" s="133"/>
      <c r="AM36" s="5"/>
      <c r="AN36" s="5"/>
      <c r="AO36" s="5"/>
      <c r="AP36" s="5"/>
      <c r="AQ36" s="5"/>
      <c r="AR36" s="178">
        <f t="shared" si="10"/>
        <v>0</v>
      </c>
      <c r="AT36" s="133"/>
      <c r="AU36" s="5"/>
      <c r="AV36" s="5"/>
      <c r="AW36" s="5"/>
      <c r="AX36" s="5"/>
      <c r="AY36" s="5"/>
      <c r="AZ36" s="150">
        <f t="shared" si="11"/>
        <v>0</v>
      </c>
      <c r="BB36" s="133"/>
      <c r="BC36" s="5"/>
      <c r="BD36" s="5"/>
      <c r="BE36" s="5"/>
      <c r="BF36" s="5"/>
      <c r="BG36" s="5"/>
      <c r="BH36" s="192">
        <f t="shared" si="12"/>
        <v>0</v>
      </c>
      <c r="BJ36" s="133"/>
      <c r="BK36" s="5"/>
      <c r="BL36" s="5"/>
      <c r="BM36" s="5"/>
      <c r="BN36" s="5"/>
      <c r="BO36" s="5"/>
      <c r="BP36" s="1102">
        <f t="shared" si="13"/>
        <v>0</v>
      </c>
      <c r="BR36" s="575">
        <f t="shared" si="14"/>
        <v>0</v>
      </c>
      <c r="BS36" s="5">
        <f t="shared" si="15"/>
        <v>0</v>
      </c>
      <c r="BT36" s="5">
        <f t="shared" si="16"/>
        <v>0</v>
      </c>
      <c r="BU36" s="5">
        <f t="shared" si="17"/>
        <v>0</v>
      </c>
      <c r="BV36" s="5">
        <f t="shared" si="18"/>
        <v>0</v>
      </c>
      <c r="BW36" s="5">
        <f t="shared" si="19"/>
        <v>0</v>
      </c>
      <c r="BX36" s="2175">
        <f t="shared" si="20"/>
        <v>0</v>
      </c>
      <c r="BY36" s="573">
        <f t="shared" ca="1" si="21"/>
        <v>0</v>
      </c>
      <c r="BZ36" s="257"/>
      <c r="CB36" s="1182">
        <f t="shared" ca="1" si="85"/>
        <v>0</v>
      </c>
      <c r="CC36" s="387"/>
      <c r="CD36" s="56"/>
      <c r="CE36" s="56"/>
      <c r="CF36" s="56">
        <f ca="1">'Calc - SENIOR PERS'!$N$110/3*0.5</f>
        <v>0</v>
      </c>
      <c r="CG36" s="1183">
        <f ca="1">'Calc - SENIOR PERS'!$N$110/3*2.5</f>
        <v>0</v>
      </c>
      <c r="CH36" s="1184"/>
      <c r="CI36" s="1185"/>
      <c r="CJ36" s="1185"/>
      <c r="CK36" s="1185">
        <f ca="1">'Calc - SENIOR PERS'!$N$111/3*0.5</f>
        <v>0</v>
      </c>
      <c r="CL36" s="1186">
        <f ca="1">'Calc - SENIOR PERS'!$N$111/3*2.5</f>
        <v>0</v>
      </c>
      <c r="CM36" s="1187"/>
      <c r="CN36" s="1188"/>
      <c r="CO36" s="1189"/>
      <c r="CP36" s="1179">
        <f t="shared" ca="1" si="22"/>
        <v>0</v>
      </c>
      <c r="CR36" s="310"/>
      <c r="CS36" s="575"/>
      <c r="CT36" s="5"/>
      <c r="CU36" s="1180"/>
      <c r="CV36" s="575"/>
      <c r="CW36" s="5"/>
      <c r="CX36" s="1180"/>
      <c r="CY36" s="575"/>
      <c r="CZ36" s="5"/>
      <c r="DA36" s="1180"/>
      <c r="DB36" s="575"/>
      <c r="DC36" s="5"/>
      <c r="DD36" s="1180"/>
      <c r="DE36" s="1181">
        <f t="shared" si="23"/>
        <v>0</v>
      </c>
      <c r="DG36" s="575"/>
      <c r="DH36" s="5"/>
      <c r="DI36" s="1180"/>
      <c r="DJ36" s="575"/>
      <c r="DK36" s="5"/>
      <c r="DL36" s="1180"/>
      <c r="DM36" s="575"/>
      <c r="DN36" s="5"/>
      <c r="DO36" s="1180"/>
      <c r="DP36" s="575"/>
      <c r="DQ36" s="5"/>
      <c r="DR36" s="1180"/>
      <c r="DS36" s="1181">
        <f t="shared" si="24"/>
        <v>0</v>
      </c>
      <c r="DU36" s="575"/>
      <c r="DV36" s="5"/>
      <c r="DW36" s="1180"/>
      <c r="DX36" s="575"/>
      <c r="DY36" s="5"/>
      <c r="DZ36" s="1180"/>
      <c r="EA36" s="575"/>
      <c r="EB36" s="5"/>
      <c r="EC36" s="1180"/>
      <c r="ED36" s="575"/>
      <c r="EE36" s="5"/>
      <c r="EF36" s="1180"/>
      <c r="EG36" s="1181">
        <f t="shared" si="25"/>
        <v>0</v>
      </c>
      <c r="EI36" s="404"/>
      <c r="EJ36" s="3217"/>
      <c r="EK36" s="92">
        <f t="shared" ca="1" si="26"/>
        <v>0</v>
      </c>
      <c r="EL36" s="21">
        <f t="shared" ca="1" si="27"/>
        <v>0</v>
      </c>
      <c r="EM36" s="21">
        <f t="shared" ca="1" si="28"/>
        <v>0</v>
      </c>
      <c r="EN36" s="21">
        <f t="shared" ca="1" si="29"/>
        <v>0</v>
      </c>
      <c r="EO36" s="21">
        <f t="shared" ca="1" si="30"/>
        <v>0</v>
      </c>
      <c r="EP36" s="21">
        <f t="shared" ca="1" si="31"/>
        <v>0</v>
      </c>
      <c r="EQ36" s="21">
        <f t="shared" ca="1" si="32"/>
        <v>0</v>
      </c>
      <c r="ER36" s="88">
        <f t="shared" ca="1" si="33"/>
        <v>0</v>
      </c>
      <c r="ES36" s="9"/>
      <c r="ET36" s="4"/>
      <c r="EU36" s="4"/>
      <c r="EV36" s="133">
        <f t="shared" si="34"/>
        <v>0</v>
      </c>
      <c r="EW36" s="5">
        <f t="shared" si="35"/>
        <v>0</v>
      </c>
      <c r="EX36" s="5">
        <f t="shared" si="36"/>
        <v>0</v>
      </c>
      <c r="EY36" s="5">
        <f t="shared" si="37"/>
        <v>0</v>
      </c>
      <c r="EZ36" s="5">
        <f t="shared" si="38"/>
        <v>0</v>
      </c>
      <c r="FA36" s="5">
        <f t="shared" si="39"/>
        <v>0</v>
      </c>
      <c r="FB36" s="164">
        <f t="shared" si="40"/>
        <v>0</v>
      </c>
      <c r="FD36" s="133">
        <f t="shared" si="41"/>
        <v>0</v>
      </c>
      <c r="FE36" s="5">
        <f t="shared" si="42"/>
        <v>0</v>
      </c>
      <c r="FF36" s="5">
        <f t="shared" si="43"/>
        <v>0</v>
      </c>
      <c r="FG36" s="5">
        <f t="shared" si="44"/>
        <v>0</v>
      </c>
      <c r="FH36" s="5">
        <f t="shared" si="45"/>
        <v>0</v>
      </c>
      <c r="FI36" s="5">
        <f t="shared" si="46"/>
        <v>0</v>
      </c>
      <c r="FJ36" s="138">
        <f t="shared" si="47"/>
        <v>0</v>
      </c>
      <c r="FL36" s="133">
        <f t="shared" si="48"/>
        <v>0</v>
      </c>
      <c r="FM36" s="5">
        <f t="shared" si="49"/>
        <v>0</v>
      </c>
      <c r="FN36" s="5">
        <f t="shared" si="50"/>
        <v>0</v>
      </c>
      <c r="FO36" s="5">
        <f t="shared" si="51"/>
        <v>0</v>
      </c>
      <c r="FP36" s="5">
        <f t="shared" si="52"/>
        <v>0</v>
      </c>
      <c r="FQ36" s="5">
        <f t="shared" si="53"/>
        <v>0</v>
      </c>
      <c r="FR36" s="206">
        <f t="shared" si="54"/>
        <v>0</v>
      </c>
      <c r="FT36" s="133">
        <f t="shared" si="55"/>
        <v>0</v>
      </c>
      <c r="FU36" s="5">
        <f t="shared" si="56"/>
        <v>0</v>
      </c>
      <c r="FV36" s="5">
        <f t="shared" si="57"/>
        <v>0</v>
      </c>
      <c r="FW36" s="5">
        <f t="shared" si="58"/>
        <v>0</v>
      </c>
      <c r="FX36" s="5">
        <f t="shared" si="59"/>
        <v>0</v>
      </c>
      <c r="FY36" s="5">
        <f t="shared" si="60"/>
        <v>0</v>
      </c>
      <c r="FZ36" s="178">
        <f t="shared" si="61"/>
        <v>0</v>
      </c>
      <c r="GB36" s="133">
        <f t="shared" si="62"/>
        <v>0</v>
      </c>
      <c r="GC36" s="5">
        <f t="shared" si="63"/>
        <v>0</v>
      </c>
      <c r="GD36" s="5">
        <f t="shared" si="64"/>
        <v>0</v>
      </c>
      <c r="GE36" s="5">
        <f t="shared" si="65"/>
        <v>0</v>
      </c>
      <c r="GF36" s="5">
        <f t="shared" si="66"/>
        <v>0</v>
      </c>
      <c r="GG36" s="5">
        <f t="shared" si="67"/>
        <v>0</v>
      </c>
      <c r="GH36" s="150">
        <f t="shared" si="68"/>
        <v>0</v>
      </c>
      <c r="GJ36" s="133">
        <f t="shared" si="69"/>
        <v>0</v>
      </c>
      <c r="GK36" s="5">
        <f t="shared" si="70"/>
        <v>0</v>
      </c>
      <c r="GL36" s="5">
        <f t="shared" si="71"/>
        <v>0</v>
      </c>
      <c r="GM36" s="5">
        <f t="shared" si="72"/>
        <v>0</v>
      </c>
      <c r="GN36" s="5">
        <f t="shared" si="73"/>
        <v>0</v>
      </c>
      <c r="GO36" s="5">
        <f t="shared" si="74"/>
        <v>0</v>
      </c>
      <c r="GP36" s="192">
        <f t="shared" si="75"/>
        <v>0</v>
      </c>
      <c r="GR36" s="133"/>
      <c r="GS36" s="5"/>
      <c r="GT36" s="5"/>
      <c r="GU36" s="5"/>
      <c r="GV36" s="5"/>
      <c r="GW36" s="5"/>
      <c r="GX36" s="1102">
        <f t="shared" si="76"/>
        <v>0</v>
      </c>
      <c r="GZ36" s="575">
        <f t="shared" si="77"/>
        <v>0</v>
      </c>
      <c r="HA36" s="5">
        <f t="shared" si="78"/>
        <v>0</v>
      </c>
      <c r="HB36" s="5">
        <f t="shared" si="79"/>
        <v>0</v>
      </c>
      <c r="HC36" s="5">
        <f t="shared" si="80"/>
        <v>0</v>
      </c>
      <c r="HD36" s="5">
        <f t="shared" si="81"/>
        <v>0</v>
      </c>
      <c r="HE36" s="5">
        <f t="shared" si="82"/>
        <v>0</v>
      </c>
      <c r="HF36" s="2175">
        <f t="shared" si="83"/>
        <v>0</v>
      </c>
      <c r="HG36" s="573">
        <f t="shared" ca="1" si="84"/>
        <v>0</v>
      </c>
      <c r="HH36" s="257"/>
    </row>
    <row r="37" spans="1:216" ht="15" hidden="1" customHeight="1" x14ac:dyDescent="0.25">
      <c r="A37" s="404"/>
      <c r="B37" s="3217"/>
      <c r="C37" s="422">
        <f ca="1">'Calc - SENIOR PERS'!$B$118</f>
        <v>0</v>
      </c>
      <c r="D37" s="21">
        <f ca="1">'Calc - SENIOR PERS'!$N$123</f>
        <v>0</v>
      </c>
      <c r="E37" s="5">
        <f ca="1">'Calc - SENIOR PERS'!$N$124</f>
        <v>0</v>
      </c>
      <c r="F37" s="5">
        <f ca="1">'Calc - SENIOR PERS'!$N$125</f>
        <v>0</v>
      </c>
      <c r="G37" s="5">
        <f ca="1">'Calc - SENIOR PERS'!$N$126</f>
        <v>0</v>
      </c>
      <c r="H37" s="5">
        <f ca="1">'Calc - SENIOR PERS'!$N$127</f>
        <v>0</v>
      </c>
      <c r="I37" s="5">
        <f ca="1">'Calc - SENIOR PERS'!$N$128</f>
        <v>0</v>
      </c>
      <c r="J37" s="88">
        <f t="shared" ca="1" si="6"/>
        <v>0</v>
      </c>
      <c r="K37" s="9" t="str">
        <f ca="1">IF(J37&lt;&gt;'Calc - SENIOR PERS'!$N$129,"ERROR","")</f>
        <v/>
      </c>
      <c r="L37" s="4"/>
      <c r="M37" s="4"/>
      <c r="N37" s="133"/>
      <c r="O37" s="5"/>
      <c r="P37" s="5"/>
      <c r="Q37" s="5"/>
      <c r="R37" s="5"/>
      <c r="S37" s="5"/>
      <c r="T37" s="164">
        <f t="shared" si="7"/>
        <v>0</v>
      </c>
      <c r="V37" s="133"/>
      <c r="W37" s="5"/>
      <c r="X37" s="5"/>
      <c r="Y37" s="5"/>
      <c r="Z37" s="5"/>
      <c r="AA37" s="5"/>
      <c r="AB37" s="138">
        <f t="shared" si="8"/>
        <v>0</v>
      </c>
      <c r="AD37" s="133"/>
      <c r="AE37" s="5"/>
      <c r="AF37" s="5"/>
      <c r="AG37" s="5"/>
      <c r="AH37" s="5"/>
      <c r="AI37" s="5"/>
      <c r="AJ37" s="206">
        <f t="shared" si="9"/>
        <v>0</v>
      </c>
      <c r="AL37" s="133"/>
      <c r="AM37" s="5"/>
      <c r="AN37" s="5"/>
      <c r="AO37" s="5"/>
      <c r="AP37" s="5"/>
      <c r="AQ37" s="5"/>
      <c r="AR37" s="178">
        <f t="shared" si="10"/>
        <v>0</v>
      </c>
      <c r="AT37" s="133"/>
      <c r="AU37" s="5"/>
      <c r="AV37" s="5"/>
      <c r="AW37" s="5"/>
      <c r="AX37" s="5"/>
      <c r="AY37" s="5"/>
      <c r="AZ37" s="150">
        <f t="shared" si="11"/>
        <v>0</v>
      </c>
      <c r="BB37" s="133"/>
      <c r="BC37" s="5"/>
      <c r="BD37" s="5"/>
      <c r="BE37" s="5"/>
      <c r="BF37" s="5"/>
      <c r="BG37" s="5"/>
      <c r="BH37" s="192">
        <f t="shared" si="12"/>
        <v>0</v>
      </c>
      <c r="BJ37" s="133"/>
      <c r="BK37" s="5"/>
      <c r="BL37" s="5"/>
      <c r="BM37" s="5"/>
      <c r="BN37" s="5"/>
      <c r="BO37" s="5"/>
      <c r="BP37" s="1102">
        <f t="shared" si="13"/>
        <v>0</v>
      </c>
      <c r="BR37" s="575">
        <f t="shared" si="14"/>
        <v>0</v>
      </c>
      <c r="BS37" s="5">
        <f t="shared" si="15"/>
        <v>0</v>
      </c>
      <c r="BT37" s="5">
        <f t="shared" si="16"/>
        <v>0</v>
      </c>
      <c r="BU37" s="5">
        <f t="shared" si="17"/>
        <v>0</v>
      </c>
      <c r="BV37" s="5">
        <f t="shared" si="18"/>
        <v>0</v>
      </c>
      <c r="BW37" s="5">
        <f t="shared" si="19"/>
        <v>0</v>
      </c>
      <c r="BX37" s="2175">
        <f t="shared" si="20"/>
        <v>0</v>
      </c>
      <c r="BY37" s="573">
        <f t="shared" ca="1" si="21"/>
        <v>0</v>
      </c>
      <c r="BZ37" s="257"/>
      <c r="CB37" s="1182">
        <f t="shared" ca="1" si="85"/>
        <v>0</v>
      </c>
      <c r="CC37" s="387"/>
      <c r="CD37" s="56"/>
      <c r="CE37" s="56"/>
      <c r="CF37" s="56">
        <f ca="1">'Calc - SENIOR PERS'!$N$124/3*0.5</f>
        <v>0</v>
      </c>
      <c r="CG37" s="1183">
        <f ca="1">'Calc - SENIOR PERS'!$N$124/3*2.5</f>
        <v>0</v>
      </c>
      <c r="CH37" s="1184"/>
      <c r="CI37" s="1185"/>
      <c r="CJ37" s="1185"/>
      <c r="CK37" s="1185">
        <f ca="1">'Calc - SENIOR PERS'!$N$125/3*0.5</f>
        <v>0</v>
      </c>
      <c r="CL37" s="1186">
        <f ca="1">'Calc - SENIOR PERS'!$N$125/3*2.5</f>
        <v>0</v>
      </c>
      <c r="CM37" s="1187"/>
      <c r="CN37" s="1188"/>
      <c r="CO37" s="1189"/>
      <c r="CP37" s="1179">
        <f t="shared" ca="1" si="22"/>
        <v>0</v>
      </c>
      <c r="CR37" s="310"/>
      <c r="CS37" s="575"/>
      <c r="CT37" s="5"/>
      <c r="CU37" s="1180"/>
      <c r="CV37" s="575"/>
      <c r="CW37" s="5"/>
      <c r="CX37" s="1180"/>
      <c r="CY37" s="575"/>
      <c r="CZ37" s="5"/>
      <c r="DA37" s="1180"/>
      <c r="DB37" s="575"/>
      <c r="DC37" s="5"/>
      <c r="DD37" s="1180"/>
      <c r="DE37" s="1181">
        <f t="shared" si="23"/>
        <v>0</v>
      </c>
      <c r="DG37" s="575"/>
      <c r="DH37" s="5"/>
      <c r="DI37" s="1180"/>
      <c r="DJ37" s="575"/>
      <c r="DK37" s="5"/>
      <c r="DL37" s="1180"/>
      <c r="DM37" s="575"/>
      <c r="DN37" s="5"/>
      <c r="DO37" s="1180"/>
      <c r="DP37" s="575"/>
      <c r="DQ37" s="5"/>
      <c r="DR37" s="1180"/>
      <c r="DS37" s="1181">
        <f t="shared" si="24"/>
        <v>0</v>
      </c>
      <c r="DU37" s="575"/>
      <c r="DV37" s="5"/>
      <c r="DW37" s="1180"/>
      <c r="DX37" s="575"/>
      <c r="DY37" s="5"/>
      <c r="DZ37" s="1180"/>
      <c r="EA37" s="575"/>
      <c r="EB37" s="5"/>
      <c r="EC37" s="1180"/>
      <c r="ED37" s="575"/>
      <c r="EE37" s="5"/>
      <c r="EF37" s="1180"/>
      <c r="EG37" s="1181">
        <f t="shared" si="25"/>
        <v>0</v>
      </c>
      <c r="EI37" s="404"/>
      <c r="EJ37" s="3217"/>
      <c r="EK37" s="92">
        <f t="shared" ca="1" si="26"/>
        <v>0</v>
      </c>
      <c r="EL37" s="21">
        <f t="shared" ca="1" si="27"/>
        <v>0</v>
      </c>
      <c r="EM37" s="21">
        <f t="shared" ca="1" si="28"/>
        <v>0</v>
      </c>
      <c r="EN37" s="21">
        <f t="shared" ca="1" si="29"/>
        <v>0</v>
      </c>
      <c r="EO37" s="21">
        <f t="shared" ca="1" si="30"/>
        <v>0</v>
      </c>
      <c r="EP37" s="21">
        <f t="shared" ca="1" si="31"/>
        <v>0</v>
      </c>
      <c r="EQ37" s="21">
        <f t="shared" ca="1" si="32"/>
        <v>0</v>
      </c>
      <c r="ER37" s="88">
        <f t="shared" ca="1" si="33"/>
        <v>0</v>
      </c>
      <c r="ES37" s="9"/>
      <c r="ET37" s="4"/>
      <c r="EU37" s="4"/>
      <c r="EV37" s="133">
        <f t="shared" si="34"/>
        <v>0</v>
      </c>
      <c r="EW37" s="5">
        <f t="shared" si="35"/>
        <v>0</v>
      </c>
      <c r="EX37" s="5">
        <f t="shared" si="36"/>
        <v>0</v>
      </c>
      <c r="EY37" s="5">
        <f t="shared" si="37"/>
        <v>0</v>
      </c>
      <c r="EZ37" s="5">
        <f t="shared" si="38"/>
        <v>0</v>
      </c>
      <c r="FA37" s="5">
        <f t="shared" si="39"/>
        <v>0</v>
      </c>
      <c r="FB37" s="164">
        <f t="shared" si="40"/>
        <v>0</v>
      </c>
      <c r="FD37" s="133">
        <f t="shared" si="41"/>
        <v>0</v>
      </c>
      <c r="FE37" s="5">
        <f t="shared" si="42"/>
        <v>0</v>
      </c>
      <c r="FF37" s="5">
        <f t="shared" si="43"/>
        <v>0</v>
      </c>
      <c r="FG37" s="5">
        <f t="shared" si="44"/>
        <v>0</v>
      </c>
      <c r="FH37" s="5">
        <f t="shared" si="45"/>
        <v>0</v>
      </c>
      <c r="FI37" s="5">
        <f t="shared" si="46"/>
        <v>0</v>
      </c>
      <c r="FJ37" s="138">
        <f t="shared" si="47"/>
        <v>0</v>
      </c>
      <c r="FL37" s="133">
        <f t="shared" si="48"/>
        <v>0</v>
      </c>
      <c r="FM37" s="5">
        <f t="shared" si="49"/>
        <v>0</v>
      </c>
      <c r="FN37" s="5">
        <f t="shared" si="50"/>
        <v>0</v>
      </c>
      <c r="FO37" s="5">
        <f t="shared" si="51"/>
        <v>0</v>
      </c>
      <c r="FP37" s="5">
        <f t="shared" si="52"/>
        <v>0</v>
      </c>
      <c r="FQ37" s="5">
        <f t="shared" si="53"/>
        <v>0</v>
      </c>
      <c r="FR37" s="206">
        <f t="shared" si="54"/>
        <v>0</v>
      </c>
      <c r="FT37" s="133">
        <f t="shared" si="55"/>
        <v>0</v>
      </c>
      <c r="FU37" s="5">
        <f t="shared" si="56"/>
        <v>0</v>
      </c>
      <c r="FV37" s="5">
        <f t="shared" si="57"/>
        <v>0</v>
      </c>
      <c r="FW37" s="5">
        <f t="shared" si="58"/>
        <v>0</v>
      </c>
      <c r="FX37" s="5">
        <f t="shared" si="59"/>
        <v>0</v>
      </c>
      <c r="FY37" s="5">
        <f t="shared" si="60"/>
        <v>0</v>
      </c>
      <c r="FZ37" s="178">
        <f t="shared" si="61"/>
        <v>0</v>
      </c>
      <c r="GB37" s="133">
        <f t="shared" si="62"/>
        <v>0</v>
      </c>
      <c r="GC37" s="5">
        <f t="shared" si="63"/>
        <v>0</v>
      </c>
      <c r="GD37" s="5">
        <f t="shared" si="64"/>
        <v>0</v>
      </c>
      <c r="GE37" s="5">
        <f t="shared" si="65"/>
        <v>0</v>
      </c>
      <c r="GF37" s="5">
        <f t="shared" si="66"/>
        <v>0</v>
      </c>
      <c r="GG37" s="5">
        <f t="shared" si="67"/>
        <v>0</v>
      </c>
      <c r="GH37" s="150">
        <f t="shared" si="68"/>
        <v>0</v>
      </c>
      <c r="GJ37" s="133">
        <f t="shared" si="69"/>
        <v>0</v>
      </c>
      <c r="GK37" s="5">
        <f t="shared" si="70"/>
        <v>0</v>
      </c>
      <c r="GL37" s="5">
        <f t="shared" si="71"/>
        <v>0</v>
      </c>
      <c r="GM37" s="5">
        <f t="shared" si="72"/>
        <v>0</v>
      </c>
      <c r="GN37" s="5">
        <f t="shared" si="73"/>
        <v>0</v>
      </c>
      <c r="GO37" s="5">
        <f t="shared" si="74"/>
        <v>0</v>
      </c>
      <c r="GP37" s="192">
        <f t="shared" si="75"/>
        <v>0</v>
      </c>
      <c r="GR37" s="133"/>
      <c r="GS37" s="5"/>
      <c r="GT37" s="5"/>
      <c r="GU37" s="5"/>
      <c r="GV37" s="5"/>
      <c r="GW37" s="5"/>
      <c r="GX37" s="1102">
        <f t="shared" si="76"/>
        <v>0</v>
      </c>
      <c r="GZ37" s="575">
        <f t="shared" si="77"/>
        <v>0</v>
      </c>
      <c r="HA37" s="5">
        <f t="shared" si="78"/>
        <v>0</v>
      </c>
      <c r="HB37" s="5">
        <f t="shared" si="79"/>
        <v>0</v>
      </c>
      <c r="HC37" s="5">
        <f t="shared" si="80"/>
        <v>0</v>
      </c>
      <c r="HD37" s="5">
        <f t="shared" si="81"/>
        <v>0</v>
      </c>
      <c r="HE37" s="5">
        <f t="shared" si="82"/>
        <v>0</v>
      </c>
      <c r="HF37" s="2175">
        <f t="shared" si="83"/>
        <v>0</v>
      </c>
      <c r="HG37" s="573">
        <f t="shared" ca="1" si="84"/>
        <v>0</v>
      </c>
      <c r="HH37" s="257"/>
    </row>
    <row r="38" spans="1:216" ht="15" hidden="1" customHeight="1" x14ac:dyDescent="0.25">
      <c r="A38" s="404"/>
      <c r="B38" s="3217"/>
      <c r="C38" s="422">
        <f ca="1">'Calc - SENIOR PERS'!$B$132</f>
        <v>0</v>
      </c>
      <c r="D38" s="21">
        <f ca="1">'Calc - SENIOR PERS'!$N$137</f>
        <v>0</v>
      </c>
      <c r="E38" s="5">
        <f ca="1">'Calc - SENIOR PERS'!$N$138</f>
        <v>0</v>
      </c>
      <c r="F38" s="5">
        <f ca="1">'Calc - SENIOR PERS'!$N$139</f>
        <v>0</v>
      </c>
      <c r="G38" s="5">
        <f ca="1">'Calc - SENIOR PERS'!$N$140</f>
        <v>0</v>
      </c>
      <c r="H38" s="5">
        <f ca="1">'Calc - SENIOR PERS'!$N$141</f>
        <v>0</v>
      </c>
      <c r="I38" s="5">
        <f ca="1">'Calc - SENIOR PERS'!$N$142</f>
        <v>0</v>
      </c>
      <c r="J38" s="88">
        <f t="shared" ca="1" si="6"/>
        <v>0</v>
      </c>
      <c r="K38" s="2071" t="str">
        <f ca="1">IF(J38&lt;&gt;'Calc - SENIOR PERS'!$N$143,"ERROR","")</f>
        <v/>
      </c>
      <c r="L38" s="13"/>
      <c r="M38" s="4"/>
      <c r="N38" s="133"/>
      <c r="O38" s="5"/>
      <c r="P38" s="5"/>
      <c r="Q38" s="5"/>
      <c r="R38" s="5"/>
      <c r="S38" s="5"/>
      <c r="T38" s="164">
        <f t="shared" si="7"/>
        <v>0</v>
      </c>
      <c r="V38" s="133"/>
      <c r="W38" s="5"/>
      <c r="X38" s="5"/>
      <c r="Y38" s="5"/>
      <c r="Z38" s="5"/>
      <c r="AA38" s="5"/>
      <c r="AB38" s="138">
        <f t="shared" si="8"/>
        <v>0</v>
      </c>
      <c r="AD38" s="133"/>
      <c r="AE38" s="5"/>
      <c r="AF38" s="5"/>
      <c r="AG38" s="5"/>
      <c r="AH38" s="5"/>
      <c r="AI38" s="5"/>
      <c r="AJ38" s="206">
        <f t="shared" si="9"/>
        <v>0</v>
      </c>
      <c r="AL38" s="133"/>
      <c r="AM38" s="5"/>
      <c r="AN38" s="5"/>
      <c r="AO38" s="5"/>
      <c r="AP38" s="5"/>
      <c r="AQ38" s="5"/>
      <c r="AR38" s="178">
        <f t="shared" si="10"/>
        <v>0</v>
      </c>
      <c r="AT38" s="133"/>
      <c r="AU38" s="5"/>
      <c r="AV38" s="5"/>
      <c r="AW38" s="5"/>
      <c r="AX38" s="5"/>
      <c r="AY38" s="5"/>
      <c r="AZ38" s="150">
        <f t="shared" si="11"/>
        <v>0</v>
      </c>
      <c r="BB38" s="133"/>
      <c r="BC38" s="5"/>
      <c r="BD38" s="5"/>
      <c r="BE38" s="5"/>
      <c r="BF38" s="5"/>
      <c r="BG38" s="5"/>
      <c r="BH38" s="192">
        <f t="shared" si="12"/>
        <v>0</v>
      </c>
      <c r="BJ38" s="133"/>
      <c r="BK38" s="5"/>
      <c r="BL38" s="5"/>
      <c r="BM38" s="5"/>
      <c r="BN38" s="5"/>
      <c r="BO38" s="5"/>
      <c r="BP38" s="1102">
        <f t="shared" si="13"/>
        <v>0</v>
      </c>
      <c r="BR38" s="575">
        <f t="shared" si="14"/>
        <v>0</v>
      </c>
      <c r="BS38" s="5">
        <f t="shared" si="15"/>
        <v>0</v>
      </c>
      <c r="BT38" s="5">
        <f t="shared" si="16"/>
        <v>0</v>
      </c>
      <c r="BU38" s="5">
        <f t="shared" si="17"/>
        <v>0</v>
      </c>
      <c r="BV38" s="5">
        <f t="shared" si="18"/>
        <v>0</v>
      </c>
      <c r="BW38" s="5">
        <f t="shared" si="19"/>
        <v>0</v>
      </c>
      <c r="BX38" s="2175">
        <f t="shared" si="20"/>
        <v>0</v>
      </c>
      <c r="BY38" s="573">
        <f t="shared" ca="1" si="21"/>
        <v>0</v>
      </c>
      <c r="BZ38" s="257"/>
      <c r="CB38" s="1182">
        <f t="shared" ca="1" si="85"/>
        <v>0</v>
      </c>
      <c r="CC38" s="387"/>
      <c r="CD38" s="56"/>
      <c r="CE38" s="56"/>
      <c r="CF38" s="56">
        <f ca="1">'Calc - SENIOR PERS'!$N$138/3*0.5</f>
        <v>0</v>
      </c>
      <c r="CG38" s="1183">
        <f ca="1">'Calc - SENIOR PERS'!$N$138/3*2.5</f>
        <v>0</v>
      </c>
      <c r="CH38" s="1184"/>
      <c r="CI38" s="1185"/>
      <c r="CJ38" s="1185"/>
      <c r="CK38" s="1185">
        <f ca="1">'Calc - SENIOR PERS'!$N$139/3*0.5</f>
        <v>0</v>
      </c>
      <c r="CL38" s="1186">
        <f ca="1">'Calc - SENIOR PERS'!$N$139/3*2.5</f>
        <v>0</v>
      </c>
      <c r="CM38" s="1187"/>
      <c r="CN38" s="1188"/>
      <c r="CO38" s="1189"/>
      <c r="CP38" s="1179">
        <f t="shared" ca="1" si="22"/>
        <v>0</v>
      </c>
      <c r="CR38" s="310"/>
      <c r="CS38" s="575"/>
      <c r="CT38" s="5"/>
      <c r="CU38" s="1180"/>
      <c r="CV38" s="575"/>
      <c r="CW38" s="5"/>
      <c r="CX38" s="1180"/>
      <c r="CY38" s="575"/>
      <c r="CZ38" s="5"/>
      <c r="DA38" s="1180"/>
      <c r="DB38" s="575"/>
      <c r="DC38" s="5"/>
      <c r="DD38" s="1180"/>
      <c r="DE38" s="1181">
        <f t="shared" si="23"/>
        <v>0</v>
      </c>
      <c r="DG38" s="575"/>
      <c r="DH38" s="5"/>
      <c r="DI38" s="1180"/>
      <c r="DJ38" s="575"/>
      <c r="DK38" s="5"/>
      <c r="DL38" s="1180"/>
      <c r="DM38" s="575"/>
      <c r="DN38" s="5"/>
      <c r="DO38" s="1180"/>
      <c r="DP38" s="575"/>
      <c r="DQ38" s="5"/>
      <c r="DR38" s="1180"/>
      <c r="DS38" s="1181">
        <f t="shared" si="24"/>
        <v>0</v>
      </c>
      <c r="DU38" s="575"/>
      <c r="DV38" s="5"/>
      <c r="DW38" s="1180"/>
      <c r="DX38" s="575"/>
      <c r="DY38" s="5"/>
      <c r="DZ38" s="1180"/>
      <c r="EA38" s="575"/>
      <c r="EB38" s="5"/>
      <c r="EC38" s="1180"/>
      <c r="ED38" s="575"/>
      <c r="EE38" s="5"/>
      <c r="EF38" s="1180"/>
      <c r="EG38" s="1181">
        <f t="shared" si="25"/>
        <v>0</v>
      </c>
      <c r="EI38" s="404"/>
      <c r="EJ38" s="3217"/>
      <c r="EK38" s="92">
        <f t="shared" ca="1" si="26"/>
        <v>0</v>
      </c>
      <c r="EL38" s="21">
        <f t="shared" ca="1" si="27"/>
        <v>0</v>
      </c>
      <c r="EM38" s="21">
        <f t="shared" ca="1" si="28"/>
        <v>0</v>
      </c>
      <c r="EN38" s="21">
        <f t="shared" ca="1" si="29"/>
        <v>0</v>
      </c>
      <c r="EO38" s="21">
        <f t="shared" ca="1" si="30"/>
        <v>0</v>
      </c>
      <c r="EP38" s="21">
        <f t="shared" ca="1" si="31"/>
        <v>0</v>
      </c>
      <c r="EQ38" s="21">
        <f t="shared" ca="1" si="32"/>
        <v>0</v>
      </c>
      <c r="ER38" s="88">
        <f t="shared" ca="1" si="33"/>
        <v>0</v>
      </c>
      <c r="ES38" s="2071"/>
      <c r="ET38" s="13"/>
      <c r="EU38" s="4"/>
      <c r="EV38" s="133">
        <f t="shared" si="34"/>
        <v>0</v>
      </c>
      <c r="EW38" s="5">
        <f t="shared" si="35"/>
        <v>0</v>
      </c>
      <c r="EX38" s="5">
        <f t="shared" si="36"/>
        <v>0</v>
      </c>
      <c r="EY38" s="5">
        <f t="shared" si="37"/>
        <v>0</v>
      </c>
      <c r="EZ38" s="5">
        <f t="shared" si="38"/>
        <v>0</v>
      </c>
      <c r="FA38" s="5">
        <f t="shared" si="39"/>
        <v>0</v>
      </c>
      <c r="FB38" s="164">
        <f t="shared" si="40"/>
        <v>0</v>
      </c>
      <c r="FD38" s="133">
        <f t="shared" si="41"/>
        <v>0</v>
      </c>
      <c r="FE38" s="5">
        <f t="shared" si="42"/>
        <v>0</v>
      </c>
      <c r="FF38" s="5">
        <f t="shared" si="43"/>
        <v>0</v>
      </c>
      <c r="FG38" s="5">
        <f t="shared" si="44"/>
        <v>0</v>
      </c>
      <c r="FH38" s="5">
        <f t="shared" si="45"/>
        <v>0</v>
      </c>
      <c r="FI38" s="5">
        <f t="shared" si="46"/>
        <v>0</v>
      </c>
      <c r="FJ38" s="138">
        <f t="shared" si="47"/>
        <v>0</v>
      </c>
      <c r="FL38" s="133">
        <f t="shared" si="48"/>
        <v>0</v>
      </c>
      <c r="FM38" s="5">
        <f t="shared" si="49"/>
        <v>0</v>
      </c>
      <c r="FN38" s="5">
        <f t="shared" si="50"/>
        <v>0</v>
      </c>
      <c r="FO38" s="5">
        <f t="shared" si="51"/>
        <v>0</v>
      </c>
      <c r="FP38" s="5">
        <f t="shared" si="52"/>
        <v>0</v>
      </c>
      <c r="FQ38" s="5">
        <f t="shared" si="53"/>
        <v>0</v>
      </c>
      <c r="FR38" s="206">
        <f t="shared" si="54"/>
        <v>0</v>
      </c>
      <c r="FT38" s="133">
        <f t="shared" si="55"/>
        <v>0</v>
      </c>
      <c r="FU38" s="5">
        <f t="shared" si="56"/>
        <v>0</v>
      </c>
      <c r="FV38" s="5">
        <f t="shared" si="57"/>
        <v>0</v>
      </c>
      <c r="FW38" s="5">
        <f t="shared" si="58"/>
        <v>0</v>
      </c>
      <c r="FX38" s="5">
        <f t="shared" si="59"/>
        <v>0</v>
      </c>
      <c r="FY38" s="5">
        <f t="shared" si="60"/>
        <v>0</v>
      </c>
      <c r="FZ38" s="178">
        <f t="shared" si="61"/>
        <v>0</v>
      </c>
      <c r="GB38" s="133">
        <f t="shared" si="62"/>
        <v>0</v>
      </c>
      <c r="GC38" s="5">
        <f t="shared" si="63"/>
        <v>0</v>
      </c>
      <c r="GD38" s="5">
        <f t="shared" si="64"/>
        <v>0</v>
      </c>
      <c r="GE38" s="5">
        <f t="shared" si="65"/>
        <v>0</v>
      </c>
      <c r="GF38" s="5">
        <f t="shared" si="66"/>
        <v>0</v>
      </c>
      <c r="GG38" s="5">
        <f t="shared" si="67"/>
        <v>0</v>
      </c>
      <c r="GH38" s="150">
        <f t="shared" si="68"/>
        <v>0</v>
      </c>
      <c r="GJ38" s="133">
        <f t="shared" si="69"/>
        <v>0</v>
      </c>
      <c r="GK38" s="5">
        <f t="shared" si="70"/>
        <v>0</v>
      </c>
      <c r="GL38" s="5">
        <f t="shared" si="71"/>
        <v>0</v>
      </c>
      <c r="GM38" s="5">
        <f t="shared" si="72"/>
        <v>0</v>
      </c>
      <c r="GN38" s="5">
        <f t="shared" si="73"/>
        <v>0</v>
      </c>
      <c r="GO38" s="5">
        <f t="shared" si="74"/>
        <v>0</v>
      </c>
      <c r="GP38" s="192">
        <f t="shared" si="75"/>
        <v>0</v>
      </c>
      <c r="GR38" s="133"/>
      <c r="GS38" s="5"/>
      <c r="GT38" s="5"/>
      <c r="GU38" s="5"/>
      <c r="GV38" s="5"/>
      <c r="GW38" s="5"/>
      <c r="GX38" s="1102">
        <f t="shared" si="76"/>
        <v>0</v>
      </c>
      <c r="GZ38" s="575">
        <f t="shared" si="77"/>
        <v>0</v>
      </c>
      <c r="HA38" s="5">
        <f t="shared" si="78"/>
        <v>0</v>
      </c>
      <c r="HB38" s="5">
        <f t="shared" si="79"/>
        <v>0</v>
      </c>
      <c r="HC38" s="5">
        <f t="shared" si="80"/>
        <v>0</v>
      </c>
      <c r="HD38" s="5">
        <f t="shared" si="81"/>
        <v>0</v>
      </c>
      <c r="HE38" s="5">
        <f t="shared" si="82"/>
        <v>0</v>
      </c>
      <c r="HF38" s="2175">
        <f t="shared" si="83"/>
        <v>0</v>
      </c>
      <c r="HG38" s="573">
        <f t="shared" ca="1" si="84"/>
        <v>0</v>
      </c>
      <c r="HH38" s="257"/>
    </row>
    <row r="39" spans="1:216" ht="15" hidden="1" customHeight="1" x14ac:dyDescent="0.25">
      <c r="A39" s="404"/>
      <c r="B39" s="3217"/>
      <c r="C39" s="422">
        <f ca="1">'Calc - SENIOR PERS'!$B$146</f>
        <v>0</v>
      </c>
      <c r="D39" s="21">
        <f ca="1">'Calc - SENIOR PERS'!$N$151</f>
        <v>0</v>
      </c>
      <c r="E39" s="5">
        <f ca="1">'Calc - SENIOR PERS'!$N$152</f>
        <v>0</v>
      </c>
      <c r="F39" s="5">
        <f ca="1">'Calc - SENIOR PERS'!$N$153</f>
        <v>0</v>
      </c>
      <c r="G39" s="5">
        <f ca="1">'Calc - SENIOR PERS'!$N$154</f>
        <v>0</v>
      </c>
      <c r="H39" s="5">
        <f ca="1">'Calc - SENIOR PERS'!$N$155</f>
        <v>0</v>
      </c>
      <c r="I39" s="5">
        <f ca="1">'Calc - SENIOR PERS'!$N$156</f>
        <v>0</v>
      </c>
      <c r="J39" s="88">
        <f t="shared" ca="1" si="6"/>
        <v>0</v>
      </c>
      <c r="K39" s="9" t="str">
        <f ca="1">IF(J39&lt;&gt;'Calc - SENIOR PERS'!$N$157,"ERROR","")</f>
        <v/>
      </c>
      <c r="L39" s="4"/>
      <c r="M39" s="4"/>
      <c r="N39" s="133"/>
      <c r="O39" s="5"/>
      <c r="P39" s="5"/>
      <c r="Q39" s="5"/>
      <c r="R39" s="5"/>
      <c r="S39" s="5"/>
      <c r="T39" s="164">
        <f t="shared" si="7"/>
        <v>0</v>
      </c>
      <c r="V39" s="133"/>
      <c r="W39" s="5"/>
      <c r="X39" s="5"/>
      <c r="Y39" s="5"/>
      <c r="Z39" s="5"/>
      <c r="AA39" s="5"/>
      <c r="AB39" s="138">
        <f t="shared" si="8"/>
        <v>0</v>
      </c>
      <c r="AD39" s="133"/>
      <c r="AE39" s="5"/>
      <c r="AF39" s="5"/>
      <c r="AG39" s="5"/>
      <c r="AH39" s="5"/>
      <c r="AI39" s="5"/>
      <c r="AJ39" s="206">
        <f t="shared" si="9"/>
        <v>0</v>
      </c>
      <c r="AL39" s="133"/>
      <c r="AM39" s="5"/>
      <c r="AN39" s="5"/>
      <c r="AO39" s="5"/>
      <c r="AP39" s="5"/>
      <c r="AQ39" s="5"/>
      <c r="AR39" s="178">
        <f t="shared" si="10"/>
        <v>0</v>
      </c>
      <c r="AT39" s="133"/>
      <c r="AU39" s="5"/>
      <c r="AV39" s="5"/>
      <c r="AW39" s="5"/>
      <c r="AX39" s="5"/>
      <c r="AY39" s="5"/>
      <c r="AZ39" s="150">
        <f t="shared" si="11"/>
        <v>0</v>
      </c>
      <c r="BB39" s="133"/>
      <c r="BC39" s="5"/>
      <c r="BD39" s="5"/>
      <c r="BE39" s="5"/>
      <c r="BF39" s="5"/>
      <c r="BG39" s="5"/>
      <c r="BH39" s="192">
        <f t="shared" si="12"/>
        <v>0</v>
      </c>
      <c r="BJ39" s="133"/>
      <c r="BK39" s="5"/>
      <c r="BL39" s="5"/>
      <c r="BM39" s="5"/>
      <c r="BN39" s="5"/>
      <c r="BO39" s="5"/>
      <c r="BP39" s="1102">
        <f t="shared" si="13"/>
        <v>0</v>
      </c>
      <c r="BR39" s="575">
        <f t="shared" si="14"/>
        <v>0</v>
      </c>
      <c r="BS39" s="5">
        <f t="shared" si="15"/>
        <v>0</v>
      </c>
      <c r="BT39" s="5">
        <f t="shared" si="16"/>
        <v>0</v>
      </c>
      <c r="BU39" s="5">
        <f t="shared" si="17"/>
        <v>0</v>
      </c>
      <c r="BV39" s="5">
        <f t="shared" si="18"/>
        <v>0</v>
      </c>
      <c r="BW39" s="5">
        <f t="shared" si="19"/>
        <v>0</v>
      </c>
      <c r="BX39" s="2175">
        <f t="shared" si="20"/>
        <v>0</v>
      </c>
      <c r="BY39" s="573">
        <f t="shared" ca="1" si="21"/>
        <v>0</v>
      </c>
      <c r="BZ39" s="257"/>
      <c r="CB39" s="1182">
        <f t="shared" ca="1" si="85"/>
        <v>0</v>
      </c>
      <c r="CC39" s="387"/>
      <c r="CD39" s="56"/>
      <c r="CE39" s="56"/>
      <c r="CF39" s="56">
        <f ca="1">'Calc - SENIOR PERS'!$N$152/3*0.5</f>
        <v>0</v>
      </c>
      <c r="CG39" s="1183">
        <f ca="1">'Calc - SENIOR PERS'!$N$152/3*2.5</f>
        <v>0</v>
      </c>
      <c r="CH39" s="1184"/>
      <c r="CI39" s="1185"/>
      <c r="CJ39" s="1185"/>
      <c r="CK39" s="1185">
        <f ca="1">'Calc - SENIOR PERS'!$N$153/3*0.5</f>
        <v>0</v>
      </c>
      <c r="CL39" s="1186">
        <f ca="1">'Calc - SENIOR PERS'!$N$153/3*2.5</f>
        <v>0</v>
      </c>
      <c r="CM39" s="1187"/>
      <c r="CN39" s="1188"/>
      <c r="CO39" s="1189"/>
      <c r="CP39" s="1179">
        <f t="shared" ca="1" si="22"/>
        <v>0</v>
      </c>
      <c r="CR39" s="310"/>
      <c r="CS39" s="575"/>
      <c r="CT39" s="5"/>
      <c r="CU39" s="1180"/>
      <c r="CV39" s="575"/>
      <c r="CW39" s="5"/>
      <c r="CX39" s="1180"/>
      <c r="CY39" s="575"/>
      <c r="CZ39" s="5"/>
      <c r="DA39" s="1180"/>
      <c r="DB39" s="575"/>
      <c r="DC39" s="5"/>
      <c r="DD39" s="1180"/>
      <c r="DE39" s="1181">
        <f t="shared" si="23"/>
        <v>0</v>
      </c>
      <c r="DG39" s="575"/>
      <c r="DH39" s="5"/>
      <c r="DI39" s="1180"/>
      <c r="DJ39" s="575"/>
      <c r="DK39" s="5"/>
      <c r="DL39" s="1180"/>
      <c r="DM39" s="575"/>
      <c r="DN39" s="5"/>
      <c r="DO39" s="1180"/>
      <c r="DP39" s="575"/>
      <c r="DQ39" s="5"/>
      <c r="DR39" s="1180"/>
      <c r="DS39" s="1181">
        <f t="shared" si="24"/>
        <v>0</v>
      </c>
      <c r="DU39" s="575"/>
      <c r="DV39" s="5"/>
      <c r="DW39" s="1180"/>
      <c r="DX39" s="575"/>
      <c r="DY39" s="5"/>
      <c r="DZ39" s="1180"/>
      <c r="EA39" s="575"/>
      <c r="EB39" s="5"/>
      <c r="EC39" s="1180"/>
      <c r="ED39" s="575"/>
      <c r="EE39" s="5"/>
      <c r="EF39" s="1180"/>
      <c r="EG39" s="1181">
        <f t="shared" si="25"/>
        <v>0</v>
      </c>
      <c r="EI39" s="404"/>
      <c r="EJ39" s="3217"/>
      <c r="EK39" s="92">
        <f t="shared" ca="1" si="26"/>
        <v>0</v>
      </c>
      <c r="EL39" s="21">
        <f t="shared" ca="1" si="27"/>
        <v>0</v>
      </c>
      <c r="EM39" s="21">
        <f t="shared" ca="1" si="28"/>
        <v>0</v>
      </c>
      <c r="EN39" s="21">
        <f t="shared" ca="1" si="29"/>
        <v>0</v>
      </c>
      <c r="EO39" s="21">
        <f t="shared" ca="1" si="30"/>
        <v>0</v>
      </c>
      <c r="EP39" s="21">
        <f t="shared" ca="1" si="31"/>
        <v>0</v>
      </c>
      <c r="EQ39" s="21">
        <f t="shared" ca="1" si="32"/>
        <v>0</v>
      </c>
      <c r="ER39" s="88">
        <f t="shared" ca="1" si="33"/>
        <v>0</v>
      </c>
      <c r="ES39" s="9"/>
      <c r="ET39" s="4"/>
      <c r="EU39" s="4"/>
      <c r="EV39" s="133">
        <f t="shared" si="34"/>
        <v>0</v>
      </c>
      <c r="EW39" s="5">
        <f t="shared" si="35"/>
        <v>0</v>
      </c>
      <c r="EX39" s="5">
        <f t="shared" si="36"/>
        <v>0</v>
      </c>
      <c r="EY39" s="5">
        <f t="shared" si="37"/>
        <v>0</v>
      </c>
      <c r="EZ39" s="5">
        <f t="shared" si="38"/>
        <v>0</v>
      </c>
      <c r="FA39" s="5">
        <f t="shared" si="39"/>
        <v>0</v>
      </c>
      <c r="FB39" s="164">
        <f t="shared" si="40"/>
        <v>0</v>
      </c>
      <c r="FD39" s="133">
        <f t="shared" si="41"/>
        <v>0</v>
      </c>
      <c r="FE39" s="5">
        <f t="shared" si="42"/>
        <v>0</v>
      </c>
      <c r="FF39" s="5">
        <f t="shared" si="43"/>
        <v>0</v>
      </c>
      <c r="FG39" s="5">
        <f t="shared" si="44"/>
        <v>0</v>
      </c>
      <c r="FH39" s="5">
        <f t="shared" si="45"/>
        <v>0</v>
      </c>
      <c r="FI39" s="5">
        <f t="shared" si="46"/>
        <v>0</v>
      </c>
      <c r="FJ39" s="138">
        <f t="shared" si="47"/>
        <v>0</v>
      </c>
      <c r="FL39" s="133">
        <f t="shared" si="48"/>
        <v>0</v>
      </c>
      <c r="FM39" s="5">
        <f t="shared" si="49"/>
        <v>0</v>
      </c>
      <c r="FN39" s="5">
        <f t="shared" si="50"/>
        <v>0</v>
      </c>
      <c r="FO39" s="5">
        <f t="shared" si="51"/>
        <v>0</v>
      </c>
      <c r="FP39" s="5">
        <f t="shared" si="52"/>
        <v>0</v>
      </c>
      <c r="FQ39" s="5">
        <f t="shared" si="53"/>
        <v>0</v>
      </c>
      <c r="FR39" s="206">
        <f t="shared" si="54"/>
        <v>0</v>
      </c>
      <c r="FT39" s="133">
        <f t="shared" si="55"/>
        <v>0</v>
      </c>
      <c r="FU39" s="5">
        <f t="shared" si="56"/>
        <v>0</v>
      </c>
      <c r="FV39" s="5">
        <f t="shared" si="57"/>
        <v>0</v>
      </c>
      <c r="FW39" s="5">
        <f t="shared" si="58"/>
        <v>0</v>
      </c>
      <c r="FX39" s="5">
        <f t="shared" si="59"/>
        <v>0</v>
      </c>
      <c r="FY39" s="5">
        <f t="shared" si="60"/>
        <v>0</v>
      </c>
      <c r="FZ39" s="178">
        <f t="shared" si="61"/>
        <v>0</v>
      </c>
      <c r="GB39" s="133">
        <f t="shared" si="62"/>
        <v>0</v>
      </c>
      <c r="GC39" s="5">
        <f t="shared" si="63"/>
        <v>0</v>
      </c>
      <c r="GD39" s="5">
        <f t="shared" si="64"/>
        <v>0</v>
      </c>
      <c r="GE39" s="5">
        <f t="shared" si="65"/>
        <v>0</v>
      </c>
      <c r="GF39" s="5">
        <f t="shared" si="66"/>
        <v>0</v>
      </c>
      <c r="GG39" s="5">
        <f t="shared" si="67"/>
        <v>0</v>
      </c>
      <c r="GH39" s="150">
        <f t="shared" si="68"/>
        <v>0</v>
      </c>
      <c r="GJ39" s="133">
        <f t="shared" si="69"/>
        <v>0</v>
      </c>
      <c r="GK39" s="5">
        <f t="shared" si="70"/>
        <v>0</v>
      </c>
      <c r="GL39" s="5">
        <f t="shared" si="71"/>
        <v>0</v>
      </c>
      <c r="GM39" s="5">
        <f t="shared" si="72"/>
        <v>0</v>
      </c>
      <c r="GN39" s="5">
        <f t="shared" si="73"/>
        <v>0</v>
      </c>
      <c r="GO39" s="5">
        <f t="shared" si="74"/>
        <v>0</v>
      </c>
      <c r="GP39" s="192">
        <f t="shared" si="75"/>
        <v>0</v>
      </c>
      <c r="GR39" s="133"/>
      <c r="GS39" s="5"/>
      <c r="GT39" s="5"/>
      <c r="GU39" s="5"/>
      <c r="GV39" s="5"/>
      <c r="GW39" s="5"/>
      <c r="GX39" s="1102">
        <f t="shared" si="76"/>
        <v>0</v>
      </c>
      <c r="GZ39" s="575">
        <f t="shared" si="77"/>
        <v>0</v>
      </c>
      <c r="HA39" s="5">
        <f t="shared" si="78"/>
        <v>0</v>
      </c>
      <c r="HB39" s="5">
        <f t="shared" si="79"/>
        <v>0</v>
      </c>
      <c r="HC39" s="5">
        <f t="shared" si="80"/>
        <v>0</v>
      </c>
      <c r="HD39" s="5">
        <f t="shared" si="81"/>
        <v>0</v>
      </c>
      <c r="HE39" s="5">
        <f t="shared" si="82"/>
        <v>0</v>
      </c>
      <c r="HF39" s="2175">
        <f t="shared" si="83"/>
        <v>0</v>
      </c>
      <c r="HG39" s="573">
        <f t="shared" ca="1" si="84"/>
        <v>0</v>
      </c>
      <c r="HH39" s="257"/>
    </row>
    <row r="40" spans="1:216" ht="15" hidden="1" customHeight="1" x14ac:dyDescent="0.25">
      <c r="A40" s="404"/>
      <c r="B40" s="3217"/>
      <c r="C40" s="422">
        <f ca="1">'Calc - SENIOR PERS'!$B$160</f>
        <v>0</v>
      </c>
      <c r="D40" s="21">
        <f ca="1">'Calc - SENIOR PERS'!$N$165</f>
        <v>0</v>
      </c>
      <c r="E40" s="5">
        <f ca="1">'Calc - SENIOR PERS'!$N$166</f>
        <v>0</v>
      </c>
      <c r="F40" s="5">
        <f ca="1">'Calc - SENIOR PERS'!$N$167</f>
        <v>0</v>
      </c>
      <c r="G40" s="5">
        <f ca="1">'Calc - SENIOR PERS'!$N$168</f>
        <v>0</v>
      </c>
      <c r="H40" s="5">
        <f ca="1">'Calc - SENIOR PERS'!$N$169</f>
        <v>0</v>
      </c>
      <c r="I40" s="5">
        <f ca="1">'Calc - SENIOR PERS'!$N$170</f>
        <v>0</v>
      </c>
      <c r="J40" s="88">
        <f t="shared" ca="1" si="6"/>
        <v>0</v>
      </c>
      <c r="K40" s="9" t="str">
        <f ca="1">IF(J40&lt;&gt;'Calc - SENIOR PERS'!$N$171,"ERROR","")</f>
        <v/>
      </c>
      <c r="L40" s="4"/>
      <c r="M40" s="4"/>
      <c r="N40" s="133"/>
      <c r="O40" s="5"/>
      <c r="P40" s="5"/>
      <c r="Q40" s="5"/>
      <c r="R40" s="5"/>
      <c r="S40" s="5"/>
      <c r="T40" s="164">
        <f t="shared" si="7"/>
        <v>0</v>
      </c>
      <c r="V40" s="133"/>
      <c r="W40" s="5"/>
      <c r="X40" s="5"/>
      <c r="Y40" s="5"/>
      <c r="Z40" s="5"/>
      <c r="AA40" s="5"/>
      <c r="AB40" s="138">
        <f t="shared" si="8"/>
        <v>0</v>
      </c>
      <c r="AD40" s="133"/>
      <c r="AE40" s="5"/>
      <c r="AF40" s="5"/>
      <c r="AG40" s="5"/>
      <c r="AH40" s="5"/>
      <c r="AI40" s="5"/>
      <c r="AJ40" s="206">
        <f t="shared" si="9"/>
        <v>0</v>
      </c>
      <c r="AL40" s="133"/>
      <c r="AM40" s="5"/>
      <c r="AN40" s="5"/>
      <c r="AO40" s="5"/>
      <c r="AP40" s="5"/>
      <c r="AQ40" s="5"/>
      <c r="AR40" s="178">
        <f t="shared" si="10"/>
        <v>0</v>
      </c>
      <c r="AT40" s="133"/>
      <c r="AU40" s="5"/>
      <c r="AV40" s="5"/>
      <c r="AW40" s="5"/>
      <c r="AX40" s="5"/>
      <c r="AY40" s="5"/>
      <c r="AZ40" s="150">
        <f t="shared" si="11"/>
        <v>0</v>
      </c>
      <c r="BB40" s="133"/>
      <c r="BC40" s="5"/>
      <c r="BD40" s="5"/>
      <c r="BE40" s="5"/>
      <c r="BF40" s="5"/>
      <c r="BG40" s="5"/>
      <c r="BH40" s="192">
        <f t="shared" si="12"/>
        <v>0</v>
      </c>
      <c r="BJ40" s="133"/>
      <c r="BK40" s="5"/>
      <c r="BL40" s="5"/>
      <c r="BM40" s="5"/>
      <c r="BN40" s="5"/>
      <c r="BO40" s="5"/>
      <c r="BP40" s="1102">
        <f t="shared" si="13"/>
        <v>0</v>
      </c>
      <c r="BR40" s="575">
        <f t="shared" si="14"/>
        <v>0</v>
      </c>
      <c r="BS40" s="5">
        <f t="shared" si="15"/>
        <v>0</v>
      </c>
      <c r="BT40" s="5">
        <f t="shared" si="16"/>
        <v>0</v>
      </c>
      <c r="BU40" s="5">
        <f t="shared" si="17"/>
        <v>0</v>
      </c>
      <c r="BV40" s="5">
        <f t="shared" si="18"/>
        <v>0</v>
      </c>
      <c r="BW40" s="5">
        <f t="shared" si="19"/>
        <v>0</v>
      </c>
      <c r="BX40" s="2175">
        <f t="shared" si="20"/>
        <v>0</v>
      </c>
      <c r="BY40" s="573">
        <f t="shared" ca="1" si="21"/>
        <v>0</v>
      </c>
      <c r="BZ40" s="257"/>
      <c r="CB40" s="1182">
        <f t="shared" ca="1" si="85"/>
        <v>0</v>
      </c>
      <c r="CC40" s="387"/>
      <c r="CD40" s="56"/>
      <c r="CE40" s="56"/>
      <c r="CF40" s="56">
        <f ca="1">'Calc - SENIOR PERS'!$N$166/3*0.5</f>
        <v>0</v>
      </c>
      <c r="CG40" s="1183">
        <f ca="1">'Calc - SENIOR PERS'!$N$166/3*2.5</f>
        <v>0</v>
      </c>
      <c r="CH40" s="1184"/>
      <c r="CI40" s="1185"/>
      <c r="CJ40" s="1185"/>
      <c r="CK40" s="1185">
        <f ca="1">'Calc - SENIOR PERS'!$N$167/3*0.5</f>
        <v>0</v>
      </c>
      <c r="CL40" s="1186">
        <f ca="1">'Calc - SENIOR PERS'!$N$167/3*2.5</f>
        <v>0</v>
      </c>
      <c r="CM40" s="1187"/>
      <c r="CN40" s="1188"/>
      <c r="CO40" s="1189"/>
      <c r="CP40" s="1179">
        <f t="shared" ca="1" si="22"/>
        <v>0</v>
      </c>
      <c r="CR40" s="310"/>
      <c r="CS40" s="575"/>
      <c r="CT40" s="5"/>
      <c r="CU40" s="1180"/>
      <c r="CV40" s="575"/>
      <c r="CW40" s="5"/>
      <c r="CX40" s="1180"/>
      <c r="CY40" s="575"/>
      <c r="CZ40" s="5"/>
      <c r="DA40" s="1180"/>
      <c r="DB40" s="575"/>
      <c r="DC40" s="5"/>
      <c r="DD40" s="1180"/>
      <c r="DE40" s="1181">
        <f t="shared" si="23"/>
        <v>0</v>
      </c>
      <c r="DG40" s="575"/>
      <c r="DH40" s="5"/>
      <c r="DI40" s="1180"/>
      <c r="DJ40" s="575"/>
      <c r="DK40" s="5"/>
      <c r="DL40" s="1180"/>
      <c r="DM40" s="575"/>
      <c r="DN40" s="5"/>
      <c r="DO40" s="1180"/>
      <c r="DP40" s="575"/>
      <c r="DQ40" s="5"/>
      <c r="DR40" s="1180"/>
      <c r="DS40" s="1181">
        <f t="shared" si="24"/>
        <v>0</v>
      </c>
      <c r="DU40" s="575"/>
      <c r="DV40" s="5"/>
      <c r="DW40" s="1180"/>
      <c r="DX40" s="575"/>
      <c r="DY40" s="5"/>
      <c r="DZ40" s="1180"/>
      <c r="EA40" s="575"/>
      <c r="EB40" s="5"/>
      <c r="EC40" s="1180"/>
      <c r="ED40" s="575"/>
      <c r="EE40" s="5"/>
      <c r="EF40" s="1180"/>
      <c r="EG40" s="1181">
        <f t="shared" si="25"/>
        <v>0</v>
      </c>
      <c r="EI40" s="404"/>
      <c r="EJ40" s="3217"/>
      <c r="EK40" s="92">
        <f t="shared" ca="1" si="26"/>
        <v>0</v>
      </c>
      <c r="EL40" s="21">
        <f t="shared" ca="1" si="27"/>
        <v>0</v>
      </c>
      <c r="EM40" s="21">
        <f t="shared" ca="1" si="28"/>
        <v>0</v>
      </c>
      <c r="EN40" s="21">
        <f t="shared" ca="1" si="29"/>
        <v>0</v>
      </c>
      <c r="EO40" s="21">
        <f t="shared" ca="1" si="30"/>
        <v>0</v>
      </c>
      <c r="EP40" s="21">
        <f t="shared" ca="1" si="31"/>
        <v>0</v>
      </c>
      <c r="EQ40" s="21">
        <f t="shared" ca="1" si="32"/>
        <v>0</v>
      </c>
      <c r="ER40" s="88">
        <f t="shared" ca="1" si="33"/>
        <v>0</v>
      </c>
      <c r="ES40" s="9"/>
      <c r="ET40" s="4"/>
      <c r="EU40" s="4"/>
      <c r="EV40" s="133">
        <f t="shared" si="34"/>
        <v>0</v>
      </c>
      <c r="EW40" s="5">
        <f t="shared" si="35"/>
        <v>0</v>
      </c>
      <c r="EX40" s="5">
        <f t="shared" si="36"/>
        <v>0</v>
      </c>
      <c r="EY40" s="5">
        <f t="shared" si="37"/>
        <v>0</v>
      </c>
      <c r="EZ40" s="5">
        <f t="shared" si="38"/>
        <v>0</v>
      </c>
      <c r="FA40" s="5">
        <f t="shared" si="39"/>
        <v>0</v>
      </c>
      <c r="FB40" s="164">
        <f t="shared" si="40"/>
        <v>0</v>
      </c>
      <c r="FD40" s="133">
        <f t="shared" si="41"/>
        <v>0</v>
      </c>
      <c r="FE40" s="5">
        <f t="shared" si="42"/>
        <v>0</v>
      </c>
      <c r="FF40" s="5">
        <f t="shared" si="43"/>
        <v>0</v>
      </c>
      <c r="FG40" s="5">
        <f t="shared" si="44"/>
        <v>0</v>
      </c>
      <c r="FH40" s="5">
        <f t="shared" si="45"/>
        <v>0</v>
      </c>
      <c r="FI40" s="5">
        <f t="shared" si="46"/>
        <v>0</v>
      </c>
      <c r="FJ40" s="138">
        <f t="shared" si="47"/>
        <v>0</v>
      </c>
      <c r="FL40" s="133">
        <f t="shared" si="48"/>
        <v>0</v>
      </c>
      <c r="FM40" s="5">
        <f t="shared" si="49"/>
        <v>0</v>
      </c>
      <c r="FN40" s="5">
        <f t="shared" si="50"/>
        <v>0</v>
      </c>
      <c r="FO40" s="5">
        <f t="shared" si="51"/>
        <v>0</v>
      </c>
      <c r="FP40" s="5">
        <f t="shared" si="52"/>
        <v>0</v>
      </c>
      <c r="FQ40" s="5">
        <f t="shared" si="53"/>
        <v>0</v>
      </c>
      <c r="FR40" s="206">
        <f t="shared" si="54"/>
        <v>0</v>
      </c>
      <c r="FT40" s="133">
        <f t="shared" si="55"/>
        <v>0</v>
      </c>
      <c r="FU40" s="5">
        <f t="shared" si="56"/>
        <v>0</v>
      </c>
      <c r="FV40" s="5">
        <f t="shared" si="57"/>
        <v>0</v>
      </c>
      <c r="FW40" s="5">
        <f t="shared" si="58"/>
        <v>0</v>
      </c>
      <c r="FX40" s="5">
        <f t="shared" si="59"/>
        <v>0</v>
      </c>
      <c r="FY40" s="5">
        <f t="shared" si="60"/>
        <v>0</v>
      </c>
      <c r="FZ40" s="178">
        <f t="shared" si="61"/>
        <v>0</v>
      </c>
      <c r="GB40" s="133">
        <f t="shared" si="62"/>
        <v>0</v>
      </c>
      <c r="GC40" s="5">
        <f t="shared" si="63"/>
        <v>0</v>
      </c>
      <c r="GD40" s="5">
        <f t="shared" si="64"/>
        <v>0</v>
      </c>
      <c r="GE40" s="5">
        <f t="shared" si="65"/>
        <v>0</v>
      </c>
      <c r="GF40" s="5">
        <f t="shared" si="66"/>
        <v>0</v>
      </c>
      <c r="GG40" s="5">
        <f t="shared" si="67"/>
        <v>0</v>
      </c>
      <c r="GH40" s="150">
        <f t="shared" si="68"/>
        <v>0</v>
      </c>
      <c r="GJ40" s="133">
        <f t="shared" si="69"/>
        <v>0</v>
      </c>
      <c r="GK40" s="5">
        <f t="shared" si="70"/>
        <v>0</v>
      </c>
      <c r="GL40" s="5">
        <f t="shared" si="71"/>
        <v>0</v>
      </c>
      <c r="GM40" s="5">
        <f t="shared" si="72"/>
        <v>0</v>
      </c>
      <c r="GN40" s="5">
        <f t="shared" si="73"/>
        <v>0</v>
      </c>
      <c r="GO40" s="5">
        <f t="shared" si="74"/>
        <v>0</v>
      </c>
      <c r="GP40" s="192">
        <f t="shared" si="75"/>
        <v>0</v>
      </c>
      <c r="GR40" s="133"/>
      <c r="GS40" s="5"/>
      <c r="GT40" s="5"/>
      <c r="GU40" s="5"/>
      <c r="GV40" s="5"/>
      <c r="GW40" s="5"/>
      <c r="GX40" s="1102">
        <f t="shared" si="76"/>
        <v>0</v>
      </c>
      <c r="GZ40" s="575">
        <f t="shared" si="77"/>
        <v>0</v>
      </c>
      <c r="HA40" s="5">
        <f t="shared" si="78"/>
        <v>0</v>
      </c>
      <c r="HB40" s="5">
        <f t="shared" si="79"/>
        <v>0</v>
      </c>
      <c r="HC40" s="5">
        <f t="shared" si="80"/>
        <v>0</v>
      </c>
      <c r="HD40" s="5">
        <f t="shared" si="81"/>
        <v>0</v>
      </c>
      <c r="HE40" s="5">
        <f t="shared" si="82"/>
        <v>0</v>
      </c>
      <c r="HF40" s="2175">
        <f t="shared" si="83"/>
        <v>0</v>
      </c>
      <c r="HG40" s="573">
        <f t="shared" ca="1" si="84"/>
        <v>0</v>
      </c>
      <c r="HH40" s="257"/>
    </row>
    <row r="41" spans="1:216" ht="15" hidden="1" customHeight="1" x14ac:dyDescent="0.25">
      <c r="A41" s="404"/>
      <c r="B41" s="3217"/>
      <c r="C41" s="422">
        <f ca="1">'Calc - SENIOR PERS'!$B$174</f>
        <v>0</v>
      </c>
      <c r="D41" s="21">
        <f ca="1">'Calc - SENIOR PERS'!$N$179</f>
        <v>0</v>
      </c>
      <c r="E41" s="5">
        <f ca="1">'Calc - SENIOR PERS'!$N$180</f>
        <v>0</v>
      </c>
      <c r="F41" s="5">
        <f ca="1">'Calc - SENIOR PERS'!$N$181</f>
        <v>0</v>
      </c>
      <c r="G41" s="5">
        <f ca="1">'Calc - SENIOR PERS'!$N$182</f>
        <v>0</v>
      </c>
      <c r="H41" s="5">
        <f ca="1">'Calc - SENIOR PERS'!$N$183</f>
        <v>0</v>
      </c>
      <c r="I41" s="5">
        <f ca="1">'Calc - SENIOR PERS'!$N$184</f>
        <v>0</v>
      </c>
      <c r="J41" s="88">
        <f t="shared" ca="1" si="6"/>
        <v>0</v>
      </c>
      <c r="K41" s="9" t="str">
        <f ca="1">IF(J41&lt;&gt;'Calc - SENIOR PERS'!$N$185,"ERROR","")</f>
        <v/>
      </c>
      <c r="L41" s="4"/>
      <c r="M41" s="4"/>
      <c r="N41" s="133"/>
      <c r="O41" s="5"/>
      <c r="P41" s="5"/>
      <c r="Q41" s="5"/>
      <c r="R41" s="5"/>
      <c r="S41" s="5"/>
      <c r="T41" s="164">
        <f t="shared" si="7"/>
        <v>0</v>
      </c>
      <c r="V41" s="133"/>
      <c r="W41" s="5"/>
      <c r="X41" s="5"/>
      <c r="Y41" s="5"/>
      <c r="Z41" s="5"/>
      <c r="AA41" s="5"/>
      <c r="AB41" s="138">
        <f t="shared" si="8"/>
        <v>0</v>
      </c>
      <c r="AD41" s="133"/>
      <c r="AE41" s="5"/>
      <c r="AF41" s="5"/>
      <c r="AG41" s="5"/>
      <c r="AH41" s="5"/>
      <c r="AI41" s="5"/>
      <c r="AJ41" s="206">
        <f t="shared" si="9"/>
        <v>0</v>
      </c>
      <c r="AL41" s="133"/>
      <c r="AM41" s="5"/>
      <c r="AN41" s="5"/>
      <c r="AO41" s="5"/>
      <c r="AP41" s="5"/>
      <c r="AQ41" s="5"/>
      <c r="AR41" s="178">
        <f t="shared" si="10"/>
        <v>0</v>
      </c>
      <c r="AT41" s="133"/>
      <c r="AU41" s="5"/>
      <c r="AV41" s="5"/>
      <c r="AW41" s="5"/>
      <c r="AX41" s="5"/>
      <c r="AY41" s="5"/>
      <c r="AZ41" s="150">
        <f t="shared" si="11"/>
        <v>0</v>
      </c>
      <c r="BB41" s="133"/>
      <c r="BC41" s="5"/>
      <c r="BD41" s="5"/>
      <c r="BE41" s="5"/>
      <c r="BF41" s="5"/>
      <c r="BG41" s="5"/>
      <c r="BH41" s="192">
        <f t="shared" si="12"/>
        <v>0</v>
      </c>
      <c r="BJ41" s="133"/>
      <c r="BK41" s="5"/>
      <c r="BL41" s="5"/>
      <c r="BM41" s="5"/>
      <c r="BN41" s="5"/>
      <c r="BO41" s="5"/>
      <c r="BP41" s="1102">
        <f t="shared" si="13"/>
        <v>0</v>
      </c>
      <c r="BR41" s="575">
        <f t="shared" si="14"/>
        <v>0</v>
      </c>
      <c r="BS41" s="5">
        <f t="shared" si="15"/>
        <v>0</v>
      </c>
      <c r="BT41" s="5">
        <f t="shared" si="16"/>
        <v>0</v>
      </c>
      <c r="BU41" s="5">
        <f t="shared" si="17"/>
        <v>0</v>
      </c>
      <c r="BV41" s="5">
        <f t="shared" si="18"/>
        <v>0</v>
      </c>
      <c r="BW41" s="5">
        <f t="shared" si="19"/>
        <v>0</v>
      </c>
      <c r="BX41" s="2175">
        <f t="shared" si="20"/>
        <v>0</v>
      </c>
      <c r="BY41" s="573">
        <f t="shared" ca="1" si="21"/>
        <v>0</v>
      </c>
      <c r="BZ41" s="257"/>
      <c r="CB41" s="1182">
        <f t="shared" ca="1" si="85"/>
        <v>0</v>
      </c>
      <c r="CC41" s="387"/>
      <c r="CD41" s="56"/>
      <c r="CE41" s="56"/>
      <c r="CF41" s="56">
        <f ca="1">'Calc - SENIOR PERS'!$N$180/3*0.5</f>
        <v>0</v>
      </c>
      <c r="CG41" s="1183">
        <f ca="1">'Calc - SENIOR PERS'!$N$180/3*2.5</f>
        <v>0</v>
      </c>
      <c r="CH41" s="1184"/>
      <c r="CI41" s="1185"/>
      <c r="CJ41" s="1185"/>
      <c r="CK41" s="1185">
        <f ca="1">'Calc - SENIOR PERS'!$N$181/3*0.5</f>
        <v>0</v>
      </c>
      <c r="CL41" s="1186">
        <f ca="1">'Calc - SENIOR PERS'!$N$181/3*2.5</f>
        <v>0</v>
      </c>
      <c r="CM41" s="1187"/>
      <c r="CN41" s="1188"/>
      <c r="CO41" s="1189"/>
      <c r="CP41" s="1179">
        <f t="shared" ca="1" si="22"/>
        <v>0</v>
      </c>
      <c r="CR41" s="310"/>
      <c r="CS41" s="575"/>
      <c r="CT41" s="5"/>
      <c r="CU41" s="1180"/>
      <c r="CV41" s="575"/>
      <c r="CW41" s="5"/>
      <c r="CX41" s="1180"/>
      <c r="CY41" s="575"/>
      <c r="CZ41" s="5"/>
      <c r="DA41" s="1180"/>
      <c r="DB41" s="575"/>
      <c r="DC41" s="5"/>
      <c r="DD41" s="1180"/>
      <c r="DE41" s="1181">
        <f t="shared" si="23"/>
        <v>0</v>
      </c>
      <c r="DG41" s="575"/>
      <c r="DH41" s="5"/>
      <c r="DI41" s="1180"/>
      <c r="DJ41" s="575"/>
      <c r="DK41" s="5"/>
      <c r="DL41" s="1180"/>
      <c r="DM41" s="575"/>
      <c r="DN41" s="5"/>
      <c r="DO41" s="1180"/>
      <c r="DP41" s="575"/>
      <c r="DQ41" s="5"/>
      <c r="DR41" s="1180"/>
      <c r="DS41" s="1181">
        <f t="shared" si="24"/>
        <v>0</v>
      </c>
      <c r="DU41" s="575"/>
      <c r="DV41" s="5"/>
      <c r="DW41" s="1180"/>
      <c r="DX41" s="575"/>
      <c r="DY41" s="5"/>
      <c r="DZ41" s="1180"/>
      <c r="EA41" s="575"/>
      <c r="EB41" s="5"/>
      <c r="EC41" s="1180"/>
      <c r="ED41" s="575"/>
      <c r="EE41" s="5"/>
      <c r="EF41" s="1180"/>
      <c r="EG41" s="1181">
        <f t="shared" si="25"/>
        <v>0</v>
      </c>
      <c r="EI41" s="404"/>
      <c r="EJ41" s="3217"/>
      <c r="EK41" s="92">
        <f t="shared" ca="1" si="26"/>
        <v>0</v>
      </c>
      <c r="EL41" s="21">
        <f t="shared" ca="1" si="27"/>
        <v>0</v>
      </c>
      <c r="EM41" s="21">
        <f t="shared" ca="1" si="28"/>
        <v>0</v>
      </c>
      <c r="EN41" s="21">
        <f t="shared" ca="1" si="29"/>
        <v>0</v>
      </c>
      <c r="EO41" s="21">
        <f t="shared" ca="1" si="30"/>
        <v>0</v>
      </c>
      <c r="EP41" s="21">
        <f t="shared" ca="1" si="31"/>
        <v>0</v>
      </c>
      <c r="EQ41" s="21">
        <f t="shared" ca="1" si="32"/>
        <v>0</v>
      </c>
      <c r="ER41" s="88">
        <f t="shared" ca="1" si="33"/>
        <v>0</v>
      </c>
      <c r="ES41" s="9"/>
      <c r="ET41" s="4"/>
      <c r="EU41" s="4"/>
      <c r="EV41" s="133">
        <f t="shared" si="34"/>
        <v>0</v>
      </c>
      <c r="EW41" s="5">
        <f t="shared" si="35"/>
        <v>0</v>
      </c>
      <c r="EX41" s="5">
        <f t="shared" si="36"/>
        <v>0</v>
      </c>
      <c r="EY41" s="5">
        <f t="shared" si="37"/>
        <v>0</v>
      </c>
      <c r="EZ41" s="5">
        <f t="shared" si="38"/>
        <v>0</v>
      </c>
      <c r="FA41" s="5">
        <f t="shared" si="39"/>
        <v>0</v>
      </c>
      <c r="FB41" s="164">
        <f t="shared" si="40"/>
        <v>0</v>
      </c>
      <c r="FD41" s="133">
        <f t="shared" si="41"/>
        <v>0</v>
      </c>
      <c r="FE41" s="5">
        <f t="shared" si="42"/>
        <v>0</v>
      </c>
      <c r="FF41" s="5">
        <f t="shared" si="43"/>
        <v>0</v>
      </c>
      <c r="FG41" s="5">
        <f t="shared" si="44"/>
        <v>0</v>
      </c>
      <c r="FH41" s="5">
        <f t="shared" si="45"/>
        <v>0</v>
      </c>
      <c r="FI41" s="5">
        <f t="shared" si="46"/>
        <v>0</v>
      </c>
      <c r="FJ41" s="138">
        <f t="shared" si="47"/>
        <v>0</v>
      </c>
      <c r="FL41" s="133">
        <f t="shared" si="48"/>
        <v>0</v>
      </c>
      <c r="FM41" s="5">
        <f t="shared" si="49"/>
        <v>0</v>
      </c>
      <c r="FN41" s="5">
        <f t="shared" si="50"/>
        <v>0</v>
      </c>
      <c r="FO41" s="5">
        <f t="shared" si="51"/>
        <v>0</v>
      </c>
      <c r="FP41" s="5">
        <f t="shared" si="52"/>
        <v>0</v>
      </c>
      <c r="FQ41" s="5">
        <f t="shared" si="53"/>
        <v>0</v>
      </c>
      <c r="FR41" s="206">
        <f t="shared" si="54"/>
        <v>0</v>
      </c>
      <c r="FT41" s="133">
        <f t="shared" si="55"/>
        <v>0</v>
      </c>
      <c r="FU41" s="5">
        <f t="shared" si="56"/>
        <v>0</v>
      </c>
      <c r="FV41" s="5">
        <f t="shared" si="57"/>
        <v>0</v>
      </c>
      <c r="FW41" s="5">
        <f t="shared" si="58"/>
        <v>0</v>
      </c>
      <c r="FX41" s="5">
        <f t="shared" si="59"/>
        <v>0</v>
      </c>
      <c r="FY41" s="5">
        <f t="shared" si="60"/>
        <v>0</v>
      </c>
      <c r="FZ41" s="178">
        <f t="shared" si="61"/>
        <v>0</v>
      </c>
      <c r="GB41" s="133">
        <f t="shared" si="62"/>
        <v>0</v>
      </c>
      <c r="GC41" s="5">
        <f t="shared" si="63"/>
        <v>0</v>
      </c>
      <c r="GD41" s="5">
        <f t="shared" si="64"/>
        <v>0</v>
      </c>
      <c r="GE41" s="5">
        <f t="shared" si="65"/>
        <v>0</v>
      </c>
      <c r="GF41" s="5">
        <f t="shared" si="66"/>
        <v>0</v>
      </c>
      <c r="GG41" s="5">
        <f t="shared" si="67"/>
        <v>0</v>
      </c>
      <c r="GH41" s="150">
        <f t="shared" si="68"/>
        <v>0</v>
      </c>
      <c r="GJ41" s="133">
        <f t="shared" si="69"/>
        <v>0</v>
      </c>
      <c r="GK41" s="5">
        <f t="shared" si="70"/>
        <v>0</v>
      </c>
      <c r="GL41" s="5">
        <f t="shared" si="71"/>
        <v>0</v>
      </c>
      <c r="GM41" s="5">
        <f t="shared" si="72"/>
        <v>0</v>
      </c>
      <c r="GN41" s="5">
        <f t="shared" si="73"/>
        <v>0</v>
      </c>
      <c r="GO41" s="5">
        <f t="shared" si="74"/>
        <v>0</v>
      </c>
      <c r="GP41" s="192">
        <f t="shared" si="75"/>
        <v>0</v>
      </c>
      <c r="GR41" s="133"/>
      <c r="GS41" s="5"/>
      <c r="GT41" s="5"/>
      <c r="GU41" s="5"/>
      <c r="GV41" s="5"/>
      <c r="GW41" s="5"/>
      <c r="GX41" s="1102">
        <f t="shared" si="76"/>
        <v>0</v>
      </c>
      <c r="GZ41" s="575">
        <f t="shared" si="77"/>
        <v>0</v>
      </c>
      <c r="HA41" s="5">
        <f t="shared" si="78"/>
        <v>0</v>
      </c>
      <c r="HB41" s="5">
        <f t="shared" si="79"/>
        <v>0</v>
      </c>
      <c r="HC41" s="5">
        <f t="shared" si="80"/>
        <v>0</v>
      </c>
      <c r="HD41" s="5">
        <f t="shared" si="81"/>
        <v>0</v>
      </c>
      <c r="HE41" s="5">
        <f t="shared" si="82"/>
        <v>0</v>
      </c>
      <c r="HF41" s="2175">
        <f t="shared" si="83"/>
        <v>0</v>
      </c>
      <c r="HG41" s="573">
        <f t="shared" ca="1" si="84"/>
        <v>0</v>
      </c>
      <c r="HH41" s="257"/>
    </row>
    <row r="42" spans="1:216" ht="15" hidden="1" customHeight="1" x14ac:dyDescent="0.25">
      <c r="A42" s="404"/>
      <c r="B42" s="3217"/>
      <c r="C42" s="422">
        <f ca="1">'Calc - SENIOR PERS'!$B$188</f>
        <v>0</v>
      </c>
      <c r="D42" s="21">
        <f ca="1">'Calc - SENIOR PERS'!$N$193</f>
        <v>0</v>
      </c>
      <c r="E42" s="5">
        <f ca="1">'Calc - SENIOR PERS'!$N$194</f>
        <v>0</v>
      </c>
      <c r="F42" s="5">
        <f ca="1">'Calc - SENIOR PERS'!$N$195</f>
        <v>0</v>
      </c>
      <c r="G42" s="5">
        <f ca="1">'Calc - SENIOR PERS'!$N$196</f>
        <v>0</v>
      </c>
      <c r="H42" s="5">
        <f ca="1">'Calc - SENIOR PERS'!$N$197</f>
        <v>0</v>
      </c>
      <c r="I42" s="5">
        <f ca="1">'Calc - SENIOR PERS'!$N$198</f>
        <v>0</v>
      </c>
      <c r="J42" s="88">
        <f t="shared" ca="1" si="6"/>
        <v>0</v>
      </c>
      <c r="K42" s="9" t="str">
        <f ca="1">IF(J42&lt;&gt;'Calc - SENIOR PERS'!$N$199,"ERROR","")</f>
        <v/>
      </c>
      <c r="L42" s="4"/>
      <c r="M42" s="4"/>
      <c r="N42" s="133"/>
      <c r="O42" s="5"/>
      <c r="P42" s="5"/>
      <c r="Q42" s="5"/>
      <c r="R42" s="5"/>
      <c r="S42" s="5"/>
      <c r="T42" s="164">
        <f t="shared" si="7"/>
        <v>0</v>
      </c>
      <c r="V42" s="133"/>
      <c r="W42" s="5"/>
      <c r="X42" s="5"/>
      <c r="Y42" s="5"/>
      <c r="Z42" s="5"/>
      <c r="AA42" s="5"/>
      <c r="AB42" s="138">
        <f t="shared" si="8"/>
        <v>0</v>
      </c>
      <c r="AD42" s="133"/>
      <c r="AE42" s="5"/>
      <c r="AF42" s="5"/>
      <c r="AG42" s="5"/>
      <c r="AH42" s="5"/>
      <c r="AI42" s="5"/>
      <c r="AJ42" s="206">
        <f t="shared" si="9"/>
        <v>0</v>
      </c>
      <c r="AL42" s="133"/>
      <c r="AM42" s="5"/>
      <c r="AN42" s="5"/>
      <c r="AO42" s="5"/>
      <c r="AP42" s="5"/>
      <c r="AQ42" s="5"/>
      <c r="AR42" s="178">
        <f t="shared" si="10"/>
        <v>0</v>
      </c>
      <c r="AT42" s="133"/>
      <c r="AU42" s="5"/>
      <c r="AV42" s="5"/>
      <c r="AW42" s="5"/>
      <c r="AX42" s="5"/>
      <c r="AY42" s="5"/>
      <c r="AZ42" s="150">
        <f t="shared" si="11"/>
        <v>0</v>
      </c>
      <c r="BB42" s="133"/>
      <c r="BC42" s="5"/>
      <c r="BD42" s="5"/>
      <c r="BE42" s="5"/>
      <c r="BF42" s="5"/>
      <c r="BG42" s="5"/>
      <c r="BH42" s="192">
        <f t="shared" si="12"/>
        <v>0</v>
      </c>
      <c r="BJ42" s="133"/>
      <c r="BK42" s="5"/>
      <c r="BL42" s="5"/>
      <c r="BM42" s="5"/>
      <c r="BN42" s="5"/>
      <c r="BO42" s="5"/>
      <c r="BP42" s="1102">
        <f t="shared" si="13"/>
        <v>0</v>
      </c>
      <c r="BR42" s="575">
        <f t="shared" si="14"/>
        <v>0</v>
      </c>
      <c r="BS42" s="5">
        <f t="shared" si="15"/>
        <v>0</v>
      </c>
      <c r="BT42" s="5">
        <f t="shared" si="16"/>
        <v>0</v>
      </c>
      <c r="BU42" s="5">
        <f t="shared" si="17"/>
        <v>0</v>
      </c>
      <c r="BV42" s="5">
        <f t="shared" si="18"/>
        <v>0</v>
      </c>
      <c r="BW42" s="5">
        <f t="shared" si="19"/>
        <v>0</v>
      </c>
      <c r="BX42" s="2175">
        <f t="shared" si="20"/>
        <v>0</v>
      </c>
      <c r="BY42" s="573">
        <f t="shared" ca="1" si="21"/>
        <v>0</v>
      </c>
      <c r="BZ42" s="257"/>
      <c r="CB42" s="1182">
        <f t="shared" ca="1" si="85"/>
        <v>0</v>
      </c>
      <c r="CC42" s="387"/>
      <c r="CD42" s="56"/>
      <c r="CE42" s="56"/>
      <c r="CF42" s="56">
        <f ca="1">'Calc - SENIOR PERS'!$N$194/3*0.5</f>
        <v>0</v>
      </c>
      <c r="CG42" s="1183">
        <f ca="1">'Calc - SENIOR PERS'!$N$194/3*2.5</f>
        <v>0</v>
      </c>
      <c r="CH42" s="1184"/>
      <c r="CI42" s="1185"/>
      <c r="CJ42" s="1185"/>
      <c r="CK42" s="1185">
        <f ca="1">'Calc - SENIOR PERS'!$N$195/3*0.5</f>
        <v>0</v>
      </c>
      <c r="CL42" s="1186">
        <f ca="1">'Calc - SENIOR PERS'!$N$195/3*2.5</f>
        <v>0</v>
      </c>
      <c r="CM42" s="1187"/>
      <c r="CN42" s="1188"/>
      <c r="CO42" s="1189"/>
      <c r="CP42" s="1179">
        <f t="shared" ca="1" si="22"/>
        <v>0</v>
      </c>
      <c r="CR42" s="310"/>
      <c r="CS42" s="575"/>
      <c r="CT42" s="5"/>
      <c r="CU42" s="1180"/>
      <c r="CV42" s="575"/>
      <c r="CW42" s="5"/>
      <c r="CX42" s="1180"/>
      <c r="CY42" s="575"/>
      <c r="CZ42" s="5"/>
      <c r="DA42" s="1180"/>
      <c r="DB42" s="575"/>
      <c r="DC42" s="5"/>
      <c r="DD42" s="1180"/>
      <c r="DE42" s="1181">
        <f t="shared" si="23"/>
        <v>0</v>
      </c>
      <c r="DG42" s="575"/>
      <c r="DH42" s="5"/>
      <c r="DI42" s="1180"/>
      <c r="DJ42" s="575"/>
      <c r="DK42" s="5"/>
      <c r="DL42" s="1180"/>
      <c r="DM42" s="575"/>
      <c r="DN42" s="5"/>
      <c r="DO42" s="1180"/>
      <c r="DP42" s="575"/>
      <c r="DQ42" s="5"/>
      <c r="DR42" s="1180"/>
      <c r="DS42" s="1181">
        <f t="shared" si="24"/>
        <v>0</v>
      </c>
      <c r="DU42" s="575"/>
      <c r="DV42" s="5"/>
      <c r="DW42" s="1180"/>
      <c r="DX42" s="575"/>
      <c r="DY42" s="5"/>
      <c r="DZ42" s="1180"/>
      <c r="EA42" s="575"/>
      <c r="EB42" s="5"/>
      <c r="EC42" s="1180"/>
      <c r="ED42" s="575"/>
      <c r="EE42" s="5"/>
      <c r="EF42" s="1180"/>
      <c r="EG42" s="1181">
        <f t="shared" si="25"/>
        <v>0</v>
      </c>
      <c r="EI42" s="404"/>
      <c r="EJ42" s="3217"/>
      <c r="EK42" s="92">
        <f t="shared" ca="1" si="26"/>
        <v>0</v>
      </c>
      <c r="EL42" s="21">
        <f t="shared" ca="1" si="27"/>
        <v>0</v>
      </c>
      <c r="EM42" s="21">
        <f t="shared" ca="1" si="28"/>
        <v>0</v>
      </c>
      <c r="EN42" s="21">
        <f t="shared" ca="1" si="29"/>
        <v>0</v>
      </c>
      <c r="EO42" s="21">
        <f t="shared" ca="1" si="30"/>
        <v>0</v>
      </c>
      <c r="EP42" s="21">
        <f t="shared" ca="1" si="31"/>
        <v>0</v>
      </c>
      <c r="EQ42" s="21">
        <f t="shared" ca="1" si="32"/>
        <v>0</v>
      </c>
      <c r="ER42" s="88">
        <f t="shared" ca="1" si="33"/>
        <v>0</v>
      </c>
      <c r="ES42" s="9"/>
      <c r="ET42" s="4"/>
      <c r="EU42" s="4"/>
      <c r="EV42" s="133">
        <f t="shared" si="34"/>
        <v>0</v>
      </c>
      <c r="EW42" s="5">
        <f t="shared" si="35"/>
        <v>0</v>
      </c>
      <c r="EX42" s="5">
        <f t="shared" si="36"/>
        <v>0</v>
      </c>
      <c r="EY42" s="5">
        <f t="shared" si="37"/>
        <v>0</v>
      </c>
      <c r="EZ42" s="5">
        <f t="shared" si="38"/>
        <v>0</v>
      </c>
      <c r="FA42" s="5">
        <f t="shared" si="39"/>
        <v>0</v>
      </c>
      <c r="FB42" s="164">
        <f t="shared" si="40"/>
        <v>0</v>
      </c>
      <c r="FD42" s="133">
        <f t="shared" si="41"/>
        <v>0</v>
      </c>
      <c r="FE42" s="5">
        <f t="shared" si="42"/>
        <v>0</v>
      </c>
      <c r="FF42" s="5">
        <f t="shared" si="43"/>
        <v>0</v>
      </c>
      <c r="FG42" s="5">
        <f t="shared" si="44"/>
        <v>0</v>
      </c>
      <c r="FH42" s="5">
        <f t="shared" si="45"/>
        <v>0</v>
      </c>
      <c r="FI42" s="5">
        <f t="shared" si="46"/>
        <v>0</v>
      </c>
      <c r="FJ42" s="138">
        <f t="shared" si="47"/>
        <v>0</v>
      </c>
      <c r="FL42" s="133">
        <f t="shared" si="48"/>
        <v>0</v>
      </c>
      <c r="FM42" s="5">
        <f t="shared" si="49"/>
        <v>0</v>
      </c>
      <c r="FN42" s="5">
        <f t="shared" si="50"/>
        <v>0</v>
      </c>
      <c r="FO42" s="5">
        <f t="shared" si="51"/>
        <v>0</v>
      </c>
      <c r="FP42" s="5">
        <f t="shared" si="52"/>
        <v>0</v>
      </c>
      <c r="FQ42" s="5">
        <f t="shared" si="53"/>
        <v>0</v>
      </c>
      <c r="FR42" s="206">
        <f t="shared" si="54"/>
        <v>0</v>
      </c>
      <c r="FT42" s="133">
        <f t="shared" si="55"/>
        <v>0</v>
      </c>
      <c r="FU42" s="5">
        <f t="shared" si="56"/>
        <v>0</v>
      </c>
      <c r="FV42" s="5">
        <f t="shared" si="57"/>
        <v>0</v>
      </c>
      <c r="FW42" s="5">
        <f t="shared" si="58"/>
        <v>0</v>
      </c>
      <c r="FX42" s="5">
        <f t="shared" si="59"/>
        <v>0</v>
      </c>
      <c r="FY42" s="5">
        <f t="shared" si="60"/>
        <v>0</v>
      </c>
      <c r="FZ42" s="178">
        <f t="shared" si="61"/>
        <v>0</v>
      </c>
      <c r="GB42" s="133">
        <f t="shared" si="62"/>
        <v>0</v>
      </c>
      <c r="GC42" s="5">
        <f t="shared" si="63"/>
        <v>0</v>
      </c>
      <c r="GD42" s="5">
        <f t="shared" si="64"/>
        <v>0</v>
      </c>
      <c r="GE42" s="5">
        <f t="shared" si="65"/>
        <v>0</v>
      </c>
      <c r="GF42" s="5">
        <f t="shared" si="66"/>
        <v>0</v>
      </c>
      <c r="GG42" s="5">
        <f t="shared" si="67"/>
        <v>0</v>
      </c>
      <c r="GH42" s="150">
        <f t="shared" si="68"/>
        <v>0</v>
      </c>
      <c r="GJ42" s="133">
        <f t="shared" si="69"/>
        <v>0</v>
      </c>
      <c r="GK42" s="5">
        <f t="shared" si="70"/>
        <v>0</v>
      </c>
      <c r="GL42" s="5">
        <f t="shared" si="71"/>
        <v>0</v>
      </c>
      <c r="GM42" s="5">
        <f t="shared" si="72"/>
        <v>0</v>
      </c>
      <c r="GN42" s="5">
        <f t="shared" si="73"/>
        <v>0</v>
      </c>
      <c r="GO42" s="5">
        <f t="shared" si="74"/>
        <v>0</v>
      </c>
      <c r="GP42" s="192">
        <f t="shared" si="75"/>
        <v>0</v>
      </c>
      <c r="GR42" s="133"/>
      <c r="GS42" s="5"/>
      <c r="GT42" s="5"/>
      <c r="GU42" s="5"/>
      <c r="GV42" s="5"/>
      <c r="GW42" s="5"/>
      <c r="GX42" s="1102">
        <f t="shared" si="76"/>
        <v>0</v>
      </c>
      <c r="GZ42" s="575">
        <f t="shared" si="77"/>
        <v>0</v>
      </c>
      <c r="HA42" s="5">
        <f t="shared" si="78"/>
        <v>0</v>
      </c>
      <c r="HB42" s="5">
        <f t="shared" si="79"/>
        <v>0</v>
      </c>
      <c r="HC42" s="5">
        <f t="shared" si="80"/>
        <v>0</v>
      </c>
      <c r="HD42" s="5">
        <f t="shared" si="81"/>
        <v>0</v>
      </c>
      <c r="HE42" s="5">
        <f t="shared" si="82"/>
        <v>0</v>
      </c>
      <c r="HF42" s="2175">
        <f t="shared" si="83"/>
        <v>0</v>
      </c>
      <c r="HG42" s="573">
        <f t="shared" ca="1" si="84"/>
        <v>0</v>
      </c>
      <c r="HH42" s="257"/>
    </row>
    <row r="43" spans="1:216" ht="15" hidden="1" customHeight="1" thickBot="1" x14ac:dyDescent="0.3">
      <c r="A43" s="404"/>
      <c r="B43" s="3218"/>
      <c r="C43" s="422">
        <f ca="1">'Calc - SENIOR PERS'!$B$202</f>
        <v>0</v>
      </c>
      <c r="D43" s="21">
        <f ca="1">'Calc - SENIOR PERS'!$N$207</f>
        <v>0</v>
      </c>
      <c r="E43" s="5">
        <f ca="1">'Calc - SENIOR PERS'!$N$208</f>
        <v>0</v>
      </c>
      <c r="F43" s="5">
        <f ca="1">'Calc - SENIOR PERS'!$N$209</f>
        <v>0</v>
      </c>
      <c r="G43" s="5">
        <f ca="1">'Calc - SENIOR PERS'!$N$210</f>
        <v>0</v>
      </c>
      <c r="H43" s="5">
        <f ca="1">'Calc - SENIOR PERS'!$N$211</f>
        <v>0</v>
      </c>
      <c r="I43" s="5">
        <f ca="1">'Calc - SENIOR PERS'!$N$212</f>
        <v>0</v>
      </c>
      <c r="J43" s="88">
        <f t="shared" ca="1" si="6"/>
        <v>0</v>
      </c>
      <c r="K43" s="9" t="str">
        <f ca="1">IF(J43&lt;&gt;'Calc - SENIOR PERS'!$N$213,"ERROR","")</f>
        <v/>
      </c>
      <c r="L43" s="13"/>
      <c r="M43" s="4"/>
      <c r="N43" s="134"/>
      <c r="O43" s="42"/>
      <c r="P43" s="42"/>
      <c r="Q43" s="42"/>
      <c r="R43" s="42"/>
      <c r="S43" s="42"/>
      <c r="T43" s="165">
        <f t="shared" si="7"/>
        <v>0</v>
      </c>
      <c r="V43" s="134"/>
      <c r="W43" s="42"/>
      <c r="X43" s="42"/>
      <c r="Y43" s="42"/>
      <c r="Z43" s="42"/>
      <c r="AA43" s="42"/>
      <c r="AB43" s="139">
        <f t="shared" si="8"/>
        <v>0</v>
      </c>
      <c r="AD43" s="134"/>
      <c r="AE43" s="42"/>
      <c r="AF43" s="42"/>
      <c r="AG43" s="42"/>
      <c r="AH43" s="42"/>
      <c r="AI43" s="42"/>
      <c r="AJ43" s="207">
        <f t="shared" si="9"/>
        <v>0</v>
      </c>
      <c r="AL43" s="134"/>
      <c r="AM43" s="42"/>
      <c r="AN43" s="42"/>
      <c r="AO43" s="42"/>
      <c r="AP43" s="42"/>
      <c r="AQ43" s="42"/>
      <c r="AR43" s="179">
        <f t="shared" si="10"/>
        <v>0</v>
      </c>
      <c r="AT43" s="134"/>
      <c r="AU43" s="42"/>
      <c r="AV43" s="42"/>
      <c r="AW43" s="42"/>
      <c r="AX43" s="42"/>
      <c r="AY43" s="42"/>
      <c r="AZ43" s="151">
        <f t="shared" si="11"/>
        <v>0</v>
      </c>
      <c r="BB43" s="134"/>
      <c r="BC43" s="42"/>
      <c r="BD43" s="42"/>
      <c r="BE43" s="42"/>
      <c r="BF43" s="42"/>
      <c r="BG43" s="42"/>
      <c r="BH43" s="193">
        <f t="shared" si="12"/>
        <v>0</v>
      </c>
      <c r="BJ43" s="134"/>
      <c r="BK43" s="42"/>
      <c r="BL43" s="42"/>
      <c r="BM43" s="42"/>
      <c r="BN43" s="42"/>
      <c r="BO43" s="42"/>
      <c r="BP43" s="1103">
        <f t="shared" si="13"/>
        <v>0</v>
      </c>
      <c r="BR43" s="2147">
        <f t="shared" si="14"/>
        <v>0</v>
      </c>
      <c r="BS43" s="42">
        <f t="shared" si="15"/>
        <v>0</v>
      </c>
      <c r="BT43" s="42">
        <f t="shared" si="16"/>
        <v>0</v>
      </c>
      <c r="BU43" s="42">
        <f t="shared" si="17"/>
        <v>0</v>
      </c>
      <c r="BV43" s="42">
        <f t="shared" si="18"/>
        <v>0</v>
      </c>
      <c r="BW43" s="42">
        <f t="shared" si="19"/>
        <v>0</v>
      </c>
      <c r="BX43" s="2176">
        <f t="shared" si="20"/>
        <v>0</v>
      </c>
      <c r="BY43" s="275">
        <f t="shared" ca="1" si="21"/>
        <v>0</v>
      </c>
      <c r="BZ43" s="257"/>
      <c r="CB43" s="1200">
        <f t="shared" ca="1" si="85"/>
        <v>0</v>
      </c>
      <c r="CC43" s="1201"/>
      <c r="CD43" s="1202"/>
      <c r="CE43" s="1202"/>
      <c r="CF43" s="1202">
        <f ca="1">'Calc - SENIOR PERS'!$N$208/3*0.5</f>
        <v>0</v>
      </c>
      <c r="CG43" s="1203">
        <f ca="1">'Calc - SENIOR PERS'!$N$208/3*2.5</f>
        <v>0</v>
      </c>
      <c r="CH43" s="1204"/>
      <c r="CI43" s="1205"/>
      <c r="CJ43" s="1205"/>
      <c r="CK43" s="1205">
        <f ca="1">'Calc - SENIOR PERS'!$N$209/3*0.5</f>
        <v>0</v>
      </c>
      <c r="CL43" s="1206">
        <f ca="1">'Calc - SENIOR PERS'!$N$209/3*2.5</f>
        <v>0</v>
      </c>
      <c r="CM43" s="1207"/>
      <c r="CN43" s="1208"/>
      <c r="CO43" s="1209"/>
      <c r="CP43" s="1210">
        <f t="shared" ca="1" si="22"/>
        <v>0</v>
      </c>
      <c r="CR43" s="310"/>
      <c r="CS43" s="575"/>
      <c r="CT43" s="5"/>
      <c r="CU43" s="1180"/>
      <c r="CV43" s="575"/>
      <c r="CW43" s="5"/>
      <c r="CX43" s="1180"/>
      <c r="CY43" s="575"/>
      <c r="CZ43" s="5"/>
      <c r="DA43" s="1180"/>
      <c r="DB43" s="575"/>
      <c r="DC43" s="5"/>
      <c r="DD43" s="1180"/>
      <c r="DE43" s="1181">
        <f t="shared" si="23"/>
        <v>0</v>
      </c>
      <c r="DG43" s="575"/>
      <c r="DH43" s="5"/>
      <c r="DI43" s="1180"/>
      <c r="DJ43" s="575"/>
      <c r="DK43" s="5"/>
      <c r="DL43" s="1180"/>
      <c r="DM43" s="575"/>
      <c r="DN43" s="5"/>
      <c r="DO43" s="1180"/>
      <c r="DP43" s="575"/>
      <c r="DQ43" s="5"/>
      <c r="DR43" s="1180"/>
      <c r="DS43" s="1181">
        <f t="shared" si="24"/>
        <v>0</v>
      </c>
      <c r="DU43" s="575"/>
      <c r="DV43" s="5"/>
      <c r="DW43" s="1180"/>
      <c r="DX43" s="575"/>
      <c r="DY43" s="5"/>
      <c r="DZ43" s="1180"/>
      <c r="EA43" s="575"/>
      <c r="EB43" s="5"/>
      <c r="EC43" s="1180"/>
      <c r="ED43" s="575"/>
      <c r="EE43" s="5"/>
      <c r="EF43" s="1180"/>
      <c r="EG43" s="1181">
        <f t="shared" si="25"/>
        <v>0</v>
      </c>
      <c r="EI43" s="404"/>
      <c r="EJ43" s="3218"/>
      <c r="EK43" s="92">
        <f t="shared" ca="1" si="26"/>
        <v>0</v>
      </c>
      <c r="EL43" s="21">
        <f t="shared" ca="1" si="27"/>
        <v>0</v>
      </c>
      <c r="EM43" s="21">
        <f t="shared" ca="1" si="28"/>
        <v>0</v>
      </c>
      <c r="EN43" s="21">
        <f t="shared" ca="1" si="29"/>
        <v>0</v>
      </c>
      <c r="EO43" s="21">
        <f t="shared" ca="1" si="30"/>
        <v>0</v>
      </c>
      <c r="EP43" s="21">
        <f t="shared" ca="1" si="31"/>
        <v>0</v>
      </c>
      <c r="EQ43" s="21">
        <f t="shared" ca="1" si="32"/>
        <v>0</v>
      </c>
      <c r="ER43" s="88">
        <f t="shared" ca="1" si="33"/>
        <v>0</v>
      </c>
      <c r="ES43" s="9"/>
      <c r="ET43" s="13"/>
      <c r="EU43" s="4"/>
      <c r="EV43" s="133">
        <f t="shared" si="34"/>
        <v>0</v>
      </c>
      <c r="EW43" s="5">
        <f t="shared" si="35"/>
        <v>0</v>
      </c>
      <c r="EX43" s="5">
        <f t="shared" si="36"/>
        <v>0</v>
      </c>
      <c r="EY43" s="5">
        <f t="shared" si="37"/>
        <v>0</v>
      </c>
      <c r="EZ43" s="5">
        <f t="shared" si="38"/>
        <v>0</v>
      </c>
      <c r="FA43" s="5">
        <f t="shared" si="39"/>
        <v>0</v>
      </c>
      <c r="FB43" s="165">
        <f t="shared" si="40"/>
        <v>0</v>
      </c>
      <c r="FD43" s="134">
        <f t="shared" si="41"/>
        <v>0</v>
      </c>
      <c r="FE43" s="42">
        <f t="shared" si="42"/>
        <v>0</v>
      </c>
      <c r="FF43" s="42">
        <f t="shared" si="43"/>
        <v>0</v>
      </c>
      <c r="FG43" s="42">
        <f t="shared" si="44"/>
        <v>0</v>
      </c>
      <c r="FH43" s="42">
        <f t="shared" si="45"/>
        <v>0</v>
      </c>
      <c r="FI43" s="42">
        <f t="shared" si="46"/>
        <v>0</v>
      </c>
      <c r="FJ43" s="139">
        <f t="shared" si="47"/>
        <v>0</v>
      </c>
      <c r="FL43" s="134">
        <f t="shared" si="48"/>
        <v>0</v>
      </c>
      <c r="FM43" s="42">
        <f t="shared" si="49"/>
        <v>0</v>
      </c>
      <c r="FN43" s="42">
        <f t="shared" si="50"/>
        <v>0</v>
      </c>
      <c r="FO43" s="42">
        <f t="shared" si="51"/>
        <v>0</v>
      </c>
      <c r="FP43" s="42">
        <f t="shared" si="52"/>
        <v>0</v>
      </c>
      <c r="FQ43" s="42">
        <f t="shared" si="53"/>
        <v>0</v>
      </c>
      <c r="FR43" s="207">
        <f t="shared" si="54"/>
        <v>0</v>
      </c>
      <c r="FT43" s="134">
        <f t="shared" si="55"/>
        <v>0</v>
      </c>
      <c r="FU43" s="42">
        <f t="shared" si="56"/>
        <v>0</v>
      </c>
      <c r="FV43" s="42">
        <f t="shared" si="57"/>
        <v>0</v>
      </c>
      <c r="FW43" s="42">
        <f t="shared" si="58"/>
        <v>0</v>
      </c>
      <c r="FX43" s="42">
        <f t="shared" si="59"/>
        <v>0</v>
      </c>
      <c r="FY43" s="42">
        <f t="shared" si="60"/>
        <v>0</v>
      </c>
      <c r="FZ43" s="179">
        <f t="shared" si="61"/>
        <v>0</v>
      </c>
      <c r="GB43" s="134">
        <f t="shared" si="62"/>
        <v>0</v>
      </c>
      <c r="GC43" s="42">
        <f t="shared" si="63"/>
        <v>0</v>
      </c>
      <c r="GD43" s="42">
        <f t="shared" si="64"/>
        <v>0</v>
      </c>
      <c r="GE43" s="42">
        <f t="shared" si="65"/>
        <v>0</v>
      </c>
      <c r="GF43" s="42">
        <f t="shared" si="66"/>
        <v>0</v>
      </c>
      <c r="GG43" s="42">
        <f t="shared" si="67"/>
        <v>0</v>
      </c>
      <c r="GH43" s="151">
        <f t="shared" si="68"/>
        <v>0</v>
      </c>
      <c r="GJ43" s="134">
        <f t="shared" si="69"/>
        <v>0</v>
      </c>
      <c r="GK43" s="42">
        <f t="shared" si="70"/>
        <v>0</v>
      </c>
      <c r="GL43" s="42">
        <f t="shared" si="71"/>
        <v>0</v>
      </c>
      <c r="GM43" s="42">
        <f t="shared" si="72"/>
        <v>0</v>
      </c>
      <c r="GN43" s="42">
        <f t="shared" si="73"/>
        <v>0</v>
      </c>
      <c r="GO43" s="42">
        <f t="shared" si="74"/>
        <v>0</v>
      </c>
      <c r="GP43" s="193">
        <f t="shared" si="75"/>
        <v>0</v>
      </c>
      <c r="GR43" s="134"/>
      <c r="GS43" s="42"/>
      <c r="GT43" s="42"/>
      <c r="GU43" s="42"/>
      <c r="GV43" s="42"/>
      <c r="GW43" s="42"/>
      <c r="GX43" s="1103">
        <f t="shared" si="76"/>
        <v>0</v>
      </c>
      <c r="GZ43" s="2147">
        <f t="shared" si="77"/>
        <v>0</v>
      </c>
      <c r="HA43" s="42">
        <f t="shared" si="78"/>
        <v>0</v>
      </c>
      <c r="HB43" s="42">
        <f t="shared" si="79"/>
        <v>0</v>
      </c>
      <c r="HC43" s="42">
        <f t="shared" si="80"/>
        <v>0</v>
      </c>
      <c r="HD43" s="42">
        <f t="shared" si="81"/>
        <v>0</v>
      </c>
      <c r="HE43" s="42">
        <f t="shared" si="82"/>
        <v>0</v>
      </c>
      <c r="HF43" s="2176">
        <f t="shared" si="83"/>
        <v>0</v>
      </c>
      <c r="HG43" s="275">
        <f t="shared" ca="1" si="84"/>
        <v>0</v>
      </c>
      <c r="HH43" s="257"/>
    </row>
    <row r="44" spans="1:216" ht="15" customHeight="1" thickBot="1" x14ac:dyDescent="0.3">
      <c r="A44" s="404"/>
      <c r="B44" s="3212" t="s">
        <v>50</v>
      </c>
      <c r="C44" s="3213"/>
      <c r="D44" s="1238">
        <f t="shared" ref="D44:J44" ca="1" si="86">SUM(D14:D43)</f>
        <v>16781.995999999999</v>
      </c>
      <c r="E44" s="412">
        <f t="shared" ca="1" si="86"/>
        <v>0</v>
      </c>
      <c r="F44" s="412">
        <f t="shared" ca="1" si="86"/>
        <v>0</v>
      </c>
      <c r="G44" s="412">
        <f t="shared" ca="1" si="86"/>
        <v>0</v>
      </c>
      <c r="H44" s="412">
        <f t="shared" ca="1" si="86"/>
        <v>0</v>
      </c>
      <c r="I44" s="412">
        <f t="shared" ca="1" si="86"/>
        <v>0</v>
      </c>
      <c r="J44" s="1239">
        <f t="shared" ca="1" si="86"/>
        <v>16781.995999999999</v>
      </c>
      <c r="K44" s="13">
        <f ca="1">SUM(D44:I44)</f>
        <v>16781.995999999999</v>
      </c>
      <c r="L44" s="2070" t="str">
        <f ca="1">IF(J44&lt;&gt;K44,"ERORR","")</f>
        <v/>
      </c>
      <c r="M44" s="13"/>
      <c r="N44" s="2153">
        <f t="shared" ref="N44:T44" ca="1" si="87">SUM(N14:N43)</f>
        <v>0</v>
      </c>
      <c r="O44" s="2154">
        <f t="shared" ca="1" si="87"/>
        <v>0</v>
      </c>
      <c r="P44" s="2154">
        <f t="shared" ca="1" si="87"/>
        <v>0</v>
      </c>
      <c r="Q44" s="2154">
        <f t="shared" ca="1" si="87"/>
        <v>0</v>
      </c>
      <c r="R44" s="2154">
        <f t="shared" ca="1" si="87"/>
        <v>0</v>
      </c>
      <c r="S44" s="2154">
        <f t="shared" ca="1" si="87"/>
        <v>0</v>
      </c>
      <c r="T44" s="2155">
        <f t="shared" ca="1" si="87"/>
        <v>0</v>
      </c>
      <c r="V44" s="2156">
        <f t="shared" ref="V44:AB44" ca="1" si="88">SUM(V14:V43)</f>
        <v>0</v>
      </c>
      <c r="W44" s="2157">
        <f t="shared" ca="1" si="88"/>
        <v>0</v>
      </c>
      <c r="X44" s="2157">
        <f t="shared" ca="1" si="88"/>
        <v>0</v>
      </c>
      <c r="Y44" s="2157">
        <f t="shared" ca="1" si="88"/>
        <v>0</v>
      </c>
      <c r="Z44" s="2157">
        <f t="shared" ca="1" si="88"/>
        <v>0</v>
      </c>
      <c r="AA44" s="2157">
        <f t="shared" ca="1" si="88"/>
        <v>0</v>
      </c>
      <c r="AB44" s="2158">
        <f t="shared" ca="1" si="88"/>
        <v>0</v>
      </c>
      <c r="AD44" s="2159">
        <f t="shared" ref="AD44:AJ44" ca="1" si="89">SUM(AD14:AD43)</f>
        <v>0</v>
      </c>
      <c r="AE44" s="2160">
        <f t="shared" ca="1" si="89"/>
        <v>0</v>
      </c>
      <c r="AF44" s="2160">
        <f t="shared" ca="1" si="89"/>
        <v>0</v>
      </c>
      <c r="AG44" s="2160">
        <f t="shared" ca="1" si="89"/>
        <v>0</v>
      </c>
      <c r="AH44" s="2160">
        <f t="shared" ca="1" si="89"/>
        <v>0</v>
      </c>
      <c r="AI44" s="2160">
        <f t="shared" ca="1" si="89"/>
        <v>0</v>
      </c>
      <c r="AJ44" s="2161">
        <f t="shared" ca="1" si="89"/>
        <v>0</v>
      </c>
      <c r="AL44" s="2162">
        <f t="shared" ref="AL44:AR44" ca="1" si="90">SUM(AL14:AL43)</f>
        <v>0</v>
      </c>
      <c r="AM44" s="2163">
        <f t="shared" ca="1" si="90"/>
        <v>0</v>
      </c>
      <c r="AN44" s="2163">
        <f t="shared" ca="1" si="90"/>
        <v>0</v>
      </c>
      <c r="AO44" s="2163">
        <f t="shared" ca="1" si="90"/>
        <v>0</v>
      </c>
      <c r="AP44" s="2163">
        <f t="shared" ca="1" si="90"/>
        <v>0</v>
      </c>
      <c r="AQ44" s="2163">
        <f t="shared" ca="1" si="90"/>
        <v>0</v>
      </c>
      <c r="AR44" s="2164">
        <f t="shared" ca="1" si="90"/>
        <v>0</v>
      </c>
      <c r="AT44" s="2165">
        <f t="shared" ref="AT44:AZ44" ca="1" si="91">SUM(AT14:AT43)</f>
        <v>0</v>
      </c>
      <c r="AU44" s="2166">
        <f t="shared" ca="1" si="91"/>
        <v>0</v>
      </c>
      <c r="AV44" s="2166">
        <f t="shared" ca="1" si="91"/>
        <v>0</v>
      </c>
      <c r="AW44" s="2166">
        <f t="shared" ca="1" si="91"/>
        <v>0</v>
      </c>
      <c r="AX44" s="2166">
        <f t="shared" ca="1" si="91"/>
        <v>0</v>
      </c>
      <c r="AY44" s="2166">
        <f t="shared" ca="1" si="91"/>
        <v>0</v>
      </c>
      <c r="AZ44" s="2167">
        <f t="shared" ca="1" si="91"/>
        <v>0</v>
      </c>
      <c r="BB44" s="2168">
        <f t="shared" ref="BB44:BH44" ca="1" si="92">SUM(BB14:BB43)</f>
        <v>0</v>
      </c>
      <c r="BC44" s="2169">
        <f t="shared" ca="1" si="92"/>
        <v>0</v>
      </c>
      <c r="BD44" s="2169">
        <f t="shared" ca="1" si="92"/>
        <v>0</v>
      </c>
      <c r="BE44" s="2169">
        <f t="shared" ca="1" si="92"/>
        <v>0</v>
      </c>
      <c r="BF44" s="2169">
        <f t="shared" ca="1" si="92"/>
        <v>0</v>
      </c>
      <c r="BG44" s="2169">
        <f t="shared" ca="1" si="92"/>
        <v>0</v>
      </c>
      <c r="BH44" s="2170">
        <f t="shared" ca="1" si="92"/>
        <v>0</v>
      </c>
      <c r="BJ44" s="2171">
        <f t="shared" ref="BJ44:BP44" si="93">SUM(BJ14:BJ43)</f>
        <v>0</v>
      </c>
      <c r="BK44" s="2172">
        <f t="shared" si="93"/>
        <v>0</v>
      </c>
      <c r="BL44" s="2172">
        <f t="shared" si="93"/>
        <v>0</v>
      </c>
      <c r="BM44" s="2172">
        <f t="shared" si="93"/>
        <v>0</v>
      </c>
      <c r="BN44" s="2172">
        <f t="shared" si="93"/>
        <v>0</v>
      </c>
      <c r="BO44" s="2172">
        <f t="shared" si="93"/>
        <v>0</v>
      </c>
      <c r="BP44" s="2173">
        <f t="shared" si="93"/>
        <v>0</v>
      </c>
      <c r="BR44" s="2174">
        <f t="shared" ref="BR44:BY44" ca="1" si="94">SUM(BR14:BR43)</f>
        <v>0</v>
      </c>
      <c r="BS44" s="2174">
        <f t="shared" ca="1" si="94"/>
        <v>0</v>
      </c>
      <c r="BT44" s="2174">
        <f t="shared" ca="1" si="94"/>
        <v>0</v>
      </c>
      <c r="BU44" s="2174">
        <f t="shared" ca="1" si="94"/>
        <v>0</v>
      </c>
      <c r="BV44" s="2174">
        <f t="shared" ca="1" si="94"/>
        <v>0</v>
      </c>
      <c r="BW44" s="2174">
        <f t="shared" ca="1" si="94"/>
        <v>0</v>
      </c>
      <c r="BX44" s="2174">
        <f t="shared" ca="1" si="94"/>
        <v>0</v>
      </c>
      <c r="BY44" s="1239">
        <f t="shared" ca="1" si="94"/>
        <v>16781.995999999999</v>
      </c>
      <c r="BZ44" s="129"/>
      <c r="CB44" s="1211">
        <f t="shared" ref="CB44:CO44" ca="1" si="95">SUM(CB14:CB43)</f>
        <v>0</v>
      </c>
      <c r="CC44" s="416">
        <f t="shared" ca="1" si="95"/>
        <v>0</v>
      </c>
      <c r="CD44" s="96">
        <f t="shared" ca="1" si="95"/>
        <v>0</v>
      </c>
      <c r="CE44" s="96">
        <f t="shared" ca="1" si="95"/>
        <v>0</v>
      </c>
      <c r="CF44" s="96">
        <f t="shared" ca="1" si="95"/>
        <v>0</v>
      </c>
      <c r="CG44" s="96">
        <f t="shared" ca="1" si="95"/>
        <v>0</v>
      </c>
      <c r="CH44" s="95">
        <f t="shared" ca="1" si="95"/>
        <v>0</v>
      </c>
      <c r="CI44" s="96">
        <f t="shared" ca="1" si="95"/>
        <v>0</v>
      </c>
      <c r="CJ44" s="96">
        <f t="shared" ca="1" si="95"/>
        <v>0</v>
      </c>
      <c r="CK44" s="96">
        <f t="shared" ca="1" si="95"/>
        <v>0</v>
      </c>
      <c r="CL44" s="1212">
        <f t="shared" ca="1" si="95"/>
        <v>0</v>
      </c>
      <c r="CM44" s="1213">
        <f t="shared" ca="1" si="95"/>
        <v>0</v>
      </c>
      <c r="CN44" s="96">
        <f t="shared" ca="1" si="95"/>
        <v>0</v>
      </c>
      <c r="CO44" s="97">
        <f t="shared" ca="1" si="95"/>
        <v>0</v>
      </c>
      <c r="CP44" s="1214">
        <f t="shared" ca="1" si="22"/>
        <v>0</v>
      </c>
      <c r="CR44" s="310"/>
      <c r="CS44" s="1215">
        <f t="shared" ref="CS44:DE44" si="96">SUM(CS14:CS38)</f>
        <v>0</v>
      </c>
      <c r="CT44" s="1216">
        <f t="shared" si="96"/>
        <v>0</v>
      </c>
      <c r="CU44" s="275">
        <f t="shared" si="96"/>
        <v>0</v>
      </c>
      <c r="CV44" s="1215">
        <f t="shared" si="96"/>
        <v>0</v>
      </c>
      <c r="CW44" s="1216">
        <f t="shared" si="96"/>
        <v>0</v>
      </c>
      <c r="CX44" s="275">
        <f t="shared" si="96"/>
        <v>0</v>
      </c>
      <c r="CY44" s="1215">
        <f t="shared" si="96"/>
        <v>0</v>
      </c>
      <c r="CZ44" s="1216">
        <f t="shared" si="96"/>
        <v>0</v>
      </c>
      <c r="DA44" s="275">
        <f t="shared" si="96"/>
        <v>0</v>
      </c>
      <c r="DB44" s="1215">
        <f t="shared" si="96"/>
        <v>0</v>
      </c>
      <c r="DC44" s="1216">
        <f t="shared" si="96"/>
        <v>0</v>
      </c>
      <c r="DD44" s="275">
        <f t="shared" si="96"/>
        <v>0</v>
      </c>
      <c r="DE44" s="1062">
        <f t="shared" si="96"/>
        <v>0</v>
      </c>
      <c r="DG44" s="1215">
        <f t="shared" ref="DG44:DS44" si="97">SUM(DG14:DG38)</f>
        <v>0</v>
      </c>
      <c r="DH44" s="1216">
        <f t="shared" si="97"/>
        <v>0</v>
      </c>
      <c r="DI44" s="275">
        <f t="shared" si="97"/>
        <v>0</v>
      </c>
      <c r="DJ44" s="1215">
        <f t="shared" si="97"/>
        <v>0</v>
      </c>
      <c r="DK44" s="1216">
        <f t="shared" si="97"/>
        <v>0</v>
      </c>
      <c r="DL44" s="275">
        <f t="shared" si="97"/>
        <v>0</v>
      </c>
      <c r="DM44" s="1215">
        <f t="shared" si="97"/>
        <v>0</v>
      </c>
      <c r="DN44" s="1216">
        <f t="shared" si="97"/>
        <v>0</v>
      </c>
      <c r="DO44" s="275">
        <f t="shared" si="97"/>
        <v>0</v>
      </c>
      <c r="DP44" s="1215">
        <f t="shared" si="97"/>
        <v>0</v>
      </c>
      <c r="DQ44" s="1216">
        <f t="shared" si="97"/>
        <v>0</v>
      </c>
      <c r="DR44" s="275">
        <f t="shared" si="97"/>
        <v>0</v>
      </c>
      <c r="DS44" s="1062">
        <f t="shared" si="97"/>
        <v>0</v>
      </c>
      <c r="DU44" s="1215">
        <f t="shared" ref="DU44:EG44" si="98">SUM(DU14:DU38)</f>
        <v>0</v>
      </c>
      <c r="DV44" s="1216">
        <f t="shared" si="98"/>
        <v>0</v>
      </c>
      <c r="DW44" s="275">
        <f t="shared" si="98"/>
        <v>0</v>
      </c>
      <c r="DX44" s="1215">
        <f t="shared" si="98"/>
        <v>0</v>
      </c>
      <c r="DY44" s="1216">
        <f t="shared" si="98"/>
        <v>0</v>
      </c>
      <c r="DZ44" s="275">
        <f t="shared" si="98"/>
        <v>0</v>
      </c>
      <c r="EA44" s="1215">
        <f t="shared" si="98"/>
        <v>0</v>
      </c>
      <c r="EB44" s="1216">
        <f t="shared" si="98"/>
        <v>0</v>
      </c>
      <c r="EC44" s="275">
        <f t="shared" si="98"/>
        <v>0</v>
      </c>
      <c r="ED44" s="1215">
        <f t="shared" si="98"/>
        <v>0</v>
      </c>
      <c r="EE44" s="1216">
        <f t="shared" si="98"/>
        <v>0</v>
      </c>
      <c r="EF44" s="275">
        <f t="shared" si="98"/>
        <v>0</v>
      </c>
      <c r="EG44" s="1062">
        <f t="shared" si="98"/>
        <v>0</v>
      </c>
      <c r="EI44" s="404"/>
      <c r="EJ44" s="3212" t="s">
        <v>50</v>
      </c>
      <c r="EK44" s="3213"/>
      <c r="EL44" s="1238">
        <f t="shared" ref="EL44:ER44" ca="1" si="99">SUM(EL14:EL43)</f>
        <v>16782</v>
      </c>
      <c r="EM44" s="412">
        <f t="shared" ca="1" si="99"/>
        <v>0</v>
      </c>
      <c r="EN44" s="412">
        <f t="shared" ca="1" si="99"/>
        <v>0</v>
      </c>
      <c r="EO44" s="412">
        <f t="shared" ca="1" si="99"/>
        <v>0</v>
      </c>
      <c r="EP44" s="412">
        <f t="shared" ca="1" si="99"/>
        <v>0</v>
      </c>
      <c r="EQ44" s="412">
        <f t="shared" ca="1" si="99"/>
        <v>0</v>
      </c>
      <c r="ER44" s="1239">
        <f t="shared" ca="1" si="99"/>
        <v>16782</v>
      </c>
      <c r="ES44" s="13">
        <f ca="1">SUM(EL44:EQ44)</f>
        <v>16782</v>
      </c>
      <c r="ET44" s="2070" t="str">
        <f ca="1">IF(ER44&lt;&gt;ES44,"ERORR","")</f>
        <v/>
      </c>
      <c r="EU44" s="13"/>
      <c r="EV44" s="2153">
        <f t="shared" ref="EV44:FB44" ca="1" si="100">SUM(EV14:EV43)</f>
        <v>0</v>
      </c>
      <c r="EW44" s="2154">
        <f t="shared" ca="1" si="100"/>
        <v>0</v>
      </c>
      <c r="EX44" s="2154">
        <f t="shared" ca="1" si="100"/>
        <v>0</v>
      </c>
      <c r="EY44" s="2154">
        <f t="shared" ca="1" si="100"/>
        <v>0</v>
      </c>
      <c r="EZ44" s="2154">
        <f t="shared" ca="1" si="100"/>
        <v>0</v>
      </c>
      <c r="FA44" s="2154">
        <f t="shared" ca="1" si="100"/>
        <v>0</v>
      </c>
      <c r="FB44" s="2155">
        <f t="shared" ca="1" si="100"/>
        <v>0</v>
      </c>
      <c r="FD44" s="2156">
        <f t="shared" ref="FD44:FJ44" ca="1" si="101">SUM(FD14:FD43)</f>
        <v>0</v>
      </c>
      <c r="FE44" s="2157">
        <f t="shared" ca="1" si="101"/>
        <v>0</v>
      </c>
      <c r="FF44" s="2157">
        <f t="shared" ca="1" si="101"/>
        <v>0</v>
      </c>
      <c r="FG44" s="2157">
        <f t="shared" ca="1" si="101"/>
        <v>0</v>
      </c>
      <c r="FH44" s="2157">
        <f t="shared" ca="1" si="101"/>
        <v>0</v>
      </c>
      <c r="FI44" s="2157">
        <f t="shared" ca="1" si="101"/>
        <v>0</v>
      </c>
      <c r="FJ44" s="2158">
        <f t="shared" ca="1" si="101"/>
        <v>0</v>
      </c>
      <c r="FL44" s="2159">
        <f t="shared" ref="FL44:FR44" ca="1" si="102">SUM(FL14:FL43)</f>
        <v>0</v>
      </c>
      <c r="FM44" s="2160">
        <f t="shared" ca="1" si="102"/>
        <v>0</v>
      </c>
      <c r="FN44" s="2160">
        <f t="shared" ca="1" si="102"/>
        <v>0</v>
      </c>
      <c r="FO44" s="2160">
        <f t="shared" ca="1" si="102"/>
        <v>0</v>
      </c>
      <c r="FP44" s="2160">
        <f t="shared" ca="1" si="102"/>
        <v>0</v>
      </c>
      <c r="FQ44" s="2160">
        <f t="shared" ca="1" si="102"/>
        <v>0</v>
      </c>
      <c r="FR44" s="2161">
        <f t="shared" ca="1" si="102"/>
        <v>0</v>
      </c>
      <c r="FT44" s="2162">
        <f t="shared" ref="FT44:FZ44" ca="1" si="103">SUM(FT14:FT43)</f>
        <v>0</v>
      </c>
      <c r="FU44" s="2163">
        <f t="shared" ca="1" si="103"/>
        <v>0</v>
      </c>
      <c r="FV44" s="2163">
        <f t="shared" ca="1" si="103"/>
        <v>0</v>
      </c>
      <c r="FW44" s="2163">
        <f t="shared" ca="1" si="103"/>
        <v>0</v>
      </c>
      <c r="FX44" s="2163">
        <f t="shared" ca="1" si="103"/>
        <v>0</v>
      </c>
      <c r="FY44" s="2163">
        <f t="shared" ca="1" si="103"/>
        <v>0</v>
      </c>
      <c r="FZ44" s="2164">
        <f t="shared" ca="1" si="103"/>
        <v>0</v>
      </c>
      <c r="GB44" s="2165">
        <f t="shared" ref="GB44:GH44" ca="1" si="104">SUM(GB14:GB43)</f>
        <v>0</v>
      </c>
      <c r="GC44" s="2166">
        <f t="shared" ca="1" si="104"/>
        <v>0</v>
      </c>
      <c r="GD44" s="2166">
        <f t="shared" ca="1" si="104"/>
        <v>0</v>
      </c>
      <c r="GE44" s="2166">
        <f t="shared" ca="1" si="104"/>
        <v>0</v>
      </c>
      <c r="GF44" s="2166">
        <f t="shared" ca="1" si="104"/>
        <v>0</v>
      </c>
      <c r="GG44" s="2166">
        <f t="shared" ca="1" si="104"/>
        <v>0</v>
      </c>
      <c r="GH44" s="2167">
        <f t="shared" ca="1" si="104"/>
        <v>0</v>
      </c>
      <c r="GJ44" s="2168">
        <f t="shared" ref="GJ44:GP44" ca="1" si="105">SUM(GJ14:GJ43)</f>
        <v>0</v>
      </c>
      <c r="GK44" s="2169">
        <f t="shared" ca="1" si="105"/>
        <v>0</v>
      </c>
      <c r="GL44" s="2169">
        <f t="shared" ca="1" si="105"/>
        <v>0</v>
      </c>
      <c r="GM44" s="2169">
        <f t="shared" ca="1" si="105"/>
        <v>0</v>
      </c>
      <c r="GN44" s="2169">
        <f t="shared" ca="1" si="105"/>
        <v>0</v>
      </c>
      <c r="GO44" s="2169">
        <f t="shared" ca="1" si="105"/>
        <v>0</v>
      </c>
      <c r="GP44" s="2170">
        <f t="shared" ca="1" si="105"/>
        <v>0</v>
      </c>
      <c r="GR44" s="2171">
        <f t="shared" ref="GR44:GX44" si="106">SUM(GR14:GR43)</f>
        <v>0</v>
      </c>
      <c r="GS44" s="2172">
        <f t="shared" si="106"/>
        <v>0</v>
      </c>
      <c r="GT44" s="2172">
        <f t="shared" si="106"/>
        <v>0</v>
      </c>
      <c r="GU44" s="2172">
        <f t="shared" si="106"/>
        <v>0</v>
      </c>
      <c r="GV44" s="2172">
        <f t="shared" si="106"/>
        <v>0</v>
      </c>
      <c r="GW44" s="2172">
        <f t="shared" si="106"/>
        <v>0</v>
      </c>
      <c r="GX44" s="2173">
        <f t="shared" si="106"/>
        <v>0</v>
      </c>
      <c r="GZ44" s="2174">
        <f t="shared" ref="GZ44:HG44" ca="1" si="107">SUM(GZ14:GZ43)</f>
        <v>0</v>
      </c>
      <c r="HA44" s="2174">
        <f t="shared" ca="1" si="107"/>
        <v>0</v>
      </c>
      <c r="HB44" s="2174">
        <f t="shared" ca="1" si="107"/>
        <v>0</v>
      </c>
      <c r="HC44" s="2174">
        <f t="shared" ca="1" si="107"/>
        <v>0</v>
      </c>
      <c r="HD44" s="2174">
        <f t="shared" ca="1" si="107"/>
        <v>0</v>
      </c>
      <c r="HE44" s="2174">
        <f t="shared" ca="1" si="107"/>
        <v>0</v>
      </c>
      <c r="HF44" s="2174">
        <f t="shared" ca="1" si="107"/>
        <v>0</v>
      </c>
      <c r="HG44" s="1239">
        <f t="shared" ca="1" si="107"/>
        <v>16782</v>
      </c>
      <c r="HH44" s="129"/>
    </row>
    <row r="45" spans="1:216" ht="15" customHeight="1" thickBot="1" x14ac:dyDescent="0.3">
      <c r="A45" s="22"/>
      <c r="C45" s="430"/>
      <c r="D45" s="129"/>
      <c r="E45" s="129"/>
      <c r="F45" s="129"/>
      <c r="G45" s="129"/>
      <c r="H45" s="129"/>
      <c r="I45" s="129"/>
      <c r="J45" s="130"/>
      <c r="K45" s="13"/>
      <c r="L45"/>
      <c r="M45" s="13"/>
      <c r="N45" s="129"/>
      <c r="O45" s="129"/>
      <c r="P45" s="129"/>
      <c r="Q45" s="129"/>
      <c r="R45" s="129"/>
      <c r="S45" s="129"/>
      <c r="T45" s="130"/>
      <c r="V45" s="129"/>
      <c r="W45" s="129"/>
      <c r="X45" s="129"/>
      <c r="Y45" s="129"/>
      <c r="Z45" s="129"/>
      <c r="AA45" s="129"/>
      <c r="AB45" s="130"/>
      <c r="AD45" s="129"/>
      <c r="AE45" s="129"/>
      <c r="AF45" s="129"/>
      <c r="AG45" s="129"/>
      <c r="AH45" s="129"/>
      <c r="AI45" s="129"/>
      <c r="AJ45" s="130"/>
      <c r="AL45" s="129"/>
      <c r="AM45" s="129"/>
      <c r="AN45" s="129"/>
      <c r="AO45" s="129"/>
      <c r="AP45" s="129"/>
      <c r="AQ45" s="129"/>
      <c r="AR45" s="130"/>
      <c r="AT45" s="129"/>
      <c r="AU45" s="129"/>
      <c r="AV45" s="129"/>
      <c r="AW45" s="129"/>
      <c r="AX45" s="129"/>
      <c r="AY45" s="129"/>
      <c r="AZ45" s="130"/>
      <c r="BB45" s="129"/>
      <c r="BC45" s="129"/>
      <c r="BD45" s="129"/>
      <c r="BE45" s="129"/>
      <c r="BF45" s="129"/>
      <c r="BG45" s="129"/>
      <c r="BH45" s="130"/>
      <c r="BJ45" s="129"/>
      <c r="BK45" s="129"/>
      <c r="BL45" s="129"/>
      <c r="BM45" s="129"/>
      <c r="BN45" s="129"/>
      <c r="BO45" s="129"/>
      <c r="BP45" s="130"/>
      <c r="BR45" s="130"/>
      <c r="BS45" s="130"/>
      <c r="BT45" s="130"/>
      <c r="BU45" s="130"/>
      <c r="BV45" s="130"/>
      <c r="BW45" s="130"/>
      <c r="BX45" s="130"/>
      <c r="BY45" s="130"/>
      <c r="BZ45" s="130"/>
      <c r="CB45" s="1217"/>
      <c r="CC45" s="1217"/>
      <c r="CD45" s="1217"/>
      <c r="CE45" s="1217"/>
      <c r="CF45" s="1217"/>
      <c r="CG45" s="1217"/>
      <c r="CH45" s="1217"/>
      <c r="CI45" s="1217"/>
      <c r="CJ45" s="1217"/>
      <c r="CK45" s="1217"/>
      <c r="CL45" s="1217"/>
      <c r="CM45" s="1217"/>
      <c r="CN45" s="1217"/>
      <c r="CO45" s="1217"/>
      <c r="CP45" s="1217"/>
      <c r="EI45" s="22"/>
      <c r="EK45" s="430"/>
      <c r="EL45" s="129"/>
      <c r="EM45" s="129"/>
      <c r="EN45" s="129"/>
      <c r="EO45" s="129"/>
      <c r="EP45" s="129"/>
      <c r="EQ45" s="129"/>
      <c r="ER45" s="130"/>
      <c r="ES45" s="13"/>
      <c r="ET45"/>
      <c r="EU45" s="13"/>
      <c r="EV45" s="129"/>
      <c r="EW45" s="129"/>
      <c r="EX45" s="129"/>
      <c r="EY45" s="129"/>
      <c r="EZ45" s="129"/>
      <c r="FA45" s="129"/>
      <c r="FB45" s="130"/>
      <c r="FD45" s="129"/>
      <c r="FE45" s="129"/>
      <c r="FF45" s="129"/>
      <c r="FG45" s="129"/>
      <c r="FH45" s="129"/>
      <c r="FI45" s="129"/>
      <c r="FJ45" s="130"/>
      <c r="FL45" s="129"/>
      <c r="FM45" s="129"/>
      <c r="FN45" s="129"/>
      <c r="FO45" s="129"/>
      <c r="FP45" s="129"/>
      <c r="FQ45" s="129"/>
      <c r="FR45" s="130"/>
      <c r="FT45" s="129"/>
      <c r="FU45" s="129"/>
      <c r="FV45" s="129"/>
      <c r="FW45" s="129"/>
      <c r="FX45" s="129"/>
      <c r="FY45" s="129"/>
      <c r="FZ45" s="130"/>
      <c r="GB45" s="129"/>
      <c r="GC45" s="129"/>
      <c r="GD45" s="129"/>
      <c r="GE45" s="129"/>
      <c r="GF45" s="129"/>
      <c r="GG45" s="129"/>
      <c r="GH45" s="130"/>
      <c r="GJ45" s="129"/>
      <c r="GK45" s="129"/>
      <c r="GL45" s="129"/>
      <c r="GM45" s="129"/>
      <c r="GN45" s="129"/>
      <c r="GO45" s="129"/>
      <c r="GP45" s="130"/>
      <c r="GR45" s="129"/>
      <c r="GS45" s="129"/>
      <c r="GT45" s="129"/>
      <c r="GU45" s="129"/>
      <c r="GV45" s="129"/>
      <c r="GW45" s="129"/>
      <c r="GX45" s="130"/>
      <c r="GZ45" s="130"/>
      <c r="HA45" s="130"/>
      <c r="HB45" s="130"/>
      <c r="HC45" s="130"/>
      <c r="HD45" s="130"/>
      <c r="HE45" s="130"/>
      <c r="HF45" s="130"/>
      <c r="HG45" s="130"/>
      <c r="HH45" s="130"/>
    </row>
    <row r="46" spans="1:216" ht="15" customHeight="1" thickBot="1" x14ac:dyDescent="0.3">
      <c r="A46" s="429" t="s">
        <v>25</v>
      </c>
      <c r="B46" s="2695" t="s">
        <v>109</v>
      </c>
      <c r="C46" s="2696"/>
      <c r="D46" s="2696"/>
      <c r="E46" s="2696"/>
      <c r="F46" s="2696"/>
      <c r="G46" s="2696"/>
      <c r="H46" s="2696"/>
      <c r="I46" s="2696"/>
      <c r="J46" s="2697"/>
      <c r="K46"/>
      <c r="L46" s="24"/>
      <c r="M46"/>
      <c r="N46" s="465" t="s">
        <v>133</v>
      </c>
      <c r="O46" s="678"/>
      <c r="P46" s="678"/>
      <c r="Q46" s="678"/>
      <c r="R46" s="678"/>
      <c r="S46" s="678"/>
      <c r="T46" s="1097"/>
      <c r="U46" s="40"/>
      <c r="V46" s="465" t="s">
        <v>133</v>
      </c>
      <c r="W46" s="678"/>
      <c r="X46" s="678"/>
      <c r="Y46" s="678"/>
      <c r="Z46" s="678"/>
      <c r="AA46" s="678"/>
      <c r="AB46" s="1097"/>
      <c r="AC46" s="24"/>
      <c r="AD46" s="465" t="s">
        <v>133</v>
      </c>
      <c r="AE46" s="678"/>
      <c r="AF46" s="678"/>
      <c r="AG46" s="678"/>
      <c r="AH46" s="678"/>
      <c r="AI46" s="678"/>
      <c r="AJ46" s="1097"/>
      <c r="AK46" s="24"/>
      <c r="AL46" s="465" t="s">
        <v>133</v>
      </c>
      <c r="AM46" s="678"/>
      <c r="AN46" s="678"/>
      <c r="AO46" s="678"/>
      <c r="AP46" s="678"/>
      <c r="AQ46" s="678"/>
      <c r="AR46" s="1097"/>
      <c r="AS46" s="24"/>
      <c r="AT46" s="465" t="s">
        <v>133</v>
      </c>
      <c r="AU46" s="678"/>
      <c r="AV46" s="678"/>
      <c r="AW46" s="678"/>
      <c r="AX46" s="678"/>
      <c r="AY46" s="678"/>
      <c r="AZ46" s="1097"/>
      <c r="BA46" s="24"/>
      <c r="BB46" s="465" t="s">
        <v>133</v>
      </c>
      <c r="BC46" s="678"/>
      <c r="BD46" s="678"/>
      <c r="BE46" s="678"/>
      <c r="BF46" s="678"/>
      <c r="BG46" s="678"/>
      <c r="BH46" s="1097"/>
      <c r="BJ46" s="870" t="s">
        <v>133</v>
      </c>
      <c r="BK46" s="861"/>
      <c r="BL46" s="861"/>
      <c r="BM46" s="861"/>
      <c r="BN46" s="861"/>
      <c r="BO46" s="861"/>
      <c r="BP46" s="1125"/>
      <c r="BR46" s="1010" t="s">
        <v>133</v>
      </c>
      <c r="BS46" s="1011"/>
      <c r="BT46" s="1011"/>
      <c r="BU46" s="1011"/>
      <c r="BV46" s="1011"/>
      <c r="BW46" s="1011"/>
      <c r="BX46" s="1011"/>
      <c r="BY46" s="1012"/>
      <c r="BZ46" s="1"/>
      <c r="CB46" s="2726" t="s">
        <v>133</v>
      </c>
      <c r="CC46" s="2727"/>
      <c r="CD46" s="2727"/>
      <c r="CE46" s="2727"/>
      <c r="CF46" s="2727"/>
      <c r="CG46" s="2727"/>
      <c r="CH46" s="2727"/>
      <c r="CI46" s="2727"/>
      <c r="CJ46" s="2727"/>
      <c r="CK46" s="2727"/>
      <c r="CL46" s="2727"/>
      <c r="CM46" s="2727"/>
      <c r="CN46" s="2727"/>
      <c r="CO46" s="2727"/>
      <c r="CP46" s="2728"/>
      <c r="CS46" s="2729" t="s">
        <v>163</v>
      </c>
      <c r="CT46" s="2730"/>
      <c r="CU46" s="2730"/>
      <c r="CV46" s="2730"/>
      <c r="CW46" s="2730"/>
      <c r="CX46" s="2730"/>
      <c r="CY46" s="2730"/>
      <c r="CZ46" s="2730"/>
      <c r="DA46" s="2730"/>
      <c r="DB46" s="2730"/>
      <c r="DC46" s="2730"/>
      <c r="DD46" s="2730"/>
      <c r="DE46" s="2731"/>
      <c r="DG46" s="2729" t="s">
        <v>163</v>
      </c>
      <c r="DH46" s="2730"/>
      <c r="DI46" s="2730"/>
      <c r="DJ46" s="2730"/>
      <c r="DK46" s="2730"/>
      <c r="DL46" s="2730"/>
      <c r="DM46" s="2730"/>
      <c r="DN46" s="2730"/>
      <c r="DO46" s="2730"/>
      <c r="DP46" s="2730"/>
      <c r="DQ46" s="2730"/>
      <c r="DR46" s="2730"/>
      <c r="DS46" s="2731"/>
      <c r="DU46" s="2729" t="s">
        <v>163</v>
      </c>
      <c r="DV46" s="2730"/>
      <c r="DW46" s="2730"/>
      <c r="DX46" s="2730"/>
      <c r="DY46" s="2730"/>
      <c r="DZ46" s="2730"/>
      <c r="EA46" s="2730"/>
      <c r="EB46" s="2730"/>
      <c r="EC46" s="2730"/>
      <c r="ED46" s="2730"/>
      <c r="EE46" s="2730"/>
      <c r="EF46" s="2730"/>
      <c r="EG46" s="2731"/>
      <c r="EI46" s="429" t="s">
        <v>25</v>
      </c>
      <c r="EJ46" s="2695" t="s">
        <v>109</v>
      </c>
      <c r="EK46" s="2696"/>
      <c r="EL46" s="2696"/>
      <c r="EM46" s="2696"/>
      <c r="EN46" s="2696"/>
      <c r="EO46" s="2696"/>
      <c r="EP46" s="2696"/>
      <c r="EQ46" s="2696"/>
      <c r="ER46" s="2697"/>
      <c r="ES46"/>
      <c r="ET46" s="24"/>
      <c r="EU46"/>
      <c r="EV46" s="465" t="s">
        <v>133</v>
      </c>
      <c r="EW46" s="678"/>
      <c r="EX46" s="678"/>
      <c r="EY46" s="678"/>
      <c r="EZ46" s="678"/>
      <c r="FA46" s="678"/>
      <c r="FB46" s="1097"/>
      <c r="FC46" s="40"/>
      <c r="FD46" s="465" t="s">
        <v>133</v>
      </c>
      <c r="FE46" s="678"/>
      <c r="FF46" s="678"/>
      <c r="FG46" s="678"/>
      <c r="FH46" s="678"/>
      <c r="FI46" s="678"/>
      <c r="FJ46" s="1097"/>
      <c r="FK46" s="24"/>
      <c r="FL46" s="465" t="s">
        <v>133</v>
      </c>
      <c r="FM46" s="678"/>
      <c r="FN46" s="678"/>
      <c r="FO46" s="678"/>
      <c r="FP46" s="678"/>
      <c r="FQ46" s="678"/>
      <c r="FR46" s="1097"/>
      <c r="FS46" s="24"/>
      <c r="FT46" s="465" t="s">
        <v>133</v>
      </c>
      <c r="FU46" s="678"/>
      <c r="FV46" s="678"/>
      <c r="FW46" s="678"/>
      <c r="FX46" s="678"/>
      <c r="FY46" s="678"/>
      <c r="FZ46" s="1097"/>
      <c r="GA46" s="24"/>
      <c r="GB46" s="465" t="s">
        <v>133</v>
      </c>
      <c r="GC46" s="678"/>
      <c r="GD46" s="678"/>
      <c r="GE46" s="678"/>
      <c r="GF46" s="678"/>
      <c r="GG46" s="678"/>
      <c r="GH46" s="1097"/>
      <c r="GI46" s="24"/>
      <c r="GJ46" s="465" t="s">
        <v>133</v>
      </c>
      <c r="GK46" s="678"/>
      <c r="GL46" s="678"/>
      <c r="GM46" s="678"/>
      <c r="GN46" s="678"/>
      <c r="GO46" s="678"/>
      <c r="GP46" s="1097"/>
      <c r="GR46" s="870" t="s">
        <v>133</v>
      </c>
      <c r="GS46" s="861"/>
      <c r="GT46" s="861"/>
      <c r="GU46" s="861"/>
      <c r="GV46" s="861"/>
      <c r="GW46" s="861"/>
      <c r="GX46" s="1125"/>
      <c r="GZ46" s="1010" t="s">
        <v>133</v>
      </c>
      <c r="HA46" s="1011"/>
      <c r="HB46" s="1011"/>
      <c r="HC46" s="1011"/>
      <c r="HD46" s="1011"/>
      <c r="HE46" s="1011"/>
      <c r="HF46" s="1011"/>
      <c r="HG46" s="1012"/>
      <c r="HH46" s="1"/>
    </row>
    <row r="47" spans="1:216" ht="15" customHeight="1" thickBot="1" x14ac:dyDescent="0.3">
      <c r="A47" s="22"/>
      <c r="B47" s="1600" t="str">
        <f>'Calc - GRAD ASST'!$C7</f>
        <v>EECS</v>
      </c>
      <c r="C47" s="346" t="str">
        <f>'Calc - GRAD ASST'!A6</f>
        <v>GA #01 / Sponsor Funds</v>
      </c>
      <c r="D47" s="1601">
        <f ca="1">'Calc - GRAD ASST'!K11</f>
        <v>0</v>
      </c>
      <c r="E47" s="1601">
        <f ca="1">'Calc - GRAD ASST'!K12</f>
        <v>0</v>
      </c>
      <c r="F47" s="1601">
        <f ca="1">'Calc - GRAD ASST'!K13</f>
        <v>0</v>
      </c>
      <c r="G47" s="1601">
        <f ca="1">'Calc - GRAD ASST'!K14</f>
        <v>0</v>
      </c>
      <c r="H47" s="1601">
        <f ca="1">'Calc - GRAD ASST'!K15</f>
        <v>0</v>
      </c>
      <c r="I47" s="1601">
        <f ca="1">'Calc - GRAD ASST'!K16</f>
        <v>0</v>
      </c>
      <c r="J47" s="87">
        <f t="shared" ref="J47:J61" ca="1" si="108">SUM(D47:I47)</f>
        <v>0</v>
      </c>
      <c r="K47" s="9" t="str">
        <f ca="1">IF(BY47&lt;&gt;'Calc - GRAD ASST'!$K$17,"ERROR","")</f>
        <v/>
      </c>
      <c r="L47" s="24"/>
      <c r="M47" s="24"/>
      <c r="N47" s="53"/>
      <c r="O47" s="53"/>
      <c r="P47" s="53"/>
      <c r="Q47" s="53"/>
      <c r="R47" s="53"/>
      <c r="S47" s="53"/>
      <c r="T47" s="167">
        <f t="shared" ref="T47:T77" si="109">SUM(N47:S47)</f>
        <v>0</v>
      </c>
      <c r="V47" s="53"/>
      <c r="W47" s="53"/>
      <c r="X47" s="53"/>
      <c r="Y47" s="53"/>
      <c r="Z47" s="53"/>
      <c r="AA47" s="53"/>
      <c r="AB47" s="48">
        <f t="shared" ref="AB47:AB77" si="110">SUM(V47:AA47)</f>
        <v>0</v>
      </c>
      <c r="AD47" s="53"/>
      <c r="AE47" s="53"/>
      <c r="AF47" s="53"/>
      <c r="AG47" s="53"/>
      <c r="AH47" s="53"/>
      <c r="AI47" s="53"/>
      <c r="AJ47" s="209">
        <f t="shared" ref="AJ47:AJ77" si="111">SUM(AD47:AI47)</f>
        <v>0</v>
      </c>
      <c r="AL47" s="53"/>
      <c r="AM47" s="53"/>
      <c r="AN47" s="53"/>
      <c r="AO47" s="53"/>
      <c r="AP47" s="53"/>
      <c r="AQ47" s="53"/>
      <c r="AR47" s="181">
        <f t="shared" ref="AR47:AR77" si="112">SUM(AL47:AQ47)</f>
        <v>0</v>
      </c>
      <c r="AT47" s="53"/>
      <c r="AU47" s="53"/>
      <c r="AV47" s="53"/>
      <c r="AW47" s="53"/>
      <c r="AX47" s="53"/>
      <c r="AY47" s="53"/>
      <c r="AZ47" s="153">
        <f t="shared" ref="AZ47:AZ77" si="113">SUM(AT47:AY47)</f>
        <v>0</v>
      </c>
      <c r="BB47" s="53"/>
      <c r="BC47" s="53"/>
      <c r="BD47" s="53"/>
      <c r="BE47" s="53"/>
      <c r="BF47" s="53"/>
      <c r="BG47" s="53"/>
      <c r="BH47" s="195">
        <f t="shared" ref="BH47:BH77" si="114">SUM(BB47:BG47)</f>
        <v>0</v>
      </c>
      <c r="BJ47" s="53"/>
      <c r="BK47" s="53"/>
      <c r="BL47" s="53"/>
      <c r="BM47" s="53"/>
      <c r="BN47" s="53"/>
      <c r="BO47" s="53"/>
      <c r="BP47" s="1105">
        <f t="shared" ref="BP47:BP81" si="115">SUM(BJ47:BO47)</f>
        <v>0</v>
      </c>
      <c r="BR47" s="574">
        <f t="shared" ref="BR47:BR77" si="116">SUM(N47,V47,AD47,AL47,AT47,BB47)</f>
        <v>0</v>
      </c>
      <c r="BS47" s="574">
        <f t="shared" ref="BS47:BS77" si="117">SUM(O47,W47,AE47,AM47,AU47,BC47)</f>
        <v>0</v>
      </c>
      <c r="BT47" s="574">
        <f t="shared" ref="BT47:BT77" si="118">SUM(P47,X47,AF47,AN47,AV47,BD47)</f>
        <v>0</v>
      </c>
      <c r="BU47" s="574">
        <f t="shared" ref="BU47:BU77" si="119">SUM(Q47,Y47,AG47,AO47,AW47,BE47)</f>
        <v>0</v>
      </c>
      <c r="BV47" s="574">
        <f t="shared" ref="BV47:BV77" si="120">SUM(R47,Z47,AH47,AP47,AX47,BF47)</f>
        <v>0</v>
      </c>
      <c r="BW47" s="574">
        <f t="shared" ref="BW47:BW77" si="121">SUM(S47,AA47,AI47,AQ47,AY47,BG47)</f>
        <v>0</v>
      </c>
      <c r="BX47" s="990">
        <f t="shared" ref="BX47:BX81" si="122">SUM(BR47:BW47)</f>
        <v>0</v>
      </c>
      <c r="BY47" s="276">
        <f t="shared" ref="BY47:BY77" ca="1" si="123">SUM(J47+BX47)</f>
        <v>0</v>
      </c>
      <c r="BZ47" s="257"/>
      <c r="CB47" s="1638">
        <f ca="1">'Calc - GRAD ASST'!$K$11</f>
        <v>0</v>
      </c>
      <c r="CC47" s="1218">
        <f ca="1">'Calc - GRAD ASST'!$K$12/12*3</f>
        <v>0</v>
      </c>
      <c r="CD47" s="1218">
        <f ca="1">'Calc - GRAD ASST'!$K$12/12*3</f>
        <v>0</v>
      </c>
      <c r="CE47" s="1218">
        <f ca="1">'Calc - GRAD ASST'!$K$12/12*2</f>
        <v>0</v>
      </c>
      <c r="CF47" s="1218">
        <f ca="1">'Calc - GRAD ASST'!$K$12/12*1</f>
        <v>0</v>
      </c>
      <c r="CG47" s="1218">
        <f ca="1">'Calc - GRAD ASST'!$K$12/12*3</f>
        <v>0</v>
      </c>
      <c r="CH47" s="1219">
        <f ca="1">'Calc - GRAD ASST'!$K$13/12*3</f>
        <v>0</v>
      </c>
      <c r="CI47" s="1219">
        <f ca="1">'Calc - GRAD ASST'!$K$13/12*3</f>
        <v>0</v>
      </c>
      <c r="CJ47" s="1219">
        <f ca="1">'Calc - GRAD ASST'!$K$13/12*2</f>
        <v>0</v>
      </c>
      <c r="CK47" s="1219">
        <f ca="1">'Calc - GRAD ASST'!$K$13/12*1</f>
        <v>0</v>
      </c>
      <c r="CL47" s="1219">
        <f ca="1">'Calc - GRAD ASST'!$K$13/12*3</f>
        <v>0</v>
      </c>
      <c r="CM47" s="1220">
        <f ca="1">'Calc - GRAD ASST'!$K$14/8*3</f>
        <v>0</v>
      </c>
      <c r="CN47" s="1220">
        <f ca="1">'Calc - GRAD ASST'!$K$14/8*3</f>
        <v>0</v>
      </c>
      <c r="CO47" s="1220">
        <f ca="1">'Calc - GRAD ASST'!$K$14/8*2</f>
        <v>0</v>
      </c>
      <c r="CP47" s="87">
        <f t="shared" ref="CP47:CP84" ca="1" si="124">SUM(CB47:CO47)</f>
        <v>0</v>
      </c>
      <c r="CS47" s="574"/>
      <c r="CT47" s="86"/>
      <c r="CU47" s="1169"/>
      <c r="CV47" s="574"/>
      <c r="CW47" s="86"/>
      <c r="CX47" s="1169"/>
      <c r="CY47" s="574"/>
      <c r="CZ47" s="86"/>
      <c r="DA47" s="1169"/>
      <c r="DB47" s="574"/>
      <c r="DC47" s="86"/>
      <c r="DD47" s="1169"/>
      <c r="DE47" s="1640">
        <f t="shared" ref="DE47:DE61" si="125">SUM(CS47:DD47)</f>
        <v>0</v>
      </c>
      <c r="DG47" s="574"/>
      <c r="DH47" s="86"/>
      <c r="DI47" s="1169"/>
      <c r="DJ47" s="574"/>
      <c r="DK47" s="86"/>
      <c r="DL47" s="1169"/>
      <c r="DM47" s="574"/>
      <c r="DN47" s="86"/>
      <c r="DO47" s="1169"/>
      <c r="DP47" s="574"/>
      <c r="DQ47" s="86"/>
      <c r="DR47" s="1169"/>
      <c r="DS47" s="1640">
        <f t="shared" ref="DS47:DS61" si="126">SUM(DG47:DR47)</f>
        <v>0</v>
      </c>
      <c r="DU47" s="574"/>
      <c r="DV47" s="86"/>
      <c r="DW47" s="1169"/>
      <c r="DX47" s="574"/>
      <c r="DY47" s="86"/>
      <c r="DZ47" s="1169"/>
      <c r="EA47" s="574"/>
      <c r="EB47" s="86"/>
      <c r="EC47" s="1169"/>
      <c r="ED47" s="574"/>
      <c r="EE47" s="86"/>
      <c r="EF47" s="1169"/>
      <c r="EG47" s="1065">
        <f t="shared" ref="EG47:EG61" si="127">SUM(DU47:EF47)</f>
        <v>0</v>
      </c>
      <c r="EI47" s="22"/>
      <c r="EJ47" s="1600" t="str">
        <f t="shared" ref="EJ47:EJ61" si="128">B47</f>
        <v>EECS</v>
      </c>
      <c r="EK47" s="346" t="str">
        <f t="shared" ref="EK47:EK61" si="129">C47</f>
        <v>GA #01 / Sponsor Funds</v>
      </c>
      <c r="EL47" s="1601">
        <f t="shared" ref="EL47:EL61" ca="1" si="130">ROUND(D47,0)</f>
        <v>0</v>
      </c>
      <c r="EM47" s="1601">
        <f t="shared" ref="EM47:EM61" ca="1" si="131">ROUND(E47,0)</f>
        <v>0</v>
      </c>
      <c r="EN47" s="1601">
        <f t="shared" ref="EN47:EN61" ca="1" si="132">ROUND(F47,0)</f>
        <v>0</v>
      </c>
      <c r="EO47" s="1601">
        <f t="shared" ref="EO47:EO61" ca="1" si="133">ROUND(G47,0)</f>
        <v>0</v>
      </c>
      <c r="EP47" s="1601">
        <f t="shared" ref="EP47:EP61" ca="1" si="134">ROUND(H47,0)</f>
        <v>0</v>
      </c>
      <c r="EQ47" s="1601">
        <f t="shared" ref="EQ47:EQ61" ca="1" si="135">ROUND(I47,0)</f>
        <v>0</v>
      </c>
      <c r="ER47" s="87">
        <f t="shared" ref="ER47:ER61" ca="1" si="136">SUM(EL47:EQ47)</f>
        <v>0</v>
      </c>
      <c r="ES47" s="9"/>
      <c r="ET47" s="24"/>
      <c r="EU47" s="24"/>
      <c r="EV47" s="53">
        <f t="shared" ref="EV47:EV61" si="137">ROUND(N47,0)</f>
        <v>0</v>
      </c>
      <c r="EW47" s="53">
        <f t="shared" ref="EW47:EW61" si="138">ROUND(O47,0)</f>
        <v>0</v>
      </c>
      <c r="EX47" s="53">
        <f t="shared" ref="EX47:EX61" si="139">ROUND(P47,0)</f>
        <v>0</v>
      </c>
      <c r="EY47" s="53">
        <f t="shared" ref="EY47:EY61" si="140">ROUND(Q47,0)</f>
        <v>0</v>
      </c>
      <c r="EZ47" s="53">
        <f t="shared" ref="EZ47:EZ61" si="141">ROUND(R47,0)</f>
        <v>0</v>
      </c>
      <c r="FA47" s="53">
        <f t="shared" ref="FA47:FA61" si="142">ROUND(S47,0)</f>
        <v>0</v>
      </c>
      <c r="FB47" s="167">
        <f t="shared" ref="FB47:FB77" si="143">SUM(EV47:FA47)</f>
        <v>0</v>
      </c>
      <c r="FD47" s="53">
        <f t="shared" ref="FD47:FD61" si="144">ROUND(V47,0)</f>
        <v>0</v>
      </c>
      <c r="FE47" s="53">
        <f t="shared" ref="FE47:FE61" si="145">ROUND(W47,0)</f>
        <v>0</v>
      </c>
      <c r="FF47" s="53">
        <f t="shared" ref="FF47:FF61" si="146">ROUND(X47,0)</f>
        <v>0</v>
      </c>
      <c r="FG47" s="53">
        <f t="shared" ref="FG47:FG61" si="147">ROUND(Y47,0)</f>
        <v>0</v>
      </c>
      <c r="FH47" s="53">
        <f t="shared" ref="FH47:FH61" si="148">ROUND(Z47,0)</f>
        <v>0</v>
      </c>
      <c r="FI47" s="53">
        <f t="shared" ref="FI47:FI61" si="149">ROUND(AA47,0)</f>
        <v>0</v>
      </c>
      <c r="FJ47" s="48">
        <f t="shared" ref="FJ47:FJ77" si="150">SUM(FD47:FI47)</f>
        <v>0</v>
      </c>
      <c r="FL47" s="53">
        <f t="shared" ref="FL47:FL61" si="151">ROUND(AD47,0)</f>
        <v>0</v>
      </c>
      <c r="FM47" s="53">
        <f t="shared" ref="FM47:FM61" si="152">ROUND(AE47,0)</f>
        <v>0</v>
      </c>
      <c r="FN47" s="53">
        <f t="shared" ref="FN47:FN61" si="153">ROUND(AF47,0)</f>
        <v>0</v>
      </c>
      <c r="FO47" s="53">
        <f t="shared" ref="FO47:FO61" si="154">ROUND(AG47,0)</f>
        <v>0</v>
      </c>
      <c r="FP47" s="53">
        <f t="shared" ref="FP47:FP61" si="155">ROUND(AH47,0)</f>
        <v>0</v>
      </c>
      <c r="FQ47" s="53">
        <f t="shared" ref="FQ47:FQ61" si="156">ROUND(AI47,0)</f>
        <v>0</v>
      </c>
      <c r="FR47" s="209">
        <f t="shared" ref="FR47:FR77" si="157">SUM(FL47:FQ47)</f>
        <v>0</v>
      </c>
      <c r="FT47" s="53">
        <f t="shared" ref="FT47:FT61" si="158">ROUND(AL47,0)</f>
        <v>0</v>
      </c>
      <c r="FU47" s="53">
        <f t="shared" ref="FU47:FU61" si="159">ROUND(AM47,0)</f>
        <v>0</v>
      </c>
      <c r="FV47" s="53">
        <f t="shared" ref="FV47:FV61" si="160">ROUND(AN47,0)</f>
        <v>0</v>
      </c>
      <c r="FW47" s="53">
        <f t="shared" ref="FW47:FW61" si="161">ROUND(AO47,0)</f>
        <v>0</v>
      </c>
      <c r="FX47" s="53">
        <f t="shared" ref="FX47:FX61" si="162">ROUND(AP47,0)</f>
        <v>0</v>
      </c>
      <c r="FY47" s="53">
        <f t="shared" ref="FY47:FY61" si="163">ROUND(AQ47,0)</f>
        <v>0</v>
      </c>
      <c r="FZ47" s="181">
        <f t="shared" ref="FZ47:FZ77" si="164">SUM(FT47:FY47)</f>
        <v>0</v>
      </c>
      <c r="GB47" s="53">
        <f t="shared" ref="GB47:GB61" si="165">ROUND(AT47,0)</f>
        <v>0</v>
      </c>
      <c r="GC47" s="53">
        <f t="shared" ref="GC47:GC61" si="166">ROUND(AU47,0)</f>
        <v>0</v>
      </c>
      <c r="GD47" s="53">
        <f t="shared" ref="GD47:GD61" si="167">ROUND(AV47,0)</f>
        <v>0</v>
      </c>
      <c r="GE47" s="53">
        <f t="shared" ref="GE47:GE61" si="168">ROUND(AW47,0)</f>
        <v>0</v>
      </c>
      <c r="GF47" s="53">
        <f t="shared" ref="GF47:GF61" si="169">ROUND(AX47,0)</f>
        <v>0</v>
      </c>
      <c r="GG47" s="53">
        <f t="shared" ref="GG47:GG61" si="170">ROUND(AY47,0)</f>
        <v>0</v>
      </c>
      <c r="GH47" s="153">
        <f t="shared" ref="GH47:GH77" si="171">SUM(GB47:GG47)</f>
        <v>0</v>
      </c>
      <c r="GJ47" s="53"/>
      <c r="GK47" s="53"/>
      <c r="GL47" s="53"/>
      <c r="GM47" s="53"/>
      <c r="GN47" s="53"/>
      <c r="GO47" s="53"/>
      <c r="GP47" s="195">
        <f t="shared" ref="GP47:GP77" si="172">SUM(GJ47:GO47)</f>
        <v>0</v>
      </c>
      <c r="GR47" s="53"/>
      <c r="GS47" s="53"/>
      <c r="GT47" s="53"/>
      <c r="GU47" s="53"/>
      <c r="GV47" s="53"/>
      <c r="GW47" s="53"/>
      <c r="GX47" s="1105">
        <f t="shared" ref="GX47:GX81" si="173">SUM(GR47:GW47)</f>
        <v>0</v>
      </c>
      <c r="GZ47" s="574">
        <f t="shared" ref="GZ47:GZ77" si="174">SUM(EV47,FD47,FL47,FT47,GB47,GJ47)</f>
        <v>0</v>
      </c>
      <c r="HA47" s="574">
        <f t="shared" ref="HA47:HA77" si="175">SUM(EW47,FE47,FM47,FU47,GC47,GK47)</f>
        <v>0</v>
      </c>
      <c r="HB47" s="574">
        <f t="shared" ref="HB47:HB77" si="176">SUM(EX47,FF47,FN47,FV47,GD47,GL47)</f>
        <v>0</v>
      </c>
      <c r="HC47" s="574">
        <f t="shared" ref="HC47:HC77" si="177">SUM(EY47,FG47,FO47,FW47,GE47,GM47)</f>
        <v>0</v>
      </c>
      <c r="HD47" s="574">
        <f t="shared" ref="HD47:HD77" si="178">SUM(EZ47,FH47,FP47,FX47,GF47,GN47)</f>
        <v>0</v>
      </c>
      <c r="HE47" s="574">
        <f t="shared" ref="HE47:HE77" si="179">SUM(FA47,FI47,FQ47,FY47,GG47,GO47)</f>
        <v>0</v>
      </c>
      <c r="HF47" s="990">
        <f t="shared" ref="HF47:HF81" si="180">SUM(GZ47:HE47)</f>
        <v>0</v>
      </c>
      <c r="HG47" s="276">
        <f t="shared" ref="HG47:HG77" ca="1" si="181">SUM(ER47+HF47)</f>
        <v>0</v>
      </c>
      <c r="HH47" s="257"/>
    </row>
    <row r="48" spans="1:216" ht="15" hidden="1" customHeight="1" thickBot="1" x14ac:dyDescent="0.3">
      <c r="A48" s="22"/>
      <c r="B48" s="348">
        <f>'Calc - GRAD ASST'!$C36</f>
        <v>0</v>
      </c>
      <c r="C48" s="57" t="str">
        <f>'Calc - GRAD ASST'!A35</f>
        <v>GA #02 / Sponsor Funds</v>
      </c>
      <c r="D48" s="53">
        <f ca="1">'Calc - GRAD ASST'!K40</f>
        <v>0</v>
      </c>
      <c r="E48" s="53">
        <f ca="1">'Calc - GRAD ASST'!K41</f>
        <v>0</v>
      </c>
      <c r="F48" s="53">
        <f ca="1">'Calc - GRAD ASST'!K42</f>
        <v>0</v>
      </c>
      <c r="G48" s="53">
        <f ca="1">'Calc - GRAD ASST'!K43</f>
        <v>0</v>
      </c>
      <c r="H48" s="53">
        <f ca="1">'Calc - GRAD ASST'!K44</f>
        <v>0</v>
      </c>
      <c r="I48" s="53">
        <f ca="1">'Calc - GRAD ASST'!K45</f>
        <v>0</v>
      </c>
      <c r="J48" s="88">
        <f t="shared" ca="1" si="108"/>
        <v>0</v>
      </c>
      <c r="K48" s="2072" t="str">
        <f ca="1">IF(BY48&lt;&gt;'Calc - GRAD ASST'!$K$46,"ERROR","")</f>
        <v/>
      </c>
      <c r="L48" s="24"/>
      <c r="M48" s="24"/>
      <c r="N48" s="53"/>
      <c r="O48" s="53"/>
      <c r="P48" s="53"/>
      <c r="Q48" s="53"/>
      <c r="R48" s="53"/>
      <c r="S48" s="53"/>
      <c r="T48" s="167">
        <f t="shared" si="109"/>
        <v>0</v>
      </c>
      <c r="V48" s="53"/>
      <c r="W48" s="53"/>
      <c r="X48" s="53"/>
      <c r="Y48" s="53"/>
      <c r="Z48" s="53"/>
      <c r="AA48" s="53"/>
      <c r="AB48" s="48">
        <f t="shared" si="110"/>
        <v>0</v>
      </c>
      <c r="AD48" s="53"/>
      <c r="AE48" s="53"/>
      <c r="AF48" s="53"/>
      <c r="AG48" s="53"/>
      <c r="AH48" s="53"/>
      <c r="AI48" s="53"/>
      <c r="AJ48" s="209">
        <f t="shared" si="111"/>
        <v>0</v>
      </c>
      <c r="AL48" s="53"/>
      <c r="AM48" s="53"/>
      <c r="AN48" s="53"/>
      <c r="AO48" s="53"/>
      <c r="AP48" s="53"/>
      <c r="AQ48" s="53"/>
      <c r="AR48" s="181">
        <f t="shared" si="112"/>
        <v>0</v>
      </c>
      <c r="AT48" s="53"/>
      <c r="AU48" s="53"/>
      <c r="AV48" s="53"/>
      <c r="AW48" s="53"/>
      <c r="AX48" s="53"/>
      <c r="AY48" s="53"/>
      <c r="AZ48" s="153">
        <f t="shared" si="113"/>
        <v>0</v>
      </c>
      <c r="BB48" s="53"/>
      <c r="BC48" s="53"/>
      <c r="BD48" s="53"/>
      <c r="BE48" s="53"/>
      <c r="BF48" s="53"/>
      <c r="BG48" s="53"/>
      <c r="BH48" s="195">
        <f t="shared" si="114"/>
        <v>0</v>
      </c>
      <c r="BJ48" s="53"/>
      <c r="BK48" s="53"/>
      <c r="BL48" s="53"/>
      <c r="BM48" s="53"/>
      <c r="BN48" s="53"/>
      <c r="BO48" s="53"/>
      <c r="BP48" s="1105">
        <f t="shared" si="115"/>
        <v>0</v>
      </c>
      <c r="BR48" s="575">
        <f t="shared" si="116"/>
        <v>0</v>
      </c>
      <c r="BS48" s="575">
        <f t="shared" si="117"/>
        <v>0</v>
      </c>
      <c r="BT48" s="575">
        <f t="shared" si="118"/>
        <v>0</v>
      </c>
      <c r="BU48" s="575">
        <f t="shared" si="119"/>
        <v>0</v>
      </c>
      <c r="BV48" s="575">
        <f t="shared" si="120"/>
        <v>0</v>
      </c>
      <c r="BW48" s="575">
        <f t="shared" si="121"/>
        <v>0</v>
      </c>
      <c r="BX48" s="991">
        <f t="shared" si="122"/>
        <v>0</v>
      </c>
      <c r="BY48" s="573">
        <f t="shared" ca="1" si="123"/>
        <v>0</v>
      </c>
      <c r="BZ48" s="257"/>
      <c r="CB48" s="1639">
        <f ca="1">'Calc - GRAD ASST'!$K$40</f>
        <v>0</v>
      </c>
      <c r="CC48" s="1221">
        <f ca="1">'Calc - GRAD ASST'!$K$41/12*3</f>
        <v>0</v>
      </c>
      <c r="CD48" s="1221">
        <f ca="1">'Calc - GRAD ASST'!$K$41/12*3</f>
        <v>0</v>
      </c>
      <c r="CE48" s="1221">
        <f ca="1">'Calc - GRAD ASST'!$K$41/12*2</f>
        <v>0</v>
      </c>
      <c r="CF48" s="1221">
        <f ca="1">'Calc - GRAD ASST'!$K$41/12*1</f>
        <v>0</v>
      </c>
      <c r="CG48" s="1221">
        <f ca="1">'Calc - GRAD ASST'!$K$41/12*3</f>
        <v>0</v>
      </c>
      <c r="CH48" s="1222">
        <f ca="1">'Calc - GRAD ASST'!$K$42/12*3</f>
        <v>0</v>
      </c>
      <c r="CI48" s="1222">
        <f ca="1">'Calc - GRAD ASST'!$K$42/12*3</f>
        <v>0</v>
      </c>
      <c r="CJ48" s="1222">
        <f ca="1">'Calc - GRAD ASST'!$K$42/12*2</f>
        <v>0</v>
      </c>
      <c r="CK48" s="1222">
        <f ca="1">'Calc - GRAD ASST'!$K$42/12*1</f>
        <v>0</v>
      </c>
      <c r="CL48" s="1222">
        <f ca="1">'Calc - GRAD ASST'!$K$42/12*3</f>
        <v>0</v>
      </c>
      <c r="CM48" s="1223">
        <f ca="1">'Calc - GRAD ASST'!$K$43/8*3</f>
        <v>0</v>
      </c>
      <c r="CN48" s="1223">
        <f ca="1">'Calc - GRAD ASST'!$K$43/8*3</f>
        <v>0</v>
      </c>
      <c r="CO48" s="1223">
        <f ca="1">'Calc - GRAD ASST'!$K$43/8*2</f>
        <v>0</v>
      </c>
      <c r="CP48" s="88">
        <f t="shared" ca="1" si="124"/>
        <v>0</v>
      </c>
      <c r="CS48" s="575"/>
      <c r="CT48" s="5"/>
      <c r="CU48" s="1180"/>
      <c r="CV48" s="575"/>
      <c r="CW48" s="5"/>
      <c r="CX48" s="1180"/>
      <c r="CY48" s="575"/>
      <c r="CZ48" s="5"/>
      <c r="DA48" s="1180"/>
      <c r="DB48" s="575"/>
      <c r="DC48" s="5"/>
      <c r="DD48" s="1180"/>
      <c r="DE48" s="1641">
        <f t="shared" si="125"/>
        <v>0</v>
      </c>
      <c r="DG48" s="575"/>
      <c r="DH48" s="5"/>
      <c r="DI48" s="1180"/>
      <c r="DJ48" s="575"/>
      <c r="DK48" s="5"/>
      <c r="DL48" s="1180"/>
      <c r="DM48" s="575"/>
      <c r="DN48" s="5"/>
      <c r="DO48" s="1180"/>
      <c r="DP48" s="575"/>
      <c r="DQ48" s="5"/>
      <c r="DR48" s="1180"/>
      <c r="DS48" s="1641">
        <f t="shared" si="126"/>
        <v>0</v>
      </c>
      <c r="DU48" s="575"/>
      <c r="DV48" s="5"/>
      <c r="DW48" s="1180"/>
      <c r="DX48" s="575"/>
      <c r="DY48" s="5"/>
      <c r="DZ48" s="1180"/>
      <c r="EA48" s="575"/>
      <c r="EB48" s="5"/>
      <c r="EC48" s="1180"/>
      <c r="ED48" s="575"/>
      <c r="EE48" s="5"/>
      <c r="EF48" s="1180"/>
      <c r="EG48" s="1181">
        <f t="shared" si="127"/>
        <v>0</v>
      </c>
      <c r="EI48" s="22"/>
      <c r="EJ48" s="348">
        <f t="shared" si="128"/>
        <v>0</v>
      </c>
      <c r="EK48" s="57" t="str">
        <f t="shared" si="129"/>
        <v>GA #02 / Sponsor Funds</v>
      </c>
      <c r="EL48" s="53">
        <f t="shared" ca="1" si="130"/>
        <v>0</v>
      </c>
      <c r="EM48" s="53">
        <f t="shared" ca="1" si="131"/>
        <v>0</v>
      </c>
      <c r="EN48" s="53">
        <f t="shared" ca="1" si="132"/>
        <v>0</v>
      </c>
      <c r="EO48" s="53">
        <f t="shared" ca="1" si="133"/>
        <v>0</v>
      </c>
      <c r="EP48" s="53">
        <f t="shared" ca="1" si="134"/>
        <v>0</v>
      </c>
      <c r="EQ48" s="53">
        <f t="shared" ca="1" si="135"/>
        <v>0</v>
      </c>
      <c r="ER48" s="88">
        <f t="shared" ca="1" si="136"/>
        <v>0</v>
      </c>
      <c r="ES48" s="2072"/>
      <c r="ET48" s="24"/>
      <c r="EU48" s="24"/>
      <c r="EV48" s="53">
        <f t="shared" si="137"/>
        <v>0</v>
      </c>
      <c r="EW48" s="53">
        <f t="shared" si="138"/>
        <v>0</v>
      </c>
      <c r="EX48" s="53">
        <f t="shared" si="139"/>
        <v>0</v>
      </c>
      <c r="EY48" s="53">
        <f t="shared" si="140"/>
        <v>0</v>
      </c>
      <c r="EZ48" s="53">
        <f t="shared" si="141"/>
        <v>0</v>
      </c>
      <c r="FA48" s="53">
        <f t="shared" si="142"/>
        <v>0</v>
      </c>
      <c r="FB48" s="167">
        <f t="shared" si="143"/>
        <v>0</v>
      </c>
      <c r="FD48" s="53">
        <f t="shared" si="144"/>
        <v>0</v>
      </c>
      <c r="FE48" s="53">
        <f t="shared" si="145"/>
        <v>0</v>
      </c>
      <c r="FF48" s="53">
        <f t="shared" si="146"/>
        <v>0</v>
      </c>
      <c r="FG48" s="53">
        <f t="shared" si="147"/>
        <v>0</v>
      </c>
      <c r="FH48" s="53">
        <f t="shared" si="148"/>
        <v>0</v>
      </c>
      <c r="FI48" s="53">
        <f t="shared" si="149"/>
        <v>0</v>
      </c>
      <c r="FJ48" s="48">
        <f t="shared" si="150"/>
        <v>0</v>
      </c>
      <c r="FL48" s="53">
        <f t="shared" si="151"/>
        <v>0</v>
      </c>
      <c r="FM48" s="53">
        <f t="shared" si="152"/>
        <v>0</v>
      </c>
      <c r="FN48" s="53">
        <f t="shared" si="153"/>
        <v>0</v>
      </c>
      <c r="FO48" s="53">
        <f t="shared" si="154"/>
        <v>0</v>
      </c>
      <c r="FP48" s="53">
        <f t="shared" si="155"/>
        <v>0</v>
      </c>
      <c r="FQ48" s="53">
        <f t="shared" si="156"/>
        <v>0</v>
      </c>
      <c r="FR48" s="209">
        <f t="shared" si="157"/>
        <v>0</v>
      </c>
      <c r="FT48" s="53">
        <f t="shared" si="158"/>
        <v>0</v>
      </c>
      <c r="FU48" s="53">
        <f t="shared" si="159"/>
        <v>0</v>
      </c>
      <c r="FV48" s="53">
        <f t="shared" si="160"/>
        <v>0</v>
      </c>
      <c r="FW48" s="53">
        <f t="shared" si="161"/>
        <v>0</v>
      </c>
      <c r="FX48" s="53">
        <f t="shared" si="162"/>
        <v>0</v>
      </c>
      <c r="FY48" s="53">
        <f t="shared" si="163"/>
        <v>0</v>
      </c>
      <c r="FZ48" s="181">
        <f t="shared" si="164"/>
        <v>0</v>
      </c>
      <c r="GB48" s="53">
        <f t="shared" si="165"/>
        <v>0</v>
      </c>
      <c r="GC48" s="53">
        <f t="shared" si="166"/>
        <v>0</v>
      </c>
      <c r="GD48" s="53">
        <f t="shared" si="167"/>
        <v>0</v>
      </c>
      <c r="GE48" s="53">
        <f t="shared" si="168"/>
        <v>0</v>
      </c>
      <c r="GF48" s="53">
        <f t="shared" si="169"/>
        <v>0</v>
      </c>
      <c r="GG48" s="53">
        <f t="shared" si="170"/>
        <v>0</v>
      </c>
      <c r="GH48" s="153">
        <f t="shared" si="171"/>
        <v>0</v>
      </c>
      <c r="GJ48" s="53"/>
      <c r="GK48" s="53"/>
      <c r="GL48" s="53"/>
      <c r="GM48" s="53"/>
      <c r="GN48" s="53"/>
      <c r="GO48" s="53"/>
      <c r="GP48" s="195">
        <f t="shared" si="172"/>
        <v>0</v>
      </c>
      <c r="GR48" s="53"/>
      <c r="GS48" s="53"/>
      <c r="GT48" s="53"/>
      <c r="GU48" s="53"/>
      <c r="GV48" s="53"/>
      <c r="GW48" s="53"/>
      <c r="GX48" s="1105">
        <f t="shared" si="173"/>
        <v>0</v>
      </c>
      <c r="GZ48" s="575">
        <f t="shared" si="174"/>
        <v>0</v>
      </c>
      <c r="HA48" s="575">
        <f t="shared" si="175"/>
        <v>0</v>
      </c>
      <c r="HB48" s="575">
        <f t="shared" si="176"/>
        <v>0</v>
      </c>
      <c r="HC48" s="575">
        <f t="shared" si="177"/>
        <v>0</v>
      </c>
      <c r="HD48" s="575">
        <f t="shared" si="178"/>
        <v>0</v>
      </c>
      <c r="HE48" s="575">
        <f t="shared" si="179"/>
        <v>0</v>
      </c>
      <c r="HF48" s="991">
        <f t="shared" si="180"/>
        <v>0</v>
      </c>
      <c r="HG48" s="573">
        <f t="shared" ca="1" si="181"/>
        <v>0</v>
      </c>
      <c r="HH48" s="257"/>
    </row>
    <row r="49" spans="1:216" ht="15" hidden="1" customHeight="1" x14ac:dyDescent="0.25">
      <c r="A49" s="22"/>
      <c r="B49" s="348">
        <f>'Calc - GRAD ASST'!$C65</f>
        <v>0</v>
      </c>
      <c r="C49" s="57" t="str">
        <f>'Calc - GRAD ASST'!A64</f>
        <v>GA #03 / Sponsor Funds</v>
      </c>
      <c r="D49" s="53">
        <f ca="1">'Calc - GRAD ASST'!K69</f>
        <v>0</v>
      </c>
      <c r="E49" s="53">
        <f ca="1">'Calc - GRAD ASST'!K70</f>
        <v>0</v>
      </c>
      <c r="F49" s="53">
        <f ca="1">'Calc - GRAD ASST'!K71</f>
        <v>0</v>
      </c>
      <c r="G49" s="53">
        <f ca="1">'Calc - GRAD ASST'!K72</f>
        <v>0</v>
      </c>
      <c r="H49" s="53">
        <f ca="1">'Calc - GRAD ASST'!K73</f>
        <v>0</v>
      </c>
      <c r="I49" s="53">
        <f ca="1">'Calc - GRAD ASST'!K74</f>
        <v>0</v>
      </c>
      <c r="J49" s="88">
        <f t="shared" ca="1" si="108"/>
        <v>0</v>
      </c>
      <c r="K49" s="2072" t="str">
        <f ca="1">IF(BY49&lt;&gt;'Calc - GRAD ASST'!$K$75,"ERROR","")</f>
        <v/>
      </c>
      <c r="L49" s="24"/>
      <c r="M49" s="24"/>
      <c r="N49" s="53"/>
      <c r="O49" s="53"/>
      <c r="P49" s="53"/>
      <c r="Q49" s="53"/>
      <c r="R49" s="53"/>
      <c r="S49" s="53"/>
      <c r="T49" s="167">
        <f t="shared" si="109"/>
        <v>0</v>
      </c>
      <c r="V49" s="53"/>
      <c r="W49" s="53"/>
      <c r="X49" s="53"/>
      <c r="Y49" s="53"/>
      <c r="Z49" s="53"/>
      <c r="AA49" s="53"/>
      <c r="AB49" s="48">
        <f t="shared" si="110"/>
        <v>0</v>
      </c>
      <c r="AD49" s="53"/>
      <c r="AE49" s="53"/>
      <c r="AF49" s="53"/>
      <c r="AG49" s="53"/>
      <c r="AH49" s="53"/>
      <c r="AI49" s="53"/>
      <c r="AJ49" s="209">
        <f t="shared" si="111"/>
        <v>0</v>
      </c>
      <c r="AL49" s="53"/>
      <c r="AM49" s="53"/>
      <c r="AN49" s="53"/>
      <c r="AO49" s="53"/>
      <c r="AP49" s="53"/>
      <c r="AQ49" s="53"/>
      <c r="AR49" s="181">
        <f t="shared" si="112"/>
        <v>0</v>
      </c>
      <c r="AT49" s="53"/>
      <c r="AU49" s="53"/>
      <c r="AV49" s="53"/>
      <c r="AW49" s="53"/>
      <c r="AX49" s="53"/>
      <c r="AY49" s="53"/>
      <c r="AZ49" s="153">
        <f t="shared" si="113"/>
        <v>0</v>
      </c>
      <c r="BB49" s="53"/>
      <c r="BC49" s="53"/>
      <c r="BD49" s="53"/>
      <c r="BE49" s="53"/>
      <c r="BF49" s="53"/>
      <c r="BG49" s="53"/>
      <c r="BH49" s="195">
        <f t="shared" si="114"/>
        <v>0</v>
      </c>
      <c r="BJ49" s="53"/>
      <c r="BK49" s="53"/>
      <c r="BL49" s="53"/>
      <c r="BM49" s="53"/>
      <c r="BN49" s="53"/>
      <c r="BO49" s="53"/>
      <c r="BP49" s="1105">
        <f t="shared" si="115"/>
        <v>0</v>
      </c>
      <c r="BR49" s="575">
        <f t="shared" si="116"/>
        <v>0</v>
      </c>
      <c r="BS49" s="575">
        <f t="shared" si="117"/>
        <v>0</v>
      </c>
      <c r="BT49" s="575">
        <f t="shared" si="118"/>
        <v>0</v>
      </c>
      <c r="BU49" s="575">
        <f t="shared" si="119"/>
        <v>0</v>
      </c>
      <c r="BV49" s="575">
        <f t="shared" si="120"/>
        <v>0</v>
      </c>
      <c r="BW49" s="575">
        <f t="shared" si="121"/>
        <v>0</v>
      </c>
      <c r="BX49" s="991">
        <f t="shared" si="122"/>
        <v>0</v>
      </c>
      <c r="BY49" s="573">
        <f t="shared" ca="1" si="123"/>
        <v>0</v>
      </c>
      <c r="BZ49" s="257"/>
      <c r="CB49" s="1639">
        <f ca="1">'Calc - GRAD ASST'!$K$69</f>
        <v>0</v>
      </c>
      <c r="CC49" s="1221">
        <f ca="1">'Calc - GRAD ASST'!$K$70/12*3</f>
        <v>0</v>
      </c>
      <c r="CD49" s="1221">
        <f ca="1">'Calc - GRAD ASST'!$K$70/12*3</f>
        <v>0</v>
      </c>
      <c r="CE49" s="1221">
        <f ca="1">'Calc - GRAD ASST'!$K$70/12*2</f>
        <v>0</v>
      </c>
      <c r="CF49" s="1221">
        <f ca="1">'Calc - GRAD ASST'!$K$70/12*1</f>
        <v>0</v>
      </c>
      <c r="CG49" s="1221">
        <f ca="1">'Calc - GRAD ASST'!$K$70/12*3</f>
        <v>0</v>
      </c>
      <c r="CH49" s="1222">
        <f ca="1">'Calc - GRAD ASST'!$K$71/12*3</f>
        <v>0</v>
      </c>
      <c r="CI49" s="1222">
        <f ca="1">'Calc - GRAD ASST'!$K$71/12*3</f>
        <v>0</v>
      </c>
      <c r="CJ49" s="1222">
        <f ca="1">'Calc - GRAD ASST'!$K$71/12*2</f>
        <v>0</v>
      </c>
      <c r="CK49" s="1222">
        <f ca="1">'Calc - GRAD ASST'!$K$71/12*1</f>
        <v>0</v>
      </c>
      <c r="CL49" s="1222">
        <f ca="1">'Calc - GRAD ASST'!$K$71/12*3</f>
        <v>0</v>
      </c>
      <c r="CM49" s="1223">
        <f ca="1">'Calc - GRAD ASST'!$K$72/8*3</f>
        <v>0</v>
      </c>
      <c r="CN49" s="1223">
        <f ca="1">'Calc - GRAD ASST'!$K$72/8*3</f>
        <v>0</v>
      </c>
      <c r="CO49" s="1223">
        <f ca="1">'Calc - GRAD ASST'!$K$72/8*2</f>
        <v>0</v>
      </c>
      <c r="CP49" s="88">
        <f t="shared" ca="1" si="124"/>
        <v>0</v>
      </c>
      <c r="CS49" s="575"/>
      <c r="CT49" s="5"/>
      <c r="CU49" s="1180"/>
      <c r="CV49" s="575"/>
      <c r="CW49" s="5"/>
      <c r="CX49" s="1180"/>
      <c r="CY49" s="575"/>
      <c r="CZ49" s="5"/>
      <c r="DA49" s="1180"/>
      <c r="DB49" s="575"/>
      <c r="DC49" s="5"/>
      <c r="DD49" s="1180"/>
      <c r="DE49" s="1641">
        <f t="shared" si="125"/>
        <v>0</v>
      </c>
      <c r="DG49" s="575"/>
      <c r="DH49" s="5"/>
      <c r="DI49" s="1180"/>
      <c r="DJ49" s="575"/>
      <c r="DK49" s="5"/>
      <c r="DL49" s="1180"/>
      <c r="DM49" s="575"/>
      <c r="DN49" s="5"/>
      <c r="DO49" s="1180"/>
      <c r="DP49" s="575"/>
      <c r="DQ49" s="5"/>
      <c r="DR49" s="1180"/>
      <c r="DS49" s="1641">
        <f t="shared" si="126"/>
        <v>0</v>
      </c>
      <c r="DU49" s="575"/>
      <c r="DV49" s="5"/>
      <c r="DW49" s="1180"/>
      <c r="DX49" s="575"/>
      <c r="DY49" s="5"/>
      <c r="DZ49" s="1180"/>
      <c r="EA49" s="575"/>
      <c r="EB49" s="5"/>
      <c r="EC49" s="1180"/>
      <c r="ED49" s="575"/>
      <c r="EE49" s="5"/>
      <c r="EF49" s="1180"/>
      <c r="EG49" s="1181">
        <f t="shared" si="127"/>
        <v>0</v>
      </c>
      <c r="EI49" s="22"/>
      <c r="EJ49" s="348">
        <f t="shared" si="128"/>
        <v>0</v>
      </c>
      <c r="EK49" s="57" t="str">
        <f t="shared" si="129"/>
        <v>GA #03 / Sponsor Funds</v>
      </c>
      <c r="EL49" s="53">
        <f t="shared" ca="1" si="130"/>
        <v>0</v>
      </c>
      <c r="EM49" s="53">
        <f t="shared" ca="1" si="131"/>
        <v>0</v>
      </c>
      <c r="EN49" s="53">
        <f t="shared" ca="1" si="132"/>
        <v>0</v>
      </c>
      <c r="EO49" s="53">
        <f t="shared" ca="1" si="133"/>
        <v>0</v>
      </c>
      <c r="EP49" s="53">
        <f t="shared" ca="1" si="134"/>
        <v>0</v>
      </c>
      <c r="EQ49" s="53">
        <f t="shared" ca="1" si="135"/>
        <v>0</v>
      </c>
      <c r="ER49" s="88">
        <f t="shared" ca="1" si="136"/>
        <v>0</v>
      </c>
      <c r="ES49" s="2072"/>
      <c r="ET49" s="24"/>
      <c r="EU49" s="24"/>
      <c r="EV49" s="53">
        <f t="shared" si="137"/>
        <v>0</v>
      </c>
      <c r="EW49" s="53">
        <f t="shared" si="138"/>
        <v>0</v>
      </c>
      <c r="EX49" s="53">
        <f t="shared" si="139"/>
        <v>0</v>
      </c>
      <c r="EY49" s="53">
        <f t="shared" si="140"/>
        <v>0</v>
      </c>
      <c r="EZ49" s="53">
        <f t="shared" si="141"/>
        <v>0</v>
      </c>
      <c r="FA49" s="53">
        <f t="shared" si="142"/>
        <v>0</v>
      </c>
      <c r="FB49" s="167">
        <f t="shared" si="143"/>
        <v>0</v>
      </c>
      <c r="FD49" s="53">
        <f t="shared" si="144"/>
        <v>0</v>
      </c>
      <c r="FE49" s="53">
        <f t="shared" si="145"/>
        <v>0</v>
      </c>
      <c r="FF49" s="53">
        <f t="shared" si="146"/>
        <v>0</v>
      </c>
      <c r="FG49" s="53">
        <f t="shared" si="147"/>
        <v>0</v>
      </c>
      <c r="FH49" s="53">
        <f t="shared" si="148"/>
        <v>0</v>
      </c>
      <c r="FI49" s="53">
        <f t="shared" si="149"/>
        <v>0</v>
      </c>
      <c r="FJ49" s="48">
        <f t="shared" si="150"/>
        <v>0</v>
      </c>
      <c r="FL49" s="53">
        <f t="shared" si="151"/>
        <v>0</v>
      </c>
      <c r="FM49" s="53">
        <f t="shared" si="152"/>
        <v>0</v>
      </c>
      <c r="FN49" s="53">
        <f t="shared" si="153"/>
        <v>0</v>
      </c>
      <c r="FO49" s="53">
        <f t="shared" si="154"/>
        <v>0</v>
      </c>
      <c r="FP49" s="53">
        <f t="shared" si="155"/>
        <v>0</v>
      </c>
      <c r="FQ49" s="53">
        <f t="shared" si="156"/>
        <v>0</v>
      </c>
      <c r="FR49" s="209">
        <f t="shared" si="157"/>
        <v>0</v>
      </c>
      <c r="FT49" s="53">
        <f t="shared" si="158"/>
        <v>0</v>
      </c>
      <c r="FU49" s="53">
        <f t="shared" si="159"/>
        <v>0</v>
      </c>
      <c r="FV49" s="53">
        <f t="shared" si="160"/>
        <v>0</v>
      </c>
      <c r="FW49" s="53">
        <f t="shared" si="161"/>
        <v>0</v>
      </c>
      <c r="FX49" s="53">
        <f t="shared" si="162"/>
        <v>0</v>
      </c>
      <c r="FY49" s="53">
        <f t="shared" si="163"/>
        <v>0</v>
      </c>
      <c r="FZ49" s="181">
        <f t="shared" si="164"/>
        <v>0</v>
      </c>
      <c r="GB49" s="53">
        <f t="shared" si="165"/>
        <v>0</v>
      </c>
      <c r="GC49" s="53">
        <f t="shared" si="166"/>
        <v>0</v>
      </c>
      <c r="GD49" s="53">
        <f t="shared" si="167"/>
        <v>0</v>
      </c>
      <c r="GE49" s="53">
        <f t="shared" si="168"/>
        <v>0</v>
      </c>
      <c r="GF49" s="53">
        <f t="shared" si="169"/>
        <v>0</v>
      </c>
      <c r="GG49" s="53">
        <f t="shared" si="170"/>
        <v>0</v>
      </c>
      <c r="GH49" s="153">
        <f t="shared" si="171"/>
        <v>0</v>
      </c>
      <c r="GJ49" s="53"/>
      <c r="GK49" s="53"/>
      <c r="GL49" s="53"/>
      <c r="GM49" s="53"/>
      <c r="GN49" s="53"/>
      <c r="GO49" s="53"/>
      <c r="GP49" s="195">
        <f t="shared" si="172"/>
        <v>0</v>
      </c>
      <c r="GR49" s="53"/>
      <c r="GS49" s="53"/>
      <c r="GT49" s="53"/>
      <c r="GU49" s="53"/>
      <c r="GV49" s="53"/>
      <c r="GW49" s="53"/>
      <c r="GX49" s="1105">
        <f t="shared" si="173"/>
        <v>0</v>
      </c>
      <c r="GZ49" s="575">
        <f t="shared" si="174"/>
        <v>0</v>
      </c>
      <c r="HA49" s="575">
        <f t="shared" si="175"/>
        <v>0</v>
      </c>
      <c r="HB49" s="575">
        <f t="shared" si="176"/>
        <v>0</v>
      </c>
      <c r="HC49" s="575">
        <f t="shared" si="177"/>
        <v>0</v>
      </c>
      <c r="HD49" s="575">
        <f t="shared" si="178"/>
        <v>0</v>
      </c>
      <c r="HE49" s="575">
        <f t="shared" si="179"/>
        <v>0</v>
      </c>
      <c r="HF49" s="991">
        <f t="shared" si="180"/>
        <v>0</v>
      </c>
      <c r="HG49" s="573">
        <f t="shared" ca="1" si="181"/>
        <v>0</v>
      </c>
      <c r="HH49" s="257"/>
    </row>
    <row r="50" spans="1:216" ht="15" hidden="1" customHeight="1" x14ac:dyDescent="0.25">
      <c r="A50" s="22"/>
      <c r="B50" s="348">
        <f>'Calc - GRAD ASST'!$C94</f>
        <v>0</v>
      </c>
      <c r="C50" s="57" t="str">
        <f>'Calc - GRAD ASST'!A93</f>
        <v>GA #04 / Sponsor Funds</v>
      </c>
      <c r="D50" s="53">
        <f ca="1">'Calc - GRAD ASST'!K98</f>
        <v>0</v>
      </c>
      <c r="E50" s="53">
        <f ca="1">'Calc - GRAD ASST'!K99</f>
        <v>0</v>
      </c>
      <c r="F50" s="53">
        <f ca="1">'Calc - GRAD ASST'!K100</f>
        <v>0</v>
      </c>
      <c r="G50" s="53">
        <f ca="1">'Calc - GRAD ASST'!K101</f>
        <v>0</v>
      </c>
      <c r="H50" s="53">
        <f ca="1">'Calc - GRAD ASST'!K102</f>
        <v>0</v>
      </c>
      <c r="I50" s="53">
        <f ca="1">'Calc - GRAD ASST'!K103</f>
        <v>0</v>
      </c>
      <c r="J50" s="88">
        <f t="shared" ca="1" si="108"/>
        <v>0</v>
      </c>
      <c r="K50" s="2072" t="str">
        <f ca="1">IF(BY50&lt;&gt;'Calc - GRAD ASST'!$K$104,"ERROR","")</f>
        <v/>
      </c>
      <c r="L50" s="24"/>
      <c r="M50" s="24"/>
      <c r="N50" s="53"/>
      <c r="O50" s="53"/>
      <c r="P50" s="53"/>
      <c r="Q50" s="53"/>
      <c r="R50" s="53"/>
      <c r="S50" s="53"/>
      <c r="T50" s="167">
        <f t="shared" si="109"/>
        <v>0</v>
      </c>
      <c r="V50" s="53"/>
      <c r="W50" s="53"/>
      <c r="X50" s="53"/>
      <c r="Y50" s="53"/>
      <c r="Z50" s="53"/>
      <c r="AA50" s="53"/>
      <c r="AB50" s="48">
        <f t="shared" si="110"/>
        <v>0</v>
      </c>
      <c r="AD50" s="53"/>
      <c r="AE50" s="53"/>
      <c r="AF50" s="53"/>
      <c r="AG50" s="53"/>
      <c r="AH50" s="53"/>
      <c r="AI50" s="53"/>
      <c r="AJ50" s="209">
        <f t="shared" si="111"/>
        <v>0</v>
      </c>
      <c r="AL50" s="53"/>
      <c r="AM50" s="53"/>
      <c r="AN50" s="53"/>
      <c r="AO50" s="53"/>
      <c r="AP50" s="53"/>
      <c r="AQ50" s="53"/>
      <c r="AR50" s="181">
        <f t="shared" si="112"/>
        <v>0</v>
      </c>
      <c r="AT50" s="53"/>
      <c r="AU50" s="53"/>
      <c r="AV50" s="53"/>
      <c r="AW50" s="53"/>
      <c r="AX50" s="53"/>
      <c r="AY50" s="53"/>
      <c r="AZ50" s="153">
        <f t="shared" si="113"/>
        <v>0</v>
      </c>
      <c r="BB50" s="53"/>
      <c r="BC50" s="53"/>
      <c r="BD50" s="53"/>
      <c r="BE50" s="53"/>
      <c r="BF50" s="53"/>
      <c r="BG50" s="53"/>
      <c r="BH50" s="195">
        <f t="shared" si="114"/>
        <v>0</v>
      </c>
      <c r="BJ50" s="53"/>
      <c r="BK50" s="53"/>
      <c r="BL50" s="53"/>
      <c r="BM50" s="53"/>
      <c r="BN50" s="53"/>
      <c r="BO50" s="53"/>
      <c r="BP50" s="1105">
        <f t="shared" si="115"/>
        <v>0</v>
      </c>
      <c r="BR50" s="575">
        <f t="shared" si="116"/>
        <v>0</v>
      </c>
      <c r="BS50" s="575">
        <f t="shared" si="117"/>
        <v>0</v>
      </c>
      <c r="BT50" s="575">
        <f t="shared" si="118"/>
        <v>0</v>
      </c>
      <c r="BU50" s="575">
        <f t="shared" si="119"/>
        <v>0</v>
      </c>
      <c r="BV50" s="575">
        <f t="shared" si="120"/>
        <v>0</v>
      </c>
      <c r="BW50" s="575">
        <f t="shared" si="121"/>
        <v>0</v>
      </c>
      <c r="BX50" s="991">
        <f t="shared" si="122"/>
        <v>0</v>
      </c>
      <c r="BY50" s="573">
        <f t="shared" ca="1" si="123"/>
        <v>0</v>
      </c>
      <c r="BZ50" s="257"/>
      <c r="CB50" s="1639">
        <f ca="1">'Calc - GRAD ASST'!$K$98</f>
        <v>0</v>
      </c>
      <c r="CC50" s="1221">
        <f ca="1">'Calc - GRAD ASST'!$K$99/12*3</f>
        <v>0</v>
      </c>
      <c r="CD50" s="1221">
        <f ca="1">'Calc - GRAD ASST'!$K$99/12*3</f>
        <v>0</v>
      </c>
      <c r="CE50" s="1221">
        <f ca="1">'Calc - GRAD ASST'!$K$99/12*2</f>
        <v>0</v>
      </c>
      <c r="CF50" s="1221">
        <f ca="1">'Calc - GRAD ASST'!$K$99/12*1</f>
        <v>0</v>
      </c>
      <c r="CG50" s="1221">
        <f ca="1">'Calc - GRAD ASST'!$K$99/12*3</f>
        <v>0</v>
      </c>
      <c r="CH50" s="1222">
        <f ca="1">'Calc - GRAD ASST'!$K$100/12*3</f>
        <v>0</v>
      </c>
      <c r="CI50" s="1222">
        <f ca="1">'Calc - GRAD ASST'!$K$100/12*3</f>
        <v>0</v>
      </c>
      <c r="CJ50" s="1222">
        <f ca="1">'Calc - GRAD ASST'!$K$100/12*2</f>
        <v>0</v>
      </c>
      <c r="CK50" s="1222">
        <f ca="1">'Calc - GRAD ASST'!$K$100/12*1</f>
        <v>0</v>
      </c>
      <c r="CL50" s="1222">
        <f ca="1">'Calc - GRAD ASST'!$K$100/12*3</f>
        <v>0</v>
      </c>
      <c r="CM50" s="1223">
        <f ca="1">'Calc - GRAD ASST'!$K$101/8*3</f>
        <v>0</v>
      </c>
      <c r="CN50" s="1223">
        <f ca="1">'Calc - GRAD ASST'!$K$101/8*3</f>
        <v>0</v>
      </c>
      <c r="CO50" s="1223">
        <f ca="1">'Calc - GRAD ASST'!$K$101/8*2</f>
        <v>0</v>
      </c>
      <c r="CP50" s="88">
        <f t="shared" ca="1" si="124"/>
        <v>0</v>
      </c>
      <c r="CS50" s="575"/>
      <c r="CT50" s="5"/>
      <c r="CU50" s="1180"/>
      <c r="CV50" s="575"/>
      <c r="CW50" s="5"/>
      <c r="CX50" s="1180"/>
      <c r="CY50" s="575"/>
      <c r="CZ50" s="5"/>
      <c r="DA50" s="1180"/>
      <c r="DB50" s="575"/>
      <c r="DC50" s="5"/>
      <c r="DD50" s="1180"/>
      <c r="DE50" s="1641">
        <f t="shared" si="125"/>
        <v>0</v>
      </c>
      <c r="DG50" s="575"/>
      <c r="DH50" s="5"/>
      <c r="DI50" s="1180"/>
      <c r="DJ50" s="575"/>
      <c r="DK50" s="5"/>
      <c r="DL50" s="1180"/>
      <c r="DM50" s="575"/>
      <c r="DN50" s="5"/>
      <c r="DO50" s="1180"/>
      <c r="DP50" s="575"/>
      <c r="DQ50" s="5"/>
      <c r="DR50" s="1180"/>
      <c r="DS50" s="1641">
        <f t="shared" si="126"/>
        <v>0</v>
      </c>
      <c r="DU50" s="575"/>
      <c r="DV50" s="5"/>
      <c r="DW50" s="1180"/>
      <c r="DX50" s="575"/>
      <c r="DY50" s="5"/>
      <c r="DZ50" s="1180"/>
      <c r="EA50" s="575"/>
      <c r="EB50" s="5"/>
      <c r="EC50" s="1180"/>
      <c r="ED50" s="575"/>
      <c r="EE50" s="5"/>
      <c r="EF50" s="1180"/>
      <c r="EG50" s="1181">
        <f t="shared" si="127"/>
        <v>0</v>
      </c>
      <c r="EI50" s="22"/>
      <c r="EJ50" s="348">
        <f t="shared" si="128"/>
        <v>0</v>
      </c>
      <c r="EK50" s="57" t="str">
        <f t="shared" si="129"/>
        <v>GA #04 / Sponsor Funds</v>
      </c>
      <c r="EL50" s="53">
        <f t="shared" ca="1" si="130"/>
        <v>0</v>
      </c>
      <c r="EM50" s="53">
        <f t="shared" ca="1" si="131"/>
        <v>0</v>
      </c>
      <c r="EN50" s="53">
        <f t="shared" ca="1" si="132"/>
        <v>0</v>
      </c>
      <c r="EO50" s="53">
        <f t="shared" ca="1" si="133"/>
        <v>0</v>
      </c>
      <c r="EP50" s="53">
        <f t="shared" ca="1" si="134"/>
        <v>0</v>
      </c>
      <c r="EQ50" s="53">
        <f t="shared" ca="1" si="135"/>
        <v>0</v>
      </c>
      <c r="ER50" s="88">
        <f t="shared" ca="1" si="136"/>
        <v>0</v>
      </c>
      <c r="ES50" s="2072"/>
      <c r="ET50" s="24"/>
      <c r="EU50" s="24"/>
      <c r="EV50" s="53">
        <f t="shared" si="137"/>
        <v>0</v>
      </c>
      <c r="EW50" s="53">
        <f t="shared" si="138"/>
        <v>0</v>
      </c>
      <c r="EX50" s="53">
        <f t="shared" si="139"/>
        <v>0</v>
      </c>
      <c r="EY50" s="53">
        <f t="shared" si="140"/>
        <v>0</v>
      </c>
      <c r="EZ50" s="53">
        <f t="shared" si="141"/>
        <v>0</v>
      </c>
      <c r="FA50" s="53">
        <f t="shared" si="142"/>
        <v>0</v>
      </c>
      <c r="FB50" s="167">
        <f t="shared" si="143"/>
        <v>0</v>
      </c>
      <c r="FD50" s="53">
        <f t="shared" si="144"/>
        <v>0</v>
      </c>
      <c r="FE50" s="53">
        <f t="shared" si="145"/>
        <v>0</v>
      </c>
      <c r="FF50" s="53">
        <f t="shared" si="146"/>
        <v>0</v>
      </c>
      <c r="FG50" s="53">
        <f t="shared" si="147"/>
        <v>0</v>
      </c>
      <c r="FH50" s="53">
        <f t="shared" si="148"/>
        <v>0</v>
      </c>
      <c r="FI50" s="53">
        <f t="shared" si="149"/>
        <v>0</v>
      </c>
      <c r="FJ50" s="48">
        <f t="shared" si="150"/>
        <v>0</v>
      </c>
      <c r="FL50" s="53">
        <f t="shared" si="151"/>
        <v>0</v>
      </c>
      <c r="FM50" s="53">
        <f t="shared" si="152"/>
        <v>0</v>
      </c>
      <c r="FN50" s="53">
        <f t="shared" si="153"/>
        <v>0</v>
      </c>
      <c r="FO50" s="53">
        <f t="shared" si="154"/>
        <v>0</v>
      </c>
      <c r="FP50" s="53">
        <f t="shared" si="155"/>
        <v>0</v>
      </c>
      <c r="FQ50" s="53">
        <f t="shared" si="156"/>
        <v>0</v>
      </c>
      <c r="FR50" s="209">
        <f t="shared" si="157"/>
        <v>0</v>
      </c>
      <c r="FT50" s="53">
        <f t="shared" si="158"/>
        <v>0</v>
      </c>
      <c r="FU50" s="53">
        <f t="shared" si="159"/>
        <v>0</v>
      </c>
      <c r="FV50" s="53">
        <f t="shared" si="160"/>
        <v>0</v>
      </c>
      <c r="FW50" s="53">
        <f t="shared" si="161"/>
        <v>0</v>
      </c>
      <c r="FX50" s="53">
        <f t="shared" si="162"/>
        <v>0</v>
      </c>
      <c r="FY50" s="53">
        <f t="shared" si="163"/>
        <v>0</v>
      </c>
      <c r="FZ50" s="181">
        <f t="shared" si="164"/>
        <v>0</v>
      </c>
      <c r="GB50" s="53">
        <f t="shared" si="165"/>
        <v>0</v>
      </c>
      <c r="GC50" s="53">
        <f t="shared" si="166"/>
        <v>0</v>
      </c>
      <c r="GD50" s="53">
        <f t="shared" si="167"/>
        <v>0</v>
      </c>
      <c r="GE50" s="53">
        <f t="shared" si="168"/>
        <v>0</v>
      </c>
      <c r="GF50" s="53">
        <f t="shared" si="169"/>
        <v>0</v>
      </c>
      <c r="GG50" s="53">
        <f t="shared" si="170"/>
        <v>0</v>
      </c>
      <c r="GH50" s="153">
        <f t="shared" si="171"/>
        <v>0</v>
      </c>
      <c r="GJ50" s="53"/>
      <c r="GK50" s="53"/>
      <c r="GL50" s="53"/>
      <c r="GM50" s="53"/>
      <c r="GN50" s="53"/>
      <c r="GO50" s="53"/>
      <c r="GP50" s="195">
        <f t="shared" si="172"/>
        <v>0</v>
      </c>
      <c r="GR50" s="53"/>
      <c r="GS50" s="53"/>
      <c r="GT50" s="53"/>
      <c r="GU50" s="53"/>
      <c r="GV50" s="53"/>
      <c r="GW50" s="53"/>
      <c r="GX50" s="1105">
        <f t="shared" si="173"/>
        <v>0</v>
      </c>
      <c r="GZ50" s="575">
        <f t="shared" si="174"/>
        <v>0</v>
      </c>
      <c r="HA50" s="575">
        <f t="shared" si="175"/>
        <v>0</v>
      </c>
      <c r="HB50" s="575">
        <f t="shared" si="176"/>
        <v>0</v>
      </c>
      <c r="HC50" s="575">
        <f t="shared" si="177"/>
        <v>0</v>
      </c>
      <c r="HD50" s="575">
        <f t="shared" si="178"/>
        <v>0</v>
      </c>
      <c r="HE50" s="575">
        <f t="shared" si="179"/>
        <v>0</v>
      </c>
      <c r="HF50" s="991">
        <f t="shared" si="180"/>
        <v>0</v>
      </c>
      <c r="HG50" s="573">
        <f t="shared" ca="1" si="181"/>
        <v>0</v>
      </c>
      <c r="HH50" s="257"/>
    </row>
    <row r="51" spans="1:216" ht="15" hidden="1" customHeight="1" thickBot="1" x14ac:dyDescent="0.3">
      <c r="A51" s="22"/>
      <c r="B51" s="421">
        <f>'Calc - GRAD ASST'!$C123</f>
        <v>0</v>
      </c>
      <c r="C51" s="352" t="str">
        <f>'Calc - GRAD ASST'!A122</f>
        <v>GA #05 / Sponsor Funds</v>
      </c>
      <c r="D51" s="408">
        <f ca="1">'Calc - GRAD ASST'!K127</f>
        <v>0</v>
      </c>
      <c r="E51" s="408">
        <f ca="1">'Calc - GRAD ASST'!K128</f>
        <v>0</v>
      </c>
      <c r="F51" s="408">
        <f ca="1">'Calc - GRAD ASST'!K129</f>
        <v>0</v>
      </c>
      <c r="G51" s="408">
        <f ca="1">'Calc - GRAD ASST'!K130</f>
        <v>0</v>
      </c>
      <c r="H51" s="408">
        <f ca="1">'Calc - GRAD ASST'!K131</f>
        <v>0</v>
      </c>
      <c r="I51" s="408">
        <f ca="1">'Calc - GRAD ASST'!K132</f>
        <v>0</v>
      </c>
      <c r="J51" s="351">
        <f t="shared" ca="1" si="108"/>
        <v>0</v>
      </c>
      <c r="K51" s="2072" t="str">
        <f ca="1">IF(BY51&lt;&gt;'Calc - GRAD ASST'!$K$133,"ERROR","")</f>
        <v/>
      </c>
      <c r="L51" s="13"/>
      <c r="M51" s="24"/>
      <c r="N51" s="53"/>
      <c r="O51" s="53"/>
      <c r="P51" s="53"/>
      <c r="Q51" s="53"/>
      <c r="R51" s="53"/>
      <c r="S51" s="53"/>
      <c r="T51" s="167">
        <f t="shared" si="109"/>
        <v>0</v>
      </c>
      <c r="V51" s="53"/>
      <c r="W51" s="53"/>
      <c r="X51" s="53"/>
      <c r="Y51" s="53"/>
      <c r="Z51" s="53"/>
      <c r="AA51" s="53"/>
      <c r="AB51" s="48">
        <f t="shared" si="110"/>
        <v>0</v>
      </c>
      <c r="AD51" s="53"/>
      <c r="AE51" s="53"/>
      <c r="AF51" s="53"/>
      <c r="AG51" s="53"/>
      <c r="AH51" s="53"/>
      <c r="AI51" s="53"/>
      <c r="AJ51" s="209">
        <f t="shared" si="111"/>
        <v>0</v>
      </c>
      <c r="AL51" s="53"/>
      <c r="AM51" s="53"/>
      <c r="AN51" s="53"/>
      <c r="AO51" s="53"/>
      <c r="AP51" s="53"/>
      <c r="AQ51" s="53"/>
      <c r="AR51" s="181">
        <f t="shared" si="112"/>
        <v>0</v>
      </c>
      <c r="AT51" s="53"/>
      <c r="AU51" s="53"/>
      <c r="AV51" s="53"/>
      <c r="AW51" s="53"/>
      <c r="AX51" s="53"/>
      <c r="AY51" s="53"/>
      <c r="AZ51" s="153">
        <f t="shared" si="113"/>
        <v>0</v>
      </c>
      <c r="BB51" s="53"/>
      <c r="BC51" s="53"/>
      <c r="BD51" s="53"/>
      <c r="BE51" s="53"/>
      <c r="BF51" s="53"/>
      <c r="BG51" s="53"/>
      <c r="BH51" s="195">
        <f t="shared" si="114"/>
        <v>0</v>
      </c>
      <c r="BJ51" s="53"/>
      <c r="BK51" s="53"/>
      <c r="BL51" s="53"/>
      <c r="BM51" s="53"/>
      <c r="BN51" s="53"/>
      <c r="BO51" s="53"/>
      <c r="BP51" s="1105">
        <f t="shared" si="115"/>
        <v>0</v>
      </c>
      <c r="BR51" s="575">
        <f t="shared" si="116"/>
        <v>0</v>
      </c>
      <c r="BS51" s="575">
        <f t="shared" si="117"/>
        <v>0</v>
      </c>
      <c r="BT51" s="575">
        <f t="shared" si="118"/>
        <v>0</v>
      </c>
      <c r="BU51" s="575">
        <f t="shared" si="119"/>
        <v>0</v>
      </c>
      <c r="BV51" s="575">
        <f t="shared" si="120"/>
        <v>0</v>
      </c>
      <c r="BW51" s="575">
        <f t="shared" si="121"/>
        <v>0</v>
      </c>
      <c r="BX51" s="991">
        <f t="shared" si="122"/>
        <v>0</v>
      </c>
      <c r="BY51" s="573">
        <f t="shared" ca="1" si="123"/>
        <v>0</v>
      </c>
      <c r="BZ51" s="257"/>
      <c r="CB51" s="1639">
        <f ca="1">'Calc - GRAD ASST'!$K$127</f>
        <v>0</v>
      </c>
      <c r="CC51" s="1221">
        <f ca="1">'Calc - GRAD ASST'!$K$128/12*3</f>
        <v>0</v>
      </c>
      <c r="CD51" s="1221">
        <f ca="1">'Calc - GRAD ASST'!$K$128/12*3</f>
        <v>0</v>
      </c>
      <c r="CE51" s="1221">
        <f ca="1">'Calc - GRAD ASST'!$K$128/12*2</f>
        <v>0</v>
      </c>
      <c r="CF51" s="1221">
        <f ca="1">'Calc - GRAD ASST'!$K$128/12*1</f>
        <v>0</v>
      </c>
      <c r="CG51" s="1221">
        <f ca="1">'Calc - GRAD ASST'!$K$128/12*3</f>
        <v>0</v>
      </c>
      <c r="CH51" s="1222">
        <f ca="1">'Calc - GRAD ASST'!$K$129/12*3</f>
        <v>0</v>
      </c>
      <c r="CI51" s="1222">
        <f ca="1">'Calc - GRAD ASST'!$K$129/12*3</f>
        <v>0</v>
      </c>
      <c r="CJ51" s="1222">
        <f ca="1">'Calc - GRAD ASST'!$K$129/12*2</f>
        <v>0</v>
      </c>
      <c r="CK51" s="1222">
        <f ca="1">'Calc - GRAD ASST'!$K$129/12*1</f>
        <v>0</v>
      </c>
      <c r="CL51" s="1222">
        <f ca="1">'Calc - GRAD ASST'!$K$129/12*3</f>
        <v>0</v>
      </c>
      <c r="CM51" s="1223">
        <f ca="1">'Calc - GRAD ASST'!$K$130/8*3</f>
        <v>0</v>
      </c>
      <c r="CN51" s="1223">
        <f ca="1">'Calc - GRAD ASST'!$K$130/8*3</f>
        <v>0</v>
      </c>
      <c r="CO51" s="1223">
        <f ca="1">'Calc - GRAD ASST'!$K$130/8*2</f>
        <v>0</v>
      </c>
      <c r="CP51" s="88">
        <f t="shared" ca="1" si="124"/>
        <v>0</v>
      </c>
      <c r="CS51" s="575"/>
      <c r="CT51" s="5"/>
      <c r="CU51" s="1180"/>
      <c r="CV51" s="575"/>
      <c r="CW51" s="5"/>
      <c r="CX51" s="1180"/>
      <c r="CY51" s="575"/>
      <c r="CZ51" s="5"/>
      <c r="DA51" s="1180"/>
      <c r="DB51" s="575"/>
      <c r="DC51" s="5"/>
      <c r="DD51" s="1180"/>
      <c r="DE51" s="1641">
        <f t="shared" si="125"/>
        <v>0</v>
      </c>
      <c r="DG51" s="575"/>
      <c r="DH51" s="5"/>
      <c r="DI51" s="1180"/>
      <c r="DJ51" s="575"/>
      <c r="DK51" s="5"/>
      <c r="DL51" s="1180"/>
      <c r="DM51" s="575"/>
      <c r="DN51" s="5"/>
      <c r="DO51" s="1180"/>
      <c r="DP51" s="575"/>
      <c r="DQ51" s="5"/>
      <c r="DR51" s="1180"/>
      <c r="DS51" s="1641">
        <f t="shared" si="126"/>
        <v>0</v>
      </c>
      <c r="DU51" s="1034"/>
      <c r="DV51" s="321"/>
      <c r="DW51" s="1253"/>
      <c r="DX51" s="1034"/>
      <c r="DY51" s="321"/>
      <c r="DZ51" s="1253"/>
      <c r="EA51" s="1034"/>
      <c r="EB51" s="321"/>
      <c r="EC51" s="1253"/>
      <c r="ED51" s="1034"/>
      <c r="EE51" s="321"/>
      <c r="EF51" s="1253"/>
      <c r="EG51" s="1255">
        <f t="shared" si="127"/>
        <v>0</v>
      </c>
      <c r="EI51" s="22"/>
      <c r="EJ51" s="348">
        <f t="shared" si="128"/>
        <v>0</v>
      </c>
      <c r="EK51" s="57" t="str">
        <f t="shared" si="129"/>
        <v>GA #05 / Sponsor Funds</v>
      </c>
      <c r="EL51" s="53">
        <f t="shared" ca="1" si="130"/>
        <v>0</v>
      </c>
      <c r="EM51" s="53">
        <f t="shared" ca="1" si="131"/>
        <v>0</v>
      </c>
      <c r="EN51" s="53">
        <f t="shared" ca="1" si="132"/>
        <v>0</v>
      </c>
      <c r="EO51" s="53">
        <f t="shared" ca="1" si="133"/>
        <v>0</v>
      </c>
      <c r="EP51" s="53">
        <f t="shared" ca="1" si="134"/>
        <v>0</v>
      </c>
      <c r="EQ51" s="53">
        <f t="shared" ca="1" si="135"/>
        <v>0</v>
      </c>
      <c r="ER51" s="351">
        <f t="shared" ca="1" si="136"/>
        <v>0</v>
      </c>
      <c r="ES51" s="2072"/>
      <c r="ET51" s="13"/>
      <c r="EU51" s="24"/>
      <c r="EV51" s="53">
        <f t="shared" si="137"/>
        <v>0</v>
      </c>
      <c r="EW51" s="53">
        <f t="shared" si="138"/>
        <v>0</v>
      </c>
      <c r="EX51" s="53">
        <f t="shared" si="139"/>
        <v>0</v>
      </c>
      <c r="EY51" s="53">
        <f t="shared" si="140"/>
        <v>0</v>
      </c>
      <c r="EZ51" s="53">
        <f t="shared" si="141"/>
        <v>0</v>
      </c>
      <c r="FA51" s="53">
        <f t="shared" si="142"/>
        <v>0</v>
      </c>
      <c r="FB51" s="167">
        <f t="shared" si="143"/>
        <v>0</v>
      </c>
      <c r="FD51" s="53">
        <f t="shared" si="144"/>
        <v>0</v>
      </c>
      <c r="FE51" s="53">
        <f t="shared" si="145"/>
        <v>0</v>
      </c>
      <c r="FF51" s="53">
        <f t="shared" si="146"/>
        <v>0</v>
      </c>
      <c r="FG51" s="53">
        <f t="shared" si="147"/>
        <v>0</v>
      </c>
      <c r="FH51" s="53">
        <f t="shared" si="148"/>
        <v>0</v>
      </c>
      <c r="FI51" s="53">
        <f t="shared" si="149"/>
        <v>0</v>
      </c>
      <c r="FJ51" s="48">
        <f t="shared" si="150"/>
        <v>0</v>
      </c>
      <c r="FL51" s="53">
        <f t="shared" si="151"/>
        <v>0</v>
      </c>
      <c r="FM51" s="53">
        <f t="shared" si="152"/>
        <v>0</v>
      </c>
      <c r="FN51" s="53">
        <f t="shared" si="153"/>
        <v>0</v>
      </c>
      <c r="FO51" s="53">
        <f t="shared" si="154"/>
        <v>0</v>
      </c>
      <c r="FP51" s="53">
        <f t="shared" si="155"/>
        <v>0</v>
      </c>
      <c r="FQ51" s="53">
        <f t="shared" si="156"/>
        <v>0</v>
      </c>
      <c r="FR51" s="209">
        <f t="shared" si="157"/>
        <v>0</v>
      </c>
      <c r="FT51" s="53">
        <f t="shared" si="158"/>
        <v>0</v>
      </c>
      <c r="FU51" s="53">
        <f t="shared" si="159"/>
        <v>0</v>
      </c>
      <c r="FV51" s="53">
        <f t="shared" si="160"/>
        <v>0</v>
      </c>
      <c r="FW51" s="53">
        <f t="shared" si="161"/>
        <v>0</v>
      </c>
      <c r="FX51" s="53">
        <f t="shared" si="162"/>
        <v>0</v>
      </c>
      <c r="FY51" s="53">
        <f t="shared" si="163"/>
        <v>0</v>
      </c>
      <c r="FZ51" s="181">
        <f t="shared" si="164"/>
        <v>0</v>
      </c>
      <c r="GB51" s="53">
        <f t="shared" si="165"/>
        <v>0</v>
      </c>
      <c r="GC51" s="53">
        <f t="shared" si="166"/>
        <v>0</v>
      </c>
      <c r="GD51" s="53">
        <f t="shared" si="167"/>
        <v>0</v>
      </c>
      <c r="GE51" s="53">
        <f t="shared" si="168"/>
        <v>0</v>
      </c>
      <c r="GF51" s="53">
        <f t="shared" si="169"/>
        <v>0</v>
      </c>
      <c r="GG51" s="53">
        <f t="shared" si="170"/>
        <v>0</v>
      </c>
      <c r="GH51" s="153">
        <f t="shared" si="171"/>
        <v>0</v>
      </c>
      <c r="GJ51" s="53"/>
      <c r="GK51" s="53"/>
      <c r="GL51" s="53"/>
      <c r="GM51" s="53"/>
      <c r="GN51" s="53"/>
      <c r="GO51" s="53"/>
      <c r="GP51" s="195">
        <f t="shared" si="172"/>
        <v>0</v>
      </c>
      <c r="GR51" s="53"/>
      <c r="GS51" s="53"/>
      <c r="GT51" s="53"/>
      <c r="GU51" s="53"/>
      <c r="GV51" s="53"/>
      <c r="GW51" s="53"/>
      <c r="GX51" s="1105">
        <f t="shared" si="173"/>
        <v>0</v>
      </c>
      <c r="GZ51" s="575">
        <f t="shared" si="174"/>
        <v>0</v>
      </c>
      <c r="HA51" s="575">
        <f t="shared" si="175"/>
        <v>0</v>
      </c>
      <c r="HB51" s="575">
        <f t="shared" si="176"/>
        <v>0</v>
      </c>
      <c r="HC51" s="575">
        <f t="shared" si="177"/>
        <v>0</v>
      </c>
      <c r="HD51" s="575">
        <f t="shared" si="178"/>
        <v>0</v>
      </c>
      <c r="HE51" s="575">
        <f t="shared" si="179"/>
        <v>0</v>
      </c>
      <c r="HF51" s="991">
        <f t="shared" si="180"/>
        <v>0</v>
      </c>
      <c r="HG51" s="573">
        <f t="shared" ca="1" si="181"/>
        <v>0</v>
      </c>
      <c r="HH51" s="257"/>
    </row>
    <row r="52" spans="1:216" ht="15" hidden="1" customHeight="1" x14ac:dyDescent="0.25">
      <c r="A52" s="22"/>
      <c r="B52" s="348">
        <f>'Calc - GRAD ASST'!$C152</f>
        <v>0</v>
      </c>
      <c r="C52" s="57" t="str">
        <f>'Calc - GRAD ASST'!A151</f>
        <v>GA #06 / Sponsor Funds</v>
      </c>
      <c r="D52" s="53">
        <f ca="1">'Calc - GRAD ASST'!K156</f>
        <v>0</v>
      </c>
      <c r="E52" s="53">
        <f ca="1">'Calc - GRAD ASST'!K157</f>
        <v>0</v>
      </c>
      <c r="F52" s="53">
        <f ca="1">'Calc - GRAD ASST'!K158</f>
        <v>0</v>
      </c>
      <c r="G52" s="53">
        <f ca="1">'Calc - GRAD ASST'!K159</f>
        <v>0</v>
      </c>
      <c r="H52" s="53">
        <f ca="1">'Calc - GRAD ASST'!K160</f>
        <v>0</v>
      </c>
      <c r="I52" s="53">
        <f ca="1">'Calc - GRAD ASST'!K161</f>
        <v>0</v>
      </c>
      <c r="J52" s="88">
        <f t="shared" ca="1" si="108"/>
        <v>0</v>
      </c>
      <c r="K52" s="2072" t="str">
        <f ca="1">IF(BY52&lt;&gt;'Calc - GRAD ASST'!$K$162,"ERROR","")</f>
        <v/>
      </c>
      <c r="L52" s="24"/>
      <c r="M52" s="24"/>
      <c r="N52" s="53"/>
      <c r="O52" s="53"/>
      <c r="P52" s="53"/>
      <c r="Q52" s="53"/>
      <c r="R52" s="53"/>
      <c r="S52" s="53"/>
      <c r="T52" s="167">
        <f t="shared" si="109"/>
        <v>0</v>
      </c>
      <c r="V52" s="53"/>
      <c r="W52" s="53"/>
      <c r="X52" s="53"/>
      <c r="Y52" s="53"/>
      <c r="Z52" s="53"/>
      <c r="AA52" s="53"/>
      <c r="AB52" s="48">
        <f t="shared" si="110"/>
        <v>0</v>
      </c>
      <c r="AD52" s="53"/>
      <c r="AE52" s="53"/>
      <c r="AF52" s="53"/>
      <c r="AG52" s="53"/>
      <c r="AH52" s="53"/>
      <c r="AI52" s="53"/>
      <c r="AJ52" s="209">
        <f t="shared" si="111"/>
        <v>0</v>
      </c>
      <c r="AL52" s="53"/>
      <c r="AM52" s="53"/>
      <c r="AN52" s="53"/>
      <c r="AO52" s="53"/>
      <c r="AP52" s="53"/>
      <c r="AQ52" s="53"/>
      <c r="AR52" s="181">
        <f t="shared" si="112"/>
        <v>0</v>
      </c>
      <c r="AT52" s="53"/>
      <c r="AU52" s="53"/>
      <c r="AV52" s="53"/>
      <c r="AW52" s="53"/>
      <c r="AX52" s="53"/>
      <c r="AY52" s="53"/>
      <c r="AZ52" s="153">
        <f t="shared" si="113"/>
        <v>0</v>
      </c>
      <c r="BB52" s="53"/>
      <c r="BC52" s="53"/>
      <c r="BD52" s="53"/>
      <c r="BE52" s="53"/>
      <c r="BF52" s="53"/>
      <c r="BG52" s="53"/>
      <c r="BH52" s="195">
        <f t="shared" si="114"/>
        <v>0</v>
      </c>
      <c r="BJ52" s="53"/>
      <c r="BK52" s="53"/>
      <c r="BL52" s="53"/>
      <c r="BM52" s="53"/>
      <c r="BN52" s="53"/>
      <c r="BO52" s="53"/>
      <c r="BP52" s="1105">
        <f t="shared" si="115"/>
        <v>0</v>
      </c>
      <c r="BR52" s="574">
        <f t="shared" si="116"/>
        <v>0</v>
      </c>
      <c r="BS52" s="574">
        <f t="shared" si="117"/>
        <v>0</v>
      </c>
      <c r="BT52" s="574">
        <f t="shared" si="118"/>
        <v>0</v>
      </c>
      <c r="BU52" s="574">
        <f t="shared" si="119"/>
        <v>0</v>
      </c>
      <c r="BV52" s="574">
        <f t="shared" si="120"/>
        <v>0</v>
      </c>
      <c r="BW52" s="574">
        <f t="shared" si="121"/>
        <v>0</v>
      </c>
      <c r="BX52" s="990">
        <f t="shared" si="122"/>
        <v>0</v>
      </c>
      <c r="BY52" s="276">
        <f t="shared" ca="1" si="123"/>
        <v>0</v>
      </c>
      <c r="BZ52" s="257"/>
      <c r="CB52" s="1639">
        <f ca="1">'Calc - GRAD ASST'!K156</f>
        <v>0</v>
      </c>
      <c r="CC52" s="1221">
        <f ca="1">'Calc - GRAD ASST'!$K$157/12*3</f>
        <v>0</v>
      </c>
      <c r="CD52" s="1221">
        <f ca="1">'Calc - GRAD ASST'!$K$157/12*3</f>
        <v>0</v>
      </c>
      <c r="CE52" s="1221">
        <f ca="1">'Calc - GRAD ASST'!$K$157/12*2</f>
        <v>0</v>
      </c>
      <c r="CF52" s="1221">
        <f ca="1">'Calc - GRAD ASST'!$K$157/12*1</f>
        <v>0</v>
      </c>
      <c r="CG52" s="1221">
        <f ca="1">'Calc - GRAD ASST'!$K$157/12*3</f>
        <v>0</v>
      </c>
      <c r="CH52" s="1222">
        <f ca="1">'Calc - GRAD ASST'!$K$158/12*3</f>
        <v>0</v>
      </c>
      <c r="CI52" s="1222">
        <f ca="1">'Calc - GRAD ASST'!$K$158/12*3</f>
        <v>0</v>
      </c>
      <c r="CJ52" s="1222">
        <f ca="1">'Calc - GRAD ASST'!$K$158/12*2</f>
        <v>0</v>
      </c>
      <c r="CK52" s="1222">
        <f ca="1">'Calc - GRAD ASST'!$K$158/12*1</f>
        <v>0</v>
      </c>
      <c r="CL52" s="1222">
        <f ca="1">'Calc - GRAD ASST'!$K$158/12*3</f>
        <v>0</v>
      </c>
      <c r="CM52" s="1223">
        <f ca="1">'Calc - GRAD ASST'!$K$159/8*3</f>
        <v>0</v>
      </c>
      <c r="CN52" s="1223">
        <f ca="1">'Calc - GRAD ASST'!$K$159/8*3</f>
        <v>0</v>
      </c>
      <c r="CO52" s="1223">
        <f ca="1">'Calc - GRAD ASST'!$K$159/8*2</f>
        <v>0</v>
      </c>
      <c r="CP52" s="88">
        <f t="shared" ca="1" si="124"/>
        <v>0</v>
      </c>
      <c r="CS52" s="575"/>
      <c r="CT52" s="5"/>
      <c r="CU52" s="1180"/>
      <c r="CV52" s="575"/>
      <c r="CW52" s="5"/>
      <c r="CX52" s="1180"/>
      <c r="CY52" s="575"/>
      <c r="CZ52" s="5"/>
      <c r="DA52" s="1180"/>
      <c r="DB52" s="575"/>
      <c r="DC52" s="5"/>
      <c r="DD52" s="1180"/>
      <c r="DE52" s="1641">
        <f t="shared" si="125"/>
        <v>0</v>
      </c>
      <c r="DG52" s="575"/>
      <c r="DH52" s="5"/>
      <c r="DI52" s="1180"/>
      <c r="DJ52" s="575"/>
      <c r="DK52" s="5"/>
      <c r="DL52" s="1180"/>
      <c r="DM52" s="575"/>
      <c r="DN52" s="5"/>
      <c r="DO52" s="1180"/>
      <c r="DP52" s="575"/>
      <c r="DQ52" s="5"/>
      <c r="DR52" s="1180"/>
      <c r="DS52" s="1641">
        <f t="shared" si="126"/>
        <v>0</v>
      </c>
      <c r="DU52" s="575"/>
      <c r="DV52" s="5"/>
      <c r="DW52" s="1180"/>
      <c r="DX52" s="575"/>
      <c r="DY52" s="5"/>
      <c r="DZ52" s="1180"/>
      <c r="EA52" s="575"/>
      <c r="EB52" s="5"/>
      <c r="EC52" s="1180"/>
      <c r="ED52" s="575"/>
      <c r="EE52" s="5"/>
      <c r="EF52" s="1180"/>
      <c r="EG52" s="1181">
        <f t="shared" si="127"/>
        <v>0</v>
      </c>
      <c r="EI52" s="22"/>
      <c r="EJ52" s="348">
        <f t="shared" si="128"/>
        <v>0</v>
      </c>
      <c r="EK52" s="57" t="str">
        <f t="shared" si="129"/>
        <v>GA #06 / Sponsor Funds</v>
      </c>
      <c r="EL52" s="53">
        <f t="shared" ca="1" si="130"/>
        <v>0</v>
      </c>
      <c r="EM52" s="53">
        <f t="shared" ca="1" si="131"/>
        <v>0</v>
      </c>
      <c r="EN52" s="53">
        <f t="shared" ca="1" si="132"/>
        <v>0</v>
      </c>
      <c r="EO52" s="53">
        <f t="shared" ca="1" si="133"/>
        <v>0</v>
      </c>
      <c r="EP52" s="53">
        <f t="shared" ca="1" si="134"/>
        <v>0</v>
      </c>
      <c r="EQ52" s="53">
        <f t="shared" ca="1" si="135"/>
        <v>0</v>
      </c>
      <c r="ER52" s="88">
        <f t="shared" ca="1" si="136"/>
        <v>0</v>
      </c>
      <c r="ES52" s="2072"/>
      <c r="ET52" s="24"/>
      <c r="EU52" s="24"/>
      <c r="EV52" s="53">
        <f t="shared" si="137"/>
        <v>0</v>
      </c>
      <c r="EW52" s="53">
        <f t="shared" si="138"/>
        <v>0</v>
      </c>
      <c r="EX52" s="53">
        <f t="shared" si="139"/>
        <v>0</v>
      </c>
      <c r="EY52" s="53">
        <f t="shared" si="140"/>
        <v>0</v>
      </c>
      <c r="EZ52" s="53">
        <f t="shared" si="141"/>
        <v>0</v>
      </c>
      <c r="FA52" s="53">
        <f t="shared" si="142"/>
        <v>0</v>
      </c>
      <c r="FB52" s="167">
        <f t="shared" si="143"/>
        <v>0</v>
      </c>
      <c r="FD52" s="53">
        <f t="shared" si="144"/>
        <v>0</v>
      </c>
      <c r="FE52" s="53">
        <f t="shared" si="145"/>
        <v>0</v>
      </c>
      <c r="FF52" s="53">
        <f t="shared" si="146"/>
        <v>0</v>
      </c>
      <c r="FG52" s="53">
        <f t="shared" si="147"/>
        <v>0</v>
      </c>
      <c r="FH52" s="53">
        <f t="shared" si="148"/>
        <v>0</v>
      </c>
      <c r="FI52" s="53">
        <f t="shared" si="149"/>
        <v>0</v>
      </c>
      <c r="FJ52" s="48">
        <f t="shared" si="150"/>
        <v>0</v>
      </c>
      <c r="FL52" s="53">
        <f t="shared" si="151"/>
        <v>0</v>
      </c>
      <c r="FM52" s="53">
        <f t="shared" si="152"/>
        <v>0</v>
      </c>
      <c r="FN52" s="53">
        <f t="shared" si="153"/>
        <v>0</v>
      </c>
      <c r="FO52" s="53">
        <f t="shared" si="154"/>
        <v>0</v>
      </c>
      <c r="FP52" s="53">
        <f t="shared" si="155"/>
        <v>0</v>
      </c>
      <c r="FQ52" s="53">
        <f t="shared" si="156"/>
        <v>0</v>
      </c>
      <c r="FR52" s="209">
        <f t="shared" si="157"/>
        <v>0</v>
      </c>
      <c r="FT52" s="53">
        <f t="shared" si="158"/>
        <v>0</v>
      </c>
      <c r="FU52" s="53">
        <f t="shared" si="159"/>
        <v>0</v>
      </c>
      <c r="FV52" s="53">
        <f t="shared" si="160"/>
        <v>0</v>
      </c>
      <c r="FW52" s="53">
        <f t="shared" si="161"/>
        <v>0</v>
      </c>
      <c r="FX52" s="53">
        <f t="shared" si="162"/>
        <v>0</v>
      </c>
      <c r="FY52" s="53">
        <f t="shared" si="163"/>
        <v>0</v>
      </c>
      <c r="FZ52" s="181">
        <f t="shared" si="164"/>
        <v>0</v>
      </c>
      <c r="GB52" s="53">
        <f t="shared" si="165"/>
        <v>0</v>
      </c>
      <c r="GC52" s="53">
        <f t="shared" si="166"/>
        <v>0</v>
      </c>
      <c r="GD52" s="53">
        <f t="shared" si="167"/>
        <v>0</v>
      </c>
      <c r="GE52" s="53">
        <f t="shared" si="168"/>
        <v>0</v>
      </c>
      <c r="GF52" s="53">
        <f t="shared" si="169"/>
        <v>0</v>
      </c>
      <c r="GG52" s="53">
        <f t="shared" si="170"/>
        <v>0</v>
      </c>
      <c r="GH52" s="153">
        <f t="shared" si="171"/>
        <v>0</v>
      </c>
      <c r="GJ52" s="53"/>
      <c r="GK52" s="53"/>
      <c r="GL52" s="53"/>
      <c r="GM52" s="53"/>
      <c r="GN52" s="53"/>
      <c r="GO52" s="53"/>
      <c r="GP52" s="195">
        <f t="shared" si="172"/>
        <v>0</v>
      </c>
      <c r="GR52" s="53"/>
      <c r="GS52" s="53"/>
      <c r="GT52" s="53"/>
      <c r="GU52" s="53"/>
      <c r="GV52" s="53"/>
      <c r="GW52" s="53"/>
      <c r="GX52" s="1105">
        <f t="shared" si="173"/>
        <v>0</v>
      </c>
      <c r="GZ52" s="574">
        <f t="shared" si="174"/>
        <v>0</v>
      </c>
      <c r="HA52" s="574">
        <f t="shared" si="175"/>
        <v>0</v>
      </c>
      <c r="HB52" s="574">
        <f t="shared" si="176"/>
        <v>0</v>
      </c>
      <c r="HC52" s="574">
        <f t="shared" si="177"/>
        <v>0</v>
      </c>
      <c r="HD52" s="574">
        <f t="shared" si="178"/>
        <v>0</v>
      </c>
      <c r="HE52" s="574">
        <f t="shared" si="179"/>
        <v>0</v>
      </c>
      <c r="HF52" s="990">
        <f t="shared" si="180"/>
        <v>0</v>
      </c>
      <c r="HG52" s="276">
        <f t="shared" ca="1" si="181"/>
        <v>0</v>
      </c>
      <c r="HH52" s="257"/>
    </row>
    <row r="53" spans="1:216" ht="15" hidden="1" customHeight="1" x14ac:dyDescent="0.25">
      <c r="A53" s="22"/>
      <c r="B53" s="348">
        <f>'Calc - GRAD ASST'!$C181</f>
        <v>0</v>
      </c>
      <c r="C53" s="57" t="str">
        <f>'Calc - GRAD ASST'!A180</f>
        <v>GA #07 / Sponsor Funds</v>
      </c>
      <c r="D53" s="53">
        <f ca="1">'Calc - GRAD ASST'!$K185</f>
        <v>0</v>
      </c>
      <c r="E53" s="53">
        <f ca="1">'Calc - GRAD ASST'!$K186</f>
        <v>0</v>
      </c>
      <c r="F53" s="53">
        <f ca="1">'Calc - GRAD ASST'!$K187</f>
        <v>0</v>
      </c>
      <c r="G53" s="53">
        <f ca="1">'Calc - GRAD ASST'!$K188</f>
        <v>0</v>
      </c>
      <c r="H53" s="53">
        <f ca="1">'Calc - GRAD ASST'!$K189</f>
        <v>0</v>
      </c>
      <c r="I53" s="53">
        <f ca="1">'Calc - GRAD ASST'!$K190</f>
        <v>0</v>
      </c>
      <c r="J53" s="88">
        <f t="shared" ca="1" si="108"/>
        <v>0</v>
      </c>
      <c r="K53" s="2072" t="str">
        <f ca="1">IF(BY53&lt;&gt;'Calc - GRAD ASST'!$K$191,"ERROR","")</f>
        <v/>
      </c>
      <c r="L53" s="24"/>
      <c r="M53" s="24"/>
      <c r="N53" s="53"/>
      <c r="O53" s="53"/>
      <c r="P53" s="53"/>
      <c r="Q53" s="53"/>
      <c r="R53" s="53"/>
      <c r="S53" s="53"/>
      <c r="T53" s="167">
        <f t="shared" si="109"/>
        <v>0</v>
      </c>
      <c r="V53" s="53"/>
      <c r="W53" s="53"/>
      <c r="X53" s="53"/>
      <c r="Y53" s="53"/>
      <c r="Z53" s="53"/>
      <c r="AA53" s="53"/>
      <c r="AB53" s="48">
        <f t="shared" si="110"/>
        <v>0</v>
      </c>
      <c r="AD53" s="53"/>
      <c r="AE53" s="53"/>
      <c r="AF53" s="53"/>
      <c r="AG53" s="53"/>
      <c r="AH53" s="53"/>
      <c r="AI53" s="53"/>
      <c r="AJ53" s="209">
        <f t="shared" si="111"/>
        <v>0</v>
      </c>
      <c r="AL53" s="53"/>
      <c r="AM53" s="53"/>
      <c r="AN53" s="53"/>
      <c r="AO53" s="53"/>
      <c r="AP53" s="53"/>
      <c r="AQ53" s="53"/>
      <c r="AR53" s="181">
        <f t="shared" si="112"/>
        <v>0</v>
      </c>
      <c r="AT53" s="53"/>
      <c r="AU53" s="53"/>
      <c r="AV53" s="53"/>
      <c r="AW53" s="53"/>
      <c r="AX53" s="53"/>
      <c r="AY53" s="53"/>
      <c r="AZ53" s="153">
        <f t="shared" si="113"/>
        <v>0</v>
      </c>
      <c r="BB53" s="53"/>
      <c r="BC53" s="53"/>
      <c r="BD53" s="53"/>
      <c r="BE53" s="53"/>
      <c r="BF53" s="53"/>
      <c r="BG53" s="53"/>
      <c r="BH53" s="195">
        <f t="shared" si="114"/>
        <v>0</v>
      </c>
      <c r="BJ53" s="53"/>
      <c r="BK53" s="53"/>
      <c r="BL53" s="53"/>
      <c r="BM53" s="53"/>
      <c r="BN53" s="53"/>
      <c r="BO53" s="53"/>
      <c r="BP53" s="1105">
        <f t="shared" si="115"/>
        <v>0</v>
      </c>
      <c r="BR53" s="575">
        <f t="shared" si="116"/>
        <v>0</v>
      </c>
      <c r="BS53" s="575">
        <f t="shared" si="117"/>
        <v>0</v>
      </c>
      <c r="BT53" s="575">
        <f t="shared" si="118"/>
        <v>0</v>
      </c>
      <c r="BU53" s="575">
        <f t="shared" si="119"/>
        <v>0</v>
      </c>
      <c r="BV53" s="575">
        <f t="shared" si="120"/>
        <v>0</v>
      </c>
      <c r="BW53" s="575">
        <f t="shared" si="121"/>
        <v>0</v>
      </c>
      <c r="BX53" s="991">
        <f t="shared" si="122"/>
        <v>0</v>
      </c>
      <c r="BY53" s="573">
        <f t="shared" ca="1" si="123"/>
        <v>0</v>
      </c>
      <c r="BZ53" s="257"/>
      <c r="CB53" s="1639">
        <f ca="1">'Calc - GRAD ASST'!$K$185</f>
        <v>0</v>
      </c>
      <c r="CC53" s="1221">
        <f ca="1">'Calc - GRAD ASST'!$K$186/12*3</f>
        <v>0</v>
      </c>
      <c r="CD53" s="1221">
        <f ca="1">'Calc - GRAD ASST'!$K$186/12*3</f>
        <v>0</v>
      </c>
      <c r="CE53" s="1221">
        <f ca="1">'Calc - GRAD ASST'!$K$186/12*2</f>
        <v>0</v>
      </c>
      <c r="CF53" s="1221">
        <f ca="1">'Calc - GRAD ASST'!$K$186/12*1</f>
        <v>0</v>
      </c>
      <c r="CG53" s="1221">
        <f ca="1">'Calc - GRAD ASST'!$K$186/12*3</f>
        <v>0</v>
      </c>
      <c r="CH53" s="1222">
        <f ca="1">'Calc - GRAD ASST'!$K$187/12*3</f>
        <v>0</v>
      </c>
      <c r="CI53" s="1222">
        <f ca="1">'Calc - GRAD ASST'!$K$187/12*3</f>
        <v>0</v>
      </c>
      <c r="CJ53" s="1222">
        <f ca="1">'Calc - GRAD ASST'!$K$187/12*2</f>
        <v>0</v>
      </c>
      <c r="CK53" s="1222">
        <f ca="1">'Calc - GRAD ASST'!$K$187/12*1</f>
        <v>0</v>
      </c>
      <c r="CL53" s="1222">
        <f ca="1">'Calc - GRAD ASST'!$K$187/12*3</f>
        <v>0</v>
      </c>
      <c r="CM53" s="1223">
        <f ca="1">'Calc - GRAD ASST'!$K$188/8*3</f>
        <v>0</v>
      </c>
      <c r="CN53" s="1223">
        <f ca="1">'Calc - GRAD ASST'!$K$188/8*3</f>
        <v>0</v>
      </c>
      <c r="CO53" s="1223">
        <f ca="1">'Calc - GRAD ASST'!$K$188/8*2</f>
        <v>0</v>
      </c>
      <c r="CP53" s="88">
        <f t="shared" ca="1" si="124"/>
        <v>0</v>
      </c>
      <c r="CS53" s="575"/>
      <c r="CT53" s="5"/>
      <c r="CU53" s="1180"/>
      <c r="CV53" s="575"/>
      <c r="CW53" s="5"/>
      <c r="CX53" s="1180"/>
      <c r="CY53" s="575"/>
      <c r="CZ53" s="5"/>
      <c r="DA53" s="1180"/>
      <c r="DB53" s="575"/>
      <c r="DC53" s="5"/>
      <c r="DD53" s="1180"/>
      <c r="DE53" s="1641">
        <f t="shared" si="125"/>
        <v>0</v>
      </c>
      <c r="DG53" s="575"/>
      <c r="DH53" s="5"/>
      <c r="DI53" s="1180"/>
      <c r="DJ53" s="575"/>
      <c r="DK53" s="5"/>
      <c r="DL53" s="1180"/>
      <c r="DM53" s="575"/>
      <c r="DN53" s="5"/>
      <c r="DO53" s="1180"/>
      <c r="DP53" s="575"/>
      <c r="DQ53" s="5"/>
      <c r="DR53" s="1180"/>
      <c r="DS53" s="1641">
        <f t="shared" si="126"/>
        <v>0</v>
      </c>
      <c r="DU53" s="575"/>
      <c r="DV53" s="5"/>
      <c r="DW53" s="1180"/>
      <c r="DX53" s="575"/>
      <c r="DY53" s="5"/>
      <c r="DZ53" s="1180"/>
      <c r="EA53" s="575"/>
      <c r="EB53" s="5"/>
      <c r="EC53" s="1180"/>
      <c r="ED53" s="575"/>
      <c r="EE53" s="5"/>
      <c r="EF53" s="1180"/>
      <c r="EG53" s="1181">
        <f t="shared" si="127"/>
        <v>0</v>
      </c>
      <c r="EI53" s="22"/>
      <c r="EJ53" s="348">
        <f t="shared" si="128"/>
        <v>0</v>
      </c>
      <c r="EK53" s="57" t="str">
        <f t="shared" si="129"/>
        <v>GA #07 / Sponsor Funds</v>
      </c>
      <c r="EL53" s="53">
        <f t="shared" ca="1" si="130"/>
        <v>0</v>
      </c>
      <c r="EM53" s="53">
        <f t="shared" ca="1" si="131"/>
        <v>0</v>
      </c>
      <c r="EN53" s="53">
        <f t="shared" ca="1" si="132"/>
        <v>0</v>
      </c>
      <c r="EO53" s="53">
        <f t="shared" ca="1" si="133"/>
        <v>0</v>
      </c>
      <c r="EP53" s="53">
        <f t="shared" ca="1" si="134"/>
        <v>0</v>
      </c>
      <c r="EQ53" s="53">
        <f t="shared" ca="1" si="135"/>
        <v>0</v>
      </c>
      <c r="ER53" s="88">
        <f t="shared" ca="1" si="136"/>
        <v>0</v>
      </c>
      <c r="ES53" s="2072"/>
      <c r="ET53" s="24"/>
      <c r="EU53" s="24"/>
      <c r="EV53" s="53">
        <f t="shared" si="137"/>
        <v>0</v>
      </c>
      <c r="EW53" s="53">
        <f t="shared" si="138"/>
        <v>0</v>
      </c>
      <c r="EX53" s="53">
        <f t="shared" si="139"/>
        <v>0</v>
      </c>
      <c r="EY53" s="53">
        <f t="shared" si="140"/>
        <v>0</v>
      </c>
      <c r="EZ53" s="53">
        <f t="shared" si="141"/>
        <v>0</v>
      </c>
      <c r="FA53" s="53">
        <f t="shared" si="142"/>
        <v>0</v>
      </c>
      <c r="FB53" s="167">
        <f t="shared" si="143"/>
        <v>0</v>
      </c>
      <c r="FD53" s="53">
        <f t="shared" si="144"/>
        <v>0</v>
      </c>
      <c r="FE53" s="53">
        <f t="shared" si="145"/>
        <v>0</v>
      </c>
      <c r="FF53" s="53">
        <f t="shared" si="146"/>
        <v>0</v>
      </c>
      <c r="FG53" s="53">
        <f t="shared" si="147"/>
        <v>0</v>
      </c>
      <c r="FH53" s="53">
        <f t="shared" si="148"/>
        <v>0</v>
      </c>
      <c r="FI53" s="53">
        <f t="shared" si="149"/>
        <v>0</v>
      </c>
      <c r="FJ53" s="48">
        <f t="shared" si="150"/>
        <v>0</v>
      </c>
      <c r="FL53" s="53">
        <f t="shared" si="151"/>
        <v>0</v>
      </c>
      <c r="FM53" s="53">
        <f t="shared" si="152"/>
        <v>0</v>
      </c>
      <c r="FN53" s="53">
        <f t="shared" si="153"/>
        <v>0</v>
      </c>
      <c r="FO53" s="53">
        <f t="shared" si="154"/>
        <v>0</v>
      </c>
      <c r="FP53" s="53">
        <f t="shared" si="155"/>
        <v>0</v>
      </c>
      <c r="FQ53" s="53">
        <f t="shared" si="156"/>
        <v>0</v>
      </c>
      <c r="FR53" s="209">
        <f t="shared" si="157"/>
        <v>0</v>
      </c>
      <c r="FT53" s="53">
        <f t="shared" si="158"/>
        <v>0</v>
      </c>
      <c r="FU53" s="53">
        <f t="shared" si="159"/>
        <v>0</v>
      </c>
      <c r="FV53" s="53">
        <f t="shared" si="160"/>
        <v>0</v>
      </c>
      <c r="FW53" s="53">
        <f t="shared" si="161"/>
        <v>0</v>
      </c>
      <c r="FX53" s="53">
        <f t="shared" si="162"/>
        <v>0</v>
      </c>
      <c r="FY53" s="53">
        <f t="shared" si="163"/>
        <v>0</v>
      </c>
      <c r="FZ53" s="181">
        <f t="shared" si="164"/>
        <v>0</v>
      </c>
      <c r="GB53" s="53">
        <f t="shared" si="165"/>
        <v>0</v>
      </c>
      <c r="GC53" s="53">
        <f t="shared" si="166"/>
        <v>0</v>
      </c>
      <c r="GD53" s="53">
        <f t="shared" si="167"/>
        <v>0</v>
      </c>
      <c r="GE53" s="53">
        <f t="shared" si="168"/>
        <v>0</v>
      </c>
      <c r="GF53" s="53">
        <f t="shared" si="169"/>
        <v>0</v>
      </c>
      <c r="GG53" s="53">
        <f t="shared" si="170"/>
        <v>0</v>
      </c>
      <c r="GH53" s="153">
        <f t="shared" si="171"/>
        <v>0</v>
      </c>
      <c r="GJ53" s="53"/>
      <c r="GK53" s="53"/>
      <c r="GL53" s="53"/>
      <c r="GM53" s="53"/>
      <c r="GN53" s="53"/>
      <c r="GO53" s="53"/>
      <c r="GP53" s="195">
        <f t="shared" si="172"/>
        <v>0</v>
      </c>
      <c r="GR53" s="53"/>
      <c r="GS53" s="53"/>
      <c r="GT53" s="53"/>
      <c r="GU53" s="53"/>
      <c r="GV53" s="53"/>
      <c r="GW53" s="53"/>
      <c r="GX53" s="1105">
        <f t="shared" si="173"/>
        <v>0</v>
      </c>
      <c r="GZ53" s="575">
        <f t="shared" si="174"/>
        <v>0</v>
      </c>
      <c r="HA53" s="575">
        <f t="shared" si="175"/>
        <v>0</v>
      </c>
      <c r="HB53" s="575">
        <f t="shared" si="176"/>
        <v>0</v>
      </c>
      <c r="HC53" s="575">
        <f t="shared" si="177"/>
        <v>0</v>
      </c>
      <c r="HD53" s="575">
        <f t="shared" si="178"/>
        <v>0</v>
      </c>
      <c r="HE53" s="575">
        <f t="shared" si="179"/>
        <v>0</v>
      </c>
      <c r="HF53" s="991">
        <f t="shared" si="180"/>
        <v>0</v>
      </c>
      <c r="HG53" s="573">
        <f t="shared" ca="1" si="181"/>
        <v>0</v>
      </c>
      <c r="HH53" s="257"/>
    </row>
    <row r="54" spans="1:216" ht="15" hidden="1" customHeight="1" x14ac:dyDescent="0.25">
      <c r="A54" s="22"/>
      <c r="B54" s="348">
        <f>'Calc - GRAD ASST'!$C210</f>
        <v>0</v>
      </c>
      <c r="C54" s="57" t="str">
        <f>'Calc - GRAD ASST'!A209</f>
        <v>GA #08 / Sponsor Funds</v>
      </c>
      <c r="D54" s="53">
        <f ca="1">'Calc - GRAD ASST'!$K214</f>
        <v>0</v>
      </c>
      <c r="E54" s="53">
        <f ca="1">'Calc - GRAD ASST'!$K215</f>
        <v>0</v>
      </c>
      <c r="F54" s="53">
        <f ca="1">'Calc - GRAD ASST'!$K216</f>
        <v>0</v>
      </c>
      <c r="G54" s="53">
        <f ca="1">'Calc - GRAD ASST'!$K217</f>
        <v>0</v>
      </c>
      <c r="H54" s="53">
        <f ca="1">'Calc - GRAD ASST'!$K218</f>
        <v>0</v>
      </c>
      <c r="I54" s="53">
        <f ca="1">'Calc - GRAD ASST'!$K219</f>
        <v>0</v>
      </c>
      <c r="J54" s="88">
        <f t="shared" ca="1" si="108"/>
        <v>0</v>
      </c>
      <c r="K54" s="2072" t="str">
        <f ca="1">IF(BY54&lt;&gt;'Calc - GRAD ASST'!$K$220,"ERROR","")</f>
        <v/>
      </c>
      <c r="L54" s="24"/>
      <c r="M54" s="24"/>
      <c r="N54" s="53"/>
      <c r="O54" s="53"/>
      <c r="P54" s="53"/>
      <c r="Q54" s="53"/>
      <c r="R54" s="53"/>
      <c r="S54" s="53"/>
      <c r="T54" s="167">
        <f t="shared" si="109"/>
        <v>0</v>
      </c>
      <c r="V54" s="53"/>
      <c r="W54" s="53"/>
      <c r="X54" s="53"/>
      <c r="Y54" s="53"/>
      <c r="Z54" s="53"/>
      <c r="AA54" s="53"/>
      <c r="AB54" s="48">
        <f t="shared" si="110"/>
        <v>0</v>
      </c>
      <c r="AD54" s="53"/>
      <c r="AE54" s="53"/>
      <c r="AF54" s="53"/>
      <c r="AG54" s="53"/>
      <c r="AH54" s="53"/>
      <c r="AI54" s="53"/>
      <c r="AJ54" s="209">
        <f t="shared" si="111"/>
        <v>0</v>
      </c>
      <c r="AL54" s="53"/>
      <c r="AM54" s="53"/>
      <c r="AN54" s="53"/>
      <c r="AO54" s="53"/>
      <c r="AP54" s="53"/>
      <c r="AQ54" s="53"/>
      <c r="AR54" s="181">
        <f t="shared" si="112"/>
        <v>0</v>
      </c>
      <c r="AT54" s="53"/>
      <c r="AU54" s="53"/>
      <c r="AV54" s="53"/>
      <c r="AW54" s="53"/>
      <c r="AX54" s="53"/>
      <c r="AY54" s="53"/>
      <c r="AZ54" s="153">
        <f t="shared" si="113"/>
        <v>0</v>
      </c>
      <c r="BB54" s="53"/>
      <c r="BC54" s="53"/>
      <c r="BD54" s="53"/>
      <c r="BE54" s="53"/>
      <c r="BF54" s="53"/>
      <c r="BG54" s="53"/>
      <c r="BH54" s="195">
        <f t="shared" si="114"/>
        <v>0</v>
      </c>
      <c r="BJ54" s="53"/>
      <c r="BK54" s="53"/>
      <c r="BL54" s="53"/>
      <c r="BM54" s="53"/>
      <c r="BN54" s="53"/>
      <c r="BO54" s="53"/>
      <c r="BP54" s="1105">
        <f t="shared" si="115"/>
        <v>0</v>
      </c>
      <c r="BR54" s="575">
        <f t="shared" si="116"/>
        <v>0</v>
      </c>
      <c r="BS54" s="575">
        <f t="shared" si="117"/>
        <v>0</v>
      </c>
      <c r="BT54" s="575">
        <f t="shared" si="118"/>
        <v>0</v>
      </c>
      <c r="BU54" s="575">
        <f t="shared" si="119"/>
        <v>0</v>
      </c>
      <c r="BV54" s="575">
        <f t="shared" si="120"/>
        <v>0</v>
      </c>
      <c r="BW54" s="575">
        <f t="shared" si="121"/>
        <v>0</v>
      </c>
      <c r="BX54" s="991">
        <f t="shared" si="122"/>
        <v>0</v>
      </c>
      <c r="BY54" s="573">
        <f t="shared" ca="1" si="123"/>
        <v>0</v>
      </c>
      <c r="BZ54" s="257"/>
      <c r="CB54" s="1639">
        <f ca="1">'Calc - GRAD ASST'!$K$214</f>
        <v>0</v>
      </c>
      <c r="CC54" s="1221">
        <f ca="1">'Calc - GRAD ASST'!$K$215/12*3</f>
        <v>0</v>
      </c>
      <c r="CD54" s="1221">
        <f ca="1">'Calc - GRAD ASST'!$K$215/12*3</f>
        <v>0</v>
      </c>
      <c r="CE54" s="1221">
        <f ca="1">'Calc - GRAD ASST'!$K$215/12*2</f>
        <v>0</v>
      </c>
      <c r="CF54" s="1221">
        <f ca="1">'Calc - GRAD ASST'!$K$215/12*1</f>
        <v>0</v>
      </c>
      <c r="CG54" s="1221">
        <f ca="1">'Calc - GRAD ASST'!$K$215/12*3</f>
        <v>0</v>
      </c>
      <c r="CH54" s="1222">
        <f ca="1">'Calc - GRAD ASST'!$K$216/12*3</f>
        <v>0</v>
      </c>
      <c r="CI54" s="1222">
        <f ca="1">'Calc - GRAD ASST'!$K$216/12*3</f>
        <v>0</v>
      </c>
      <c r="CJ54" s="1222">
        <f ca="1">'Calc - GRAD ASST'!$K$216/12*2</f>
        <v>0</v>
      </c>
      <c r="CK54" s="1222">
        <f ca="1">'Calc - GRAD ASST'!$K$216/12*1</f>
        <v>0</v>
      </c>
      <c r="CL54" s="1222">
        <f ca="1">'Calc - GRAD ASST'!$K$216/12*3</f>
        <v>0</v>
      </c>
      <c r="CM54" s="1223">
        <f ca="1">'Calc - GRAD ASST'!$K$217/8*3</f>
        <v>0</v>
      </c>
      <c r="CN54" s="1223">
        <f ca="1">'Calc - GRAD ASST'!$K$217/8*3</f>
        <v>0</v>
      </c>
      <c r="CO54" s="1223">
        <f ca="1">'Calc - GRAD ASST'!$K$217/8*2</f>
        <v>0</v>
      </c>
      <c r="CP54" s="88">
        <f t="shared" ca="1" si="124"/>
        <v>0</v>
      </c>
      <c r="CS54" s="575"/>
      <c r="CT54" s="5"/>
      <c r="CU54" s="1180"/>
      <c r="CV54" s="575"/>
      <c r="CW54" s="5"/>
      <c r="CX54" s="1180"/>
      <c r="CY54" s="575"/>
      <c r="CZ54" s="5"/>
      <c r="DA54" s="1180"/>
      <c r="DB54" s="575"/>
      <c r="DC54" s="5"/>
      <c r="DD54" s="1180"/>
      <c r="DE54" s="1641">
        <f t="shared" si="125"/>
        <v>0</v>
      </c>
      <c r="DG54" s="575"/>
      <c r="DH54" s="5"/>
      <c r="DI54" s="1180"/>
      <c r="DJ54" s="575"/>
      <c r="DK54" s="5"/>
      <c r="DL54" s="1180"/>
      <c r="DM54" s="575"/>
      <c r="DN54" s="5"/>
      <c r="DO54" s="1180"/>
      <c r="DP54" s="575"/>
      <c r="DQ54" s="5"/>
      <c r="DR54" s="1180"/>
      <c r="DS54" s="1641">
        <f t="shared" si="126"/>
        <v>0</v>
      </c>
      <c r="DU54" s="575"/>
      <c r="DV54" s="5"/>
      <c r="DW54" s="1180"/>
      <c r="DX54" s="575"/>
      <c r="DY54" s="5"/>
      <c r="DZ54" s="1180"/>
      <c r="EA54" s="575"/>
      <c r="EB54" s="5"/>
      <c r="EC54" s="1180"/>
      <c r="ED54" s="575"/>
      <c r="EE54" s="5"/>
      <c r="EF54" s="1180"/>
      <c r="EG54" s="1181">
        <f t="shared" si="127"/>
        <v>0</v>
      </c>
      <c r="EI54" s="22"/>
      <c r="EJ54" s="348">
        <f t="shared" si="128"/>
        <v>0</v>
      </c>
      <c r="EK54" s="57" t="str">
        <f t="shared" si="129"/>
        <v>GA #08 / Sponsor Funds</v>
      </c>
      <c r="EL54" s="53">
        <f t="shared" ca="1" si="130"/>
        <v>0</v>
      </c>
      <c r="EM54" s="53">
        <f t="shared" ca="1" si="131"/>
        <v>0</v>
      </c>
      <c r="EN54" s="53">
        <f t="shared" ca="1" si="132"/>
        <v>0</v>
      </c>
      <c r="EO54" s="53">
        <f t="shared" ca="1" si="133"/>
        <v>0</v>
      </c>
      <c r="EP54" s="53">
        <f t="shared" ca="1" si="134"/>
        <v>0</v>
      </c>
      <c r="EQ54" s="53">
        <f t="shared" ca="1" si="135"/>
        <v>0</v>
      </c>
      <c r="ER54" s="88">
        <f t="shared" ca="1" si="136"/>
        <v>0</v>
      </c>
      <c r="ES54" s="2072"/>
      <c r="ET54" s="24"/>
      <c r="EU54" s="24"/>
      <c r="EV54" s="53">
        <f t="shared" si="137"/>
        <v>0</v>
      </c>
      <c r="EW54" s="53">
        <f t="shared" si="138"/>
        <v>0</v>
      </c>
      <c r="EX54" s="53">
        <f t="shared" si="139"/>
        <v>0</v>
      </c>
      <c r="EY54" s="53">
        <f t="shared" si="140"/>
        <v>0</v>
      </c>
      <c r="EZ54" s="53">
        <f t="shared" si="141"/>
        <v>0</v>
      </c>
      <c r="FA54" s="53">
        <f t="shared" si="142"/>
        <v>0</v>
      </c>
      <c r="FB54" s="167">
        <f t="shared" si="143"/>
        <v>0</v>
      </c>
      <c r="FD54" s="53">
        <f t="shared" si="144"/>
        <v>0</v>
      </c>
      <c r="FE54" s="53">
        <f t="shared" si="145"/>
        <v>0</v>
      </c>
      <c r="FF54" s="53">
        <f t="shared" si="146"/>
        <v>0</v>
      </c>
      <c r="FG54" s="53">
        <f t="shared" si="147"/>
        <v>0</v>
      </c>
      <c r="FH54" s="53">
        <f t="shared" si="148"/>
        <v>0</v>
      </c>
      <c r="FI54" s="53">
        <f t="shared" si="149"/>
        <v>0</v>
      </c>
      <c r="FJ54" s="48">
        <f t="shared" si="150"/>
        <v>0</v>
      </c>
      <c r="FL54" s="53">
        <f t="shared" si="151"/>
        <v>0</v>
      </c>
      <c r="FM54" s="53">
        <f t="shared" si="152"/>
        <v>0</v>
      </c>
      <c r="FN54" s="53">
        <f t="shared" si="153"/>
        <v>0</v>
      </c>
      <c r="FO54" s="53">
        <f t="shared" si="154"/>
        <v>0</v>
      </c>
      <c r="FP54" s="53">
        <f t="shared" si="155"/>
        <v>0</v>
      </c>
      <c r="FQ54" s="53">
        <f t="shared" si="156"/>
        <v>0</v>
      </c>
      <c r="FR54" s="209">
        <f t="shared" si="157"/>
        <v>0</v>
      </c>
      <c r="FT54" s="53">
        <f t="shared" si="158"/>
        <v>0</v>
      </c>
      <c r="FU54" s="53">
        <f t="shared" si="159"/>
        <v>0</v>
      </c>
      <c r="FV54" s="53">
        <f t="shared" si="160"/>
        <v>0</v>
      </c>
      <c r="FW54" s="53">
        <f t="shared" si="161"/>
        <v>0</v>
      </c>
      <c r="FX54" s="53">
        <f t="shared" si="162"/>
        <v>0</v>
      </c>
      <c r="FY54" s="53">
        <f t="shared" si="163"/>
        <v>0</v>
      </c>
      <c r="FZ54" s="181">
        <f t="shared" si="164"/>
        <v>0</v>
      </c>
      <c r="GB54" s="53">
        <f t="shared" si="165"/>
        <v>0</v>
      </c>
      <c r="GC54" s="53">
        <f t="shared" si="166"/>
        <v>0</v>
      </c>
      <c r="GD54" s="53">
        <f t="shared" si="167"/>
        <v>0</v>
      </c>
      <c r="GE54" s="53">
        <f t="shared" si="168"/>
        <v>0</v>
      </c>
      <c r="GF54" s="53">
        <f t="shared" si="169"/>
        <v>0</v>
      </c>
      <c r="GG54" s="53">
        <f t="shared" si="170"/>
        <v>0</v>
      </c>
      <c r="GH54" s="153">
        <f t="shared" si="171"/>
        <v>0</v>
      </c>
      <c r="GJ54" s="53"/>
      <c r="GK54" s="53"/>
      <c r="GL54" s="53"/>
      <c r="GM54" s="53"/>
      <c r="GN54" s="53"/>
      <c r="GO54" s="53"/>
      <c r="GP54" s="195">
        <f t="shared" si="172"/>
        <v>0</v>
      </c>
      <c r="GR54" s="53"/>
      <c r="GS54" s="53"/>
      <c r="GT54" s="53"/>
      <c r="GU54" s="53"/>
      <c r="GV54" s="53"/>
      <c r="GW54" s="53"/>
      <c r="GX54" s="1105">
        <f t="shared" si="173"/>
        <v>0</v>
      </c>
      <c r="GZ54" s="575">
        <f t="shared" si="174"/>
        <v>0</v>
      </c>
      <c r="HA54" s="575">
        <f t="shared" si="175"/>
        <v>0</v>
      </c>
      <c r="HB54" s="575">
        <f t="shared" si="176"/>
        <v>0</v>
      </c>
      <c r="HC54" s="575">
        <f t="shared" si="177"/>
        <v>0</v>
      </c>
      <c r="HD54" s="575">
        <f t="shared" si="178"/>
        <v>0</v>
      </c>
      <c r="HE54" s="575">
        <f t="shared" si="179"/>
        <v>0</v>
      </c>
      <c r="HF54" s="991">
        <f t="shared" si="180"/>
        <v>0</v>
      </c>
      <c r="HG54" s="573">
        <f t="shared" ca="1" si="181"/>
        <v>0</v>
      </c>
      <c r="HH54" s="257"/>
    </row>
    <row r="55" spans="1:216" ht="15" hidden="1" customHeight="1" x14ac:dyDescent="0.25">
      <c r="A55" s="22"/>
      <c r="B55" s="348">
        <f>'Calc - GRAD ASST'!$C239</f>
        <v>0</v>
      </c>
      <c r="C55" s="57" t="str">
        <f>'Calc - GRAD ASST'!A238</f>
        <v>GA #09 / Sponsor Funds</v>
      </c>
      <c r="D55" s="53">
        <f ca="1">'Calc - GRAD ASST'!$K243</f>
        <v>0</v>
      </c>
      <c r="E55" s="53">
        <f ca="1">'Calc - GRAD ASST'!$K244</f>
        <v>0</v>
      </c>
      <c r="F55" s="53">
        <f ca="1">'Calc - GRAD ASST'!$K245</f>
        <v>0</v>
      </c>
      <c r="G55" s="53">
        <f ca="1">'Calc - GRAD ASST'!$K246</f>
        <v>0</v>
      </c>
      <c r="H55" s="53">
        <f ca="1">'Calc - GRAD ASST'!$K247</f>
        <v>0</v>
      </c>
      <c r="I55" s="53">
        <f ca="1">'Calc - GRAD ASST'!$K248</f>
        <v>0</v>
      </c>
      <c r="J55" s="88">
        <f t="shared" ca="1" si="108"/>
        <v>0</v>
      </c>
      <c r="K55" s="2072" t="str">
        <f ca="1">IF(BY55&lt;&gt;'Calc - GRAD ASST'!$K$249,"ERROR","")</f>
        <v/>
      </c>
      <c r="L55" s="24"/>
      <c r="M55" s="24"/>
      <c r="N55" s="53"/>
      <c r="O55" s="53"/>
      <c r="P55" s="53"/>
      <c r="Q55" s="53"/>
      <c r="R55" s="53"/>
      <c r="S55" s="53"/>
      <c r="T55" s="167">
        <f t="shared" si="109"/>
        <v>0</v>
      </c>
      <c r="V55" s="53"/>
      <c r="W55" s="53"/>
      <c r="X55" s="53"/>
      <c r="Y55" s="53"/>
      <c r="Z55" s="53"/>
      <c r="AA55" s="53"/>
      <c r="AB55" s="48">
        <f t="shared" si="110"/>
        <v>0</v>
      </c>
      <c r="AD55" s="53"/>
      <c r="AE55" s="53"/>
      <c r="AF55" s="53"/>
      <c r="AG55" s="53"/>
      <c r="AH55" s="53"/>
      <c r="AI55" s="53"/>
      <c r="AJ55" s="209">
        <f t="shared" si="111"/>
        <v>0</v>
      </c>
      <c r="AL55" s="53"/>
      <c r="AM55" s="53"/>
      <c r="AN55" s="53"/>
      <c r="AO55" s="53"/>
      <c r="AP55" s="53"/>
      <c r="AQ55" s="53"/>
      <c r="AR55" s="181">
        <f t="shared" si="112"/>
        <v>0</v>
      </c>
      <c r="AT55" s="53"/>
      <c r="AU55" s="53"/>
      <c r="AV55" s="53"/>
      <c r="AW55" s="53"/>
      <c r="AX55" s="53"/>
      <c r="AY55" s="53"/>
      <c r="AZ55" s="153">
        <f t="shared" si="113"/>
        <v>0</v>
      </c>
      <c r="BB55" s="53"/>
      <c r="BC55" s="53"/>
      <c r="BD55" s="53"/>
      <c r="BE55" s="53"/>
      <c r="BF55" s="53"/>
      <c r="BG55" s="53"/>
      <c r="BH55" s="195">
        <f t="shared" si="114"/>
        <v>0</v>
      </c>
      <c r="BJ55" s="53"/>
      <c r="BK55" s="53"/>
      <c r="BL55" s="53"/>
      <c r="BM55" s="53"/>
      <c r="BN55" s="53"/>
      <c r="BO55" s="53"/>
      <c r="BP55" s="1105">
        <f t="shared" si="115"/>
        <v>0</v>
      </c>
      <c r="BR55" s="575">
        <f t="shared" si="116"/>
        <v>0</v>
      </c>
      <c r="BS55" s="575">
        <f t="shared" si="117"/>
        <v>0</v>
      </c>
      <c r="BT55" s="575">
        <f t="shared" si="118"/>
        <v>0</v>
      </c>
      <c r="BU55" s="575">
        <f t="shared" si="119"/>
        <v>0</v>
      </c>
      <c r="BV55" s="575">
        <f t="shared" si="120"/>
        <v>0</v>
      </c>
      <c r="BW55" s="575">
        <f t="shared" si="121"/>
        <v>0</v>
      </c>
      <c r="BX55" s="991">
        <f t="shared" si="122"/>
        <v>0</v>
      </c>
      <c r="BY55" s="573">
        <f t="shared" ca="1" si="123"/>
        <v>0</v>
      </c>
      <c r="BZ55" s="257"/>
      <c r="CB55" s="1639">
        <f ca="1">'Calc - GRAD ASST'!$K$243</f>
        <v>0</v>
      </c>
      <c r="CC55" s="1221">
        <f ca="1">'Calc - GRAD ASST'!$K$244/12*3</f>
        <v>0</v>
      </c>
      <c r="CD55" s="1221">
        <f ca="1">'Calc - GRAD ASST'!$K$244/12*3</f>
        <v>0</v>
      </c>
      <c r="CE55" s="1221">
        <f ca="1">'Calc - GRAD ASST'!$K$244/12*2</f>
        <v>0</v>
      </c>
      <c r="CF55" s="1221">
        <f ca="1">'Calc - GRAD ASST'!$K$244/12*1</f>
        <v>0</v>
      </c>
      <c r="CG55" s="1221">
        <f ca="1">'Calc - GRAD ASST'!$K$244/12*3</f>
        <v>0</v>
      </c>
      <c r="CH55" s="1222">
        <f ca="1">'Calc - GRAD ASST'!$K$245/12*3</f>
        <v>0</v>
      </c>
      <c r="CI55" s="1222">
        <f ca="1">'Calc - GRAD ASST'!$K$245/12*3</f>
        <v>0</v>
      </c>
      <c r="CJ55" s="1222">
        <f ca="1">'Calc - GRAD ASST'!$K$245/12*2</f>
        <v>0</v>
      </c>
      <c r="CK55" s="1222">
        <f ca="1">'Calc - GRAD ASST'!$K$245/12*1</f>
        <v>0</v>
      </c>
      <c r="CL55" s="1222">
        <f ca="1">'Calc - GRAD ASST'!$K$245/12*3</f>
        <v>0</v>
      </c>
      <c r="CM55" s="1223">
        <f ca="1">'Calc - GRAD ASST'!$K$246/8*3</f>
        <v>0</v>
      </c>
      <c r="CN55" s="1223">
        <f ca="1">'Calc - GRAD ASST'!$K$246/8*3</f>
        <v>0</v>
      </c>
      <c r="CO55" s="1223">
        <f ca="1">'Calc - GRAD ASST'!$K$246/8*2</f>
        <v>0</v>
      </c>
      <c r="CP55" s="88">
        <f t="shared" ca="1" si="124"/>
        <v>0</v>
      </c>
      <c r="CS55" s="575"/>
      <c r="CT55" s="5"/>
      <c r="CU55" s="1180"/>
      <c r="CV55" s="575"/>
      <c r="CW55" s="5"/>
      <c r="CX55" s="1180"/>
      <c r="CY55" s="575"/>
      <c r="CZ55" s="5"/>
      <c r="DA55" s="1180"/>
      <c r="DB55" s="575"/>
      <c r="DC55" s="5"/>
      <c r="DD55" s="1180"/>
      <c r="DE55" s="1641">
        <f t="shared" si="125"/>
        <v>0</v>
      </c>
      <c r="DG55" s="575"/>
      <c r="DH55" s="5"/>
      <c r="DI55" s="1180"/>
      <c r="DJ55" s="575"/>
      <c r="DK55" s="5"/>
      <c r="DL55" s="1180"/>
      <c r="DM55" s="575"/>
      <c r="DN55" s="5"/>
      <c r="DO55" s="1180"/>
      <c r="DP55" s="575"/>
      <c r="DQ55" s="5"/>
      <c r="DR55" s="1180"/>
      <c r="DS55" s="1641">
        <f t="shared" si="126"/>
        <v>0</v>
      </c>
      <c r="DU55" s="575"/>
      <c r="DV55" s="5"/>
      <c r="DW55" s="1180"/>
      <c r="DX55" s="575"/>
      <c r="DY55" s="5"/>
      <c r="DZ55" s="1180"/>
      <c r="EA55" s="575"/>
      <c r="EB55" s="5"/>
      <c r="EC55" s="1180"/>
      <c r="ED55" s="575"/>
      <c r="EE55" s="5"/>
      <c r="EF55" s="1180"/>
      <c r="EG55" s="1181">
        <f t="shared" si="127"/>
        <v>0</v>
      </c>
      <c r="EI55" s="22"/>
      <c r="EJ55" s="348">
        <f t="shared" si="128"/>
        <v>0</v>
      </c>
      <c r="EK55" s="57" t="str">
        <f t="shared" si="129"/>
        <v>GA #09 / Sponsor Funds</v>
      </c>
      <c r="EL55" s="53">
        <f t="shared" ca="1" si="130"/>
        <v>0</v>
      </c>
      <c r="EM55" s="53">
        <f t="shared" ca="1" si="131"/>
        <v>0</v>
      </c>
      <c r="EN55" s="53">
        <f t="shared" ca="1" si="132"/>
        <v>0</v>
      </c>
      <c r="EO55" s="53">
        <f t="shared" ca="1" si="133"/>
        <v>0</v>
      </c>
      <c r="EP55" s="53">
        <f t="shared" ca="1" si="134"/>
        <v>0</v>
      </c>
      <c r="EQ55" s="53">
        <f t="shared" ca="1" si="135"/>
        <v>0</v>
      </c>
      <c r="ER55" s="88">
        <f t="shared" ca="1" si="136"/>
        <v>0</v>
      </c>
      <c r="ES55" s="2072"/>
      <c r="ET55" s="24"/>
      <c r="EU55" s="24"/>
      <c r="EV55" s="53">
        <f t="shared" si="137"/>
        <v>0</v>
      </c>
      <c r="EW55" s="53">
        <f t="shared" si="138"/>
        <v>0</v>
      </c>
      <c r="EX55" s="53">
        <f t="shared" si="139"/>
        <v>0</v>
      </c>
      <c r="EY55" s="53">
        <f t="shared" si="140"/>
        <v>0</v>
      </c>
      <c r="EZ55" s="53">
        <f t="shared" si="141"/>
        <v>0</v>
      </c>
      <c r="FA55" s="53">
        <f t="shared" si="142"/>
        <v>0</v>
      </c>
      <c r="FB55" s="167">
        <f t="shared" si="143"/>
        <v>0</v>
      </c>
      <c r="FD55" s="53">
        <f t="shared" si="144"/>
        <v>0</v>
      </c>
      <c r="FE55" s="53">
        <f t="shared" si="145"/>
        <v>0</v>
      </c>
      <c r="FF55" s="53">
        <f t="shared" si="146"/>
        <v>0</v>
      </c>
      <c r="FG55" s="53">
        <f t="shared" si="147"/>
        <v>0</v>
      </c>
      <c r="FH55" s="53">
        <f t="shared" si="148"/>
        <v>0</v>
      </c>
      <c r="FI55" s="53">
        <f t="shared" si="149"/>
        <v>0</v>
      </c>
      <c r="FJ55" s="48">
        <f t="shared" si="150"/>
        <v>0</v>
      </c>
      <c r="FL55" s="53">
        <f t="shared" si="151"/>
        <v>0</v>
      </c>
      <c r="FM55" s="53">
        <f t="shared" si="152"/>
        <v>0</v>
      </c>
      <c r="FN55" s="53">
        <f t="shared" si="153"/>
        <v>0</v>
      </c>
      <c r="FO55" s="53">
        <f t="shared" si="154"/>
        <v>0</v>
      </c>
      <c r="FP55" s="53">
        <f t="shared" si="155"/>
        <v>0</v>
      </c>
      <c r="FQ55" s="53">
        <f t="shared" si="156"/>
        <v>0</v>
      </c>
      <c r="FR55" s="209">
        <f t="shared" si="157"/>
        <v>0</v>
      </c>
      <c r="FT55" s="53">
        <f t="shared" si="158"/>
        <v>0</v>
      </c>
      <c r="FU55" s="53">
        <f t="shared" si="159"/>
        <v>0</v>
      </c>
      <c r="FV55" s="53">
        <f t="shared" si="160"/>
        <v>0</v>
      </c>
      <c r="FW55" s="53">
        <f t="shared" si="161"/>
        <v>0</v>
      </c>
      <c r="FX55" s="53">
        <f t="shared" si="162"/>
        <v>0</v>
      </c>
      <c r="FY55" s="53">
        <f t="shared" si="163"/>
        <v>0</v>
      </c>
      <c r="FZ55" s="181">
        <f t="shared" si="164"/>
        <v>0</v>
      </c>
      <c r="GB55" s="53">
        <f t="shared" si="165"/>
        <v>0</v>
      </c>
      <c r="GC55" s="53">
        <f t="shared" si="166"/>
        <v>0</v>
      </c>
      <c r="GD55" s="53">
        <f t="shared" si="167"/>
        <v>0</v>
      </c>
      <c r="GE55" s="53">
        <f t="shared" si="168"/>
        <v>0</v>
      </c>
      <c r="GF55" s="53">
        <f t="shared" si="169"/>
        <v>0</v>
      </c>
      <c r="GG55" s="53">
        <f t="shared" si="170"/>
        <v>0</v>
      </c>
      <c r="GH55" s="153">
        <f t="shared" si="171"/>
        <v>0</v>
      </c>
      <c r="GJ55" s="53"/>
      <c r="GK55" s="53"/>
      <c r="GL55" s="53"/>
      <c r="GM55" s="53"/>
      <c r="GN55" s="53"/>
      <c r="GO55" s="53"/>
      <c r="GP55" s="195">
        <f t="shared" si="172"/>
        <v>0</v>
      </c>
      <c r="GR55" s="53"/>
      <c r="GS55" s="53"/>
      <c r="GT55" s="53"/>
      <c r="GU55" s="53"/>
      <c r="GV55" s="53"/>
      <c r="GW55" s="53"/>
      <c r="GX55" s="1105">
        <f t="shared" si="173"/>
        <v>0</v>
      </c>
      <c r="GZ55" s="575">
        <f t="shared" si="174"/>
        <v>0</v>
      </c>
      <c r="HA55" s="575">
        <f t="shared" si="175"/>
        <v>0</v>
      </c>
      <c r="HB55" s="575">
        <f t="shared" si="176"/>
        <v>0</v>
      </c>
      <c r="HC55" s="575">
        <f t="shared" si="177"/>
        <v>0</v>
      </c>
      <c r="HD55" s="575">
        <f t="shared" si="178"/>
        <v>0</v>
      </c>
      <c r="HE55" s="575">
        <f t="shared" si="179"/>
        <v>0</v>
      </c>
      <c r="HF55" s="991">
        <f t="shared" si="180"/>
        <v>0</v>
      </c>
      <c r="HG55" s="573">
        <f t="shared" ca="1" si="181"/>
        <v>0</v>
      </c>
      <c r="HH55" s="257"/>
    </row>
    <row r="56" spans="1:216" ht="15" hidden="1" customHeight="1" thickBot="1" x14ac:dyDescent="0.3">
      <c r="A56" s="22"/>
      <c r="B56" s="348">
        <f>'Calc - GRAD ASST'!$C268</f>
        <v>0</v>
      </c>
      <c r="C56" s="57" t="str">
        <f>'Calc - GRAD ASST'!A267</f>
        <v>GA #10 / Sponsor Funds</v>
      </c>
      <c r="D56" s="53">
        <f ca="1">'Calc - GRAD ASST'!$K272</f>
        <v>0</v>
      </c>
      <c r="E56" s="53">
        <f ca="1">'Calc - GRAD ASST'!$K273</f>
        <v>0</v>
      </c>
      <c r="F56" s="53">
        <f ca="1">'Calc - GRAD ASST'!$K274</f>
        <v>0</v>
      </c>
      <c r="G56" s="53">
        <f ca="1">'Calc - GRAD ASST'!$K275</f>
        <v>0</v>
      </c>
      <c r="H56" s="53">
        <f ca="1">'Calc - GRAD ASST'!$K276</f>
        <v>0</v>
      </c>
      <c r="I56" s="53">
        <f ca="1">'Calc - GRAD ASST'!$K277</f>
        <v>0</v>
      </c>
      <c r="J56" s="88">
        <f t="shared" ca="1" si="108"/>
        <v>0</v>
      </c>
      <c r="K56" s="2072" t="str">
        <f ca="1">IF(BY56&lt;&gt;'Calc - GRAD ASST'!$K$278,"ERROR","")</f>
        <v/>
      </c>
      <c r="L56" s="13"/>
      <c r="M56" s="24"/>
      <c r="N56" s="53"/>
      <c r="O56" s="53"/>
      <c r="P56" s="53"/>
      <c r="Q56" s="53"/>
      <c r="R56" s="53"/>
      <c r="S56" s="53"/>
      <c r="T56" s="167">
        <f t="shared" si="109"/>
        <v>0</v>
      </c>
      <c r="V56" s="53"/>
      <c r="W56" s="53"/>
      <c r="X56" s="53"/>
      <c r="Y56" s="53"/>
      <c r="Z56" s="53"/>
      <c r="AA56" s="53"/>
      <c r="AB56" s="48">
        <f t="shared" si="110"/>
        <v>0</v>
      </c>
      <c r="AD56" s="53"/>
      <c r="AE56" s="53"/>
      <c r="AF56" s="53"/>
      <c r="AG56" s="53"/>
      <c r="AH56" s="53"/>
      <c r="AI56" s="53"/>
      <c r="AJ56" s="209">
        <f t="shared" si="111"/>
        <v>0</v>
      </c>
      <c r="AL56" s="53"/>
      <c r="AM56" s="53"/>
      <c r="AN56" s="53"/>
      <c r="AO56" s="53"/>
      <c r="AP56" s="53"/>
      <c r="AQ56" s="53"/>
      <c r="AR56" s="181">
        <f t="shared" si="112"/>
        <v>0</v>
      </c>
      <c r="AT56" s="53"/>
      <c r="AU56" s="53"/>
      <c r="AV56" s="53"/>
      <c r="AW56" s="53"/>
      <c r="AX56" s="53"/>
      <c r="AY56" s="53"/>
      <c r="AZ56" s="153">
        <f t="shared" si="113"/>
        <v>0</v>
      </c>
      <c r="BB56" s="53"/>
      <c r="BC56" s="53"/>
      <c r="BD56" s="53"/>
      <c r="BE56" s="53"/>
      <c r="BF56" s="53"/>
      <c r="BG56" s="53"/>
      <c r="BH56" s="195">
        <f t="shared" si="114"/>
        <v>0</v>
      </c>
      <c r="BJ56" s="53"/>
      <c r="BK56" s="53"/>
      <c r="BL56" s="53"/>
      <c r="BM56" s="53"/>
      <c r="BN56" s="53"/>
      <c r="BO56" s="53"/>
      <c r="BP56" s="1105">
        <f t="shared" si="115"/>
        <v>0</v>
      </c>
      <c r="BR56" s="575">
        <f t="shared" si="116"/>
        <v>0</v>
      </c>
      <c r="BS56" s="575">
        <f t="shared" si="117"/>
        <v>0</v>
      </c>
      <c r="BT56" s="575">
        <f t="shared" si="118"/>
        <v>0</v>
      </c>
      <c r="BU56" s="575">
        <f t="shared" si="119"/>
        <v>0</v>
      </c>
      <c r="BV56" s="575">
        <f t="shared" si="120"/>
        <v>0</v>
      </c>
      <c r="BW56" s="575">
        <f t="shared" si="121"/>
        <v>0</v>
      </c>
      <c r="BX56" s="991">
        <f t="shared" si="122"/>
        <v>0</v>
      </c>
      <c r="BY56" s="573">
        <f t="shared" ca="1" si="123"/>
        <v>0</v>
      </c>
      <c r="BZ56" s="257"/>
      <c r="CB56" s="1639">
        <f ca="1">'Calc - GRAD ASST'!$K$272</f>
        <v>0</v>
      </c>
      <c r="CC56" s="1221">
        <f ca="1">'Calc - GRAD ASST'!$K$273/12*3</f>
        <v>0</v>
      </c>
      <c r="CD56" s="1221">
        <f ca="1">'Calc - GRAD ASST'!$K$273/12*3</f>
        <v>0</v>
      </c>
      <c r="CE56" s="1221">
        <f ca="1">'Calc - GRAD ASST'!$K$273/12*2</f>
        <v>0</v>
      </c>
      <c r="CF56" s="1221">
        <f ca="1">'Calc - GRAD ASST'!$K$273/12*1</f>
        <v>0</v>
      </c>
      <c r="CG56" s="1221">
        <f ca="1">'Calc - GRAD ASST'!$K$273/12*3</f>
        <v>0</v>
      </c>
      <c r="CH56" s="1222">
        <f ca="1">'Calc - GRAD ASST'!$K$274/12*3</f>
        <v>0</v>
      </c>
      <c r="CI56" s="1222">
        <f ca="1">'Calc - GRAD ASST'!$K$274/12*3</f>
        <v>0</v>
      </c>
      <c r="CJ56" s="1222">
        <f ca="1">'Calc - GRAD ASST'!$K$129/12*2</f>
        <v>0</v>
      </c>
      <c r="CK56" s="1222">
        <f ca="1">'Calc - GRAD ASST'!$K$274/12*1</f>
        <v>0</v>
      </c>
      <c r="CL56" s="1222">
        <f ca="1">'Calc - GRAD ASST'!$K$274/12*3</f>
        <v>0</v>
      </c>
      <c r="CM56" s="1223">
        <f ca="1">'Calc - GRAD ASST'!$K$275/8*3</f>
        <v>0</v>
      </c>
      <c r="CN56" s="1223">
        <f ca="1">'Calc - GRAD ASST'!$K$275/8*3</f>
        <v>0</v>
      </c>
      <c r="CO56" s="1223">
        <f ca="1">'Calc - GRAD ASST'!$K$275/8*2</f>
        <v>0</v>
      </c>
      <c r="CP56" s="88">
        <f t="shared" ca="1" si="124"/>
        <v>0</v>
      </c>
      <c r="CS56" s="575"/>
      <c r="CT56" s="5"/>
      <c r="CU56" s="1180"/>
      <c r="CV56" s="575"/>
      <c r="CW56" s="5"/>
      <c r="CX56" s="1180"/>
      <c r="CY56" s="575"/>
      <c r="CZ56" s="5"/>
      <c r="DA56" s="1180"/>
      <c r="DB56" s="575"/>
      <c r="DC56" s="5"/>
      <c r="DD56" s="1180"/>
      <c r="DE56" s="1641">
        <f t="shared" si="125"/>
        <v>0</v>
      </c>
      <c r="DG56" s="575"/>
      <c r="DH56" s="5"/>
      <c r="DI56" s="1180"/>
      <c r="DJ56" s="575"/>
      <c r="DK56" s="5"/>
      <c r="DL56" s="1180"/>
      <c r="DM56" s="575"/>
      <c r="DN56" s="5"/>
      <c r="DO56" s="1180"/>
      <c r="DP56" s="575"/>
      <c r="DQ56" s="5"/>
      <c r="DR56" s="1180"/>
      <c r="DS56" s="1641">
        <f t="shared" si="126"/>
        <v>0</v>
      </c>
      <c r="DU56" s="1034"/>
      <c r="DV56" s="321"/>
      <c r="DW56" s="1253"/>
      <c r="DX56" s="1034"/>
      <c r="DY56" s="321"/>
      <c r="DZ56" s="1253"/>
      <c r="EA56" s="1034"/>
      <c r="EB56" s="321"/>
      <c r="EC56" s="1253"/>
      <c r="ED56" s="1034"/>
      <c r="EE56" s="321"/>
      <c r="EF56" s="1253"/>
      <c r="EG56" s="1255">
        <f t="shared" si="127"/>
        <v>0</v>
      </c>
      <c r="EI56" s="22"/>
      <c r="EJ56" s="348">
        <f t="shared" si="128"/>
        <v>0</v>
      </c>
      <c r="EK56" s="57" t="str">
        <f t="shared" si="129"/>
        <v>GA #10 / Sponsor Funds</v>
      </c>
      <c r="EL56" s="53">
        <f t="shared" ca="1" si="130"/>
        <v>0</v>
      </c>
      <c r="EM56" s="53">
        <f t="shared" ca="1" si="131"/>
        <v>0</v>
      </c>
      <c r="EN56" s="53">
        <f t="shared" ca="1" si="132"/>
        <v>0</v>
      </c>
      <c r="EO56" s="53">
        <f t="shared" ca="1" si="133"/>
        <v>0</v>
      </c>
      <c r="EP56" s="53">
        <f t="shared" ca="1" si="134"/>
        <v>0</v>
      </c>
      <c r="EQ56" s="53">
        <f t="shared" ca="1" si="135"/>
        <v>0</v>
      </c>
      <c r="ER56" s="88">
        <f t="shared" ca="1" si="136"/>
        <v>0</v>
      </c>
      <c r="ES56" s="2072"/>
      <c r="ET56" s="13"/>
      <c r="EU56" s="24"/>
      <c r="EV56" s="53">
        <f t="shared" si="137"/>
        <v>0</v>
      </c>
      <c r="EW56" s="53">
        <f t="shared" si="138"/>
        <v>0</v>
      </c>
      <c r="EX56" s="53">
        <f t="shared" si="139"/>
        <v>0</v>
      </c>
      <c r="EY56" s="53">
        <f t="shared" si="140"/>
        <v>0</v>
      </c>
      <c r="EZ56" s="53">
        <f t="shared" si="141"/>
        <v>0</v>
      </c>
      <c r="FA56" s="53">
        <f t="shared" si="142"/>
        <v>0</v>
      </c>
      <c r="FB56" s="167">
        <f t="shared" si="143"/>
        <v>0</v>
      </c>
      <c r="FD56" s="53">
        <f t="shared" si="144"/>
        <v>0</v>
      </c>
      <c r="FE56" s="53">
        <f t="shared" si="145"/>
        <v>0</v>
      </c>
      <c r="FF56" s="53">
        <f t="shared" si="146"/>
        <v>0</v>
      </c>
      <c r="FG56" s="53">
        <f t="shared" si="147"/>
        <v>0</v>
      </c>
      <c r="FH56" s="53">
        <f t="shared" si="148"/>
        <v>0</v>
      </c>
      <c r="FI56" s="53">
        <f t="shared" si="149"/>
        <v>0</v>
      </c>
      <c r="FJ56" s="48">
        <f t="shared" si="150"/>
        <v>0</v>
      </c>
      <c r="FL56" s="53">
        <f t="shared" si="151"/>
        <v>0</v>
      </c>
      <c r="FM56" s="53">
        <f t="shared" si="152"/>
        <v>0</v>
      </c>
      <c r="FN56" s="53">
        <f t="shared" si="153"/>
        <v>0</v>
      </c>
      <c r="FO56" s="53">
        <f t="shared" si="154"/>
        <v>0</v>
      </c>
      <c r="FP56" s="53">
        <f t="shared" si="155"/>
        <v>0</v>
      </c>
      <c r="FQ56" s="53">
        <f t="shared" si="156"/>
        <v>0</v>
      </c>
      <c r="FR56" s="209">
        <f t="shared" si="157"/>
        <v>0</v>
      </c>
      <c r="FT56" s="53">
        <f t="shared" si="158"/>
        <v>0</v>
      </c>
      <c r="FU56" s="53">
        <f t="shared" si="159"/>
        <v>0</v>
      </c>
      <c r="FV56" s="53">
        <f t="shared" si="160"/>
        <v>0</v>
      </c>
      <c r="FW56" s="53">
        <f t="shared" si="161"/>
        <v>0</v>
      </c>
      <c r="FX56" s="53">
        <f t="shared" si="162"/>
        <v>0</v>
      </c>
      <c r="FY56" s="53">
        <f t="shared" si="163"/>
        <v>0</v>
      </c>
      <c r="FZ56" s="181">
        <f t="shared" si="164"/>
        <v>0</v>
      </c>
      <c r="GB56" s="53">
        <f t="shared" si="165"/>
        <v>0</v>
      </c>
      <c r="GC56" s="53">
        <f t="shared" si="166"/>
        <v>0</v>
      </c>
      <c r="GD56" s="53">
        <f t="shared" si="167"/>
        <v>0</v>
      </c>
      <c r="GE56" s="53">
        <f t="shared" si="168"/>
        <v>0</v>
      </c>
      <c r="GF56" s="53">
        <f t="shared" si="169"/>
        <v>0</v>
      </c>
      <c r="GG56" s="53">
        <f t="shared" si="170"/>
        <v>0</v>
      </c>
      <c r="GH56" s="153">
        <f t="shared" si="171"/>
        <v>0</v>
      </c>
      <c r="GJ56" s="53"/>
      <c r="GK56" s="53"/>
      <c r="GL56" s="53"/>
      <c r="GM56" s="53"/>
      <c r="GN56" s="53"/>
      <c r="GO56" s="53"/>
      <c r="GP56" s="195">
        <f t="shared" si="172"/>
        <v>0</v>
      </c>
      <c r="GR56" s="53"/>
      <c r="GS56" s="53"/>
      <c r="GT56" s="53"/>
      <c r="GU56" s="53"/>
      <c r="GV56" s="53"/>
      <c r="GW56" s="53"/>
      <c r="GX56" s="1105">
        <f t="shared" si="173"/>
        <v>0</v>
      </c>
      <c r="GZ56" s="575">
        <f t="shared" si="174"/>
        <v>0</v>
      </c>
      <c r="HA56" s="575">
        <f t="shared" si="175"/>
        <v>0</v>
      </c>
      <c r="HB56" s="575">
        <f t="shared" si="176"/>
        <v>0</v>
      </c>
      <c r="HC56" s="575">
        <f t="shared" si="177"/>
        <v>0</v>
      </c>
      <c r="HD56" s="575">
        <f t="shared" si="178"/>
        <v>0</v>
      </c>
      <c r="HE56" s="575">
        <f t="shared" si="179"/>
        <v>0</v>
      </c>
      <c r="HF56" s="991">
        <f t="shared" si="180"/>
        <v>0</v>
      </c>
      <c r="HG56" s="573">
        <f t="shared" ca="1" si="181"/>
        <v>0</v>
      </c>
      <c r="HH56" s="257"/>
    </row>
    <row r="57" spans="1:216" ht="15" hidden="1" customHeight="1" x14ac:dyDescent="0.25">
      <c r="A57" s="22"/>
      <c r="B57" s="348">
        <f>'Calc - GRAD ASST'!$C297</f>
        <v>0</v>
      </c>
      <c r="C57" s="57" t="str">
        <f>'Calc - GRAD ASST'!A296</f>
        <v>GA #11 / Sponsor Funds</v>
      </c>
      <c r="D57" s="53">
        <f ca="1">'Calc - GRAD ASST'!$K301</f>
        <v>0</v>
      </c>
      <c r="E57" s="53">
        <f ca="1">'Calc - GRAD ASST'!$K302</f>
        <v>0</v>
      </c>
      <c r="F57" s="53">
        <f ca="1">'Calc - GRAD ASST'!$K303</f>
        <v>0</v>
      </c>
      <c r="G57" s="53">
        <f ca="1">'Calc - GRAD ASST'!$K304</f>
        <v>0</v>
      </c>
      <c r="H57" s="53">
        <f ca="1">'Calc - GRAD ASST'!$K305</f>
        <v>0</v>
      </c>
      <c r="I57" s="53">
        <f ca="1">'Calc - GRAD ASST'!$K306</f>
        <v>0</v>
      </c>
      <c r="J57" s="88">
        <f t="shared" ca="1" si="108"/>
        <v>0</v>
      </c>
      <c r="K57" s="2072" t="str">
        <f ca="1">IF(BY57&lt;&gt;'Calc - GRAD ASST'!$K$307,"ERROR","")</f>
        <v/>
      </c>
      <c r="L57" s="24"/>
      <c r="M57" s="24"/>
      <c r="N57" s="53"/>
      <c r="O57" s="53"/>
      <c r="P57" s="53"/>
      <c r="Q57" s="53"/>
      <c r="R57" s="53"/>
      <c r="S57" s="53"/>
      <c r="T57" s="167">
        <f t="shared" si="109"/>
        <v>0</v>
      </c>
      <c r="V57" s="53"/>
      <c r="W57" s="53"/>
      <c r="X57" s="53"/>
      <c r="Y57" s="53"/>
      <c r="Z57" s="53"/>
      <c r="AA57" s="53"/>
      <c r="AB57" s="48">
        <f t="shared" si="110"/>
        <v>0</v>
      </c>
      <c r="AD57" s="53"/>
      <c r="AE57" s="53"/>
      <c r="AF57" s="53"/>
      <c r="AG57" s="53"/>
      <c r="AH57" s="53"/>
      <c r="AI57" s="53"/>
      <c r="AJ57" s="209">
        <f t="shared" si="111"/>
        <v>0</v>
      </c>
      <c r="AL57" s="53"/>
      <c r="AM57" s="53"/>
      <c r="AN57" s="53"/>
      <c r="AO57" s="53"/>
      <c r="AP57" s="53"/>
      <c r="AQ57" s="53"/>
      <c r="AR57" s="181">
        <f t="shared" si="112"/>
        <v>0</v>
      </c>
      <c r="AT57" s="53"/>
      <c r="AU57" s="53"/>
      <c r="AV57" s="53"/>
      <c r="AW57" s="53"/>
      <c r="AX57" s="53"/>
      <c r="AY57" s="53"/>
      <c r="AZ57" s="153">
        <f t="shared" si="113"/>
        <v>0</v>
      </c>
      <c r="BB57" s="53"/>
      <c r="BC57" s="53"/>
      <c r="BD57" s="53"/>
      <c r="BE57" s="53"/>
      <c r="BF57" s="53"/>
      <c r="BG57" s="53"/>
      <c r="BH57" s="195">
        <f t="shared" si="114"/>
        <v>0</v>
      </c>
      <c r="BJ57" s="53"/>
      <c r="BK57" s="53"/>
      <c r="BL57" s="53"/>
      <c r="BM57" s="53"/>
      <c r="BN57" s="53"/>
      <c r="BO57" s="53"/>
      <c r="BP57" s="1105">
        <f t="shared" si="115"/>
        <v>0</v>
      </c>
      <c r="BR57" s="574">
        <f t="shared" si="116"/>
        <v>0</v>
      </c>
      <c r="BS57" s="574">
        <f t="shared" si="117"/>
        <v>0</v>
      </c>
      <c r="BT57" s="574">
        <f t="shared" si="118"/>
        <v>0</v>
      </c>
      <c r="BU57" s="574">
        <f t="shared" si="119"/>
        <v>0</v>
      </c>
      <c r="BV57" s="574">
        <f t="shared" si="120"/>
        <v>0</v>
      </c>
      <c r="BW57" s="574">
        <f t="shared" si="121"/>
        <v>0</v>
      </c>
      <c r="BX57" s="990">
        <f t="shared" si="122"/>
        <v>0</v>
      </c>
      <c r="BY57" s="276">
        <f t="shared" ca="1" si="123"/>
        <v>0</v>
      </c>
      <c r="BZ57" s="257"/>
      <c r="CB57" s="1639">
        <f ca="1">'Calc - GRAD ASST'!$K$301</f>
        <v>0</v>
      </c>
      <c r="CC57" s="1221">
        <f ca="1">'Calc - GRAD ASST'!$K$302/12*3</f>
        <v>0</v>
      </c>
      <c r="CD57" s="1221">
        <f ca="1">'Calc - GRAD ASST'!$K$302/12*3</f>
        <v>0</v>
      </c>
      <c r="CE57" s="1221">
        <f ca="1">'Calc - GRAD ASST'!$K$302/12*2</f>
        <v>0</v>
      </c>
      <c r="CF57" s="1221">
        <f ca="1">'Calc - GRAD ASST'!$K$302/12*1</f>
        <v>0</v>
      </c>
      <c r="CG57" s="1221">
        <f ca="1">'Calc - GRAD ASST'!$K$302/12*3</f>
        <v>0</v>
      </c>
      <c r="CH57" s="1222">
        <f ca="1">'Calc - GRAD ASST'!$K$303/12*3</f>
        <v>0</v>
      </c>
      <c r="CI57" s="1222">
        <f ca="1">'Calc - GRAD ASST'!$K$303/12*3</f>
        <v>0</v>
      </c>
      <c r="CJ57" s="1222">
        <f ca="1">'Calc - GRAD ASST'!$K$303/12*2</f>
        <v>0</v>
      </c>
      <c r="CK57" s="1222">
        <f ca="1">'Calc - GRAD ASST'!$K$303/12*1</f>
        <v>0</v>
      </c>
      <c r="CL57" s="1222">
        <f ca="1">'Calc - GRAD ASST'!$K$303/12*3</f>
        <v>0</v>
      </c>
      <c r="CM57" s="1223">
        <f ca="1">'Calc - GRAD ASST'!$K$304/8*3</f>
        <v>0</v>
      </c>
      <c r="CN57" s="1223">
        <f ca="1">'Calc - GRAD ASST'!$K$304/8*3</f>
        <v>0</v>
      </c>
      <c r="CO57" s="1223">
        <f ca="1">'Calc - GRAD ASST'!$K$304/8*2</f>
        <v>0</v>
      </c>
      <c r="CP57" s="88">
        <f t="shared" ca="1" si="124"/>
        <v>0</v>
      </c>
      <c r="CS57" s="575"/>
      <c r="CT57" s="5"/>
      <c r="CU57" s="1180"/>
      <c r="CV57" s="575"/>
      <c r="CW57" s="5"/>
      <c r="CX57" s="1180"/>
      <c r="CY57" s="575"/>
      <c r="CZ57" s="5"/>
      <c r="DA57" s="1180"/>
      <c r="DB57" s="575"/>
      <c r="DC57" s="5"/>
      <c r="DD57" s="1180"/>
      <c r="DE57" s="1641">
        <f t="shared" si="125"/>
        <v>0</v>
      </c>
      <c r="DG57" s="575"/>
      <c r="DH57" s="5"/>
      <c r="DI57" s="1180"/>
      <c r="DJ57" s="575"/>
      <c r="DK57" s="5"/>
      <c r="DL57" s="1180"/>
      <c r="DM57" s="575"/>
      <c r="DN57" s="5"/>
      <c r="DO57" s="1180"/>
      <c r="DP57" s="575"/>
      <c r="DQ57" s="5"/>
      <c r="DR57" s="1180"/>
      <c r="DS57" s="1641">
        <f t="shared" si="126"/>
        <v>0</v>
      </c>
      <c r="DU57" s="575"/>
      <c r="DV57" s="5"/>
      <c r="DW57" s="1180"/>
      <c r="DX57" s="575"/>
      <c r="DY57" s="5"/>
      <c r="DZ57" s="1180"/>
      <c r="EA57" s="575"/>
      <c r="EB57" s="5"/>
      <c r="EC57" s="1180"/>
      <c r="ED57" s="575"/>
      <c r="EE57" s="5"/>
      <c r="EF57" s="1180"/>
      <c r="EG57" s="1181">
        <f t="shared" si="127"/>
        <v>0</v>
      </c>
      <c r="EI57" s="22"/>
      <c r="EJ57" s="348">
        <f t="shared" si="128"/>
        <v>0</v>
      </c>
      <c r="EK57" s="57" t="str">
        <f t="shared" si="129"/>
        <v>GA #11 / Sponsor Funds</v>
      </c>
      <c r="EL57" s="53">
        <f t="shared" ca="1" si="130"/>
        <v>0</v>
      </c>
      <c r="EM57" s="53">
        <f t="shared" ca="1" si="131"/>
        <v>0</v>
      </c>
      <c r="EN57" s="53">
        <f t="shared" ca="1" si="132"/>
        <v>0</v>
      </c>
      <c r="EO57" s="53">
        <f t="shared" ca="1" si="133"/>
        <v>0</v>
      </c>
      <c r="EP57" s="53">
        <f t="shared" ca="1" si="134"/>
        <v>0</v>
      </c>
      <c r="EQ57" s="53">
        <f t="shared" ca="1" si="135"/>
        <v>0</v>
      </c>
      <c r="ER57" s="88">
        <f t="shared" ca="1" si="136"/>
        <v>0</v>
      </c>
      <c r="ES57" s="2072"/>
      <c r="ET57" s="24"/>
      <c r="EU57" s="24"/>
      <c r="EV57" s="53">
        <f t="shared" si="137"/>
        <v>0</v>
      </c>
      <c r="EW57" s="53">
        <f t="shared" si="138"/>
        <v>0</v>
      </c>
      <c r="EX57" s="53">
        <f t="shared" si="139"/>
        <v>0</v>
      </c>
      <c r="EY57" s="53">
        <f t="shared" si="140"/>
        <v>0</v>
      </c>
      <c r="EZ57" s="53">
        <f t="shared" si="141"/>
        <v>0</v>
      </c>
      <c r="FA57" s="53">
        <f t="shared" si="142"/>
        <v>0</v>
      </c>
      <c r="FB57" s="167">
        <f t="shared" si="143"/>
        <v>0</v>
      </c>
      <c r="FD57" s="53">
        <f t="shared" si="144"/>
        <v>0</v>
      </c>
      <c r="FE57" s="53">
        <f t="shared" si="145"/>
        <v>0</v>
      </c>
      <c r="FF57" s="53">
        <f t="shared" si="146"/>
        <v>0</v>
      </c>
      <c r="FG57" s="53">
        <f t="shared" si="147"/>
        <v>0</v>
      </c>
      <c r="FH57" s="53">
        <f t="shared" si="148"/>
        <v>0</v>
      </c>
      <c r="FI57" s="53">
        <f t="shared" si="149"/>
        <v>0</v>
      </c>
      <c r="FJ57" s="48">
        <f t="shared" si="150"/>
        <v>0</v>
      </c>
      <c r="FL57" s="53">
        <f t="shared" si="151"/>
        <v>0</v>
      </c>
      <c r="FM57" s="53">
        <f t="shared" si="152"/>
        <v>0</v>
      </c>
      <c r="FN57" s="53">
        <f t="shared" si="153"/>
        <v>0</v>
      </c>
      <c r="FO57" s="53">
        <f t="shared" si="154"/>
        <v>0</v>
      </c>
      <c r="FP57" s="53">
        <f t="shared" si="155"/>
        <v>0</v>
      </c>
      <c r="FQ57" s="53">
        <f t="shared" si="156"/>
        <v>0</v>
      </c>
      <c r="FR57" s="209">
        <f t="shared" si="157"/>
        <v>0</v>
      </c>
      <c r="FT57" s="53">
        <f t="shared" si="158"/>
        <v>0</v>
      </c>
      <c r="FU57" s="53">
        <f t="shared" si="159"/>
        <v>0</v>
      </c>
      <c r="FV57" s="53">
        <f t="shared" si="160"/>
        <v>0</v>
      </c>
      <c r="FW57" s="53">
        <f t="shared" si="161"/>
        <v>0</v>
      </c>
      <c r="FX57" s="53">
        <f t="shared" si="162"/>
        <v>0</v>
      </c>
      <c r="FY57" s="53">
        <f t="shared" si="163"/>
        <v>0</v>
      </c>
      <c r="FZ57" s="181">
        <f t="shared" si="164"/>
        <v>0</v>
      </c>
      <c r="GB57" s="53">
        <f t="shared" si="165"/>
        <v>0</v>
      </c>
      <c r="GC57" s="53">
        <f t="shared" si="166"/>
        <v>0</v>
      </c>
      <c r="GD57" s="53">
        <f t="shared" si="167"/>
        <v>0</v>
      </c>
      <c r="GE57" s="53">
        <f t="shared" si="168"/>
        <v>0</v>
      </c>
      <c r="GF57" s="53">
        <f t="shared" si="169"/>
        <v>0</v>
      </c>
      <c r="GG57" s="53">
        <f t="shared" si="170"/>
        <v>0</v>
      </c>
      <c r="GH57" s="153">
        <f t="shared" si="171"/>
        <v>0</v>
      </c>
      <c r="GJ57" s="53"/>
      <c r="GK57" s="53"/>
      <c r="GL57" s="53"/>
      <c r="GM57" s="53"/>
      <c r="GN57" s="53"/>
      <c r="GO57" s="53"/>
      <c r="GP57" s="195">
        <f t="shared" si="172"/>
        <v>0</v>
      </c>
      <c r="GR57" s="53"/>
      <c r="GS57" s="53"/>
      <c r="GT57" s="53"/>
      <c r="GU57" s="53"/>
      <c r="GV57" s="53"/>
      <c r="GW57" s="53"/>
      <c r="GX57" s="1105">
        <f t="shared" si="173"/>
        <v>0</v>
      </c>
      <c r="GZ57" s="574">
        <f t="shared" si="174"/>
        <v>0</v>
      </c>
      <c r="HA57" s="574">
        <f t="shared" si="175"/>
        <v>0</v>
      </c>
      <c r="HB57" s="574">
        <f t="shared" si="176"/>
        <v>0</v>
      </c>
      <c r="HC57" s="574">
        <f t="shared" si="177"/>
        <v>0</v>
      </c>
      <c r="HD57" s="574">
        <f t="shared" si="178"/>
        <v>0</v>
      </c>
      <c r="HE57" s="574">
        <f t="shared" si="179"/>
        <v>0</v>
      </c>
      <c r="HF57" s="990">
        <f t="shared" si="180"/>
        <v>0</v>
      </c>
      <c r="HG57" s="276">
        <f t="shared" ca="1" si="181"/>
        <v>0</v>
      </c>
      <c r="HH57" s="257"/>
    </row>
    <row r="58" spans="1:216" ht="15" hidden="1" customHeight="1" x14ac:dyDescent="0.25">
      <c r="A58" s="22"/>
      <c r="B58" s="348">
        <f>'Calc - GRAD ASST'!$C326</f>
        <v>0</v>
      </c>
      <c r="C58" s="57" t="str">
        <f>'Calc - GRAD ASST'!A325</f>
        <v>GA #12 / Sponsor Funds</v>
      </c>
      <c r="D58" s="53">
        <f ca="1">'Calc - GRAD ASST'!$K330</f>
        <v>0</v>
      </c>
      <c r="E58" s="53">
        <f ca="1">'Calc - GRAD ASST'!$K331</f>
        <v>0</v>
      </c>
      <c r="F58" s="53">
        <f ca="1">'Calc - GRAD ASST'!$K332</f>
        <v>0</v>
      </c>
      <c r="G58" s="53">
        <f ca="1">'Calc - GRAD ASST'!$K333</f>
        <v>0</v>
      </c>
      <c r="H58" s="53">
        <f ca="1">'Calc - GRAD ASST'!$K334</f>
        <v>0</v>
      </c>
      <c r="I58" s="53">
        <f ca="1">'Calc - GRAD ASST'!$K335</f>
        <v>0</v>
      </c>
      <c r="J58" s="88">
        <f t="shared" ca="1" si="108"/>
        <v>0</v>
      </c>
      <c r="K58" s="2072" t="str">
        <f ca="1">IF(BY58&lt;&gt;'Calc - GRAD ASST'!$K$336,"ERROR","")</f>
        <v/>
      </c>
      <c r="L58" s="24"/>
      <c r="M58" s="24"/>
      <c r="N58" s="53"/>
      <c r="O58" s="53"/>
      <c r="P58" s="53"/>
      <c r="Q58" s="53"/>
      <c r="R58" s="53"/>
      <c r="S58" s="53"/>
      <c r="T58" s="167">
        <f t="shared" si="109"/>
        <v>0</v>
      </c>
      <c r="V58" s="53"/>
      <c r="W58" s="53"/>
      <c r="X58" s="53"/>
      <c r="Y58" s="53"/>
      <c r="Z58" s="53"/>
      <c r="AA58" s="53"/>
      <c r="AB58" s="48">
        <f t="shared" si="110"/>
        <v>0</v>
      </c>
      <c r="AD58" s="53"/>
      <c r="AE58" s="53"/>
      <c r="AF58" s="53"/>
      <c r="AG58" s="53"/>
      <c r="AH58" s="53"/>
      <c r="AI58" s="53"/>
      <c r="AJ58" s="209">
        <f t="shared" si="111"/>
        <v>0</v>
      </c>
      <c r="AL58" s="53"/>
      <c r="AM58" s="53"/>
      <c r="AN58" s="53"/>
      <c r="AO58" s="53"/>
      <c r="AP58" s="53"/>
      <c r="AQ58" s="53"/>
      <c r="AR58" s="181">
        <f t="shared" si="112"/>
        <v>0</v>
      </c>
      <c r="AT58" s="53"/>
      <c r="AU58" s="53"/>
      <c r="AV58" s="53"/>
      <c r="AW58" s="53"/>
      <c r="AX58" s="53"/>
      <c r="AY58" s="53"/>
      <c r="AZ58" s="153">
        <f t="shared" si="113"/>
        <v>0</v>
      </c>
      <c r="BB58" s="53"/>
      <c r="BC58" s="53"/>
      <c r="BD58" s="53"/>
      <c r="BE58" s="53"/>
      <c r="BF58" s="53"/>
      <c r="BG58" s="53"/>
      <c r="BH58" s="195">
        <f t="shared" si="114"/>
        <v>0</v>
      </c>
      <c r="BJ58" s="53"/>
      <c r="BK58" s="53"/>
      <c r="BL58" s="53"/>
      <c r="BM58" s="53"/>
      <c r="BN58" s="53"/>
      <c r="BO58" s="53"/>
      <c r="BP58" s="1105">
        <f t="shared" si="115"/>
        <v>0</v>
      </c>
      <c r="BR58" s="575">
        <f t="shared" si="116"/>
        <v>0</v>
      </c>
      <c r="BS58" s="575">
        <f t="shared" si="117"/>
        <v>0</v>
      </c>
      <c r="BT58" s="575">
        <f t="shared" si="118"/>
        <v>0</v>
      </c>
      <c r="BU58" s="575">
        <f t="shared" si="119"/>
        <v>0</v>
      </c>
      <c r="BV58" s="575">
        <f t="shared" si="120"/>
        <v>0</v>
      </c>
      <c r="BW58" s="575">
        <f t="shared" si="121"/>
        <v>0</v>
      </c>
      <c r="BX58" s="991">
        <f t="shared" si="122"/>
        <v>0</v>
      </c>
      <c r="BY58" s="573">
        <f t="shared" ca="1" si="123"/>
        <v>0</v>
      </c>
      <c r="BZ58" s="257"/>
      <c r="CB58" s="1639">
        <f ca="1">'Calc - GRAD ASST'!$K$330</f>
        <v>0</v>
      </c>
      <c r="CC58" s="1221">
        <f ca="1">'Calc - GRAD ASST'!$K$331/12*3</f>
        <v>0</v>
      </c>
      <c r="CD58" s="1221">
        <f ca="1">'Calc - GRAD ASST'!$K$331/12*3</f>
        <v>0</v>
      </c>
      <c r="CE58" s="1221">
        <f ca="1">'Calc - GRAD ASST'!$K$331/12*2</f>
        <v>0</v>
      </c>
      <c r="CF58" s="1221">
        <f ca="1">'Calc - GRAD ASST'!$K$331/12*1</f>
        <v>0</v>
      </c>
      <c r="CG58" s="1221">
        <f ca="1">'Calc - GRAD ASST'!$K$331/12*3</f>
        <v>0</v>
      </c>
      <c r="CH58" s="1222">
        <f ca="1">'Calc - GRAD ASST'!$K$332/12*3</f>
        <v>0</v>
      </c>
      <c r="CI58" s="1222">
        <f ca="1">'Calc - GRAD ASST'!$K$332/12*3</f>
        <v>0</v>
      </c>
      <c r="CJ58" s="1222">
        <f ca="1">'Calc - GRAD ASST'!$K$332/12*2</f>
        <v>0</v>
      </c>
      <c r="CK58" s="1222">
        <f ca="1">'Calc - GRAD ASST'!$K$332/12*1</f>
        <v>0</v>
      </c>
      <c r="CL58" s="1222">
        <f ca="1">'Calc - GRAD ASST'!$K$332/12*3</f>
        <v>0</v>
      </c>
      <c r="CM58" s="1223">
        <f ca="1">'Calc - GRAD ASST'!$K$333/8*3</f>
        <v>0</v>
      </c>
      <c r="CN58" s="1223">
        <f ca="1">'Calc - GRAD ASST'!$K$333/8*3</f>
        <v>0</v>
      </c>
      <c r="CO58" s="1223">
        <f ca="1">'Calc - GRAD ASST'!$K$333/8*2</f>
        <v>0</v>
      </c>
      <c r="CP58" s="88">
        <f t="shared" ca="1" si="124"/>
        <v>0</v>
      </c>
      <c r="CS58" s="575"/>
      <c r="CT58" s="5"/>
      <c r="CU58" s="1180"/>
      <c r="CV58" s="575"/>
      <c r="CW58" s="5"/>
      <c r="CX58" s="1180"/>
      <c r="CY58" s="575"/>
      <c r="CZ58" s="5"/>
      <c r="DA58" s="1180"/>
      <c r="DB58" s="575"/>
      <c r="DC58" s="5"/>
      <c r="DD58" s="1180"/>
      <c r="DE58" s="1641">
        <f t="shared" si="125"/>
        <v>0</v>
      </c>
      <c r="DG58" s="575"/>
      <c r="DH58" s="5"/>
      <c r="DI58" s="1180"/>
      <c r="DJ58" s="575"/>
      <c r="DK58" s="5"/>
      <c r="DL58" s="1180"/>
      <c r="DM58" s="575"/>
      <c r="DN58" s="5"/>
      <c r="DO58" s="1180"/>
      <c r="DP58" s="575"/>
      <c r="DQ58" s="5"/>
      <c r="DR58" s="1180"/>
      <c r="DS58" s="1641">
        <f t="shared" si="126"/>
        <v>0</v>
      </c>
      <c r="DU58" s="575"/>
      <c r="DV58" s="5"/>
      <c r="DW58" s="1180"/>
      <c r="DX58" s="575"/>
      <c r="DY58" s="5"/>
      <c r="DZ58" s="1180"/>
      <c r="EA58" s="575"/>
      <c r="EB58" s="5"/>
      <c r="EC58" s="1180"/>
      <c r="ED58" s="575"/>
      <c r="EE58" s="5"/>
      <c r="EF58" s="1180"/>
      <c r="EG58" s="1181">
        <f t="shared" si="127"/>
        <v>0</v>
      </c>
      <c r="EI58" s="22"/>
      <c r="EJ58" s="348">
        <f t="shared" si="128"/>
        <v>0</v>
      </c>
      <c r="EK58" s="57" t="str">
        <f t="shared" si="129"/>
        <v>GA #12 / Sponsor Funds</v>
      </c>
      <c r="EL58" s="53">
        <f t="shared" ca="1" si="130"/>
        <v>0</v>
      </c>
      <c r="EM58" s="53">
        <f t="shared" ca="1" si="131"/>
        <v>0</v>
      </c>
      <c r="EN58" s="53">
        <f t="shared" ca="1" si="132"/>
        <v>0</v>
      </c>
      <c r="EO58" s="53">
        <f t="shared" ca="1" si="133"/>
        <v>0</v>
      </c>
      <c r="EP58" s="53">
        <f t="shared" ca="1" si="134"/>
        <v>0</v>
      </c>
      <c r="EQ58" s="53">
        <f t="shared" ca="1" si="135"/>
        <v>0</v>
      </c>
      <c r="ER58" s="88">
        <f t="shared" ca="1" si="136"/>
        <v>0</v>
      </c>
      <c r="ES58" s="2072"/>
      <c r="ET58" s="24"/>
      <c r="EU58" s="24"/>
      <c r="EV58" s="53">
        <f t="shared" si="137"/>
        <v>0</v>
      </c>
      <c r="EW58" s="53">
        <f t="shared" si="138"/>
        <v>0</v>
      </c>
      <c r="EX58" s="53">
        <f t="shared" si="139"/>
        <v>0</v>
      </c>
      <c r="EY58" s="53">
        <f t="shared" si="140"/>
        <v>0</v>
      </c>
      <c r="EZ58" s="53">
        <f t="shared" si="141"/>
        <v>0</v>
      </c>
      <c r="FA58" s="53">
        <f t="shared" si="142"/>
        <v>0</v>
      </c>
      <c r="FB58" s="167">
        <f t="shared" si="143"/>
        <v>0</v>
      </c>
      <c r="FD58" s="53">
        <f t="shared" si="144"/>
        <v>0</v>
      </c>
      <c r="FE58" s="53">
        <f t="shared" si="145"/>
        <v>0</v>
      </c>
      <c r="FF58" s="53">
        <f t="shared" si="146"/>
        <v>0</v>
      </c>
      <c r="FG58" s="53">
        <f t="shared" si="147"/>
        <v>0</v>
      </c>
      <c r="FH58" s="53">
        <f t="shared" si="148"/>
        <v>0</v>
      </c>
      <c r="FI58" s="53">
        <f t="shared" si="149"/>
        <v>0</v>
      </c>
      <c r="FJ58" s="48">
        <f t="shared" si="150"/>
        <v>0</v>
      </c>
      <c r="FL58" s="53">
        <f t="shared" si="151"/>
        <v>0</v>
      </c>
      <c r="FM58" s="53">
        <f t="shared" si="152"/>
        <v>0</v>
      </c>
      <c r="FN58" s="53">
        <f t="shared" si="153"/>
        <v>0</v>
      </c>
      <c r="FO58" s="53">
        <f t="shared" si="154"/>
        <v>0</v>
      </c>
      <c r="FP58" s="53">
        <f t="shared" si="155"/>
        <v>0</v>
      </c>
      <c r="FQ58" s="53">
        <f t="shared" si="156"/>
        <v>0</v>
      </c>
      <c r="FR58" s="209">
        <f t="shared" si="157"/>
        <v>0</v>
      </c>
      <c r="FT58" s="53">
        <f t="shared" si="158"/>
        <v>0</v>
      </c>
      <c r="FU58" s="53">
        <f t="shared" si="159"/>
        <v>0</v>
      </c>
      <c r="FV58" s="53">
        <f t="shared" si="160"/>
        <v>0</v>
      </c>
      <c r="FW58" s="53">
        <f t="shared" si="161"/>
        <v>0</v>
      </c>
      <c r="FX58" s="53">
        <f t="shared" si="162"/>
        <v>0</v>
      </c>
      <c r="FY58" s="53">
        <f t="shared" si="163"/>
        <v>0</v>
      </c>
      <c r="FZ58" s="181">
        <f t="shared" si="164"/>
        <v>0</v>
      </c>
      <c r="GB58" s="53">
        <f t="shared" si="165"/>
        <v>0</v>
      </c>
      <c r="GC58" s="53">
        <f t="shared" si="166"/>
        <v>0</v>
      </c>
      <c r="GD58" s="53">
        <f t="shared" si="167"/>
        <v>0</v>
      </c>
      <c r="GE58" s="53">
        <f t="shared" si="168"/>
        <v>0</v>
      </c>
      <c r="GF58" s="53">
        <f t="shared" si="169"/>
        <v>0</v>
      </c>
      <c r="GG58" s="53">
        <f t="shared" si="170"/>
        <v>0</v>
      </c>
      <c r="GH58" s="153">
        <f t="shared" si="171"/>
        <v>0</v>
      </c>
      <c r="GJ58" s="53"/>
      <c r="GK58" s="53"/>
      <c r="GL58" s="53"/>
      <c r="GM58" s="53"/>
      <c r="GN58" s="53"/>
      <c r="GO58" s="53"/>
      <c r="GP58" s="195">
        <f t="shared" si="172"/>
        <v>0</v>
      </c>
      <c r="GR58" s="53"/>
      <c r="GS58" s="53"/>
      <c r="GT58" s="53"/>
      <c r="GU58" s="53"/>
      <c r="GV58" s="53"/>
      <c r="GW58" s="53"/>
      <c r="GX58" s="1105">
        <f t="shared" si="173"/>
        <v>0</v>
      </c>
      <c r="GZ58" s="575">
        <f t="shared" si="174"/>
        <v>0</v>
      </c>
      <c r="HA58" s="575">
        <f t="shared" si="175"/>
        <v>0</v>
      </c>
      <c r="HB58" s="575">
        <f t="shared" si="176"/>
        <v>0</v>
      </c>
      <c r="HC58" s="575">
        <f t="shared" si="177"/>
        <v>0</v>
      </c>
      <c r="HD58" s="575">
        <f t="shared" si="178"/>
        <v>0</v>
      </c>
      <c r="HE58" s="575">
        <f t="shared" si="179"/>
        <v>0</v>
      </c>
      <c r="HF58" s="991">
        <f t="shared" si="180"/>
        <v>0</v>
      </c>
      <c r="HG58" s="573">
        <f t="shared" ca="1" si="181"/>
        <v>0</v>
      </c>
      <c r="HH58" s="257"/>
    </row>
    <row r="59" spans="1:216" ht="15" hidden="1" customHeight="1" x14ac:dyDescent="0.25">
      <c r="A59" s="22"/>
      <c r="B59" s="348">
        <f>'Calc - GRAD ASST'!$C355</f>
        <v>0</v>
      </c>
      <c r="C59" s="57" t="str">
        <f>'Calc - GRAD ASST'!A354</f>
        <v>GA #13 / Sponsor Funds</v>
      </c>
      <c r="D59" s="53">
        <f ca="1">'Calc - GRAD ASST'!$K359</f>
        <v>0</v>
      </c>
      <c r="E59" s="53">
        <f ca="1">'Calc - GRAD ASST'!$K360</f>
        <v>0</v>
      </c>
      <c r="F59" s="53">
        <f ca="1">'Calc - GRAD ASST'!$K361</f>
        <v>0</v>
      </c>
      <c r="G59" s="53">
        <f ca="1">'Calc - GRAD ASST'!$K362</f>
        <v>0</v>
      </c>
      <c r="H59" s="53">
        <f ca="1">'Calc - GRAD ASST'!$K363</f>
        <v>0</v>
      </c>
      <c r="I59" s="53">
        <f ca="1">'Calc - GRAD ASST'!$K364</f>
        <v>0</v>
      </c>
      <c r="J59" s="88">
        <f t="shared" ca="1" si="108"/>
        <v>0</v>
      </c>
      <c r="K59" s="2072" t="str">
        <f ca="1">IF(BY59&lt;&gt;'Calc - GRAD ASST'!$K$365,"ERROR","")</f>
        <v/>
      </c>
      <c r="L59" s="24"/>
      <c r="M59" s="24"/>
      <c r="N59" s="53"/>
      <c r="O59" s="53"/>
      <c r="P59" s="53"/>
      <c r="Q59" s="53"/>
      <c r="R59" s="53"/>
      <c r="S59" s="53"/>
      <c r="T59" s="167">
        <f t="shared" si="109"/>
        <v>0</v>
      </c>
      <c r="V59" s="53"/>
      <c r="W59" s="53"/>
      <c r="X59" s="53"/>
      <c r="Y59" s="53"/>
      <c r="Z59" s="53"/>
      <c r="AA59" s="53"/>
      <c r="AB59" s="48">
        <f t="shared" si="110"/>
        <v>0</v>
      </c>
      <c r="AD59" s="53"/>
      <c r="AE59" s="53"/>
      <c r="AF59" s="53"/>
      <c r="AG59" s="53"/>
      <c r="AH59" s="53"/>
      <c r="AI59" s="53"/>
      <c r="AJ59" s="209">
        <f t="shared" si="111"/>
        <v>0</v>
      </c>
      <c r="AL59" s="53"/>
      <c r="AM59" s="53"/>
      <c r="AN59" s="53"/>
      <c r="AO59" s="53"/>
      <c r="AP59" s="53"/>
      <c r="AQ59" s="53"/>
      <c r="AR59" s="181">
        <f t="shared" si="112"/>
        <v>0</v>
      </c>
      <c r="AT59" s="53"/>
      <c r="AU59" s="53"/>
      <c r="AV59" s="53"/>
      <c r="AW59" s="53"/>
      <c r="AX59" s="53"/>
      <c r="AY59" s="53"/>
      <c r="AZ59" s="153">
        <f t="shared" si="113"/>
        <v>0</v>
      </c>
      <c r="BB59" s="53"/>
      <c r="BC59" s="53"/>
      <c r="BD59" s="53"/>
      <c r="BE59" s="53"/>
      <c r="BF59" s="53"/>
      <c r="BG59" s="53"/>
      <c r="BH59" s="195">
        <f t="shared" si="114"/>
        <v>0</v>
      </c>
      <c r="BJ59" s="53"/>
      <c r="BK59" s="53"/>
      <c r="BL59" s="53"/>
      <c r="BM59" s="53"/>
      <c r="BN59" s="53"/>
      <c r="BO59" s="53"/>
      <c r="BP59" s="1105">
        <f t="shared" si="115"/>
        <v>0</v>
      </c>
      <c r="BR59" s="575">
        <f t="shared" si="116"/>
        <v>0</v>
      </c>
      <c r="BS59" s="575">
        <f t="shared" si="117"/>
        <v>0</v>
      </c>
      <c r="BT59" s="575">
        <f t="shared" si="118"/>
        <v>0</v>
      </c>
      <c r="BU59" s="575">
        <f t="shared" si="119"/>
        <v>0</v>
      </c>
      <c r="BV59" s="575">
        <f t="shared" si="120"/>
        <v>0</v>
      </c>
      <c r="BW59" s="575">
        <f t="shared" si="121"/>
        <v>0</v>
      </c>
      <c r="BX59" s="991">
        <f t="shared" si="122"/>
        <v>0</v>
      </c>
      <c r="BY59" s="573">
        <f t="shared" ca="1" si="123"/>
        <v>0</v>
      </c>
      <c r="BZ59" s="257"/>
      <c r="CB59" s="1639">
        <f ca="1">'Calc - GRAD ASST'!$K$359</f>
        <v>0</v>
      </c>
      <c r="CC59" s="1221">
        <f ca="1">'Calc - GRAD ASST'!$K$360/12*3</f>
        <v>0</v>
      </c>
      <c r="CD59" s="1221">
        <f ca="1">'Calc - GRAD ASST'!$K$360/12*3</f>
        <v>0</v>
      </c>
      <c r="CE59" s="1221">
        <f ca="1">'Calc - GRAD ASST'!$K$360/12*2</f>
        <v>0</v>
      </c>
      <c r="CF59" s="1221">
        <f ca="1">'Calc - GRAD ASST'!$K$360/12*1</f>
        <v>0</v>
      </c>
      <c r="CG59" s="1221">
        <f ca="1">'Calc - GRAD ASST'!$K$360/12*3</f>
        <v>0</v>
      </c>
      <c r="CH59" s="1222">
        <f ca="1">'Calc - GRAD ASST'!$K$361/12*3</f>
        <v>0</v>
      </c>
      <c r="CI59" s="1222">
        <f ca="1">'Calc - GRAD ASST'!$K$361/12*3</f>
        <v>0</v>
      </c>
      <c r="CJ59" s="1222">
        <f ca="1">'Calc - GRAD ASST'!$K$361/12*2</f>
        <v>0</v>
      </c>
      <c r="CK59" s="1222">
        <f ca="1">'Calc - GRAD ASST'!$K$361/12*1</f>
        <v>0</v>
      </c>
      <c r="CL59" s="1222">
        <f ca="1">'Calc - GRAD ASST'!$K$361/12*3</f>
        <v>0</v>
      </c>
      <c r="CM59" s="1223">
        <f ca="1">'Calc - GRAD ASST'!$K$362/8*3</f>
        <v>0</v>
      </c>
      <c r="CN59" s="1223">
        <f ca="1">'Calc - GRAD ASST'!$K$362/8*3</f>
        <v>0</v>
      </c>
      <c r="CO59" s="1223">
        <f ca="1">'Calc - GRAD ASST'!$K$362/8*2</f>
        <v>0</v>
      </c>
      <c r="CP59" s="88">
        <f t="shared" ca="1" si="124"/>
        <v>0</v>
      </c>
      <c r="CS59" s="575"/>
      <c r="CT59" s="5"/>
      <c r="CU59" s="1180"/>
      <c r="CV59" s="575"/>
      <c r="CW59" s="5"/>
      <c r="CX59" s="1180"/>
      <c r="CY59" s="575"/>
      <c r="CZ59" s="5"/>
      <c r="DA59" s="1180"/>
      <c r="DB59" s="575"/>
      <c r="DC59" s="5"/>
      <c r="DD59" s="1180"/>
      <c r="DE59" s="1641">
        <f t="shared" si="125"/>
        <v>0</v>
      </c>
      <c r="DG59" s="575"/>
      <c r="DH59" s="5"/>
      <c r="DI59" s="1180"/>
      <c r="DJ59" s="575"/>
      <c r="DK59" s="5"/>
      <c r="DL59" s="1180"/>
      <c r="DM59" s="575"/>
      <c r="DN59" s="5"/>
      <c r="DO59" s="1180"/>
      <c r="DP59" s="575"/>
      <c r="DQ59" s="5"/>
      <c r="DR59" s="1180"/>
      <c r="DS59" s="1641">
        <f t="shared" si="126"/>
        <v>0</v>
      </c>
      <c r="DU59" s="575"/>
      <c r="DV59" s="5"/>
      <c r="DW59" s="1180"/>
      <c r="DX59" s="575"/>
      <c r="DY59" s="5"/>
      <c r="DZ59" s="1180"/>
      <c r="EA59" s="575"/>
      <c r="EB59" s="5"/>
      <c r="EC59" s="1180"/>
      <c r="ED59" s="575"/>
      <c r="EE59" s="5"/>
      <c r="EF59" s="1180"/>
      <c r="EG59" s="1181">
        <f t="shared" si="127"/>
        <v>0</v>
      </c>
      <c r="EI59" s="22"/>
      <c r="EJ59" s="348">
        <f t="shared" si="128"/>
        <v>0</v>
      </c>
      <c r="EK59" s="57" t="str">
        <f t="shared" si="129"/>
        <v>GA #13 / Sponsor Funds</v>
      </c>
      <c r="EL59" s="53">
        <f t="shared" ca="1" si="130"/>
        <v>0</v>
      </c>
      <c r="EM59" s="53">
        <f t="shared" ca="1" si="131"/>
        <v>0</v>
      </c>
      <c r="EN59" s="53">
        <f t="shared" ca="1" si="132"/>
        <v>0</v>
      </c>
      <c r="EO59" s="53">
        <f t="shared" ca="1" si="133"/>
        <v>0</v>
      </c>
      <c r="EP59" s="53">
        <f t="shared" ca="1" si="134"/>
        <v>0</v>
      </c>
      <c r="EQ59" s="53">
        <f t="shared" ca="1" si="135"/>
        <v>0</v>
      </c>
      <c r="ER59" s="88">
        <f t="shared" ca="1" si="136"/>
        <v>0</v>
      </c>
      <c r="ES59" s="2072"/>
      <c r="ET59" s="24"/>
      <c r="EU59" s="24"/>
      <c r="EV59" s="53">
        <f t="shared" si="137"/>
        <v>0</v>
      </c>
      <c r="EW59" s="53">
        <f t="shared" si="138"/>
        <v>0</v>
      </c>
      <c r="EX59" s="53">
        <f t="shared" si="139"/>
        <v>0</v>
      </c>
      <c r="EY59" s="53">
        <f t="shared" si="140"/>
        <v>0</v>
      </c>
      <c r="EZ59" s="53">
        <f t="shared" si="141"/>
        <v>0</v>
      </c>
      <c r="FA59" s="53">
        <f t="shared" si="142"/>
        <v>0</v>
      </c>
      <c r="FB59" s="167">
        <f t="shared" si="143"/>
        <v>0</v>
      </c>
      <c r="FD59" s="53">
        <f t="shared" si="144"/>
        <v>0</v>
      </c>
      <c r="FE59" s="53">
        <f t="shared" si="145"/>
        <v>0</v>
      </c>
      <c r="FF59" s="53">
        <f t="shared" si="146"/>
        <v>0</v>
      </c>
      <c r="FG59" s="53">
        <f t="shared" si="147"/>
        <v>0</v>
      </c>
      <c r="FH59" s="53">
        <f t="shared" si="148"/>
        <v>0</v>
      </c>
      <c r="FI59" s="53">
        <f t="shared" si="149"/>
        <v>0</v>
      </c>
      <c r="FJ59" s="48">
        <f t="shared" si="150"/>
        <v>0</v>
      </c>
      <c r="FL59" s="53">
        <f t="shared" si="151"/>
        <v>0</v>
      </c>
      <c r="FM59" s="53">
        <f t="shared" si="152"/>
        <v>0</v>
      </c>
      <c r="FN59" s="53">
        <f t="shared" si="153"/>
        <v>0</v>
      </c>
      <c r="FO59" s="53">
        <f t="shared" si="154"/>
        <v>0</v>
      </c>
      <c r="FP59" s="53">
        <f t="shared" si="155"/>
        <v>0</v>
      </c>
      <c r="FQ59" s="53">
        <f t="shared" si="156"/>
        <v>0</v>
      </c>
      <c r="FR59" s="209">
        <f t="shared" si="157"/>
        <v>0</v>
      </c>
      <c r="FT59" s="53">
        <f t="shared" si="158"/>
        <v>0</v>
      </c>
      <c r="FU59" s="53">
        <f t="shared" si="159"/>
        <v>0</v>
      </c>
      <c r="FV59" s="53">
        <f t="shared" si="160"/>
        <v>0</v>
      </c>
      <c r="FW59" s="53">
        <f t="shared" si="161"/>
        <v>0</v>
      </c>
      <c r="FX59" s="53">
        <f t="shared" si="162"/>
        <v>0</v>
      </c>
      <c r="FY59" s="53">
        <f t="shared" si="163"/>
        <v>0</v>
      </c>
      <c r="FZ59" s="181">
        <f t="shared" si="164"/>
        <v>0</v>
      </c>
      <c r="GB59" s="53">
        <f t="shared" si="165"/>
        <v>0</v>
      </c>
      <c r="GC59" s="53">
        <f t="shared" si="166"/>
        <v>0</v>
      </c>
      <c r="GD59" s="53">
        <f t="shared" si="167"/>
        <v>0</v>
      </c>
      <c r="GE59" s="53">
        <f t="shared" si="168"/>
        <v>0</v>
      </c>
      <c r="GF59" s="53">
        <f t="shared" si="169"/>
        <v>0</v>
      </c>
      <c r="GG59" s="53">
        <f t="shared" si="170"/>
        <v>0</v>
      </c>
      <c r="GH59" s="153">
        <f t="shared" si="171"/>
        <v>0</v>
      </c>
      <c r="GJ59" s="53"/>
      <c r="GK59" s="53"/>
      <c r="GL59" s="53"/>
      <c r="GM59" s="53"/>
      <c r="GN59" s="53"/>
      <c r="GO59" s="53"/>
      <c r="GP59" s="195">
        <f t="shared" si="172"/>
        <v>0</v>
      </c>
      <c r="GR59" s="53"/>
      <c r="GS59" s="53"/>
      <c r="GT59" s="53"/>
      <c r="GU59" s="53"/>
      <c r="GV59" s="53"/>
      <c r="GW59" s="53"/>
      <c r="GX59" s="1105">
        <f t="shared" si="173"/>
        <v>0</v>
      </c>
      <c r="GZ59" s="575">
        <f t="shared" si="174"/>
        <v>0</v>
      </c>
      <c r="HA59" s="575">
        <f t="shared" si="175"/>
        <v>0</v>
      </c>
      <c r="HB59" s="575">
        <f t="shared" si="176"/>
        <v>0</v>
      </c>
      <c r="HC59" s="575">
        <f t="shared" si="177"/>
        <v>0</v>
      </c>
      <c r="HD59" s="575">
        <f t="shared" si="178"/>
        <v>0</v>
      </c>
      <c r="HE59" s="575">
        <f t="shared" si="179"/>
        <v>0</v>
      </c>
      <c r="HF59" s="991">
        <f t="shared" si="180"/>
        <v>0</v>
      </c>
      <c r="HG59" s="573">
        <f t="shared" ca="1" si="181"/>
        <v>0</v>
      </c>
      <c r="HH59" s="257"/>
    </row>
    <row r="60" spans="1:216" ht="15" hidden="1" customHeight="1" x14ac:dyDescent="0.25">
      <c r="A60" s="22"/>
      <c r="B60" s="348">
        <f>'Calc - GRAD ASST'!$C384</f>
        <v>0</v>
      </c>
      <c r="C60" s="57" t="str">
        <f>'Calc - GRAD ASST'!A383</f>
        <v>GA #14 / Sponsor Funds</v>
      </c>
      <c r="D60" s="53">
        <f ca="1">'Calc - GRAD ASST'!$K388</f>
        <v>0</v>
      </c>
      <c r="E60" s="53">
        <f ca="1">'Calc - GRAD ASST'!$K389</f>
        <v>0</v>
      </c>
      <c r="F60" s="53">
        <f ca="1">'Calc - GRAD ASST'!$K390</f>
        <v>0</v>
      </c>
      <c r="G60" s="53">
        <f ca="1">'Calc - GRAD ASST'!$K391</f>
        <v>0</v>
      </c>
      <c r="H60" s="53">
        <f ca="1">'Calc - GRAD ASST'!$K392</f>
        <v>0</v>
      </c>
      <c r="I60" s="53">
        <f ca="1">'Calc - GRAD ASST'!$K393</f>
        <v>0</v>
      </c>
      <c r="J60" s="88">
        <f t="shared" ca="1" si="108"/>
        <v>0</v>
      </c>
      <c r="K60" s="2072" t="str">
        <f ca="1">IF(BY60&lt;&gt;'Calc - GRAD ASST'!$K$394,"ERROR","")</f>
        <v/>
      </c>
      <c r="L60" s="24"/>
      <c r="M60" s="24"/>
      <c r="N60" s="53"/>
      <c r="O60" s="53"/>
      <c r="P60" s="53"/>
      <c r="Q60" s="53"/>
      <c r="R60" s="53"/>
      <c r="S60" s="53"/>
      <c r="T60" s="167">
        <f t="shared" si="109"/>
        <v>0</v>
      </c>
      <c r="V60" s="53"/>
      <c r="W60" s="53"/>
      <c r="X60" s="53"/>
      <c r="Y60" s="53"/>
      <c r="Z60" s="53"/>
      <c r="AA60" s="53"/>
      <c r="AB60" s="48">
        <f t="shared" si="110"/>
        <v>0</v>
      </c>
      <c r="AD60" s="53"/>
      <c r="AE60" s="53"/>
      <c r="AF60" s="53"/>
      <c r="AG60" s="53"/>
      <c r="AH60" s="53"/>
      <c r="AI60" s="53"/>
      <c r="AJ60" s="209">
        <f t="shared" si="111"/>
        <v>0</v>
      </c>
      <c r="AL60" s="53"/>
      <c r="AM60" s="53"/>
      <c r="AN60" s="53"/>
      <c r="AO60" s="53"/>
      <c r="AP60" s="53"/>
      <c r="AQ60" s="53"/>
      <c r="AR60" s="181">
        <f t="shared" si="112"/>
        <v>0</v>
      </c>
      <c r="AT60" s="53"/>
      <c r="AU60" s="53"/>
      <c r="AV60" s="53"/>
      <c r="AW60" s="53"/>
      <c r="AX60" s="53"/>
      <c r="AY60" s="53"/>
      <c r="AZ60" s="153">
        <f t="shared" si="113"/>
        <v>0</v>
      </c>
      <c r="BB60" s="53"/>
      <c r="BC60" s="53"/>
      <c r="BD60" s="53"/>
      <c r="BE60" s="53"/>
      <c r="BF60" s="53"/>
      <c r="BG60" s="53"/>
      <c r="BH60" s="195">
        <f t="shared" si="114"/>
        <v>0</v>
      </c>
      <c r="BJ60" s="53"/>
      <c r="BK60" s="53"/>
      <c r="BL60" s="53"/>
      <c r="BM60" s="53"/>
      <c r="BN60" s="53"/>
      <c r="BO60" s="53"/>
      <c r="BP60" s="1105">
        <f t="shared" si="115"/>
        <v>0</v>
      </c>
      <c r="BR60" s="575">
        <f t="shared" si="116"/>
        <v>0</v>
      </c>
      <c r="BS60" s="575">
        <f t="shared" si="117"/>
        <v>0</v>
      </c>
      <c r="BT60" s="575">
        <f t="shared" si="118"/>
        <v>0</v>
      </c>
      <c r="BU60" s="575">
        <f t="shared" si="119"/>
        <v>0</v>
      </c>
      <c r="BV60" s="575">
        <f t="shared" si="120"/>
        <v>0</v>
      </c>
      <c r="BW60" s="575">
        <f t="shared" si="121"/>
        <v>0</v>
      </c>
      <c r="BX60" s="991">
        <f t="shared" si="122"/>
        <v>0</v>
      </c>
      <c r="BY60" s="573">
        <f t="shared" ca="1" si="123"/>
        <v>0</v>
      </c>
      <c r="BZ60" s="257"/>
      <c r="CB60" s="1639">
        <f ca="1">'Calc - GRAD ASST'!$K$388</f>
        <v>0</v>
      </c>
      <c r="CC60" s="1221">
        <f ca="1">'Calc - GRAD ASST'!$K$389/12*3</f>
        <v>0</v>
      </c>
      <c r="CD60" s="1221">
        <f ca="1">'Calc - GRAD ASST'!$K$389/12*3</f>
        <v>0</v>
      </c>
      <c r="CE60" s="1221">
        <f ca="1">'Calc - GRAD ASST'!$K$389/12*2</f>
        <v>0</v>
      </c>
      <c r="CF60" s="1221">
        <f ca="1">'Calc - GRAD ASST'!$K$389/12*1</f>
        <v>0</v>
      </c>
      <c r="CG60" s="1221">
        <f ca="1">'Calc - GRAD ASST'!$K$389/12*3</f>
        <v>0</v>
      </c>
      <c r="CH60" s="1222">
        <f ca="1">'Calc - GRAD ASST'!$K$390/12*3</f>
        <v>0</v>
      </c>
      <c r="CI60" s="1222">
        <f ca="1">'Calc - GRAD ASST'!$K$390/12*3</f>
        <v>0</v>
      </c>
      <c r="CJ60" s="1222">
        <f ca="1">'Calc - GRAD ASST'!$K$390/12*2</f>
        <v>0</v>
      </c>
      <c r="CK60" s="1222">
        <f ca="1">'Calc - GRAD ASST'!$K$390/12*1</f>
        <v>0</v>
      </c>
      <c r="CL60" s="1222">
        <f ca="1">'Calc - GRAD ASST'!$K$390/12*3</f>
        <v>0</v>
      </c>
      <c r="CM60" s="1223">
        <f ca="1">'Calc - GRAD ASST'!$K$391/8*3</f>
        <v>0</v>
      </c>
      <c r="CN60" s="1223">
        <f ca="1">'Calc - GRAD ASST'!$K$391/8*3</f>
        <v>0</v>
      </c>
      <c r="CO60" s="1223">
        <f ca="1">'Calc - GRAD ASST'!$K$391/8*2</f>
        <v>0</v>
      </c>
      <c r="CP60" s="88">
        <f t="shared" ca="1" si="124"/>
        <v>0</v>
      </c>
      <c r="CS60" s="575"/>
      <c r="CT60" s="5"/>
      <c r="CU60" s="1180"/>
      <c r="CV60" s="575"/>
      <c r="CW60" s="5"/>
      <c r="CX60" s="1180"/>
      <c r="CY60" s="575"/>
      <c r="CZ60" s="5"/>
      <c r="DA60" s="1180"/>
      <c r="DB60" s="575"/>
      <c r="DC60" s="5"/>
      <c r="DD60" s="1180"/>
      <c r="DE60" s="1641">
        <f t="shared" si="125"/>
        <v>0</v>
      </c>
      <c r="DG60" s="575"/>
      <c r="DH60" s="5"/>
      <c r="DI60" s="1180"/>
      <c r="DJ60" s="575"/>
      <c r="DK60" s="5"/>
      <c r="DL60" s="1180"/>
      <c r="DM60" s="575"/>
      <c r="DN60" s="5"/>
      <c r="DO60" s="1180"/>
      <c r="DP60" s="575"/>
      <c r="DQ60" s="5"/>
      <c r="DR60" s="1180"/>
      <c r="DS60" s="1641">
        <f t="shared" si="126"/>
        <v>0</v>
      </c>
      <c r="DU60" s="575"/>
      <c r="DV60" s="5"/>
      <c r="DW60" s="1180"/>
      <c r="DX60" s="575"/>
      <c r="DY60" s="5"/>
      <c r="DZ60" s="1180"/>
      <c r="EA60" s="575"/>
      <c r="EB60" s="5"/>
      <c r="EC60" s="1180"/>
      <c r="ED60" s="575"/>
      <c r="EE60" s="5"/>
      <c r="EF60" s="1180"/>
      <c r="EG60" s="1181">
        <f t="shared" si="127"/>
        <v>0</v>
      </c>
      <c r="EI60" s="22"/>
      <c r="EJ60" s="348">
        <f t="shared" si="128"/>
        <v>0</v>
      </c>
      <c r="EK60" s="57" t="str">
        <f t="shared" si="129"/>
        <v>GA #14 / Sponsor Funds</v>
      </c>
      <c r="EL60" s="53">
        <f t="shared" ca="1" si="130"/>
        <v>0</v>
      </c>
      <c r="EM60" s="53">
        <f t="shared" ca="1" si="131"/>
        <v>0</v>
      </c>
      <c r="EN60" s="53">
        <f t="shared" ca="1" si="132"/>
        <v>0</v>
      </c>
      <c r="EO60" s="53">
        <f t="shared" ca="1" si="133"/>
        <v>0</v>
      </c>
      <c r="EP60" s="53">
        <f t="shared" ca="1" si="134"/>
        <v>0</v>
      </c>
      <c r="EQ60" s="53">
        <f t="shared" ca="1" si="135"/>
        <v>0</v>
      </c>
      <c r="ER60" s="88">
        <f t="shared" ca="1" si="136"/>
        <v>0</v>
      </c>
      <c r="ES60" s="2072"/>
      <c r="ET60" s="24"/>
      <c r="EU60" s="24"/>
      <c r="EV60" s="53">
        <f t="shared" si="137"/>
        <v>0</v>
      </c>
      <c r="EW60" s="53">
        <f t="shared" si="138"/>
        <v>0</v>
      </c>
      <c r="EX60" s="53">
        <f t="shared" si="139"/>
        <v>0</v>
      </c>
      <c r="EY60" s="53">
        <f t="shared" si="140"/>
        <v>0</v>
      </c>
      <c r="EZ60" s="53">
        <f t="shared" si="141"/>
        <v>0</v>
      </c>
      <c r="FA60" s="53">
        <f t="shared" si="142"/>
        <v>0</v>
      </c>
      <c r="FB60" s="167">
        <f t="shared" si="143"/>
        <v>0</v>
      </c>
      <c r="FD60" s="53">
        <f t="shared" si="144"/>
        <v>0</v>
      </c>
      <c r="FE60" s="53">
        <f t="shared" si="145"/>
        <v>0</v>
      </c>
      <c r="FF60" s="53">
        <f t="shared" si="146"/>
        <v>0</v>
      </c>
      <c r="FG60" s="53">
        <f t="shared" si="147"/>
        <v>0</v>
      </c>
      <c r="FH60" s="53">
        <f t="shared" si="148"/>
        <v>0</v>
      </c>
      <c r="FI60" s="53">
        <f t="shared" si="149"/>
        <v>0</v>
      </c>
      <c r="FJ60" s="48">
        <f t="shared" si="150"/>
        <v>0</v>
      </c>
      <c r="FL60" s="53">
        <f t="shared" si="151"/>
        <v>0</v>
      </c>
      <c r="FM60" s="53">
        <f t="shared" si="152"/>
        <v>0</v>
      </c>
      <c r="FN60" s="53">
        <f t="shared" si="153"/>
        <v>0</v>
      </c>
      <c r="FO60" s="53">
        <f t="shared" si="154"/>
        <v>0</v>
      </c>
      <c r="FP60" s="53">
        <f t="shared" si="155"/>
        <v>0</v>
      </c>
      <c r="FQ60" s="53">
        <f t="shared" si="156"/>
        <v>0</v>
      </c>
      <c r="FR60" s="209">
        <f t="shared" si="157"/>
        <v>0</v>
      </c>
      <c r="FT60" s="53">
        <f t="shared" si="158"/>
        <v>0</v>
      </c>
      <c r="FU60" s="53">
        <f t="shared" si="159"/>
        <v>0</v>
      </c>
      <c r="FV60" s="53">
        <f t="shared" si="160"/>
        <v>0</v>
      </c>
      <c r="FW60" s="53">
        <f t="shared" si="161"/>
        <v>0</v>
      </c>
      <c r="FX60" s="53">
        <f t="shared" si="162"/>
        <v>0</v>
      </c>
      <c r="FY60" s="53">
        <f t="shared" si="163"/>
        <v>0</v>
      </c>
      <c r="FZ60" s="181">
        <f t="shared" si="164"/>
        <v>0</v>
      </c>
      <c r="GB60" s="53">
        <f t="shared" si="165"/>
        <v>0</v>
      </c>
      <c r="GC60" s="53">
        <f t="shared" si="166"/>
        <v>0</v>
      </c>
      <c r="GD60" s="53">
        <f t="shared" si="167"/>
        <v>0</v>
      </c>
      <c r="GE60" s="53">
        <f t="shared" si="168"/>
        <v>0</v>
      </c>
      <c r="GF60" s="53">
        <f t="shared" si="169"/>
        <v>0</v>
      </c>
      <c r="GG60" s="53">
        <f t="shared" si="170"/>
        <v>0</v>
      </c>
      <c r="GH60" s="153">
        <f t="shared" si="171"/>
        <v>0</v>
      </c>
      <c r="GJ60" s="53"/>
      <c r="GK60" s="53"/>
      <c r="GL60" s="53"/>
      <c r="GM60" s="53"/>
      <c r="GN60" s="53"/>
      <c r="GO60" s="53"/>
      <c r="GP60" s="195">
        <f t="shared" si="172"/>
        <v>0</v>
      </c>
      <c r="GR60" s="53"/>
      <c r="GS60" s="53"/>
      <c r="GT60" s="53"/>
      <c r="GU60" s="53"/>
      <c r="GV60" s="53"/>
      <c r="GW60" s="53"/>
      <c r="GX60" s="1105">
        <f t="shared" si="173"/>
        <v>0</v>
      </c>
      <c r="GZ60" s="575">
        <f t="shared" si="174"/>
        <v>0</v>
      </c>
      <c r="HA60" s="575">
        <f t="shared" si="175"/>
        <v>0</v>
      </c>
      <c r="HB60" s="575">
        <f t="shared" si="176"/>
        <v>0</v>
      </c>
      <c r="HC60" s="575">
        <f t="shared" si="177"/>
        <v>0</v>
      </c>
      <c r="HD60" s="575">
        <f t="shared" si="178"/>
        <v>0</v>
      </c>
      <c r="HE60" s="575">
        <f t="shared" si="179"/>
        <v>0</v>
      </c>
      <c r="HF60" s="991">
        <f t="shared" si="180"/>
        <v>0</v>
      </c>
      <c r="HG60" s="573">
        <f t="shared" ca="1" si="181"/>
        <v>0</v>
      </c>
      <c r="HH60" s="257"/>
    </row>
    <row r="61" spans="1:216" ht="15" hidden="1" customHeight="1" thickBot="1" x14ac:dyDescent="0.3">
      <c r="A61" s="22"/>
      <c r="B61" s="1602">
        <f>'Calc - GRAD ASST'!$C413</f>
        <v>0</v>
      </c>
      <c r="C61" s="349" t="str">
        <f>'Calc - GRAD ASST'!A412</f>
        <v>GA #15 / Sponsor Funds</v>
      </c>
      <c r="D61" s="1603">
        <f ca="1">'Calc - GRAD ASST'!$K417</f>
        <v>0</v>
      </c>
      <c r="E61" s="1603">
        <f ca="1">'Calc - GRAD ASST'!$K418</f>
        <v>0</v>
      </c>
      <c r="F61" s="1603">
        <f ca="1">'Calc - GRAD ASST'!$K419</f>
        <v>0</v>
      </c>
      <c r="G61" s="1603">
        <f ca="1">'Calc - GRAD ASST'!K420</f>
        <v>0</v>
      </c>
      <c r="H61" s="1603">
        <f ca="1">'Calc - GRAD ASST'!$K421</f>
        <v>0</v>
      </c>
      <c r="I61" s="1603">
        <f ca="1">'Calc - GRAD ASST'!$K422</f>
        <v>0</v>
      </c>
      <c r="J61" s="90">
        <f t="shared" ca="1" si="108"/>
        <v>0</v>
      </c>
      <c r="K61" s="2072" t="str">
        <f ca="1">IF(BY61&lt;&gt;'Calc - GRAD ASST'!$K$423,"ERROR","")</f>
        <v/>
      </c>
      <c r="L61" s="13"/>
      <c r="M61" s="24"/>
      <c r="N61" s="53"/>
      <c r="O61" s="53"/>
      <c r="P61" s="53"/>
      <c r="Q61" s="53"/>
      <c r="R61" s="53"/>
      <c r="S61" s="53"/>
      <c r="T61" s="167">
        <f t="shared" si="109"/>
        <v>0</v>
      </c>
      <c r="V61" s="53"/>
      <c r="W61" s="53"/>
      <c r="X61" s="53"/>
      <c r="Y61" s="53"/>
      <c r="Z61" s="53"/>
      <c r="AA61" s="53"/>
      <c r="AB61" s="48">
        <f t="shared" si="110"/>
        <v>0</v>
      </c>
      <c r="AD61" s="53"/>
      <c r="AE61" s="53"/>
      <c r="AF61" s="53"/>
      <c r="AG61" s="53"/>
      <c r="AH61" s="53"/>
      <c r="AI61" s="53"/>
      <c r="AJ61" s="209">
        <f t="shared" si="111"/>
        <v>0</v>
      </c>
      <c r="AL61" s="53"/>
      <c r="AM61" s="53"/>
      <c r="AN61" s="53"/>
      <c r="AO61" s="53"/>
      <c r="AP61" s="53"/>
      <c r="AQ61" s="53"/>
      <c r="AR61" s="181">
        <f t="shared" si="112"/>
        <v>0</v>
      </c>
      <c r="AT61" s="53"/>
      <c r="AU61" s="53"/>
      <c r="AV61" s="53"/>
      <c r="AW61" s="53"/>
      <c r="AX61" s="53"/>
      <c r="AY61" s="53"/>
      <c r="AZ61" s="153">
        <f t="shared" si="113"/>
        <v>0</v>
      </c>
      <c r="BB61" s="53"/>
      <c r="BC61" s="53"/>
      <c r="BD61" s="53"/>
      <c r="BE61" s="53"/>
      <c r="BF61" s="53"/>
      <c r="BG61" s="53"/>
      <c r="BH61" s="195">
        <f t="shared" si="114"/>
        <v>0</v>
      </c>
      <c r="BJ61" s="53"/>
      <c r="BK61" s="53"/>
      <c r="BL61" s="53"/>
      <c r="BM61" s="53"/>
      <c r="BN61" s="53"/>
      <c r="BO61" s="53"/>
      <c r="BP61" s="1105">
        <f t="shared" si="115"/>
        <v>0</v>
      </c>
      <c r="BR61" s="575">
        <f t="shared" si="116"/>
        <v>0</v>
      </c>
      <c r="BS61" s="575">
        <f t="shared" si="117"/>
        <v>0</v>
      </c>
      <c r="BT61" s="575">
        <f t="shared" si="118"/>
        <v>0</v>
      </c>
      <c r="BU61" s="575">
        <f t="shared" si="119"/>
        <v>0</v>
      </c>
      <c r="BV61" s="575">
        <f t="shared" si="120"/>
        <v>0</v>
      </c>
      <c r="BW61" s="575">
        <f t="shared" si="121"/>
        <v>0</v>
      </c>
      <c r="BX61" s="991">
        <f t="shared" si="122"/>
        <v>0</v>
      </c>
      <c r="BY61" s="573">
        <f t="shared" ca="1" si="123"/>
        <v>0</v>
      </c>
      <c r="BZ61" s="257"/>
      <c r="CB61" s="2359">
        <f ca="1">'Calc - GRAD ASST'!$K$417</f>
        <v>0</v>
      </c>
      <c r="CC61" s="1225">
        <f ca="1">'Calc - GRAD ASST'!$K$418/12*3</f>
        <v>0</v>
      </c>
      <c r="CD61" s="1225">
        <f ca="1">'Calc - GRAD ASST'!$K$418/12*3</f>
        <v>0</v>
      </c>
      <c r="CE61" s="1225">
        <f ca="1">'Calc - GRAD ASST'!$K$418/12*2</f>
        <v>0</v>
      </c>
      <c r="CF61" s="1225">
        <f ca="1">'Calc - GRAD ASST'!$K$418/12*1</f>
        <v>0</v>
      </c>
      <c r="CG61" s="1225">
        <f ca="1">'Calc - GRAD ASST'!$K$418/12*3</f>
        <v>0</v>
      </c>
      <c r="CH61" s="1226">
        <f ca="1">'Calc - GRAD ASST'!$K$419/12*3</f>
        <v>0</v>
      </c>
      <c r="CI61" s="1226">
        <f ca="1">'Calc - GRAD ASST'!$K$419/12*3</f>
        <v>0</v>
      </c>
      <c r="CJ61" s="1226">
        <f ca="1">'Calc - GRAD ASST'!$K$419/12*2</f>
        <v>0</v>
      </c>
      <c r="CK61" s="1226">
        <f ca="1">'Calc - GRAD ASST'!$K$419/12*1</f>
        <v>0</v>
      </c>
      <c r="CL61" s="1226">
        <f ca="1">'Calc - GRAD ASST'!$K$419/12*3</f>
        <v>0</v>
      </c>
      <c r="CM61" s="1227">
        <f ca="1">'Calc - GRAD ASST'!$K$420/8*3</f>
        <v>0</v>
      </c>
      <c r="CN61" s="1227">
        <f ca="1">'Calc - GRAD ASST'!$K$420/8*3</f>
        <v>0</v>
      </c>
      <c r="CO61" s="1227">
        <f ca="1">'Calc - GRAD ASST'!$K$420/8*2</f>
        <v>0</v>
      </c>
      <c r="CP61" s="90">
        <f t="shared" ca="1" si="124"/>
        <v>0</v>
      </c>
      <c r="CS61" s="1034"/>
      <c r="CT61" s="321"/>
      <c r="CU61" s="1253"/>
      <c r="CV61" s="1034"/>
      <c r="CW61" s="321"/>
      <c r="CX61" s="1253"/>
      <c r="CY61" s="1034"/>
      <c r="CZ61" s="321"/>
      <c r="DA61" s="1253"/>
      <c r="DB61" s="1034"/>
      <c r="DC61" s="321"/>
      <c r="DD61" s="1253"/>
      <c r="DE61" s="1651">
        <f t="shared" si="125"/>
        <v>0</v>
      </c>
      <c r="DG61" s="1034"/>
      <c r="DH61" s="321"/>
      <c r="DI61" s="1253"/>
      <c r="DJ61" s="1034"/>
      <c r="DK61" s="321"/>
      <c r="DL61" s="1253"/>
      <c r="DM61" s="1034"/>
      <c r="DN61" s="321"/>
      <c r="DO61" s="1253"/>
      <c r="DP61" s="1034"/>
      <c r="DQ61" s="321"/>
      <c r="DR61" s="1253"/>
      <c r="DS61" s="1651">
        <f t="shared" si="126"/>
        <v>0</v>
      </c>
      <c r="DU61" s="575"/>
      <c r="DV61" s="5"/>
      <c r="DW61" s="1180"/>
      <c r="DX61" s="575"/>
      <c r="DY61" s="5"/>
      <c r="DZ61" s="1180"/>
      <c r="EA61" s="575"/>
      <c r="EB61" s="5"/>
      <c r="EC61" s="1180"/>
      <c r="ED61" s="575"/>
      <c r="EE61" s="5"/>
      <c r="EF61" s="1180"/>
      <c r="EG61" s="1181">
        <f t="shared" si="127"/>
        <v>0</v>
      </c>
      <c r="EI61" s="22"/>
      <c r="EJ61" s="348">
        <f t="shared" si="128"/>
        <v>0</v>
      </c>
      <c r="EK61" s="57" t="str">
        <f t="shared" si="129"/>
        <v>GA #15 / Sponsor Funds</v>
      </c>
      <c r="EL61" s="53">
        <f t="shared" ca="1" si="130"/>
        <v>0</v>
      </c>
      <c r="EM61" s="53">
        <f t="shared" ca="1" si="131"/>
        <v>0</v>
      </c>
      <c r="EN61" s="53">
        <f t="shared" ca="1" si="132"/>
        <v>0</v>
      </c>
      <c r="EO61" s="53">
        <f t="shared" ca="1" si="133"/>
        <v>0</v>
      </c>
      <c r="EP61" s="53">
        <f t="shared" ca="1" si="134"/>
        <v>0</v>
      </c>
      <c r="EQ61" s="53">
        <f t="shared" ca="1" si="135"/>
        <v>0</v>
      </c>
      <c r="ER61" s="90">
        <f t="shared" ca="1" si="136"/>
        <v>0</v>
      </c>
      <c r="ES61" s="2072"/>
      <c r="ET61" s="13"/>
      <c r="EU61" s="24"/>
      <c r="EV61" s="53">
        <f t="shared" si="137"/>
        <v>0</v>
      </c>
      <c r="EW61" s="53">
        <f t="shared" si="138"/>
        <v>0</v>
      </c>
      <c r="EX61" s="53">
        <f t="shared" si="139"/>
        <v>0</v>
      </c>
      <c r="EY61" s="53">
        <f t="shared" si="140"/>
        <v>0</v>
      </c>
      <c r="EZ61" s="53">
        <f t="shared" si="141"/>
        <v>0</v>
      </c>
      <c r="FA61" s="53">
        <f t="shared" si="142"/>
        <v>0</v>
      </c>
      <c r="FB61" s="167">
        <f t="shared" si="143"/>
        <v>0</v>
      </c>
      <c r="FD61" s="53">
        <f t="shared" si="144"/>
        <v>0</v>
      </c>
      <c r="FE61" s="53">
        <f t="shared" si="145"/>
        <v>0</v>
      </c>
      <c r="FF61" s="53">
        <f t="shared" si="146"/>
        <v>0</v>
      </c>
      <c r="FG61" s="53">
        <f t="shared" si="147"/>
        <v>0</v>
      </c>
      <c r="FH61" s="53">
        <f t="shared" si="148"/>
        <v>0</v>
      </c>
      <c r="FI61" s="53">
        <f t="shared" si="149"/>
        <v>0</v>
      </c>
      <c r="FJ61" s="48">
        <f t="shared" si="150"/>
        <v>0</v>
      </c>
      <c r="FL61" s="53">
        <f t="shared" si="151"/>
        <v>0</v>
      </c>
      <c r="FM61" s="53">
        <f t="shared" si="152"/>
        <v>0</v>
      </c>
      <c r="FN61" s="53">
        <f t="shared" si="153"/>
        <v>0</v>
      </c>
      <c r="FO61" s="53">
        <f t="shared" si="154"/>
        <v>0</v>
      </c>
      <c r="FP61" s="53">
        <f t="shared" si="155"/>
        <v>0</v>
      </c>
      <c r="FQ61" s="53">
        <f t="shared" si="156"/>
        <v>0</v>
      </c>
      <c r="FR61" s="209">
        <f t="shared" si="157"/>
        <v>0</v>
      </c>
      <c r="FT61" s="53">
        <f t="shared" si="158"/>
        <v>0</v>
      </c>
      <c r="FU61" s="53">
        <f t="shared" si="159"/>
        <v>0</v>
      </c>
      <c r="FV61" s="53">
        <f t="shared" si="160"/>
        <v>0</v>
      </c>
      <c r="FW61" s="53">
        <f t="shared" si="161"/>
        <v>0</v>
      </c>
      <c r="FX61" s="53">
        <f t="shared" si="162"/>
        <v>0</v>
      </c>
      <c r="FY61" s="53">
        <f t="shared" si="163"/>
        <v>0</v>
      </c>
      <c r="FZ61" s="181">
        <f t="shared" si="164"/>
        <v>0</v>
      </c>
      <c r="GB61" s="53">
        <f t="shared" si="165"/>
        <v>0</v>
      </c>
      <c r="GC61" s="53">
        <f t="shared" si="166"/>
        <v>0</v>
      </c>
      <c r="GD61" s="53">
        <f t="shared" si="167"/>
        <v>0</v>
      </c>
      <c r="GE61" s="53">
        <f t="shared" si="168"/>
        <v>0</v>
      </c>
      <c r="GF61" s="53">
        <f t="shared" si="169"/>
        <v>0</v>
      </c>
      <c r="GG61" s="53">
        <f t="shared" si="170"/>
        <v>0</v>
      </c>
      <c r="GH61" s="153">
        <f t="shared" si="171"/>
        <v>0</v>
      </c>
      <c r="GJ61" s="53"/>
      <c r="GK61" s="53"/>
      <c r="GL61" s="53"/>
      <c r="GM61" s="53"/>
      <c r="GN61" s="53"/>
      <c r="GO61" s="53"/>
      <c r="GP61" s="195">
        <f t="shared" si="172"/>
        <v>0</v>
      </c>
      <c r="GR61" s="53"/>
      <c r="GS61" s="53"/>
      <c r="GT61" s="53"/>
      <c r="GU61" s="53"/>
      <c r="GV61" s="53"/>
      <c r="GW61" s="53"/>
      <c r="GX61" s="1105">
        <f t="shared" si="173"/>
        <v>0</v>
      </c>
      <c r="GZ61" s="575">
        <f t="shared" si="174"/>
        <v>0</v>
      </c>
      <c r="HA61" s="575">
        <f t="shared" si="175"/>
        <v>0</v>
      </c>
      <c r="HB61" s="575">
        <f t="shared" si="176"/>
        <v>0</v>
      </c>
      <c r="HC61" s="575">
        <f t="shared" si="177"/>
        <v>0</v>
      </c>
      <c r="HD61" s="575">
        <f t="shared" si="178"/>
        <v>0</v>
      </c>
      <c r="HE61" s="575">
        <f t="shared" si="179"/>
        <v>0</v>
      </c>
      <c r="HF61" s="991">
        <f t="shared" si="180"/>
        <v>0</v>
      </c>
      <c r="HG61" s="573">
        <f t="shared" ca="1" si="181"/>
        <v>0</v>
      </c>
      <c r="HH61" s="257"/>
    </row>
    <row r="62" spans="1:216" ht="15" customHeight="1" thickBot="1" x14ac:dyDescent="0.3">
      <c r="A62" s="22"/>
      <c r="B62" s="3212" t="s">
        <v>240</v>
      </c>
      <c r="C62" s="3224"/>
      <c r="D62" s="96">
        <f t="shared" ref="D62:J62" ca="1" si="182">SUM(D47:D61)</f>
        <v>0</v>
      </c>
      <c r="E62" s="96">
        <f t="shared" ca="1" si="182"/>
        <v>0</v>
      </c>
      <c r="F62" s="96">
        <f t="shared" ca="1" si="182"/>
        <v>0</v>
      </c>
      <c r="G62" s="96">
        <f t="shared" ca="1" si="182"/>
        <v>0</v>
      </c>
      <c r="H62" s="96">
        <f t="shared" ca="1" si="182"/>
        <v>0</v>
      </c>
      <c r="I62" s="96">
        <f t="shared" ca="1" si="182"/>
        <v>0</v>
      </c>
      <c r="J62" s="356">
        <f t="shared" ca="1" si="182"/>
        <v>0</v>
      </c>
      <c r="K62" s="13">
        <f ca="1">SUM(D62:I62)</f>
        <v>0</v>
      </c>
      <c r="L62" s="4"/>
      <c r="M62" s="13"/>
      <c r="N62" s="2222">
        <f t="shared" ref="N62:S62" si="183">SUM(N47:N61)</f>
        <v>0</v>
      </c>
      <c r="O62" s="2222">
        <f t="shared" si="183"/>
        <v>0</v>
      </c>
      <c r="P62" s="2222">
        <f t="shared" si="183"/>
        <v>0</v>
      </c>
      <c r="Q62" s="2222">
        <f t="shared" si="183"/>
        <v>0</v>
      </c>
      <c r="R62" s="2222">
        <f t="shared" si="183"/>
        <v>0</v>
      </c>
      <c r="S62" s="2222">
        <f t="shared" si="183"/>
        <v>0</v>
      </c>
      <c r="T62" s="361">
        <f t="shared" si="109"/>
        <v>0</v>
      </c>
      <c r="V62" s="2223">
        <f t="shared" ref="V62:AA62" si="184">SUM(V47:V61)</f>
        <v>0</v>
      </c>
      <c r="W62" s="2223">
        <f t="shared" si="184"/>
        <v>0</v>
      </c>
      <c r="X62" s="2223">
        <f t="shared" si="184"/>
        <v>0</v>
      </c>
      <c r="Y62" s="2223">
        <f t="shared" si="184"/>
        <v>0</v>
      </c>
      <c r="Z62" s="2223">
        <f t="shared" si="184"/>
        <v>0</v>
      </c>
      <c r="AA62" s="2223">
        <f t="shared" si="184"/>
        <v>0</v>
      </c>
      <c r="AB62" s="362">
        <f t="shared" si="110"/>
        <v>0</v>
      </c>
      <c r="AD62" s="2224">
        <f t="shared" ref="AD62:AI62" si="185">SUM(AD47:AD61)</f>
        <v>0</v>
      </c>
      <c r="AE62" s="2224">
        <f t="shared" si="185"/>
        <v>0</v>
      </c>
      <c r="AF62" s="2224">
        <f t="shared" si="185"/>
        <v>0</v>
      </c>
      <c r="AG62" s="2224">
        <f t="shared" si="185"/>
        <v>0</v>
      </c>
      <c r="AH62" s="2224">
        <f t="shared" si="185"/>
        <v>0</v>
      </c>
      <c r="AI62" s="2224">
        <f t="shared" si="185"/>
        <v>0</v>
      </c>
      <c r="AJ62" s="363">
        <f t="shared" si="111"/>
        <v>0</v>
      </c>
      <c r="AL62" s="2225">
        <f t="shared" ref="AL62:AQ62" si="186">SUM(AL47:AL61)</f>
        <v>0</v>
      </c>
      <c r="AM62" s="2225">
        <f t="shared" si="186"/>
        <v>0</v>
      </c>
      <c r="AN62" s="2225">
        <f t="shared" si="186"/>
        <v>0</v>
      </c>
      <c r="AO62" s="2225">
        <f t="shared" si="186"/>
        <v>0</v>
      </c>
      <c r="AP62" s="2225">
        <f t="shared" si="186"/>
        <v>0</v>
      </c>
      <c r="AQ62" s="2225">
        <f t="shared" si="186"/>
        <v>0</v>
      </c>
      <c r="AR62" s="364">
        <f t="shared" si="112"/>
        <v>0</v>
      </c>
      <c r="AT62" s="2228">
        <f t="shared" ref="AT62:AY62" si="187">SUM(AT47:AT61)</f>
        <v>0</v>
      </c>
      <c r="AU62" s="2228">
        <f t="shared" si="187"/>
        <v>0</v>
      </c>
      <c r="AV62" s="2228">
        <f t="shared" si="187"/>
        <v>0</v>
      </c>
      <c r="AW62" s="2228">
        <f t="shared" si="187"/>
        <v>0</v>
      </c>
      <c r="AX62" s="2228">
        <f t="shared" si="187"/>
        <v>0</v>
      </c>
      <c r="AY62" s="2228">
        <f t="shared" si="187"/>
        <v>0</v>
      </c>
      <c r="AZ62" s="365">
        <f t="shared" si="113"/>
        <v>0</v>
      </c>
      <c r="BB62" s="2229">
        <f t="shared" ref="BB62:BG62" si="188">SUM(BB47:BB61)</f>
        <v>0</v>
      </c>
      <c r="BC62" s="2229">
        <f t="shared" si="188"/>
        <v>0</v>
      </c>
      <c r="BD62" s="2229">
        <f t="shared" si="188"/>
        <v>0</v>
      </c>
      <c r="BE62" s="2229">
        <f t="shared" si="188"/>
        <v>0</v>
      </c>
      <c r="BF62" s="2229">
        <f t="shared" si="188"/>
        <v>0</v>
      </c>
      <c r="BG62" s="2229">
        <f t="shared" si="188"/>
        <v>0</v>
      </c>
      <c r="BH62" s="366">
        <f t="shared" si="114"/>
        <v>0</v>
      </c>
      <c r="BJ62" s="1106">
        <f t="shared" ref="BJ62:BO62" si="189">SUM(BJ47:BJ61)</f>
        <v>0</v>
      </c>
      <c r="BK62" s="1106">
        <f t="shared" si="189"/>
        <v>0</v>
      </c>
      <c r="BL62" s="1106">
        <f t="shared" si="189"/>
        <v>0</v>
      </c>
      <c r="BM62" s="1106">
        <f t="shared" si="189"/>
        <v>0</v>
      </c>
      <c r="BN62" s="1106">
        <f t="shared" si="189"/>
        <v>0</v>
      </c>
      <c r="BO62" s="1106">
        <f t="shared" si="189"/>
        <v>0</v>
      </c>
      <c r="BP62" s="1105">
        <f t="shared" si="115"/>
        <v>0</v>
      </c>
      <c r="BR62" s="2231">
        <f t="shared" si="116"/>
        <v>0</v>
      </c>
      <c r="BS62" s="2231">
        <f t="shared" si="117"/>
        <v>0</v>
      </c>
      <c r="BT62" s="2231">
        <f t="shared" si="118"/>
        <v>0</v>
      </c>
      <c r="BU62" s="2231">
        <f t="shared" si="119"/>
        <v>0</v>
      </c>
      <c r="BV62" s="2231">
        <f t="shared" si="120"/>
        <v>0</v>
      </c>
      <c r="BW62" s="2231">
        <f t="shared" si="121"/>
        <v>0</v>
      </c>
      <c r="BX62" s="2231">
        <f t="shared" si="122"/>
        <v>0</v>
      </c>
      <c r="BY62" s="577">
        <f t="shared" ca="1" si="123"/>
        <v>0</v>
      </c>
      <c r="BZ62" s="257"/>
      <c r="CB62" s="1211">
        <f t="shared" ref="CB62:CO62" ca="1" si="190">SUM(CB47:CB61)</f>
        <v>0</v>
      </c>
      <c r="CC62" s="95">
        <f t="shared" ca="1" si="190"/>
        <v>0</v>
      </c>
      <c r="CD62" s="96">
        <f t="shared" ca="1" si="190"/>
        <v>0</v>
      </c>
      <c r="CE62" s="96">
        <f t="shared" ca="1" si="190"/>
        <v>0</v>
      </c>
      <c r="CF62" s="96">
        <f t="shared" ca="1" si="190"/>
        <v>0</v>
      </c>
      <c r="CG62" s="97">
        <f t="shared" ca="1" si="190"/>
        <v>0</v>
      </c>
      <c r="CH62" s="95">
        <f t="shared" ca="1" si="190"/>
        <v>0</v>
      </c>
      <c r="CI62" s="96">
        <f t="shared" ca="1" si="190"/>
        <v>0</v>
      </c>
      <c r="CJ62" s="96">
        <f t="shared" ca="1" si="190"/>
        <v>0</v>
      </c>
      <c r="CK62" s="96">
        <f t="shared" ca="1" si="190"/>
        <v>0</v>
      </c>
      <c r="CL62" s="1212">
        <f t="shared" ca="1" si="190"/>
        <v>0</v>
      </c>
      <c r="CM62" s="95">
        <f t="shared" ca="1" si="190"/>
        <v>0</v>
      </c>
      <c r="CN62" s="96">
        <f t="shared" ca="1" si="190"/>
        <v>0</v>
      </c>
      <c r="CO62" s="97">
        <f t="shared" ca="1" si="190"/>
        <v>0</v>
      </c>
      <c r="CP62" s="1210">
        <f t="shared" ca="1" si="124"/>
        <v>0</v>
      </c>
      <c r="CS62" s="1231">
        <f t="shared" ref="CS62:DE62" si="191">SUM(CS47:CS61)</f>
        <v>0</v>
      </c>
      <c r="CT62" s="7">
        <f t="shared" si="191"/>
        <v>0</v>
      </c>
      <c r="CU62" s="573">
        <f t="shared" si="191"/>
        <v>0</v>
      </c>
      <c r="CV62" s="1231">
        <f t="shared" si="191"/>
        <v>0</v>
      </c>
      <c r="CW62" s="7">
        <f t="shared" si="191"/>
        <v>0</v>
      </c>
      <c r="CX62" s="573">
        <f t="shared" si="191"/>
        <v>0</v>
      </c>
      <c r="CY62" s="1231">
        <f t="shared" si="191"/>
        <v>0</v>
      </c>
      <c r="CZ62" s="7">
        <f t="shared" si="191"/>
        <v>0</v>
      </c>
      <c r="DA62" s="573">
        <f t="shared" si="191"/>
        <v>0</v>
      </c>
      <c r="DB62" s="1231">
        <f t="shared" si="191"/>
        <v>0</v>
      </c>
      <c r="DC62" s="7">
        <f t="shared" si="191"/>
        <v>0</v>
      </c>
      <c r="DD62" s="573">
        <f t="shared" si="191"/>
        <v>0</v>
      </c>
      <c r="DE62" s="1181">
        <f t="shared" si="191"/>
        <v>0</v>
      </c>
      <c r="DG62" s="1231">
        <f t="shared" ref="DG62:DS62" si="192">SUM(DG47:DG61)</f>
        <v>0</v>
      </c>
      <c r="DH62" s="7">
        <f t="shared" si="192"/>
        <v>0</v>
      </c>
      <c r="DI62" s="573">
        <f t="shared" si="192"/>
        <v>0</v>
      </c>
      <c r="DJ62" s="1231">
        <f t="shared" si="192"/>
        <v>0</v>
      </c>
      <c r="DK62" s="7">
        <f t="shared" si="192"/>
        <v>0</v>
      </c>
      <c r="DL62" s="573">
        <f t="shared" si="192"/>
        <v>0</v>
      </c>
      <c r="DM62" s="1231">
        <f t="shared" si="192"/>
        <v>0</v>
      </c>
      <c r="DN62" s="7">
        <f t="shared" si="192"/>
        <v>0</v>
      </c>
      <c r="DO62" s="573">
        <f t="shared" si="192"/>
        <v>0</v>
      </c>
      <c r="DP62" s="1231">
        <f t="shared" si="192"/>
        <v>0</v>
      </c>
      <c r="DQ62" s="7">
        <f t="shared" si="192"/>
        <v>0</v>
      </c>
      <c r="DR62" s="573">
        <f t="shared" si="192"/>
        <v>0</v>
      </c>
      <c r="DS62" s="1181">
        <f t="shared" si="192"/>
        <v>0</v>
      </c>
      <c r="DU62" s="1231">
        <f t="shared" ref="DU62:EG62" si="193">SUM(DU47:DU61)</f>
        <v>0</v>
      </c>
      <c r="DV62" s="7">
        <f t="shared" si="193"/>
        <v>0</v>
      </c>
      <c r="DW62" s="573">
        <f t="shared" si="193"/>
        <v>0</v>
      </c>
      <c r="DX62" s="1231">
        <f t="shared" si="193"/>
        <v>0</v>
      </c>
      <c r="DY62" s="7">
        <f t="shared" si="193"/>
        <v>0</v>
      </c>
      <c r="DZ62" s="573">
        <f t="shared" si="193"/>
        <v>0</v>
      </c>
      <c r="EA62" s="1231">
        <f t="shared" si="193"/>
        <v>0</v>
      </c>
      <c r="EB62" s="7">
        <f t="shared" si="193"/>
        <v>0</v>
      </c>
      <c r="EC62" s="573">
        <f t="shared" si="193"/>
        <v>0</v>
      </c>
      <c r="ED62" s="1231">
        <f t="shared" si="193"/>
        <v>0</v>
      </c>
      <c r="EE62" s="7">
        <f t="shared" si="193"/>
        <v>0</v>
      </c>
      <c r="EF62" s="573">
        <f t="shared" si="193"/>
        <v>0</v>
      </c>
      <c r="EG62" s="1181">
        <f t="shared" si="193"/>
        <v>0</v>
      </c>
      <c r="EI62" s="22"/>
      <c r="EJ62" s="3212" t="s">
        <v>240</v>
      </c>
      <c r="EK62" s="3224"/>
      <c r="EL62" s="96">
        <f t="shared" ref="EL62:ER62" ca="1" si="194">SUM(EL47:EL61)</f>
        <v>0</v>
      </c>
      <c r="EM62" s="96">
        <f t="shared" ca="1" si="194"/>
        <v>0</v>
      </c>
      <c r="EN62" s="96">
        <f t="shared" ca="1" si="194"/>
        <v>0</v>
      </c>
      <c r="EO62" s="96">
        <f t="shared" ca="1" si="194"/>
        <v>0</v>
      </c>
      <c r="EP62" s="96">
        <f t="shared" ca="1" si="194"/>
        <v>0</v>
      </c>
      <c r="EQ62" s="96">
        <f t="shared" ca="1" si="194"/>
        <v>0</v>
      </c>
      <c r="ER62" s="356">
        <f t="shared" ca="1" si="194"/>
        <v>0</v>
      </c>
      <c r="ES62" s="13">
        <f ca="1">SUM(EL62:EQ62)</f>
        <v>0</v>
      </c>
      <c r="ET62" s="4"/>
      <c r="EU62" s="13"/>
      <c r="EV62" s="2222">
        <f t="shared" ref="EV62:FA62" si="195">SUM(EV47:EV61)</f>
        <v>0</v>
      </c>
      <c r="EW62" s="2222">
        <f t="shared" si="195"/>
        <v>0</v>
      </c>
      <c r="EX62" s="2222">
        <f t="shared" si="195"/>
        <v>0</v>
      </c>
      <c r="EY62" s="2222">
        <f t="shared" si="195"/>
        <v>0</v>
      </c>
      <c r="EZ62" s="2222">
        <f t="shared" si="195"/>
        <v>0</v>
      </c>
      <c r="FA62" s="2222">
        <f t="shared" si="195"/>
        <v>0</v>
      </c>
      <c r="FB62" s="361">
        <f t="shared" si="143"/>
        <v>0</v>
      </c>
      <c r="FD62" s="2223">
        <f t="shared" ref="FD62:FI62" si="196">SUM(FD47:FD61)</f>
        <v>0</v>
      </c>
      <c r="FE62" s="2223">
        <f t="shared" si="196"/>
        <v>0</v>
      </c>
      <c r="FF62" s="2223">
        <f t="shared" si="196"/>
        <v>0</v>
      </c>
      <c r="FG62" s="2223">
        <f t="shared" si="196"/>
        <v>0</v>
      </c>
      <c r="FH62" s="2223">
        <f t="shared" si="196"/>
        <v>0</v>
      </c>
      <c r="FI62" s="2223">
        <f t="shared" si="196"/>
        <v>0</v>
      </c>
      <c r="FJ62" s="362">
        <f t="shared" si="150"/>
        <v>0</v>
      </c>
      <c r="FL62" s="2224">
        <f t="shared" ref="FL62:FQ62" si="197">SUM(FL47:FL61)</f>
        <v>0</v>
      </c>
      <c r="FM62" s="2224">
        <f t="shared" si="197"/>
        <v>0</v>
      </c>
      <c r="FN62" s="2224">
        <f t="shared" si="197"/>
        <v>0</v>
      </c>
      <c r="FO62" s="2224">
        <f t="shared" si="197"/>
        <v>0</v>
      </c>
      <c r="FP62" s="2224">
        <f t="shared" si="197"/>
        <v>0</v>
      </c>
      <c r="FQ62" s="2224">
        <f t="shared" si="197"/>
        <v>0</v>
      </c>
      <c r="FR62" s="363">
        <f t="shared" si="157"/>
        <v>0</v>
      </c>
      <c r="FT62" s="2225">
        <f t="shared" ref="FT62:FY62" si="198">SUM(FT47:FT61)</f>
        <v>0</v>
      </c>
      <c r="FU62" s="2225">
        <f t="shared" si="198"/>
        <v>0</v>
      </c>
      <c r="FV62" s="2225">
        <f t="shared" si="198"/>
        <v>0</v>
      </c>
      <c r="FW62" s="2225">
        <f t="shared" si="198"/>
        <v>0</v>
      </c>
      <c r="FX62" s="2225">
        <f t="shared" si="198"/>
        <v>0</v>
      </c>
      <c r="FY62" s="2225">
        <f t="shared" si="198"/>
        <v>0</v>
      </c>
      <c r="FZ62" s="364">
        <f t="shared" si="164"/>
        <v>0</v>
      </c>
      <c r="GB62" s="2228">
        <f t="shared" ref="GB62:GG62" si="199">SUM(GB47:GB61)</f>
        <v>0</v>
      </c>
      <c r="GC62" s="2228">
        <f t="shared" si="199"/>
        <v>0</v>
      </c>
      <c r="GD62" s="2228">
        <f t="shared" si="199"/>
        <v>0</v>
      </c>
      <c r="GE62" s="2228">
        <f t="shared" si="199"/>
        <v>0</v>
      </c>
      <c r="GF62" s="2228">
        <f t="shared" si="199"/>
        <v>0</v>
      </c>
      <c r="GG62" s="2228">
        <f t="shared" si="199"/>
        <v>0</v>
      </c>
      <c r="GH62" s="365">
        <f t="shared" si="171"/>
        <v>0</v>
      </c>
      <c r="GJ62" s="2229">
        <f t="shared" ref="GJ62:GO62" si="200">SUM(GJ47:GJ61)</f>
        <v>0</v>
      </c>
      <c r="GK62" s="2229">
        <f t="shared" si="200"/>
        <v>0</v>
      </c>
      <c r="GL62" s="2229">
        <f t="shared" si="200"/>
        <v>0</v>
      </c>
      <c r="GM62" s="2229">
        <f t="shared" si="200"/>
        <v>0</v>
      </c>
      <c r="GN62" s="2229">
        <f t="shared" si="200"/>
        <v>0</v>
      </c>
      <c r="GO62" s="2229">
        <f t="shared" si="200"/>
        <v>0</v>
      </c>
      <c r="GP62" s="366">
        <f t="shared" si="172"/>
        <v>0</v>
      </c>
      <c r="GR62" s="1106">
        <f t="shared" ref="GR62:GW62" si="201">SUM(GR47:GR61)</f>
        <v>0</v>
      </c>
      <c r="GS62" s="1106">
        <f t="shared" si="201"/>
        <v>0</v>
      </c>
      <c r="GT62" s="1106">
        <f t="shared" si="201"/>
        <v>0</v>
      </c>
      <c r="GU62" s="1106">
        <f t="shared" si="201"/>
        <v>0</v>
      </c>
      <c r="GV62" s="1106">
        <f t="shared" si="201"/>
        <v>0</v>
      </c>
      <c r="GW62" s="1106">
        <f t="shared" si="201"/>
        <v>0</v>
      </c>
      <c r="GX62" s="1105">
        <f t="shared" si="173"/>
        <v>0</v>
      </c>
      <c r="GZ62" s="2231">
        <f t="shared" si="174"/>
        <v>0</v>
      </c>
      <c r="HA62" s="2231">
        <f t="shared" si="175"/>
        <v>0</v>
      </c>
      <c r="HB62" s="2231">
        <f t="shared" si="176"/>
        <v>0</v>
      </c>
      <c r="HC62" s="2231">
        <f t="shared" si="177"/>
        <v>0</v>
      </c>
      <c r="HD62" s="2231">
        <f t="shared" si="178"/>
        <v>0</v>
      </c>
      <c r="HE62" s="2231">
        <f t="shared" si="179"/>
        <v>0</v>
      </c>
      <c r="HF62" s="2231">
        <f t="shared" si="180"/>
        <v>0</v>
      </c>
      <c r="HG62" s="577">
        <f t="shared" ca="1" si="181"/>
        <v>0</v>
      </c>
      <c r="HH62" s="257"/>
    </row>
    <row r="63" spans="1:216" ht="15" hidden="1" customHeight="1" x14ac:dyDescent="0.25">
      <c r="A63" s="22"/>
      <c r="B63" s="3211" t="s">
        <v>109</v>
      </c>
      <c r="C63" s="123" t="str">
        <f>('DATA INPUT'!B51&amp;" "&amp;"-"&amp;" "&amp;'DATA INPUT'!H51)</f>
        <v>TBD - Part Time &amp; Temporary</v>
      </c>
      <c r="D63" s="409">
        <f ca="1">'Calc - OTHER PERS'!J11</f>
        <v>16250</v>
      </c>
      <c r="E63" s="41">
        <f ca="1">'Calc - OTHER PERS'!J12</f>
        <v>0</v>
      </c>
      <c r="F63" s="41">
        <f ca="1">'Calc - OTHER PERS'!J13</f>
        <v>0</v>
      </c>
      <c r="G63" s="41">
        <f ca="1">'Calc - OTHER PERS'!J14</f>
        <v>0</v>
      </c>
      <c r="H63" s="41">
        <f ca="1">'Calc - OTHER PERS'!J15</f>
        <v>0</v>
      </c>
      <c r="I63" s="41">
        <f ca="1">'Calc - OTHER PERS'!J16</f>
        <v>0</v>
      </c>
      <c r="J63" s="345">
        <f t="shared" ref="J63:J77" ca="1" si="202">SUM(D63:I63)</f>
        <v>16250</v>
      </c>
      <c r="K63" s="4"/>
      <c r="L63" s="45"/>
      <c r="M63" s="4"/>
      <c r="N63" s="2391">
        <f ca="1">IF(AND((OFFSET('DATA INPUT'!$C$51, ROW()-ROW($N$63),0)=$N$10),
(OFFSET('DATA INPUT'!$V$51,ROW()-ROW($N$63),0)=3)),
OFFSET('Calc - OTHER PERS'!$Q$11,COLUMN()-COLUMN($N$63) + (ROW()-ROW($N$63))*14,0),0)</f>
        <v>0</v>
      </c>
      <c r="O63" s="86">
        <f ca="1">IF(AND((OFFSET('DATA INPUT'!$C$51, ROW()-ROW($N$63),0)=$N$10),
(OFFSET('DATA INPUT'!$V$51,ROW()-ROW($N$63),0)=3)),
OFFSET('Calc - OTHER PERS'!$Q$11,COLUMN()-COLUMN($N$63) + (ROW()-ROW($N$63))*14,0),0)</f>
        <v>0</v>
      </c>
      <c r="P63" s="86">
        <f ca="1">IF(AND((OFFSET('DATA INPUT'!$C$51, ROW()-ROW($N$63),0)=$N$10),
(OFFSET('DATA INPUT'!$V$51,ROW()-ROW($N$63),0)=3)),
OFFSET('Calc - OTHER PERS'!$Q$11,COLUMN()-COLUMN($N$63) + (ROW()-ROW($N$63))*14,0),0)</f>
        <v>0</v>
      </c>
      <c r="Q63" s="86">
        <f ca="1">IF(AND((OFFSET('DATA INPUT'!$C$51, ROW()-ROW($N$63),0)=$N$10),
(OFFSET('DATA INPUT'!$V$51,ROW()-ROW($N$63),0)=3)),
OFFSET('Calc - OTHER PERS'!$Q$11,COLUMN()-COLUMN($N$63) + (ROW()-ROW($N$63))*14,0),0)</f>
        <v>0</v>
      </c>
      <c r="R63" s="86">
        <f ca="1">IF(AND((OFFSET('DATA INPUT'!$C$51, ROW()-ROW($N$63),0)=$N$10),
(OFFSET('DATA INPUT'!$V$51,ROW()-ROW($N$63),0)=3)),
OFFSET('Calc - OTHER PERS'!$Q$11,COLUMN()-COLUMN($N$63) + (ROW()-ROW($N$63))*14,0),0)</f>
        <v>0</v>
      </c>
      <c r="S63" s="86">
        <f ca="1">IF(AND((OFFSET('DATA INPUT'!$C$51, ROW()-ROW($N$63),0)=$N$10),
(OFFSET('DATA INPUT'!$V$51,ROW()-ROW($N$63),0)=3)),
OFFSET('Calc - OTHER PERS'!$Q$11,COLUMN()-COLUMN($N$63) + (ROW()-ROW($N$63))*14,0),0)</f>
        <v>0</v>
      </c>
      <c r="T63" s="166">
        <f t="shared" ca="1" si="109"/>
        <v>0</v>
      </c>
      <c r="V63" s="2391">
        <f ca="1">IF(AND((OFFSET('DATA INPUT'!$C$51, ROW()-ROW($V$63),0)=$V$10),
(OFFSET('DATA INPUT'!$V$51,ROW()-ROW($V$63),0)=3)),
OFFSET('Calc - OTHER PERS'!$Q$11,COLUMN()-COLUMN($V$63) + (ROW()-ROW($V$63))*14,0),0)</f>
        <v>0</v>
      </c>
      <c r="W63" s="86">
        <f ca="1">IF(AND((OFFSET('DATA INPUT'!$C$51, ROW()-ROW($V$63),0)=$V$10),
(OFFSET('DATA INPUT'!$V$51,ROW()-ROW($V$63),0)=3)),
OFFSET('Calc - OTHER PERS'!$Q$11,COLUMN()-COLUMN($V$63) + (ROW()-ROW($V$63))*14,0),0)</f>
        <v>0</v>
      </c>
      <c r="X63" s="86">
        <f ca="1">IF(AND((OFFSET('DATA INPUT'!$C$51, ROW()-ROW($V$63),0)=$V$10),
(OFFSET('DATA INPUT'!$V$51,ROW()-ROW($V$63),0)=3)),
OFFSET('Calc - OTHER PERS'!$Q$11,COLUMN()-COLUMN($V$63) + (ROW()-ROW($V$63))*14,0),0)</f>
        <v>0</v>
      </c>
      <c r="Y63" s="86">
        <f ca="1">IF(AND((OFFSET('DATA INPUT'!$C$51, ROW()-ROW($V$63),0)=$V$10),
(OFFSET('DATA INPUT'!$V$51,ROW()-ROW($V$63),0)=3)),
OFFSET('Calc - OTHER PERS'!$Q$11,COLUMN()-COLUMN($V$63) + (ROW()-ROW($V$63))*14,0),0)</f>
        <v>0</v>
      </c>
      <c r="Z63" s="86">
        <f ca="1">IF(AND((OFFSET('DATA INPUT'!$C$51, ROW()-ROW($V$63),0)=$V$10),
(OFFSET('DATA INPUT'!$V$51,ROW()-ROW($V$63),0)=3)),
OFFSET('Calc - OTHER PERS'!$Q$11,COLUMN()-COLUMN($V$63) + (ROW()-ROW($V$63))*14,0),0)</f>
        <v>0</v>
      </c>
      <c r="AA63" s="86">
        <f ca="1">IF(AND((OFFSET('DATA INPUT'!$C$51, ROW()-ROW($V$63),0)=$V$10),
(OFFSET('DATA INPUT'!$V$51,ROW()-ROW($V$63),0)=3)),
OFFSET('Calc - OTHER PERS'!$Q$11,COLUMN()-COLUMN($V$63) + (ROW()-ROW($V$63))*14,0),0)</f>
        <v>0</v>
      </c>
      <c r="AB63" s="140">
        <f t="shared" ca="1" si="110"/>
        <v>0</v>
      </c>
      <c r="AD63" s="2391">
        <f ca="1">IF(AND((OFFSET('DATA INPUT'!$C$51, ROW()-ROW($AD$63),0)=$AD$10),
(OFFSET('DATA INPUT'!$V$51,ROW()-ROW($AD$63),0)=3)),
OFFSET('Calc - OTHER PERS'!$Q$11,COLUMN()-COLUMN($AD$63) + (ROW()-ROW($AD$63))*14,0),0)</f>
        <v>0</v>
      </c>
      <c r="AE63" s="86">
        <f ca="1">IF(AND((OFFSET('DATA INPUT'!$C$51, ROW()-ROW($AD$63),0)=$AD$10),
(OFFSET('DATA INPUT'!$V$51,ROW()-ROW($AD$63),0)=3)),
OFFSET('Calc - OTHER PERS'!$Q$11,COLUMN()-COLUMN($AD$63) + (ROW()-ROW($AD$63))*14,0),0)</f>
        <v>0</v>
      </c>
      <c r="AF63" s="86">
        <f ca="1">IF(AND((OFFSET('DATA INPUT'!$C$51, ROW()-ROW($AD$63),0)=$AD$10),
(OFFSET('DATA INPUT'!$V$51,ROW()-ROW($AD$63),0)=3)),
OFFSET('Calc - OTHER PERS'!$Q$11,COLUMN()-COLUMN($AD$63) + (ROW()-ROW($AD$63))*14,0),0)</f>
        <v>0</v>
      </c>
      <c r="AG63" s="86">
        <f ca="1">IF(AND((OFFSET('DATA INPUT'!$C$51, ROW()-ROW($AD$63),0)=$AD$10),
(OFFSET('DATA INPUT'!$V$51,ROW()-ROW($AD$63),0)=3)),
OFFSET('Calc - OTHER PERS'!$Q$11,COLUMN()-COLUMN($AD$63) + (ROW()-ROW($AD$63))*14,0),0)</f>
        <v>0</v>
      </c>
      <c r="AH63" s="86">
        <f ca="1">IF(AND((OFFSET('DATA INPUT'!$C$51, ROW()-ROW($AD$63),0)=$AD$10),
(OFFSET('DATA INPUT'!$V$51,ROW()-ROW($AD$63),0)=3)),
OFFSET('Calc - OTHER PERS'!$Q$11,COLUMN()-COLUMN($AD$63) + (ROW()-ROW($AD$63))*14,0),0)</f>
        <v>0</v>
      </c>
      <c r="AI63" s="86">
        <f ca="1">IF(AND((OFFSET('DATA INPUT'!$C$51, ROW()-ROW($AD$63),0)=$AD$10),
(OFFSET('DATA INPUT'!$V$51,ROW()-ROW($AD$63),0)=3)),
OFFSET('Calc - OTHER PERS'!$Q$11,COLUMN()-COLUMN($AD$63) + (ROW()-ROW($AD$63))*14,0),0)</f>
        <v>0</v>
      </c>
      <c r="AJ63" s="208">
        <f t="shared" ca="1" si="111"/>
        <v>0</v>
      </c>
      <c r="AL63" s="2391">
        <f ca="1">IF(AND((OFFSET('DATA INPUT'!$C$51, ROW()-ROW($AL$63),0)=$AL$10),
(OFFSET('DATA INPUT'!$V$51,ROW()-ROW($AL$63),0)=3)),
OFFSET('Calc - OTHER PERS'!$Q$11,COLUMN()-COLUMN($AL$63) + (ROW()-ROW($AL$63))*14,0),0)</f>
        <v>0</v>
      </c>
      <c r="AM63" s="86">
        <f ca="1">IF(AND((OFFSET('DATA INPUT'!$C$51, ROW()-ROW($AL$63),0)=$AL$10),
(OFFSET('DATA INPUT'!$V$51,ROW()-ROW($AL$63),0)=3)),
OFFSET('Calc - OTHER PERS'!$Q$11,COLUMN()-COLUMN($AL$63) + (ROW()-ROW($AL$63))*14,0),0)</f>
        <v>0</v>
      </c>
      <c r="AN63" s="86">
        <f ca="1">IF(AND((OFFSET('DATA INPUT'!$C$51, ROW()-ROW($AL$63),0)=$AL$10),
(OFFSET('DATA INPUT'!$V$51,ROW()-ROW($AL$63),0)=3)),
OFFSET('Calc - OTHER PERS'!$Q$11,COLUMN()-COLUMN($AL$63) + (ROW()-ROW($AL$63))*14,0),0)</f>
        <v>0</v>
      </c>
      <c r="AO63" s="86">
        <f ca="1">IF(AND((OFFSET('DATA INPUT'!$C$51, ROW()-ROW($AL$63),0)=$AL$10),
(OFFSET('DATA INPUT'!$V$51,ROW()-ROW($AL$63),0)=3)),
OFFSET('Calc - OTHER PERS'!$Q$11,COLUMN()-COLUMN($AL$63) + (ROW()-ROW($AL$63))*14,0),0)</f>
        <v>0</v>
      </c>
      <c r="AP63" s="86">
        <f ca="1">IF(AND((OFFSET('DATA INPUT'!$C$51, ROW()-ROW($AL$63),0)=$AL$10),
(OFFSET('DATA INPUT'!$V$51,ROW()-ROW($AL$63),0)=3)),
OFFSET('Calc - OTHER PERS'!$Q$11,COLUMN()-COLUMN($AL$63) + (ROW()-ROW($AL$63))*14,0),0)</f>
        <v>0</v>
      </c>
      <c r="AQ63" s="86">
        <f ca="1">IF(AND((OFFSET('DATA INPUT'!$C$51, ROW()-ROW($AL$63),0)=$AL$10),
(OFFSET('DATA INPUT'!$V$51,ROW()-ROW($AL$63),0)=3)),
OFFSET('Calc - OTHER PERS'!$Q$11,COLUMN()-COLUMN($AL$63) + (ROW()-ROW($AL$63))*14,0),0)</f>
        <v>0</v>
      </c>
      <c r="AR63" s="180">
        <f t="shared" ca="1" si="112"/>
        <v>0</v>
      </c>
      <c r="AT63" s="2391">
        <f ca="1">IF(AND((OFFSET('DATA INPUT'!$C$51, ROW()-ROW($AT$63),0)=$AT$10),
(OFFSET('DATA INPUT'!$V$51,ROW()-ROW($AT$63),0)=3)),
OFFSET('Calc - OTHER PERS'!$Q$11,COLUMN()-COLUMN($AT$63) + (ROW()-ROW($AT$63))*14,0),0)</f>
        <v>0</v>
      </c>
      <c r="AU63" s="86">
        <f ca="1">IF(AND((OFFSET('DATA INPUT'!$C$51, ROW()-ROW($AT$63),0)=$AT$10),
(OFFSET('DATA INPUT'!$V$51,ROW()-ROW($AT$63),0)=3)),
OFFSET('Calc - OTHER PERS'!$Q$11,COLUMN()-COLUMN($AT$63) + (ROW()-ROW($AT$63))*14,0),0)</f>
        <v>0</v>
      </c>
      <c r="AV63" s="86">
        <f ca="1">IF(AND((OFFSET('DATA INPUT'!$C$51, ROW()-ROW($AT$63),0)=$AT$10),
(OFFSET('DATA INPUT'!$V$51,ROW()-ROW($AT$63),0)=3)),
OFFSET('Calc - OTHER PERS'!$Q$11,COLUMN()-COLUMN($AT$63) + (ROW()-ROW($AT$63))*14,0),0)</f>
        <v>0</v>
      </c>
      <c r="AW63" s="86">
        <f ca="1">IF(AND((OFFSET('DATA INPUT'!$C$51, ROW()-ROW($AT$63),0)=$AT$10),
(OFFSET('DATA INPUT'!$V$51,ROW()-ROW($AT$63),0)=3)),
OFFSET('Calc - OTHER PERS'!$Q$11,COLUMN()-COLUMN($AT$63) + (ROW()-ROW($AT$63))*14,0),0)</f>
        <v>0</v>
      </c>
      <c r="AX63" s="86">
        <f ca="1">IF(AND((OFFSET('DATA INPUT'!$C$51, ROW()-ROW($AT$63),0)=$AT$10),
(OFFSET('DATA INPUT'!$V$51,ROW()-ROW($AT$63),0)=3)),
OFFSET('Calc - OTHER PERS'!$Q$11,COLUMN()-COLUMN($AT$63) + (ROW()-ROW($AT$63))*14,0),0)</f>
        <v>0</v>
      </c>
      <c r="AY63" s="86">
        <f ca="1">IF(AND((OFFSET('DATA INPUT'!$C$51, ROW()-ROW($AT$63),0)=$AT$10),
(OFFSET('DATA INPUT'!$V$51,ROW()-ROW($AT$63),0)=3)),
OFFSET('Calc - OTHER PERS'!$Q$11,COLUMN()-COLUMN($AT$63) + (ROW()-ROW($AT$63))*14,0),0)</f>
        <v>0</v>
      </c>
      <c r="AZ63" s="152">
        <f t="shared" ca="1" si="113"/>
        <v>0</v>
      </c>
      <c r="BB63" s="2391">
        <f ca="1">IF(AND((OFFSET('DATA INPUT'!$C$51, ROW()-ROW($BB$63),0)=$BB$10),
(OFFSET('DATA INPUT'!$V$51,ROW()-ROW($BB$63),0)=3)),
OFFSET('Calc - OTHER PERS'!$Q$11,COLUMN()-COLUMN($BB$63) + (ROW()-ROW($BB$63))*14,0),0)</f>
        <v>0</v>
      </c>
      <c r="BC63" s="86">
        <f ca="1">IF(AND((OFFSET('DATA INPUT'!$C$51, ROW()-ROW($BB$63),0)=$BB$10),
(OFFSET('DATA INPUT'!$V$51,ROW()-ROW($BB$63),0)=3)),
OFFSET('Calc - OTHER PERS'!$Q$11,COLUMN()-COLUMN($BB$63) + (ROW()-ROW($BB$63))*14,0),0)</f>
        <v>0</v>
      </c>
      <c r="BD63" s="86">
        <f ca="1">IF(AND((OFFSET('DATA INPUT'!$C$51, ROW()-ROW($BB$63),0)=$BB$10),
(OFFSET('DATA INPUT'!$V$51,ROW()-ROW($BB$63),0)=3)),
OFFSET('Calc - OTHER PERS'!$Q$11,COLUMN()-COLUMN($BB$63) + (ROW()-ROW($BB$63))*14,0),0)</f>
        <v>0</v>
      </c>
      <c r="BE63" s="86">
        <f ca="1">IF(AND((OFFSET('DATA INPUT'!$C$51, ROW()-ROW($BB$63),0)=$BB$10),
(OFFSET('DATA INPUT'!$V$51,ROW()-ROW($BB$63),0)=3)),
OFFSET('Calc - OTHER PERS'!$Q$11,COLUMN()-COLUMN($BB$63) + (ROW()-ROW($BB$63))*14,0),0)</f>
        <v>0</v>
      </c>
      <c r="BF63" s="86">
        <f ca="1">IF(AND((OFFSET('DATA INPUT'!$C$51, ROW()-ROW($BB$63),0)=$BB$10),
(OFFSET('DATA INPUT'!$V$51,ROW()-ROW($BB$63),0)=3)),
OFFSET('Calc - OTHER PERS'!$Q$11,COLUMN()-COLUMN($BB$63) + (ROW()-ROW($BB$63))*14,0),0)</f>
        <v>0</v>
      </c>
      <c r="BG63" s="86">
        <f ca="1">IF(AND((OFFSET('DATA INPUT'!$C$51, ROW()-ROW($BB$63),0)=$BB$10),
(OFFSET('DATA INPUT'!$V$51,ROW()-ROW($BB$63),0)=3)),
OFFSET('Calc - OTHER PERS'!$Q$11,COLUMN()-COLUMN($BB$63) + (ROW()-ROW($BB$63))*14,0),0)</f>
        <v>0</v>
      </c>
      <c r="BH63" s="194">
        <f t="shared" ca="1" si="114"/>
        <v>0</v>
      </c>
      <c r="BJ63" s="21"/>
      <c r="BK63" s="5"/>
      <c r="BL63" s="5"/>
      <c r="BM63" s="5"/>
      <c r="BN63" s="5"/>
      <c r="BO63" s="5"/>
      <c r="BP63" s="1105">
        <f t="shared" si="115"/>
        <v>0</v>
      </c>
      <c r="BR63" s="574">
        <f t="shared" ca="1" si="116"/>
        <v>0</v>
      </c>
      <c r="BS63" s="86">
        <f t="shared" ca="1" si="117"/>
        <v>0</v>
      </c>
      <c r="BT63" s="86">
        <f t="shared" ca="1" si="118"/>
        <v>0</v>
      </c>
      <c r="BU63" s="86">
        <f t="shared" ca="1" si="119"/>
        <v>0</v>
      </c>
      <c r="BV63" s="86">
        <f t="shared" ca="1" si="120"/>
        <v>0</v>
      </c>
      <c r="BW63" s="86">
        <f t="shared" ca="1" si="121"/>
        <v>0</v>
      </c>
      <c r="BX63" s="2177">
        <f t="shared" ca="1" si="122"/>
        <v>0</v>
      </c>
      <c r="BY63" s="276">
        <f t="shared" ca="1" si="123"/>
        <v>16250</v>
      </c>
      <c r="BZ63" s="257"/>
      <c r="CB63" s="1160">
        <f t="shared" ref="CB63:CB77" ca="1" si="203">D63</f>
        <v>16250</v>
      </c>
      <c r="CC63" s="386">
        <f t="shared" ref="CC63:CD77" ca="1" si="204">$E63/12*3</f>
        <v>0</v>
      </c>
      <c r="CD63" s="360">
        <f t="shared" ca="1" si="204"/>
        <v>0</v>
      </c>
      <c r="CE63" s="360">
        <f t="shared" ref="CE63:CE77" ca="1" si="205">$E63/12*2</f>
        <v>0</v>
      </c>
      <c r="CF63" s="360">
        <f t="shared" ref="CF63:CF77" ca="1" si="206">$E63/12*1</f>
        <v>0</v>
      </c>
      <c r="CG63" s="1161">
        <f t="shared" ref="CG63:CG77" ca="1" si="207">$E63/12*3</f>
        <v>0</v>
      </c>
      <c r="CH63" s="1162">
        <f t="shared" ref="CH63:CI77" ca="1" si="208">$F63/12*3</f>
        <v>0</v>
      </c>
      <c r="CI63" s="1163">
        <f t="shared" ca="1" si="208"/>
        <v>0</v>
      </c>
      <c r="CJ63" s="1163">
        <f t="shared" ref="CJ63:CJ77" ca="1" si="209">$F63/12*2</f>
        <v>0</v>
      </c>
      <c r="CK63" s="1163">
        <f t="shared" ref="CK63:CK77" ca="1" si="210">$F63/12*1</f>
        <v>0</v>
      </c>
      <c r="CL63" s="1232">
        <f t="shared" ref="CL63:CL77" ca="1" si="211">$F63/12*3</f>
        <v>0</v>
      </c>
      <c r="CM63" s="1165">
        <f t="shared" ref="CM63:CN77" ca="1" si="212">$G63/8*3</f>
        <v>0</v>
      </c>
      <c r="CN63" s="1166">
        <f t="shared" ca="1" si="212"/>
        <v>0</v>
      </c>
      <c r="CO63" s="1167">
        <f t="shared" ref="CO63:CO77" ca="1" si="213">$G63/8*2</f>
        <v>0</v>
      </c>
      <c r="CP63" s="1233">
        <f t="shared" ca="1" si="124"/>
        <v>16250</v>
      </c>
      <c r="CS63" s="575"/>
      <c r="CT63" s="5"/>
      <c r="CU63" s="1180"/>
      <c r="CV63" s="575"/>
      <c r="CW63" s="5"/>
      <c r="CX63" s="1180"/>
      <c r="CY63" s="575"/>
      <c r="CZ63" s="5"/>
      <c r="DA63" s="1180"/>
      <c r="DB63" s="575"/>
      <c r="DC63" s="5"/>
      <c r="DD63" s="1180"/>
      <c r="DE63" s="1181">
        <f t="shared" ref="DE63:DE77" si="214">SUM(CS63:DD63)</f>
        <v>0</v>
      </c>
      <c r="DG63" s="575"/>
      <c r="DH63" s="5"/>
      <c r="DI63" s="1180"/>
      <c r="DJ63" s="575"/>
      <c r="DK63" s="5"/>
      <c r="DL63" s="1180"/>
      <c r="DM63" s="575"/>
      <c r="DN63" s="5"/>
      <c r="DO63" s="1180"/>
      <c r="DP63" s="575"/>
      <c r="DQ63" s="5"/>
      <c r="DR63" s="1180"/>
      <c r="DS63" s="1181">
        <f t="shared" ref="DS63:DS77" si="215">SUM(DG63:DR63)</f>
        <v>0</v>
      </c>
      <c r="DU63" s="575"/>
      <c r="DV63" s="5"/>
      <c r="DW63" s="1180"/>
      <c r="DX63" s="575"/>
      <c r="DY63" s="5"/>
      <c r="DZ63" s="1180"/>
      <c r="EA63" s="575"/>
      <c r="EB63" s="5"/>
      <c r="EC63" s="1180"/>
      <c r="ED63" s="575"/>
      <c r="EE63" s="5"/>
      <c r="EF63" s="1180"/>
      <c r="EG63" s="1181">
        <f t="shared" ref="EG63:EG77" si="216">SUM(DU63:EF63)</f>
        <v>0</v>
      </c>
      <c r="EI63" s="22"/>
      <c r="EJ63" s="3211" t="s">
        <v>109</v>
      </c>
      <c r="EK63" s="123" t="str">
        <f t="shared" ref="EK63:EK77" si="217">C63</f>
        <v>TBD - Part Time &amp; Temporary</v>
      </c>
      <c r="EL63" s="409">
        <f t="shared" ref="EL63:EL77" ca="1" si="218">ROUND(D63,0)</f>
        <v>16250</v>
      </c>
      <c r="EM63" s="409">
        <f t="shared" ref="EM63:EM77" ca="1" si="219">ROUND(E63,0)</f>
        <v>0</v>
      </c>
      <c r="EN63" s="409">
        <f t="shared" ref="EN63:EN77" ca="1" si="220">ROUND(F63,0)</f>
        <v>0</v>
      </c>
      <c r="EO63" s="409">
        <f t="shared" ref="EO63:EO77" ca="1" si="221">ROUND(G63,0)</f>
        <v>0</v>
      </c>
      <c r="EP63" s="409">
        <f t="shared" ref="EP63:EP77" ca="1" si="222">ROUND(H63,0)</f>
        <v>0</v>
      </c>
      <c r="EQ63" s="409">
        <f t="shared" ref="EQ63:EQ77" ca="1" si="223">ROUND(I63,0)</f>
        <v>0</v>
      </c>
      <c r="ER63" s="345">
        <f t="shared" ref="ER63:ER77" ca="1" si="224">SUM(EL63:EQ63)</f>
        <v>16250</v>
      </c>
      <c r="ES63" s="4"/>
      <c r="ET63" s="45"/>
      <c r="EU63" s="4"/>
      <c r="EV63" s="2391">
        <f t="shared" ref="EV63:EV77" ca="1" si="225">ROUND(N63,0)</f>
        <v>0</v>
      </c>
      <c r="EW63" s="86">
        <f t="shared" ref="EW63:EW77" ca="1" si="226">ROUND(O63,0)</f>
        <v>0</v>
      </c>
      <c r="EX63" s="86">
        <f t="shared" ref="EX63:EX77" ca="1" si="227">ROUND(P63,0)</f>
        <v>0</v>
      </c>
      <c r="EY63" s="86">
        <f t="shared" ref="EY63:EY77" ca="1" si="228">ROUND(Q63,0)</f>
        <v>0</v>
      </c>
      <c r="EZ63" s="86">
        <f t="shared" ref="EZ63:EZ77" ca="1" si="229">ROUND(R63,0)</f>
        <v>0</v>
      </c>
      <c r="FA63" s="86">
        <f t="shared" ref="FA63:FA77" ca="1" si="230">ROUND(S63,0)</f>
        <v>0</v>
      </c>
      <c r="FB63" s="166">
        <f t="shared" ca="1" si="143"/>
        <v>0</v>
      </c>
      <c r="FD63" s="2391">
        <f t="shared" ref="FD63:FD77" ca="1" si="231">ROUND(V63,0)</f>
        <v>0</v>
      </c>
      <c r="FE63" s="86">
        <f t="shared" ref="FE63:FE77" ca="1" si="232">ROUND(W63,0)</f>
        <v>0</v>
      </c>
      <c r="FF63" s="86">
        <f t="shared" ref="FF63:FF77" ca="1" si="233">ROUND(X63,0)</f>
        <v>0</v>
      </c>
      <c r="FG63" s="86">
        <f t="shared" ref="FG63:FG77" ca="1" si="234">ROUND(Y63,0)</f>
        <v>0</v>
      </c>
      <c r="FH63" s="86">
        <f t="shared" ref="FH63:FH77" ca="1" si="235">ROUND(Z63,0)</f>
        <v>0</v>
      </c>
      <c r="FI63" s="86">
        <f t="shared" ref="FI63:FI77" ca="1" si="236">ROUND(AA63,0)</f>
        <v>0</v>
      </c>
      <c r="FJ63" s="140">
        <f t="shared" ca="1" si="150"/>
        <v>0</v>
      </c>
      <c r="FL63" s="2391">
        <f t="shared" ref="FL63:FL77" ca="1" si="237">ROUND(AD63,0)</f>
        <v>0</v>
      </c>
      <c r="FM63" s="86">
        <f t="shared" ref="FM63:FM77" ca="1" si="238">ROUND(AE63,0)</f>
        <v>0</v>
      </c>
      <c r="FN63" s="86">
        <f t="shared" ref="FN63:FN77" ca="1" si="239">ROUND(AF63,0)</f>
        <v>0</v>
      </c>
      <c r="FO63" s="86">
        <f t="shared" ref="FO63:FO77" ca="1" si="240">ROUND(AG63,0)</f>
        <v>0</v>
      </c>
      <c r="FP63" s="86">
        <f t="shared" ref="FP63:FP77" ca="1" si="241">ROUND(AH63,0)</f>
        <v>0</v>
      </c>
      <c r="FQ63" s="86">
        <f t="shared" ref="FQ63:FQ77" ca="1" si="242">ROUND(AI63,0)</f>
        <v>0</v>
      </c>
      <c r="FR63" s="208">
        <f t="shared" ca="1" si="157"/>
        <v>0</v>
      </c>
      <c r="FT63" s="2391">
        <f t="shared" ref="FT63:FT77" ca="1" si="243">ROUND(AL63,0)</f>
        <v>0</v>
      </c>
      <c r="FU63" s="86">
        <f t="shared" ref="FU63:FU77" ca="1" si="244">ROUND(AM63,0)</f>
        <v>0</v>
      </c>
      <c r="FV63" s="86">
        <f t="shared" ref="FV63:FV77" ca="1" si="245">ROUND(AN63,0)</f>
        <v>0</v>
      </c>
      <c r="FW63" s="86">
        <f t="shared" ref="FW63:FW77" ca="1" si="246">ROUND(AO63,0)</f>
        <v>0</v>
      </c>
      <c r="FX63" s="86">
        <f t="shared" ref="FX63:FX77" ca="1" si="247">ROUND(AP63,0)</f>
        <v>0</v>
      </c>
      <c r="FY63" s="86">
        <f t="shared" ref="FY63:FY77" ca="1" si="248">ROUND(AQ63,0)</f>
        <v>0</v>
      </c>
      <c r="FZ63" s="180">
        <f t="shared" ca="1" si="164"/>
        <v>0</v>
      </c>
      <c r="GB63" s="2391">
        <f t="shared" ref="GB63:GB77" ca="1" si="249">ROUND(AT63,0)</f>
        <v>0</v>
      </c>
      <c r="GC63" s="86">
        <f t="shared" ref="GC63:GC77" ca="1" si="250">ROUND(AU63,0)</f>
        <v>0</v>
      </c>
      <c r="GD63" s="86">
        <f t="shared" ref="GD63:GD77" ca="1" si="251">ROUND(AV63,0)</f>
        <v>0</v>
      </c>
      <c r="GE63" s="86">
        <f t="shared" ref="GE63:GE77" ca="1" si="252">ROUND(AW63,0)</f>
        <v>0</v>
      </c>
      <c r="GF63" s="86">
        <f t="shared" ref="GF63:GF77" ca="1" si="253">ROUND(AX63,0)</f>
        <v>0</v>
      </c>
      <c r="GG63" s="86">
        <f t="shared" ref="GG63:GG77" ca="1" si="254">ROUND(AY63,0)</f>
        <v>0</v>
      </c>
      <c r="GH63" s="152">
        <f t="shared" ca="1" si="171"/>
        <v>0</v>
      </c>
      <c r="GJ63" s="2391">
        <f t="shared" ref="GJ63:GJ77" ca="1" si="255">ROUND(BB63,0)</f>
        <v>0</v>
      </c>
      <c r="GK63" s="86">
        <f t="shared" ref="GK63:GK77" ca="1" si="256">ROUND(BC63,0)</f>
        <v>0</v>
      </c>
      <c r="GL63" s="86">
        <f t="shared" ref="GL63:GL77" ca="1" si="257">ROUND(BD63,0)</f>
        <v>0</v>
      </c>
      <c r="GM63" s="86">
        <f t="shared" ref="GM63:GM77" ca="1" si="258">ROUND(BE63,0)</f>
        <v>0</v>
      </c>
      <c r="GN63" s="86">
        <f t="shared" ref="GN63:GN77" ca="1" si="259">ROUND(BF63,0)</f>
        <v>0</v>
      </c>
      <c r="GO63" s="86">
        <f t="shared" ref="GO63:GO77" ca="1" si="260">ROUND(BG63,0)</f>
        <v>0</v>
      </c>
      <c r="GP63" s="194">
        <f t="shared" ca="1" si="172"/>
        <v>0</v>
      </c>
      <c r="GR63" s="21"/>
      <c r="GS63" s="5"/>
      <c r="GT63" s="5"/>
      <c r="GU63" s="5"/>
      <c r="GV63" s="5"/>
      <c r="GW63" s="5"/>
      <c r="GX63" s="1105">
        <f t="shared" si="173"/>
        <v>0</v>
      </c>
      <c r="GZ63" s="574">
        <f t="shared" ca="1" si="174"/>
        <v>0</v>
      </c>
      <c r="HA63" s="86">
        <f t="shared" ca="1" si="175"/>
        <v>0</v>
      </c>
      <c r="HB63" s="86">
        <f t="shared" ca="1" si="176"/>
        <v>0</v>
      </c>
      <c r="HC63" s="86">
        <f t="shared" ca="1" si="177"/>
        <v>0</v>
      </c>
      <c r="HD63" s="86">
        <f t="shared" ca="1" si="178"/>
        <v>0</v>
      </c>
      <c r="HE63" s="86">
        <f t="shared" ca="1" si="179"/>
        <v>0</v>
      </c>
      <c r="HF63" s="2177">
        <f t="shared" ca="1" si="180"/>
        <v>0</v>
      </c>
      <c r="HG63" s="276">
        <f t="shared" ca="1" si="181"/>
        <v>16250</v>
      </c>
      <c r="HH63" s="257"/>
    </row>
    <row r="64" spans="1:216" ht="15" hidden="1" customHeight="1" x14ac:dyDescent="0.25">
      <c r="A64" s="22"/>
      <c r="B64" s="3211"/>
      <c r="C64" s="422" t="str">
        <f>('DATA INPUT'!B52&amp;" "&amp;"-"&amp;" "&amp;'DATA INPUT'!H52)</f>
        <v xml:space="preserve"> - </v>
      </c>
      <c r="D64" s="21">
        <f ca="1">'Calc - OTHER PERS'!J25</f>
        <v>0</v>
      </c>
      <c r="E64" s="5">
        <f ca="1">'Calc - OTHER PERS'!J26</f>
        <v>0</v>
      </c>
      <c r="F64" s="5">
        <f ca="1">'Calc - OTHER PERS'!J27</f>
        <v>0</v>
      </c>
      <c r="G64" s="5">
        <f ca="1">'Calc - OTHER PERS'!J28</f>
        <v>0</v>
      </c>
      <c r="H64" s="21">
        <f ca="1">'Calc - OTHER PERS'!J29</f>
        <v>0</v>
      </c>
      <c r="I64" s="21">
        <f ca="1">'Calc - OTHER PERS'!J30</f>
        <v>0</v>
      </c>
      <c r="J64" s="12">
        <f t="shared" ca="1" si="202"/>
        <v>0</v>
      </c>
      <c r="K64" s="45"/>
      <c r="L64" s="4"/>
      <c r="M64" s="45"/>
      <c r="N64" s="133">
        <f ca="1">IF(AND((OFFSET('DATA INPUT'!$C$51, ROW()-ROW($N$63),0)=$N$10),
(OFFSET('DATA INPUT'!$V$51,ROW()-ROW($N$63),0)=3)),
OFFSET('Calc - OTHER PERS'!$Q$11,COLUMN()-COLUMN($N$63) + (ROW()-ROW($N$63))*14,0),0)</f>
        <v>0</v>
      </c>
      <c r="O64" s="5">
        <f ca="1">IF(AND((OFFSET('DATA INPUT'!$C$51, ROW()-ROW($N$63),0)=$N$10),
(OFFSET('DATA INPUT'!$V$51,ROW()-ROW($N$63),0)=3)),
OFFSET('Calc - OTHER PERS'!$Q$11,COLUMN()-COLUMN($N$63) + (ROW()-ROW($N$63))*14,0),0)</f>
        <v>0</v>
      </c>
      <c r="P64" s="5">
        <f ca="1">IF(AND((OFFSET('DATA INPUT'!$C$51, ROW()-ROW($N$63),0)=$N$10),
(OFFSET('DATA INPUT'!$V$51,ROW()-ROW($N$63),0)=3)),
OFFSET('Calc - OTHER PERS'!$Q$11,COLUMN()-COLUMN($N$63) + (ROW()-ROW($N$63))*14,0),0)</f>
        <v>0</v>
      </c>
      <c r="Q64" s="5">
        <f ca="1">IF(AND((OFFSET('DATA INPUT'!$C$51, ROW()-ROW($N$63),0)=$N$10),
(OFFSET('DATA INPUT'!$V$51,ROW()-ROW($N$63),0)=3)),
OFFSET('Calc - OTHER PERS'!$Q$11,COLUMN()-COLUMN($N$63) + (ROW()-ROW($N$63))*14,0),0)</f>
        <v>0</v>
      </c>
      <c r="R64" s="21">
        <f ca="1">IF(AND((OFFSET('DATA INPUT'!$C$51, ROW()-ROW($N$63),0)=$N$10),
(OFFSET('DATA INPUT'!$V$51,ROW()-ROW($N$63),0)=3)),
OFFSET('Calc - OTHER PERS'!$Q$11,COLUMN()-COLUMN($N$63) + (ROW()-ROW($N$63))*14,0),0)</f>
        <v>0</v>
      </c>
      <c r="S64" s="21">
        <f ca="1">IF(AND((OFFSET('DATA INPUT'!$C$51, ROW()-ROW($N$63),0)=$N$10),
(OFFSET('DATA INPUT'!$V$51,ROW()-ROW($N$63),0)=3)),
OFFSET('Calc - OTHER PERS'!$Q$11,COLUMN()-COLUMN($N$63) + (ROW()-ROW($N$63))*14,0),0)</f>
        <v>0</v>
      </c>
      <c r="T64" s="164">
        <f t="shared" ca="1" si="109"/>
        <v>0</v>
      </c>
      <c r="U64" s="1"/>
      <c r="V64" s="133">
        <f ca="1">IF(AND((OFFSET('DATA INPUT'!$C$51, ROW()-ROW($V$63),0)=$V$10),
(OFFSET('DATA INPUT'!$V$51,ROW()-ROW($V$63),0)=3)),
OFFSET('Calc - OTHER PERS'!$Q$11,COLUMN()-COLUMN($V$63) + (ROW()-ROW($V$63))*14,0),0)</f>
        <v>0</v>
      </c>
      <c r="W64" s="5">
        <f ca="1">IF(AND((OFFSET('DATA INPUT'!$C$51, ROW()-ROW($V$63),0)=$V$10),
(OFFSET('DATA INPUT'!$V$51,ROW()-ROW($V$63),0)=3)),
OFFSET('Calc - OTHER PERS'!$Q$11,COLUMN()-COLUMN($V$63) + (ROW()-ROW($V$63))*14,0),0)</f>
        <v>0</v>
      </c>
      <c r="X64" s="5">
        <f ca="1">IF(AND((OFFSET('DATA INPUT'!$C$51, ROW()-ROW($V$63),0)=$V$10),
(OFFSET('DATA INPUT'!$V$51,ROW()-ROW($V$63),0)=3)),
OFFSET('Calc - OTHER PERS'!$Q$11,COLUMN()-COLUMN($V$63) + (ROW()-ROW($V$63))*14,0),0)</f>
        <v>0</v>
      </c>
      <c r="Y64" s="5">
        <f ca="1">IF(AND((OFFSET('DATA INPUT'!$C$51, ROW()-ROW($V$63),0)=$V$10),
(OFFSET('DATA INPUT'!$V$51,ROW()-ROW($V$63),0)=3)),
OFFSET('Calc - OTHER PERS'!$Q$11,COLUMN()-COLUMN($V$63) + (ROW()-ROW($V$63))*14,0),0)</f>
        <v>0</v>
      </c>
      <c r="Z64" s="21">
        <f ca="1">IF(AND((OFFSET('DATA INPUT'!$C$51, ROW()-ROW($V$63),0)=$V$10),
(OFFSET('DATA INPUT'!$V$51,ROW()-ROW($V$63),0)=3)),
OFFSET('Calc - OTHER PERS'!$Q$11,COLUMN()-COLUMN($V$63) + (ROW()-ROW($V$63))*14,0),0)</f>
        <v>0</v>
      </c>
      <c r="AA64" s="21">
        <f ca="1">IF(AND((OFFSET('DATA INPUT'!$C$51, ROW()-ROW($V$63),0)=$V$10),
(OFFSET('DATA INPUT'!$V$51,ROW()-ROW($V$63),0)=3)),
OFFSET('Calc - OTHER PERS'!$Q$11,COLUMN()-COLUMN($V$63) + (ROW()-ROW($V$63))*14,0),0)</f>
        <v>0</v>
      </c>
      <c r="AB64" s="138">
        <f t="shared" ca="1" si="110"/>
        <v>0</v>
      </c>
      <c r="AD64" s="133">
        <f ca="1">IF(AND((OFFSET('DATA INPUT'!$C$51, ROW()-ROW($AD$63),0)=$AD$10),
(OFFSET('DATA INPUT'!$V$51,ROW()-ROW($AD$63),0)=3)),
OFFSET('Calc - OTHER PERS'!$Q$11,COLUMN()-COLUMN($AD$63) + (ROW()-ROW($AD$63))*14,0),0)</f>
        <v>0</v>
      </c>
      <c r="AE64" s="5">
        <f ca="1">IF(AND((OFFSET('DATA INPUT'!$C$51, ROW()-ROW($AD$63),0)=$AD$10),
(OFFSET('DATA INPUT'!$V$51,ROW()-ROW($AD$63),0)=3)),
OFFSET('Calc - OTHER PERS'!$Q$11,COLUMN()-COLUMN($AD$63) + (ROW()-ROW($AD$63))*14,0),0)</f>
        <v>0</v>
      </c>
      <c r="AF64" s="5">
        <f ca="1">IF(AND((OFFSET('DATA INPUT'!$C$51, ROW()-ROW($AD$63),0)=$AD$10),
(OFFSET('DATA INPUT'!$V$51,ROW()-ROW($AD$63),0)=3)),
OFFSET('Calc - OTHER PERS'!$Q$11,COLUMN()-COLUMN($AD$63) + (ROW()-ROW($AD$63))*14,0),0)</f>
        <v>0</v>
      </c>
      <c r="AG64" s="5">
        <f ca="1">IF(AND((OFFSET('DATA INPUT'!$C$51, ROW()-ROW($AD$63),0)=$AD$10),
(OFFSET('DATA INPUT'!$V$51,ROW()-ROW($AD$63),0)=3)),
OFFSET('Calc - OTHER PERS'!$Q$11,COLUMN()-COLUMN($AD$63) + (ROW()-ROW($AD$63))*14,0),0)</f>
        <v>0</v>
      </c>
      <c r="AH64" s="21">
        <f ca="1">IF(AND((OFFSET('DATA INPUT'!$C$51, ROW()-ROW($AD$63),0)=$AD$10),
(OFFSET('DATA INPUT'!$V$51,ROW()-ROW($AD$63),0)=3)),
OFFSET('Calc - OTHER PERS'!$Q$11,COLUMN()-COLUMN($AD$63) + (ROW()-ROW($AD$63))*14,0),0)</f>
        <v>0</v>
      </c>
      <c r="AI64" s="21">
        <f ca="1">IF(AND((OFFSET('DATA INPUT'!$C$51, ROW()-ROW($AD$63),0)=$AD$10),
(OFFSET('DATA INPUT'!$V$51,ROW()-ROW($AD$63),0)=3)),
OFFSET('Calc - OTHER PERS'!$Q$11,COLUMN()-COLUMN($AD$63) + (ROW()-ROW($AD$63))*14,0),0)</f>
        <v>0</v>
      </c>
      <c r="AJ64" s="206">
        <f t="shared" ca="1" si="111"/>
        <v>0</v>
      </c>
      <c r="AL64" s="133">
        <f ca="1">IF(AND((OFFSET('DATA INPUT'!$C$51, ROW()-ROW($AL$63),0)=$AL$10),
(OFFSET('DATA INPUT'!$V$51,ROW()-ROW($AL$63),0)=3)),
OFFSET('Calc - OTHER PERS'!$Q$11,COLUMN()-COLUMN($AL$63) + (ROW()-ROW($AL$63))*14,0),0)</f>
        <v>0</v>
      </c>
      <c r="AM64" s="5">
        <f ca="1">IF(AND((OFFSET('DATA INPUT'!$C$51, ROW()-ROW($AL$63),0)=$AL$10),
(OFFSET('DATA INPUT'!$V$51,ROW()-ROW($AL$63),0)=3)),
OFFSET('Calc - OTHER PERS'!$Q$11,COLUMN()-COLUMN($AL$63) + (ROW()-ROW($AL$63))*14,0),0)</f>
        <v>0</v>
      </c>
      <c r="AN64" s="5">
        <f ca="1">IF(AND((OFFSET('DATA INPUT'!$C$51, ROW()-ROW($AL$63),0)=$AL$10),
(OFFSET('DATA INPUT'!$V$51,ROW()-ROW($AL$63),0)=3)),
OFFSET('Calc - OTHER PERS'!$Q$11,COLUMN()-COLUMN($AL$63) + (ROW()-ROW($AL$63))*14,0),0)</f>
        <v>0</v>
      </c>
      <c r="AO64" s="5">
        <f ca="1">IF(AND((OFFSET('DATA INPUT'!$C$51, ROW()-ROW($AL$63),0)=$AL$10),
(OFFSET('DATA INPUT'!$V$51,ROW()-ROW($AL$63),0)=3)),
OFFSET('Calc - OTHER PERS'!$Q$11,COLUMN()-COLUMN($AL$63) + (ROW()-ROW($AL$63))*14,0),0)</f>
        <v>0</v>
      </c>
      <c r="AP64" s="21">
        <f ca="1">IF(AND((OFFSET('DATA INPUT'!$C$51, ROW()-ROW($AL$63),0)=$AL$10),
(OFFSET('DATA INPUT'!$V$51,ROW()-ROW($AL$63),0)=3)),
OFFSET('Calc - OTHER PERS'!$Q$11,COLUMN()-COLUMN($AL$63) + (ROW()-ROW($AL$63))*14,0),0)</f>
        <v>0</v>
      </c>
      <c r="AQ64" s="21">
        <f ca="1">IF(AND((OFFSET('DATA INPUT'!$C$51, ROW()-ROW($AL$63),0)=$AL$10),
(OFFSET('DATA INPUT'!$V$51,ROW()-ROW($AL$63),0)=3)),
OFFSET('Calc - OTHER PERS'!$Q$11,COLUMN()-COLUMN($AL$63) + (ROW()-ROW($AL$63))*14,0),0)</f>
        <v>0</v>
      </c>
      <c r="AR64" s="178">
        <f t="shared" ca="1" si="112"/>
        <v>0</v>
      </c>
      <c r="AT64" s="133">
        <f ca="1">IF(AND((OFFSET('DATA INPUT'!$C$51, ROW()-ROW($AT$63),0)=$AT$10),
(OFFSET('DATA INPUT'!$V$51,ROW()-ROW($AT$63),0)=3)),
OFFSET('Calc - OTHER PERS'!$Q$11,COLUMN()-COLUMN($AT$63) + (ROW()-ROW($AT$63))*14,0),0)</f>
        <v>0</v>
      </c>
      <c r="AU64" s="5">
        <f ca="1">IF(AND((OFFSET('DATA INPUT'!$C$51, ROW()-ROW($AT$63),0)=$AT$10),
(OFFSET('DATA INPUT'!$V$51,ROW()-ROW($AT$63),0)=3)),
OFFSET('Calc - OTHER PERS'!$Q$11,COLUMN()-COLUMN($AT$63) + (ROW()-ROW($AT$63))*14,0),0)</f>
        <v>0</v>
      </c>
      <c r="AV64" s="5">
        <f ca="1">IF(AND((OFFSET('DATA INPUT'!$C$51, ROW()-ROW($AT$63),0)=$AT$10),
(OFFSET('DATA INPUT'!$V$51,ROW()-ROW($AT$63),0)=3)),
OFFSET('Calc - OTHER PERS'!$Q$11,COLUMN()-COLUMN($AT$63) + (ROW()-ROW($AT$63))*14,0),0)</f>
        <v>0</v>
      </c>
      <c r="AW64" s="5">
        <f ca="1">IF(AND((OFFSET('DATA INPUT'!$C$51, ROW()-ROW($AT$63),0)=$AT$10),
(OFFSET('DATA INPUT'!$V$51,ROW()-ROW($AT$63),0)=3)),
OFFSET('Calc - OTHER PERS'!$Q$11,COLUMN()-COLUMN($AT$63) + (ROW()-ROW($AT$63))*14,0),0)</f>
        <v>0</v>
      </c>
      <c r="AX64" s="21">
        <f ca="1">IF(AND((OFFSET('DATA INPUT'!$C$51, ROW()-ROW($AT$63),0)=$AT$10),
(OFFSET('DATA INPUT'!$V$51,ROW()-ROW($AT$63),0)=3)),
OFFSET('Calc - OTHER PERS'!$Q$11,COLUMN()-COLUMN($AT$63) + (ROW()-ROW($AT$63))*14,0),0)</f>
        <v>0</v>
      </c>
      <c r="AY64" s="21">
        <f ca="1">IF(AND((OFFSET('DATA INPUT'!$C$51, ROW()-ROW($AT$63),0)=$AT$10),
(OFFSET('DATA INPUT'!$V$51,ROW()-ROW($AT$63),0)=3)),
OFFSET('Calc - OTHER PERS'!$Q$11,COLUMN()-COLUMN($AT$63) + (ROW()-ROW($AT$63))*14,0),0)</f>
        <v>0</v>
      </c>
      <c r="AZ64" s="150">
        <f t="shared" ca="1" si="113"/>
        <v>0</v>
      </c>
      <c r="BB64" s="133">
        <f ca="1">IF(AND((OFFSET('DATA INPUT'!$C$51, ROW()-ROW($BB$63),0)=$BB$10),
(OFFSET('DATA INPUT'!$V$51,ROW()-ROW($BB$63),0)=3)),
OFFSET('Calc - OTHER PERS'!$Q$11,COLUMN()-COLUMN($BB$63) + (ROW()-ROW($BB$63))*14,0),0)</f>
        <v>0</v>
      </c>
      <c r="BC64" s="5">
        <f ca="1">IF(AND((OFFSET('DATA INPUT'!$C$51, ROW()-ROW($BB$63),0)=$BB$10),
(OFFSET('DATA INPUT'!$V$51,ROW()-ROW($BB$63),0)=3)),
OFFSET('Calc - OTHER PERS'!$Q$11,COLUMN()-COLUMN($BB$63) + (ROW()-ROW($BB$63))*14,0),0)</f>
        <v>0</v>
      </c>
      <c r="BD64" s="5">
        <f ca="1">IF(AND((OFFSET('DATA INPUT'!$C$51, ROW()-ROW($BB$63),0)=$BB$10),
(OFFSET('DATA INPUT'!$V$51,ROW()-ROW($BB$63),0)=3)),
OFFSET('Calc - OTHER PERS'!$Q$11,COLUMN()-COLUMN($BB$63) + (ROW()-ROW($BB$63))*14,0),0)</f>
        <v>0</v>
      </c>
      <c r="BE64" s="5">
        <f ca="1">IF(AND((OFFSET('DATA INPUT'!$C$51, ROW()-ROW($BB$63),0)=$BB$10),
(OFFSET('DATA INPUT'!$V$51,ROW()-ROW($BB$63),0)=3)),
OFFSET('Calc - OTHER PERS'!$Q$11,COLUMN()-COLUMN($BB$63) + (ROW()-ROW($BB$63))*14,0),0)</f>
        <v>0</v>
      </c>
      <c r="BF64" s="21">
        <f ca="1">IF(AND((OFFSET('DATA INPUT'!$C$51, ROW()-ROW($BB$63),0)=$BB$10),
(OFFSET('DATA INPUT'!$V$51,ROW()-ROW($BB$63),0)=3)),
OFFSET('Calc - OTHER PERS'!$Q$11,COLUMN()-COLUMN($BB$63) + (ROW()-ROW($BB$63))*14,0),0)</f>
        <v>0</v>
      </c>
      <c r="BG64" s="21">
        <f ca="1">IF(AND((OFFSET('DATA INPUT'!$C$51, ROW()-ROW($BB$63),0)=$BB$10),
(OFFSET('DATA INPUT'!$V$51,ROW()-ROW($BB$63),0)=3)),
OFFSET('Calc - OTHER PERS'!$Q$11,COLUMN()-COLUMN($BB$63) + (ROW()-ROW($BB$63))*14,0),0)</f>
        <v>0</v>
      </c>
      <c r="BH64" s="192">
        <f t="shared" ca="1" si="114"/>
        <v>0</v>
      </c>
      <c r="BJ64" s="21"/>
      <c r="BK64" s="5"/>
      <c r="BL64" s="5"/>
      <c r="BM64" s="5"/>
      <c r="BN64" s="21"/>
      <c r="BO64" s="21"/>
      <c r="BP64" s="1105">
        <f t="shared" si="115"/>
        <v>0</v>
      </c>
      <c r="BR64" s="575">
        <f t="shared" ca="1" si="116"/>
        <v>0</v>
      </c>
      <c r="BS64" s="5">
        <f t="shared" ca="1" si="117"/>
        <v>0</v>
      </c>
      <c r="BT64" s="5">
        <f t="shared" ca="1" si="118"/>
        <v>0</v>
      </c>
      <c r="BU64" s="5">
        <f t="shared" ca="1" si="119"/>
        <v>0</v>
      </c>
      <c r="BV64" s="5">
        <f t="shared" ca="1" si="120"/>
        <v>0</v>
      </c>
      <c r="BW64" s="5">
        <f t="shared" ca="1" si="121"/>
        <v>0</v>
      </c>
      <c r="BX64" s="2175">
        <f t="shared" ca="1" si="122"/>
        <v>0</v>
      </c>
      <c r="BY64" s="573">
        <f t="shared" ca="1" si="123"/>
        <v>0</v>
      </c>
      <c r="BZ64" s="257"/>
      <c r="CB64" s="1182">
        <f t="shared" ca="1" si="203"/>
        <v>0</v>
      </c>
      <c r="CC64" s="387">
        <f t="shared" ca="1" si="204"/>
        <v>0</v>
      </c>
      <c r="CD64" s="56">
        <f t="shared" ca="1" si="204"/>
        <v>0</v>
      </c>
      <c r="CE64" s="56">
        <f t="shared" ca="1" si="205"/>
        <v>0</v>
      </c>
      <c r="CF64" s="1191">
        <f t="shared" ca="1" si="206"/>
        <v>0</v>
      </c>
      <c r="CG64" s="1192">
        <f t="shared" ca="1" si="207"/>
        <v>0</v>
      </c>
      <c r="CH64" s="1184">
        <f t="shared" ca="1" si="208"/>
        <v>0</v>
      </c>
      <c r="CI64" s="1193">
        <f t="shared" ca="1" si="208"/>
        <v>0</v>
      </c>
      <c r="CJ64" s="1193">
        <f t="shared" ca="1" si="209"/>
        <v>0</v>
      </c>
      <c r="CK64" s="1193">
        <f t="shared" ca="1" si="210"/>
        <v>0</v>
      </c>
      <c r="CL64" s="1235">
        <f t="shared" ca="1" si="211"/>
        <v>0</v>
      </c>
      <c r="CM64" s="1195">
        <f t="shared" ca="1" si="212"/>
        <v>0</v>
      </c>
      <c r="CN64" s="1188">
        <f t="shared" ca="1" si="212"/>
        <v>0</v>
      </c>
      <c r="CO64" s="1196">
        <f t="shared" ca="1" si="213"/>
        <v>0</v>
      </c>
      <c r="CP64" s="1234">
        <f t="shared" ca="1" si="124"/>
        <v>0</v>
      </c>
      <c r="CS64" s="575"/>
      <c r="CT64" s="5"/>
      <c r="CU64" s="1180"/>
      <c r="CV64" s="575"/>
      <c r="CW64" s="5"/>
      <c r="CX64" s="1180"/>
      <c r="CY64" s="575"/>
      <c r="CZ64" s="5"/>
      <c r="DA64" s="1180"/>
      <c r="DB64" s="575"/>
      <c r="DC64" s="5"/>
      <c r="DD64" s="1180"/>
      <c r="DE64" s="1181">
        <f t="shared" si="214"/>
        <v>0</v>
      </c>
      <c r="DG64" s="575"/>
      <c r="DH64" s="5"/>
      <c r="DI64" s="1180"/>
      <c r="DJ64" s="575"/>
      <c r="DK64" s="5"/>
      <c r="DL64" s="1180"/>
      <c r="DM64" s="575"/>
      <c r="DN64" s="5"/>
      <c r="DO64" s="1180"/>
      <c r="DP64" s="575"/>
      <c r="DQ64" s="5"/>
      <c r="DR64" s="1180"/>
      <c r="DS64" s="1181">
        <f t="shared" si="215"/>
        <v>0</v>
      </c>
      <c r="DU64" s="575"/>
      <c r="DV64" s="5"/>
      <c r="DW64" s="1180"/>
      <c r="DX64" s="575"/>
      <c r="DY64" s="5"/>
      <c r="DZ64" s="1180"/>
      <c r="EA64" s="575"/>
      <c r="EB64" s="5"/>
      <c r="EC64" s="1180"/>
      <c r="ED64" s="575"/>
      <c r="EE64" s="5"/>
      <c r="EF64" s="1180"/>
      <c r="EG64" s="1181">
        <f t="shared" si="216"/>
        <v>0</v>
      </c>
      <c r="EI64" s="22"/>
      <c r="EJ64" s="3211"/>
      <c r="EK64" s="422" t="str">
        <f t="shared" si="217"/>
        <v xml:space="preserve"> - </v>
      </c>
      <c r="EL64" s="409">
        <f t="shared" ca="1" si="218"/>
        <v>0</v>
      </c>
      <c r="EM64" s="409">
        <f t="shared" ca="1" si="219"/>
        <v>0</v>
      </c>
      <c r="EN64" s="409">
        <f t="shared" ca="1" si="220"/>
        <v>0</v>
      </c>
      <c r="EO64" s="409">
        <f t="shared" ca="1" si="221"/>
        <v>0</v>
      </c>
      <c r="EP64" s="409">
        <f t="shared" ca="1" si="222"/>
        <v>0</v>
      </c>
      <c r="EQ64" s="409">
        <f t="shared" ca="1" si="223"/>
        <v>0</v>
      </c>
      <c r="ER64" s="12">
        <f t="shared" ca="1" si="224"/>
        <v>0</v>
      </c>
      <c r="ES64" s="45"/>
      <c r="ET64" s="4"/>
      <c r="EU64" s="45"/>
      <c r="EV64" s="133">
        <f t="shared" ca="1" si="225"/>
        <v>0</v>
      </c>
      <c r="EW64" s="5">
        <f t="shared" ca="1" si="226"/>
        <v>0</v>
      </c>
      <c r="EX64" s="5">
        <f t="shared" ca="1" si="227"/>
        <v>0</v>
      </c>
      <c r="EY64" s="5">
        <f t="shared" ca="1" si="228"/>
        <v>0</v>
      </c>
      <c r="EZ64" s="21">
        <f t="shared" ca="1" si="229"/>
        <v>0</v>
      </c>
      <c r="FA64" s="21">
        <f t="shared" ca="1" si="230"/>
        <v>0</v>
      </c>
      <c r="FB64" s="164">
        <f t="shared" ca="1" si="143"/>
        <v>0</v>
      </c>
      <c r="FC64" s="1"/>
      <c r="FD64" s="133">
        <f t="shared" ca="1" si="231"/>
        <v>0</v>
      </c>
      <c r="FE64" s="5">
        <f t="shared" ca="1" si="232"/>
        <v>0</v>
      </c>
      <c r="FF64" s="5">
        <f t="shared" ca="1" si="233"/>
        <v>0</v>
      </c>
      <c r="FG64" s="5">
        <f t="shared" ca="1" si="234"/>
        <v>0</v>
      </c>
      <c r="FH64" s="21">
        <f t="shared" ca="1" si="235"/>
        <v>0</v>
      </c>
      <c r="FI64" s="21">
        <f t="shared" ca="1" si="236"/>
        <v>0</v>
      </c>
      <c r="FJ64" s="138">
        <f t="shared" ca="1" si="150"/>
        <v>0</v>
      </c>
      <c r="FL64" s="133">
        <f t="shared" ca="1" si="237"/>
        <v>0</v>
      </c>
      <c r="FM64" s="5">
        <f t="shared" ca="1" si="238"/>
        <v>0</v>
      </c>
      <c r="FN64" s="5">
        <f t="shared" ca="1" si="239"/>
        <v>0</v>
      </c>
      <c r="FO64" s="5">
        <f t="shared" ca="1" si="240"/>
        <v>0</v>
      </c>
      <c r="FP64" s="21">
        <f t="shared" ca="1" si="241"/>
        <v>0</v>
      </c>
      <c r="FQ64" s="21">
        <f t="shared" ca="1" si="242"/>
        <v>0</v>
      </c>
      <c r="FR64" s="206">
        <f t="shared" ca="1" si="157"/>
        <v>0</v>
      </c>
      <c r="FT64" s="133">
        <f t="shared" ca="1" si="243"/>
        <v>0</v>
      </c>
      <c r="FU64" s="5">
        <f t="shared" ca="1" si="244"/>
        <v>0</v>
      </c>
      <c r="FV64" s="5">
        <f t="shared" ca="1" si="245"/>
        <v>0</v>
      </c>
      <c r="FW64" s="5">
        <f t="shared" ca="1" si="246"/>
        <v>0</v>
      </c>
      <c r="FX64" s="21">
        <f t="shared" ca="1" si="247"/>
        <v>0</v>
      </c>
      <c r="FY64" s="21">
        <f t="shared" ca="1" si="248"/>
        <v>0</v>
      </c>
      <c r="FZ64" s="178">
        <f t="shared" ca="1" si="164"/>
        <v>0</v>
      </c>
      <c r="GB64" s="133">
        <f t="shared" ca="1" si="249"/>
        <v>0</v>
      </c>
      <c r="GC64" s="5">
        <f t="shared" ca="1" si="250"/>
        <v>0</v>
      </c>
      <c r="GD64" s="5">
        <f t="shared" ca="1" si="251"/>
        <v>0</v>
      </c>
      <c r="GE64" s="5">
        <f t="shared" ca="1" si="252"/>
        <v>0</v>
      </c>
      <c r="GF64" s="21">
        <f t="shared" ca="1" si="253"/>
        <v>0</v>
      </c>
      <c r="GG64" s="21">
        <f t="shared" ca="1" si="254"/>
        <v>0</v>
      </c>
      <c r="GH64" s="150">
        <f t="shared" ca="1" si="171"/>
        <v>0</v>
      </c>
      <c r="GJ64" s="133">
        <f t="shared" ca="1" si="255"/>
        <v>0</v>
      </c>
      <c r="GK64" s="5">
        <f t="shared" ca="1" si="256"/>
        <v>0</v>
      </c>
      <c r="GL64" s="5">
        <f t="shared" ca="1" si="257"/>
        <v>0</v>
      </c>
      <c r="GM64" s="5">
        <f t="shared" ca="1" si="258"/>
        <v>0</v>
      </c>
      <c r="GN64" s="21">
        <f t="shared" ca="1" si="259"/>
        <v>0</v>
      </c>
      <c r="GO64" s="21">
        <f t="shared" ca="1" si="260"/>
        <v>0</v>
      </c>
      <c r="GP64" s="192">
        <f t="shared" ca="1" si="172"/>
        <v>0</v>
      </c>
      <c r="GR64" s="21"/>
      <c r="GS64" s="5"/>
      <c r="GT64" s="5"/>
      <c r="GU64" s="5"/>
      <c r="GV64" s="21"/>
      <c r="GW64" s="21"/>
      <c r="GX64" s="1105">
        <f t="shared" si="173"/>
        <v>0</v>
      </c>
      <c r="GZ64" s="575">
        <f t="shared" ca="1" si="174"/>
        <v>0</v>
      </c>
      <c r="HA64" s="5">
        <f t="shared" ca="1" si="175"/>
        <v>0</v>
      </c>
      <c r="HB64" s="5">
        <f t="shared" ca="1" si="176"/>
        <v>0</v>
      </c>
      <c r="HC64" s="5">
        <f t="shared" ca="1" si="177"/>
        <v>0</v>
      </c>
      <c r="HD64" s="5">
        <f t="shared" ca="1" si="178"/>
        <v>0</v>
      </c>
      <c r="HE64" s="5">
        <f t="shared" ca="1" si="179"/>
        <v>0</v>
      </c>
      <c r="HF64" s="2175">
        <f t="shared" ca="1" si="180"/>
        <v>0</v>
      </c>
      <c r="HG64" s="573">
        <f t="shared" ca="1" si="181"/>
        <v>0</v>
      </c>
      <c r="HH64" s="257"/>
    </row>
    <row r="65" spans="1:216" ht="15" hidden="1" customHeight="1" x14ac:dyDescent="0.25">
      <c r="A65" s="22"/>
      <c r="B65" s="3211"/>
      <c r="C65" s="123" t="str">
        <f>('DATA INPUT'!B53&amp;" "&amp;"-"&amp;" "&amp;'DATA INPUT'!H53)</f>
        <v xml:space="preserve"> - </v>
      </c>
      <c r="D65" s="21">
        <f ca="1">'Calc - OTHER PERS'!J39</f>
        <v>0</v>
      </c>
      <c r="E65" s="5">
        <f ca="1">'Calc - OTHER PERS'!J40</f>
        <v>0</v>
      </c>
      <c r="F65" s="5">
        <f ca="1">'Calc - OTHER PERS'!J41</f>
        <v>0</v>
      </c>
      <c r="G65" s="5">
        <f ca="1">'Calc - OTHER PERS'!J42</f>
        <v>0</v>
      </c>
      <c r="H65" s="5">
        <f ca="1">'Calc - OTHER PERS'!J43</f>
        <v>0</v>
      </c>
      <c r="I65" s="5">
        <f ca="1">'Calc - OTHER PERS'!J44</f>
        <v>0</v>
      </c>
      <c r="J65" s="12">
        <f t="shared" ca="1" si="202"/>
        <v>0</v>
      </c>
      <c r="K65" s="4"/>
      <c r="L65" s="45"/>
      <c r="M65" s="4"/>
      <c r="N65" s="133">
        <f ca="1">IF(AND((OFFSET('DATA INPUT'!$C$51, ROW()-ROW($N$63),0)=$N$10),
(OFFSET('DATA INPUT'!$V$51,ROW()-ROW($N$63),0)=3)),
OFFSET('Calc - OTHER PERS'!$Q$11,COLUMN()-COLUMN($N$63) + (ROW()-ROW($N$63))*14,0),0)</f>
        <v>0</v>
      </c>
      <c r="O65" s="5">
        <f ca="1">IF(AND((OFFSET('DATA INPUT'!$C$51, ROW()-ROW($N$63),0)=$N$10),
(OFFSET('DATA INPUT'!$V$51,ROW()-ROW($N$63),0)=3)),
OFFSET('Calc - OTHER PERS'!$Q$11,COLUMN()-COLUMN($N$63) + (ROW()-ROW($N$63))*14,0),0)</f>
        <v>0</v>
      </c>
      <c r="P65" s="5">
        <f ca="1">IF(AND((OFFSET('DATA INPUT'!$C$51, ROW()-ROW($N$63),0)=$N$10),
(OFFSET('DATA INPUT'!$V$51,ROW()-ROW($N$63),0)=3)),
OFFSET('Calc - OTHER PERS'!$Q$11,COLUMN()-COLUMN($N$63) + (ROW()-ROW($N$63))*14,0),0)</f>
        <v>0</v>
      </c>
      <c r="Q65" s="5">
        <f ca="1">IF(AND((OFFSET('DATA INPUT'!$C$51, ROW()-ROW($N$63),0)=$N$10),
(OFFSET('DATA INPUT'!$V$51,ROW()-ROW($N$63),0)=3)),
OFFSET('Calc - OTHER PERS'!$Q$11,COLUMN()-COLUMN($N$63) + (ROW()-ROW($N$63))*14,0),0)</f>
        <v>0</v>
      </c>
      <c r="R65" s="5">
        <f ca="1">IF(AND((OFFSET('DATA INPUT'!$C$51, ROW()-ROW($N$63),0)=$N$10),
(OFFSET('DATA INPUT'!$V$51,ROW()-ROW($N$63),0)=3)),
OFFSET('Calc - OTHER PERS'!$Q$11,COLUMN()-COLUMN($N$63) + (ROW()-ROW($N$63))*14,0),0)</f>
        <v>0</v>
      </c>
      <c r="S65" s="5">
        <f ca="1">IF(AND((OFFSET('DATA INPUT'!$C$51, ROW()-ROW($N$63),0)=$N$10),
(OFFSET('DATA INPUT'!$V$51,ROW()-ROW($N$63),0)=3)),
OFFSET('Calc - OTHER PERS'!$Q$11,COLUMN()-COLUMN($N$63) + (ROW()-ROW($N$63))*14,0),0)</f>
        <v>0</v>
      </c>
      <c r="T65" s="164">
        <f t="shared" ca="1" si="109"/>
        <v>0</v>
      </c>
      <c r="V65" s="133">
        <f ca="1">IF(AND((OFFSET('DATA INPUT'!$C$51, ROW()-ROW($V$63),0)=$V$10),
(OFFSET('DATA INPUT'!$V$51,ROW()-ROW($V$63),0)=3)),
OFFSET('Calc - OTHER PERS'!$Q$11,COLUMN()-COLUMN($V$63) + (ROW()-ROW($V$63))*14,0),0)</f>
        <v>0</v>
      </c>
      <c r="W65" s="5">
        <f ca="1">IF(AND((OFFSET('DATA INPUT'!$C$51, ROW()-ROW($V$63),0)=$V$10),
(OFFSET('DATA INPUT'!$V$51,ROW()-ROW($V$63),0)=3)),
OFFSET('Calc - OTHER PERS'!$Q$11,COLUMN()-COLUMN($V$63) + (ROW()-ROW($V$63))*14,0),0)</f>
        <v>0</v>
      </c>
      <c r="X65" s="5">
        <f ca="1">IF(AND((OFFSET('DATA INPUT'!$C$51, ROW()-ROW($V$63),0)=$V$10),
(OFFSET('DATA INPUT'!$V$51,ROW()-ROW($V$63),0)=3)),
OFFSET('Calc - OTHER PERS'!$Q$11,COLUMN()-COLUMN($V$63) + (ROW()-ROW($V$63))*14,0),0)</f>
        <v>0</v>
      </c>
      <c r="Y65" s="5">
        <f ca="1">IF(AND((OFFSET('DATA INPUT'!$C$51, ROW()-ROW($V$63),0)=$V$10),
(OFFSET('DATA INPUT'!$V$51,ROW()-ROW($V$63),0)=3)),
OFFSET('Calc - OTHER PERS'!$Q$11,COLUMN()-COLUMN($V$63) + (ROW()-ROW($V$63))*14,0),0)</f>
        <v>0</v>
      </c>
      <c r="Z65" s="5">
        <f ca="1">IF(AND((OFFSET('DATA INPUT'!$C$51, ROW()-ROW($V$63),0)=$V$10),
(OFFSET('DATA INPUT'!$V$51,ROW()-ROW($V$63),0)=3)),
OFFSET('Calc - OTHER PERS'!$Q$11,COLUMN()-COLUMN($V$63) + (ROW()-ROW($V$63))*14,0),0)</f>
        <v>0</v>
      </c>
      <c r="AA65" s="5">
        <f ca="1">IF(AND((OFFSET('DATA INPUT'!$C$51, ROW()-ROW($V$63),0)=$V$10),
(OFFSET('DATA INPUT'!$V$51,ROW()-ROW($V$63),0)=3)),
OFFSET('Calc - OTHER PERS'!$Q$11,COLUMN()-COLUMN($V$63) + (ROW()-ROW($V$63))*14,0),0)</f>
        <v>0</v>
      </c>
      <c r="AB65" s="138">
        <f t="shared" ca="1" si="110"/>
        <v>0</v>
      </c>
      <c r="AD65" s="133">
        <f ca="1">IF(AND((OFFSET('DATA INPUT'!$C$51, ROW()-ROW($AD$63),0)=$AD$10),
(OFFSET('DATA INPUT'!$V$51,ROW()-ROW($AD$63),0)=3)),
OFFSET('Calc - OTHER PERS'!$Q$11,COLUMN()-COLUMN($AD$63) + (ROW()-ROW($AD$63))*14,0),0)</f>
        <v>0</v>
      </c>
      <c r="AE65" s="5">
        <f ca="1">IF(AND((OFFSET('DATA INPUT'!$C$51, ROW()-ROW($AD$63),0)=$AD$10),
(OFFSET('DATA INPUT'!$V$51,ROW()-ROW($AD$63),0)=3)),
OFFSET('Calc - OTHER PERS'!$Q$11,COLUMN()-COLUMN($AD$63) + (ROW()-ROW($AD$63))*14,0),0)</f>
        <v>0</v>
      </c>
      <c r="AF65" s="5">
        <f ca="1">IF(AND((OFFSET('DATA INPUT'!$C$51, ROW()-ROW($AD$63),0)=$AD$10),
(OFFSET('DATA INPUT'!$V$51,ROW()-ROW($AD$63),0)=3)),
OFFSET('Calc - OTHER PERS'!$Q$11,COLUMN()-COLUMN($AD$63) + (ROW()-ROW($AD$63))*14,0),0)</f>
        <v>0</v>
      </c>
      <c r="AG65" s="5">
        <f ca="1">IF(AND((OFFSET('DATA INPUT'!$C$51, ROW()-ROW($AD$63),0)=$AD$10),
(OFFSET('DATA INPUT'!$V$51,ROW()-ROW($AD$63),0)=3)),
OFFSET('Calc - OTHER PERS'!$Q$11,COLUMN()-COLUMN($AD$63) + (ROW()-ROW($AD$63))*14,0),0)</f>
        <v>0</v>
      </c>
      <c r="AH65" s="5">
        <f ca="1">IF(AND((OFFSET('DATA INPUT'!$C$51, ROW()-ROW($AD$63),0)=$AD$10),
(OFFSET('DATA INPUT'!$V$51,ROW()-ROW($AD$63),0)=3)),
OFFSET('Calc - OTHER PERS'!$Q$11,COLUMN()-COLUMN($AD$63) + (ROW()-ROW($AD$63))*14,0),0)</f>
        <v>0</v>
      </c>
      <c r="AI65" s="5">
        <f ca="1">IF(AND((OFFSET('DATA INPUT'!$C$51, ROW()-ROW($AD$63),0)=$AD$10),
(OFFSET('DATA INPUT'!$V$51,ROW()-ROW($AD$63),0)=3)),
OFFSET('Calc - OTHER PERS'!$Q$11,COLUMN()-COLUMN($AD$63) + (ROW()-ROW($AD$63))*14,0),0)</f>
        <v>0</v>
      </c>
      <c r="AJ65" s="206">
        <f t="shared" ca="1" si="111"/>
        <v>0</v>
      </c>
      <c r="AL65" s="133">
        <f ca="1">IF(AND((OFFSET('DATA INPUT'!$C$51, ROW()-ROW($AL$63),0)=$AL$10),
(OFFSET('DATA INPUT'!$V$51,ROW()-ROW($AL$63),0)=3)),
OFFSET('Calc - OTHER PERS'!$Q$11,COLUMN()-COLUMN($AL$63) + (ROW()-ROW($AL$63))*14,0),0)</f>
        <v>0</v>
      </c>
      <c r="AM65" s="5">
        <f ca="1">IF(AND((OFFSET('DATA INPUT'!$C$51, ROW()-ROW($AL$63),0)=$AL$10),
(OFFSET('DATA INPUT'!$V$51,ROW()-ROW($AL$63),0)=3)),
OFFSET('Calc - OTHER PERS'!$Q$11,COLUMN()-COLUMN($AL$63) + (ROW()-ROW($AL$63))*14,0),0)</f>
        <v>0</v>
      </c>
      <c r="AN65" s="5">
        <f ca="1">IF(AND((OFFSET('DATA INPUT'!$C$51, ROW()-ROW($AL$63),0)=$AL$10),
(OFFSET('DATA INPUT'!$V$51,ROW()-ROW($AL$63),0)=3)),
OFFSET('Calc - OTHER PERS'!$Q$11,COLUMN()-COLUMN($AL$63) + (ROW()-ROW($AL$63))*14,0),0)</f>
        <v>0</v>
      </c>
      <c r="AO65" s="5">
        <f ca="1">IF(AND((OFFSET('DATA INPUT'!$C$51, ROW()-ROW($AL$63),0)=$AL$10),
(OFFSET('DATA INPUT'!$V$51,ROW()-ROW($AL$63),0)=3)),
OFFSET('Calc - OTHER PERS'!$Q$11,COLUMN()-COLUMN($AL$63) + (ROW()-ROW($AL$63))*14,0),0)</f>
        <v>0</v>
      </c>
      <c r="AP65" s="5">
        <f ca="1">IF(AND((OFFSET('DATA INPUT'!$C$51, ROW()-ROW($AL$63),0)=$AL$10),
(OFFSET('DATA INPUT'!$V$51,ROW()-ROW($AL$63),0)=3)),
OFFSET('Calc - OTHER PERS'!$Q$11,COLUMN()-COLUMN($AL$63) + (ROW()-ROW($AL$63))*14,0),0)</f>
        <v>0</v>
      </c>
      <c r="AQ65" s="5">
        <f ca="1">IF(AND((OFFSET('DATA INPUT'!$C$51, ROW()-ROW($AL$63),0)=$AL$10),
(OFFSET('DATA INPUT'!$V$51,ROW()-ROW($AL$63),0)=3)),
OFFSET('Calc - OTHER PERS'!$Q$11,COLUMN()-COLUMN($AL$63) + (ROW()-ROW($AL$63))*14,0),0)</f>
        <v>0</v>
      </c>
      <c r="AR65" s="178">
        <f t="shared" ca="1" si="112"/>
        <v>0</v>
      </c>
      <c r="AT65" s="133">
        <f ca="1">IF(AND((OFFSET('DATA INPUT'!$C$51, ROW()-ROW($AT$63),0)=$AT$10),
(OFFSET('DATA INPUT'!$V$51,ROW()-ROW($AT$63),0)=3)),
OFFSET('Calc - OTHER PERS'!$Q$11,COLUMN()-COLUMN($AT$63) + (ROW()-ROW($AT$63))*14,0),0)</f>
        <v>0</v>
      </c>
      <c r="AU65" s="5">
        <f ca="1">IF(AND((OFFSET('DATA INPUT'!$C$51, ROW()-ROW($AT$63),0)=$AT$10),
(OFFSET('DATA INPUT'!$V$51,ROW()-ROW($AT$63),0)=3)),
OFFSET('Calc - OTHER PERS'!$Q$11,COLUMN()-COLUMN($AT$63) + (ROW()-ROW($AT$63))*14,0),0)</f>
        <v>0</v>
      </c>
      <c r="AV65" s="5">
        <f ca="1">IF(AND((OFFSET('DATA INPUT'!$C$51, ROW()-ROW($AT$63),0)=$AT$10),
(OFFSET('DATA INPUT'!$V$51,ROW()-ROW($AT$63),0)=3)),
OFFSET('Calc - OTHER PERS'!$Q$11,COLUMN()-COLUMN($AT$63) + (ROW()-ROW($AT$63))*14,0),0)</f>
        <v>0</v>
      </c>
      <c r="AW65" s="5">
        <f ca="1">IF(AND((OFFSET('DATA INPUT'!$C$51, ROW()-ROW($AT$63),0)=$AT$10),
(OFFSET('DATA INPUT'!$V$51,ROW()-ROW($AT$63),0)=3)),
OFFSET('Calc - OTHER PERS'!$Q$11,COLUMN()-COLUMN($AT$63) + (ROW()-ROW($AT$63))*14,0),0)</f>
        <v>0</v>
      </c>
      <c r="AX65" s="5">
        <f ca="1">IF(AND((OFFSET('DATA INPUT'!$C$51, ROW()-ROW($AT$63),0)=$AT$10),
(OFFSET('DATA INPUT'!$V$51,ROW()-ROW($AT$63),0)=3)),
OFFSET('Calc - OTHER PERS'!$Q$11,COLUMN()-COLUMN($AT$63) + (ROW()-ROW($AT$63))*14,0),0)</f>
        <v>0</v>
      </c>
      <c r="AY65" s="5">
        <f ca="1">IF(AND((OFFSET('DATA INPUT'!$C$51, ROW()-ROW($AT$63),0)=$AT$10),
(OFFSET('DATA INPUT'!$V$51,ROW()-ROW($AT$63),0)=3)),
OFFSET('Calc - OTHER PERS'!$Q$11,COLUMN()-COLUMN($AT$63) + (ROW()-ROW($AT$63))*14,0),0)</f>
        <v>0</v>
      </c>
      <c r="AZ65" s="150">
        <f t="shared" ca="1" si="113"/>
        <v>0</v>
      </c>
      <c r="BB65" s="133">
        <f ca="1">IF(AND((OFFSET('DATA INPUT'!$C$51, ROW()-ROW($BB$63),0)=$BB$10),
(OFFSET('DATA INPUT'!$V$51,ROW()-ROW($BB$63),0)=3)),
OFFSET('Calc - OTHER PERS'!$Q$11,COLUMN()-COLUMN($BB$63) + (ROW()-ROW($BB$63))*14,0),0)</f>
        <v>0</v>
      </c>
      <c r="BC65" s="5">
        <f ca="1">IF(AND((OFFSET('DATA INPUT'!$C$51, ROW()-ROW($BB$63),0)=$BB$10),
(OFFSET('DATA INPUT'!$V$51,ROW()-ROW($BB$63),0)=3)),
OFFSET('Calc - OTHER PERS'!$Q$11,COLUMN()-COLUMN($BB$63) + (ROW()-ROW($BB$63))*14,0),0)</f>
        <v>0</v>
      </c>
      <c r="BD65" s="5">
        <f ca="1">IF(AND((OFFSET('DATA INPUT'!$C$51, ROW()-ROW($BB$63),0)=$BB$10),
(OFFSET('DATA INPUT'!$V$51,ROW()-ROW($BB$63),0)=3)),
OFFSET('Calc - OTHER PERS'!$Q$11,COLUMN()-COLUMN($BB$63) + (ROW()-ROW($BB$63))*14,0),0)</f>
        <v>0</v>
      </c>
      <c r="BE65" s="5">
        <f ca="1">IF(AND((OFFSET('DATA INPUT'!$C$51, ROW()-ROW($BB$63),0)=$BB$10),
(OFFSET('DATA INPUT'!$V$51,ROW()-ROW($BB$63),0)=3)),
OFFSET('Calc - OTHER PERS'!$Q$11,COLUMN()-COLUMN($BB$63) + (ROW()-ROW($BB$63))*14,0),0)</f>
        <v>0</v>
      </c>
      <c r="BF65" s="5">
        <f ca="1">IF(AND((OFFSET('DATA INPUT'!$C$51, ROW()-ROW($BB$63),0)=$BB$10),
(OFFSET('DATA INPUT'!$V$51,ROW()-ROW($BB$63),0)=3)),
OFFSET('Calc - OTHER PERS'!$Q$11,COLUMN()-COLUMN($BB$63) + (ROW()-ROW($BB$63))*14,0),0)</f>
        <v>0</v>
      </c>
      <c r="BG65" s="5">
        <f ca="1">IF(AND((OFFSET('DATA INPUT'!$C$51, ROW()-ROW($BB$63),0)=$BB$10),
(OFFSET('DATA INPUT'!$V$51,ROW()-ROW($BB$63),0)=3)),
OFFSET('Calc - OTHER PERS'!$Q$11,COLUMN()-COLUMN($BB$63) + (ROW()-ROW($BB$63))*14,0),0)</f>
        <v>0</v>
      </c>
      <c r="BH65" s="192">
        <f t="shared" ca="1" si="114"/>
        <v>0</v>
      </c>
      <c r="BJ65" s="21"/>
      <c r="BK65" s="5"/>
      <c r="BL65" s="5"/>
      <c r="BM65" s="5"/>
      <c r="BN65" s="5"/>
      <c r="BO65" s="5"/>
      <c r="BP65" s="1105">
        <f t="shared" si="115"/>
        <v>0</v>
      </c>
      <c r="BR65" s="575">
        <f t="shared" ca="1" si="116"/>
        <v>0</v>
      </c>
      <c r="BS65" s="5">
        <f t="shared" ca="1" si="117"/>
        <v>0</v>
      </c>
      <c r="BT65" s="5">
        <f t="shared" ca="1" si="118"/>
        <v>0</v>
      </c>
      <c r="BU65" s="5">
        <f t="shared" ca="1" si="119"/>
        <v>0</v>
      </c>
      <c r="BV65" s="5">
        <f t="shared" ca="1" si="120"/>
        <v>0</v>
      </c>
      <c r="BW65" s="5">
        <f t="shared" ca="1" si="121"/>
        <v>0</v>
      </c>
      <c r="BX65" s="2175">
        <f t="shared" ca="1" si="122"/>
        <v>0</v>
      </c>
      <c r="BY65" s="573">
        <f t="shared" ca="1" si="123"/>
        <v>0</v>
      </c>
      <c r="BZ65" s="257"/>
      <c r="CB65" s="1182">
        <f t="shared" ca="1" si="203"/>
        <v>0</v>
      </c>
      <c r="CC65" s="387">
        <f t="shared" ca="1" si="204"/>
        <v>0</v>
      </c>
      <c r="CD65" s="56">
        <f t="shared" ca="1" si="204"/>
        <v>0</v>
      </c>
      <c r="CE65" s="56">
        <f t="shared" ca="1" si="205"/>
        <v>0</v>
      </c>
      <c r="CF65" s="56">
        <f t="shared" ca="1" si="206"/>
        <v>0</v>
      </c>
      <c r="CG65" s="1183">
        <f t="shared" ca="1" si="207"/>
        <v>0</v>
      </c>
      <c r="CH65" s="1184">
        <f t="shared" ca="1" si="208"/>
        <v>0</v>
      </c>
      <c r="CI65" s="1193">
        <f t="shared" ca="1" si="208"/>
        <v>0</v>
      </c>
      <c r="CJ65" s="1193">
        <f t="shared" ca="1" si="209"/>
        <v>0</v>
      </c>
      <c r="CK65" s="1193">
        <f t="shared" ca="1" si="210"/>
        <v>0</v>
      </c>
      <c r="CL65" s="1235">
        <f t="shared" ca="1" si="211"/>
        <v>0</v>
      </c>
      <c r="CM65" s="1187">
        <f t="shared" ca="1" si="212"/>
        <v>0</v>
      </c>
      <c r="CN65" s="1188">
        <f t="shared" ca="1" si="212"/>
        <v>0</v>
      </c>
      <c r="CO65" s="1189">
        <f t="shared" ca="1" si="213"/>
        <v>0</v>
      </c>
      <c r="CP65" s="1234">
        <f t="shared" ca="1" si="124"/>
        <v>0</v>
      </c>
      <c r="CS65" s="575"/>
      <c r="CT65" s="5"/>
      <c r="CU65" s="1180"/>
      <c r="CV65" s="575"/>
      <c r="CW65" s="5"/>
      <c r="CX65" s="1180"/>
      <c r="CY65" s="575"/>
      <c r="CZ65" s="5"/>
      <c r="DA65" s="1180"/>
      <c r="DB65" s="575"/>
      <c r="DC65" s="5"/>
      <c r="DD65" s="1180"/>
      <c r="DE65" s="1181">
        <f t="shared" si="214"/>
        <v>0</v>
      </c>
      <c r="DG65" s="575"/>
      <c r="DH65" s="5"/>
      <c r="DI65" s="1180"/>
      <c r="DJ65" s="575"/>
      <c r="DK65" s="5"/>
      <c r="DL65" s="1180"/>
      <c r="DM65" s="575"/>
      <c r="DN65" s="5"/>
      <c r="DO65" s="1180"/>
      <c r="DP65" s="575"/>
      <c r="DQ65" s="5"/>
      <c r="DR65" s="1180"/>
      <c r="DS65" s="1181">
        <f t="shared" si="215"/>
        <v>0</v>
      </c>
      <c r="DU65" s="575"/>
      <c r="DV65" s="5"/>
      <c r="DW65" s="1180"/>
      <c r="DX65" s="575"/>
      <c r="DY65" s="5"/>
      <c r="DZ65" s="1180"/>
      <c r="EA65" s="575"/>
      <c r="EB65" s="5"/>
      <c r="EC65" s="1180"/>
      <c r="ED65" s="575"/>
      <c r="EE65" s="5"/>
      <c r="EF65" s="1180"/>
      <c r="EG65" s="1181">
        <f t="shared" si="216"/>
        <v>0</v>
      </c>
      <c r="EI65" s="22"/>
      <c r="EJ65" s="3211"/>
      <c r="EK65" s="422" t="str">
        <f t="shared" si="217"/>
        <v xml:space="preserve"> - </v>
      </c>
      <c r="EL65" s="409">
        <f t="shared" ca="1" si="218"/>
        <v>0</v>
      </c>
      <c r="EM65" s="409">
        <f t="shared" ca="1" si="219"/>
        <v>0</v>
      </c>
      <c r="EN65" s="409">
        <f t="shared" ca="1" si="220"/>
        <v>0</v>
      </c>
      <c r="EO65" s="409">
        <f t="shared" ca="1" si="221"/>
        <v>0</v>
      </c>
      <c r="EP65" s="409">
        <f t="shared" ca="1" si="222"/>
        <v>0</v>
      </c>
      <c r="EQ65" s="409">
        <f t="shared" ca="1" si="223"/>
        <v>0</v>
      </c>
      <c r="ER65" s="12">
        <f t="shared" ca="1" si="224"/>
        <v>0</v>
      </c>
      <c r="ES65" s="4"/>
      <c r="ET65" s="45"/>
      <c r="EU65" s="4"/>
      <c r="EV65" s="133">
        <f t="shared" ca="1" si="225"/>
        <v>0</v>
      </c>
      <c r="EW65" s="5">
        <f t="shared" ca="1" si="226"/>
        <v>0</v>
      </c>
      <c r="EX65" s="5">
        <f t="shared" ca="1" si="227"/>
        <v>0</v>
      </c>
      <c r="EY65" s="5">
        <f t="shared" ca="1" si="228"/>
        <v>0</v>
      </c>
      <c r="EZ65" s="21">
        <f t="shared" ca="1" si="229"/>
        <v>0</v>
      </c>
      <c r="FA65" s="21">
        <f t="shared" ca="1" si="230"/>
        <v>0</v>
      </c>
      <c r="FB65" s="164">
        <f t="shared" ca="1" si="143"/>
        <v>0</v>
      </c>
      <c r="FD65" s="133">
        <f t="shared" ca="1" si="231"/>
        <v>0</v>
      </c>
      <c r="FE65" s="5">
        <f t="shared" ca="1" si="232"/>
        <v>0</v>
      </c>
      <c r="FF65" s="5">
        <f t="shared" ca="1" si="233"/>
        <v>0</v>
      </c>
      <c r="FG65" s="5">
        <f t="shared" ca="1" si="234"/>
        <v>0</v>
      </c>
      <c r="FH65" s="5">
        <f t="shared" ca="1" si="235"/>
        <v>0</v>
      </c>
      <c r="FI65" s="5">
        <f t="shared" ca="1" si="236"/>
        <v>0</v>
      </c>
      <c r="FJ65" s="138">
        <f t="shared" ca="1" si="150"/>
        <v>0</v>
      </c>
      <c r="FL65" s="133">
        <f t="shared" ca="1" si="237"/>
        <v>0</v>
      </c>
      <c r="FM65" s="5">
        <f t="shared" ca="1" si="238"/>
        <v>0</v>
      </c>
      <c r="FN65" s="5">
        <f t="shared" ca="1" si="239"/>
        <v>0</v>
      </c>
      <c r="FO65" s="5">
        <f t="shared" ca="1" si="240"/>
        <v>0</v>
      </c>
      <c r="FP65" s="5">
        <f t="shared" ca="1" si="241"/>
        <v>0</v>
      </c>
      <c r="FQ65" s="5">
        <f t="shared" ca="1" si="242"/>
        <v>0</v>
      </c>
      <c r="FR65" s="206">
        <f t="shared" ca="1" si="157"/>
        <v>0</v>
      </c>
      <c r="FT65" s="133">
        <f t="shared" ca="1" si="243"/>
        <v>0</v>
      </c>
      <c r="FU65" s="5">
        <f t="shared" ca="1" si="244"/>
        <v>0</v>
      </c>
      <c r="FV65" s="5">
        <f t="shared" ca="1" si="245"/>
        <v>0</v>
      </c>
      <c r="FW65" s="5">
        <f t="shared" ca="1" si="246"/>
        <v>0</v>
      </c>
      <c r="FX65" s="5">
        <f t="shared" ca="1" si="247"/>
        <v>0</v>
      </c>
      <c r="FY65" s="5">
        <f t="shared" ca="1" si="248"/>
        <v>0</v>
      </c>
      <c r="FZ65" s="178">
        <f t="shared" ca="1" si="164"/>
        <v>0</v>
      </c>
      <c r="GB65" s="133">
        <f t="shared" ca="1" si="249"/>
        <v>0</v>
      </c>
      <c r="GC65" s="5">
        <f t="shared" ca="1" si="250"/>
        <v>0</v>
      </c>
      <c r="GD65" s="5">
        <f t="shared" ca="1" si="251"/>
        <v>0</v>
      </c>
      <c r="GE65" s="5">
        <f t="shared" ca="1" si="252"/>
        <v>0</v>
      </c>
      <c r="GF65" s="5">
        <f t="shared" ca="1" si="253"/>
        <v>0</v>
      </c>
      <c r="GG65" s="5">
        <f t="shared" ca="1" si="254"/>
        <v>0</v>
      </c>
      <c r="GH65" s="150">
        <f t="shared" ca="1" si="171"/>
        <v>0</v>
      </c>
      <c r="GJ65" s="133">
        <f t="shared" ca="1" si="255"/>
        <v>0</v>
      </c>
      <c r="GK65" s="5">
        <f t="shared" ca="1" si="256"/>
        <v>0</v>
      </c>
      <c r="GL65" s="5">
        <f t="shared" ca="1" si="257"/>
        <v>0</v>
      </c>
      <c r="GM65" s="5">
        <f t="shared" ca="1" si="258"/>
        <v>0</v>
      </c>
      <c r="GN65" s="5">
        <f t="shared" ca="1" si="259"/>
        <v>0</v>
      </c>
      <c r="GO65" s="5">
        <f t="shared" ca="1" si="260"/>
        <v>0</v>
      </c>
      <c r="GP65" s="192">
        <f t="shared" ca="1" si="172"/>
        <v>0</v>
      </c>
      <c r="GR65" s="21"/>
      <c r="GS65" s="5"/>
      <c r="GT65" s="5"/>
      <c r="GU65" s="5"/>
      <c r="GV65" s="5"/>
      <c r="GW65" s="5"/>
      <c r="GX65" s="1105">
        <f t="shared" si="173"/>
        <v>0</v>
      </c>
      <c r="GZ65" s="575">
        <f t="shared" ca="1" si="174"/>
        <v>0</v>
      </c>
      <c r="HA65" s="5">
        <f t="shared" ca="1" si="175"/>
        <v>0</v>
      </c>
      <c r="HB65" s="5">
        <f t="shared" ca="1" si="176"/>
        <v>0</v>
      </c>
      <c r="HC65" s="5">
        <f t="shared" ca="1" si="177"/>
        <v>0</v>
      </c>
      <c r="HD65" s="5">
        <f t="shared" ca="1" si="178"/>
        <v>0</v>
      </c>
      <c r="HE65" s="5">
        <f t="shared" ca="1" si="179"/>
        <v>0</v>
      </c>
      <c r="HF65" s="2175">
        <f t="shared" ca="1" si="180"/>
        <v>0</v>
      </c>
      <c r="HG65" s="573">
        <f t="shared" ca="1" si="181"/>
        <v>0</v>
      </c>
      <c r="HH65" s="257"/>
    </row>
    <row r="66" spans="1:216" ht="15" hidden="1" customHeight="1" x14ac:dyDescent="0.25">
      <c r="A66" s="22"/>
      <c r="B66" s="3211"/>
      <c r="C66" s="57" t="str">
        <f>('DATA INPUT'!B54&amp;" "&amp;"-"&amp;" "&amp;'DATA INPUT'!H54)</f>
        <v xml:space="preserve"> - </v>
      </c>
      <c r="D66" s="21">
        <f ca="1">'Calc - OTHER PERS'!J53</f>
        <v>0</v>
      </c>
      <c r="E66" s="5">
        <f ca="1">'Calc - OTHER PERS'!J54</f>
        <v>0</v>
      </c>
      <c r="F66" s="5">
        <f ca="1">'Calc - OTHER PERS'!J55</f>
        <v>0</v>
      </c>
      <c r="G66" s="5">
        <f ca="1">'Calc - OTHER PERS'!J56</f>
        <v>0</v>
      </c>
      <c r="H66" s="21">
        <f ca="1">'Calc - OTHER PERS'!J57</f>
        <v>0</v>
      </c>
      <c r="I66" s="21">
        <f ca="1">'Calc - OTHER PERS'!J58</f>
        <v>0</v>
      </c>
      <c r="J66" s="12">
        <f t="shared" ca="1" si="202"/>
        <v>0</v>
      </c>
      <c r="K66" s="45"/>
      <c r="L66" s="4"/>
      <c r="M66" s="45"/>
      <c r="N66" s="133">
        <f ca="1">IF(AND((OFFSET('DATA INPUT'!$C$51, ROW()-ROW($N$63),0)=$N$10),
(OFFSET('DATA INPUT'!$V$51,ROW()-ROW($N$63),0)=3)),
OFFSET('Calc - OTHER PERS'!$Q$11,COLUMN()-COLUMN($N$63) + (ROW()-ROW($N$63))*14,0),0)</f>
        <v>0</v>
      </c>
      <c r="O66" s="5">
        <f ca="1">IF(AND((OFFSET('DATA INPUT'!$C$51, ROW()-ROW($N$63),0)=$N$10),
(OFFSET('DATA INPUT'!$V$51,ROW()-ROW($N$63),0)=3)),
OFFSET('Calc - OTHER PERS'!$Q$11,COLUMN()-COLUMN($N$63) + (ROW()-ROW($N$63))*14,0),0)</f>
        <v>0</v>
      </c>
      <c r="P66" s="5">
        <f ca="1">IF(AND((OFFSET('DATA INPUT'!$C$51, ROW()-ROW($N$63),0)=$N$10),
(OFFSET('DATA INPUT'!$V$51,ROW()-ROW($N$63),0)=3)),
OFFSET('Calc - OTHER PERS'!$Q$11,COLUMN()-COLUMN($N$63) + (ROW()-ROW($N$63))*14,0),0)</f>
        <v>0</v>
      </c>
      <c r="Q66" s="5">
        <f ca="1">IF(AND((OFFSET('DATA INPUT'!$C$51, ROW()-ROW($N$63),0)=$N$10),
(OFFSET('DATA INPUT'!$V$51,ROW()-ROW($N$63),0)=3)),
OFFSET('Calc - OTHER PERS'!$Q$11,COLUMN()-COLUMN($N$63) + (ROW()-ROW($N$63))*14,0),0)</f>
        <v>0</v>
      </c>
      <c r="R66" s="21">
        <f ca="1">IF(AND((OFFSET('DATA INPUT'!$C$51, ROW()-ROW($N$63),0)=$N$10),
(OFFSET('DATA INPUT'!$V$51,ROW()-ROW($N$63),0)=3)),
OFFSET('Calc - OTHER PERS'!$Q$11,COLUMN()-COLUMN($N$63) + (ROW()-ROW($N$63))*14,0),0)</f>
        <v>0</v>
      </c>
      <c r="S66" s="21">
        <f ca="1">IF(AND((OFFSET('DATA INPUT'!$C$51, ROW()-ROW($N$63),0)=$N$10),
(OFFSET('DATA INPUT'!$V$51,ROW()-ROW($N$63),0)=3)),
OFFSET('Calc - OTHER PERS'!$Q$11,COLUMN()-COLUMN($N$63) + (ROW()-ROW($N$63))*14,0),0)</f>
        <v>0</v>
      </c>
      <c r="T66" s="164">
        <f t="shared" ca="1" si="109"/>
        <v>0</v>
      </c>
      <c r="U66" s="1"/>
      <c r="V66" s="133">
        <f ca="1">IF(AND((OFFSET('DATA INPUT'!$C$51, ROW()-ROW($V$63),0)=$V$10),
(OFFSET('DATA INPUT'!$V$51,ROW()-ROW($V$63),0)=3)),
OFFSET('Calc - OTHER PERS'!$Q$11,COLUMN()-COLUMN($V$63) + (ROW()-ROW($V$63))*14,0),0)</f>
        <v>0</v>
      </c>
      <c r="W66" s="5">
        <f ca="1">IF(AND((OFFSET('DATA INPUT'!$C$51, ROW()-ROW($V$63),0)=$V$10),
(OFFSET('DATA INPUT'!$V$51,ROW()-ROW($V$63),0)=3)),
OFFSET('Calc - OTHER PERS'!$Q$11,COLUMN()-COLUMN($V$63) + (ROW()-ROW($V$63))*14,0),0)</f>
        <v>0</v>
      </c>
      <c r="X66" s="5">
        <f ca="1">IF(AND((OFFSET('DATA INPUT'!$C$51, ROW()-ROW($V$63),0)=$V$10),
(OFFSET('DATA INPUT'!$V$51,ROW()-ROW($V$63),0)=3)),
OFFSET('Calc - OTHER PERS'!$Q$11,COLUMN()-COLUMN($V$63) + (ROW()-ROW($V$63))*14,0),0)</f>
        <v>0</v>
      </c>
      <c r="Y66" s="5">
        <f ca="1">IF(AND((OFFSET('DATA INPUT'!$C$51, ROW()-ROW($V$63),0)=$V$10),
(OFFSET('DATA INPUT'!$V$51,ROW()-ROW($V$63),0)=3)),
OFFSET('Calc - OTHER PERS'!$Q$11,COLUMN()-COLUMN($V$63) + (ROW()-ROW($V$63))*14,0),0)</f>
        <v>0</v>
      </c>
      <c r="Z66" s="21">
        <f ca="1">IF(AND((OFFSET('DATA INPUT'!$C$51, ROW()-ROW($V$63),0)=$V$10),
(OFFSET('DATA INPUT'!$V$51,ROW()-ROW($V$63),0)=3)),
OFFSET('Calc - OTHER PERS'!$Q$11,COLUMN()-COLUMN($V$63) + (ROW()-ROW($V$63))*14,0),0)</f>
        <v>0</v>
      </c>
      <c r="AA66" s="2384">
        <f ca="1">IF(AND((OFFSET('DATA INPUT'!$C$51, ROW()-ROW($V$63),0)=$V$10),
(OFFSET('DATA INPUT'!$V$51,ROW()-ROW($V$63),0)=3)),
OFFSET('Calc - OTHER PERS'!$Q$11,COLUMN()-COLUMN($V$63) + (ROW()-ROW($V$63))*14,0),0)</f>
        <v>0</v>
      </c>
      <c r="AB66" s="2385">
        <f t="shared" ca="1" si="110"/>
        <v>0</v>
      </c>
      <c r="AD66" s="133">
        <f ca="1">IF(AND((OFFSET('DATA INPUT'!$C$51, ROW()-ROW($AD$63),0)=$AD$10),
(OFFSET('DATA INPUT'!$V$51,ROW()-ROW($AD$63),0)=3)),
OFFSET('Calc - OTHER PERS'!$Q$11,COLUMN()-COLUMN($AD$63) + (ROW()-ROW($AD$63))*14,0),0)</f>
        <v>0</v>
      </c>
      <c r="AE66" s="5">
        <f ca="1">IF(AND((OFFSET('DATA INPUT'!$C$51, ROW()-ROW($AD$63),0)=$AD$10),
(OFFSET('DATA INPUT'!$V$51,ROW()-ROW($AD$63),0)=3)),
OFFSET('Calc - OTHER PERS'!$Q$11,COLUMN()-COLUMN($AD$63) + (ROW()-ROW($AD$63))*14,0),0)</f>
        <v>0</v>
      </c>
      <c r="AF66" s="5">
        <f ca="1">IF(AND((OFFSET('DATA INPUT'!$C$51, ROW()-ROW($AD$63),0)=$AD$10),
(OFFSET('DATA INPUT'!$V$51,ROW()-ROW($AD$63),0)=3)),
OFFSET('Calc - OTHER PERS'!$Q$11,COLUMN()-COLUMN($AD$63) + (ROW()-ROW($AD$63))*14,0),0)</f>
        <v>0</v>
      </c>
      <c r="AG66" s="5">
        <f ca="1">IF(AND((OFFSET('DATA INPUT'!$C$51, ROW()-ROW($AD$63),0)=$AD$10),
(OFFSET('DATA INPUT'!$V$51,ROW()-ROW($AD$63),0)=3)),
OFFSET('Calc - OTHER PERS'!$Q$11,COLUMN()-COLUMN($AD$63) + (ROW()-ROW($AD$63))*14,0),0)</f>
        <v>0</v>
      </c>
      <c r="AH66" s="21">
        <f ca="1">IF(AND((OFFSET('DATA INPUT'!$C$51, ROW()-ROW($AD$63),0)=$AD$10),
(OFFSET('DATA INPUT'!$V$51,ROW()-ROW($AD$63),0)=3)),
OFFSET('Calc - OTHER PERS'!$Q$11,COLUMN()-COLUMN($AD$63) + (ROW()-ROW($AD$63))*14,0),0)</f>
        <v>0</v>
      </c>
      <c r="AI66" s="2384">
        <f ca="1">IF(AND((OFFSET('DATA INPUT'!$C$51, ROW()-ROW($AD$63),0)=$AD$10),
(OFFSET('DATA INPUT'!$V$51,ROW()-ROW($AD$63),0)=3)),
OFFSET('Calc - OTHER PERS'!$Q$11,COLUMN()-COLUMN($AD$63) + (ROW()-ROW($AD$63))*14,0),0)</f>
        <v>0</v>
      </c>
      <c r="AJ66" s="206">
        <f t="shared" ca="1" si="111"/>
        <v>0</v>
      </c>
      <c r="AL66" s="133">
        <f ca="1">IF(AND((OFFSET('DATA INPUT'!$C$51, ROW()-ROW($AL$63),0)=$AL$10),
(OFFSET('DATA INPUT'!$V$51,ROW()-ROW($AL$63),0)=3)),
OFFSET('Calc - OTHER PERS'!$Q$11,COLUMN()-COLUMN($AL$63) + (ROW()-ROW($AL$63))*14,0),0)</f>
        <v>0</v>
      </c>
      <c r="AM66" s="5">
        <f ca="1">IF(AND((OFFSET('DATA INPUT'!$C$51, ROW()-ROW($AL$63),0)=$AL$10),
(OFFSET('DATA INPUT'!$V$51,ROW()-ROW($AL$63),0)=3)),
OFFSET('Calc - OTHER PERS'!$Q$11,COLUMN()-COLUMN($AL$63) + (ROW()-ROW($AL$63))*14,0),0)</f>
        <v>0</v>
      </c>
      <c r="AN66" s="5">
        <f ca="1">IF(AND((OFFSET('DATA INPUT'!$C$51, ROW()-ROW($AL$63),0)=$AL$10),
(OFFSET('DATA INPUT'!$V$51,ROW()-ROW($AL$63),0)=3)),
OFFSET('Calc - OTHER PERS'!$Q$11,COLUMN()-COLUMN($AL$63) + (ROW()-ROW($AL$63))*14,0),0)</f>
        <v>0</v>
      </c>
      <c r="AO66" s="5">
        <f ca="1">IF(AND((OFFSET('DATA INPUT'!$C$51, ROW()-ROW($AL$63),0)=$AL$10),
(OFFSET('DATA INPUT'!$V$51,ROW()-ROW($AL$63),0)=3)),
OFFSET('Calc - OTHER PERS'!$Q$11,COLUMN()-COLUMN($AL$63) + (ROW()-ROW($AL$63))*14,0),0)</f>
        <v>0</v>
      </c>
      <c r="AP66" s="21">
        <f ca="1">IF(AND((OFFSET('DATA INPUT'!$C$51, ROW()-ROW($AL$63),0)=$AL$10),
(OFFSET('DATA INPUT'!$V$51,ROW()-ROW($AL$63),0)=3)),
OFFSET('Calc - OTHER PERS'!$Q$11,COLUMN()-COLUMN($AL$63) + (ROW()-ROW($AL$63))*14,0),0)</f>
        <v>0</v>
      </c>
      <c r="AQ66" s="21">
        <f ca="1">IF(AND((OFFSET('DATA INPUT'!$C$51, ROW()-ROW($AL$63),0)=$AL$10),
(OFFSET('DATA INPUT'!$V$51,ROW()-ROW($AL$63),0)=3)),
OFFSET('Calc - OTHER PERS'!$Q$11,COLUMN()-COLUMN($AL$63) + (ROW()-ROW($AL$63))*14,0),0)</f>
        <v>0</v>
      </c>
      <c r="AR66" s="178">
        <f t="shared" ca="1" si="112"/>
        <v>0</v>
      </c>
      <c r="AT66" s="133">
        <f ca="1">IF(AND((OFFSET('DATA INPUT'!$C$51, ROW()-ROW($AT$63),0)=$AT$10),
(OFFSET('DATA INPUT'!$V$51,ROW()-ROW($AT$63),0)=3)),
OFFSET('Calc - OTHER PERS'!$Q$11,COLUMN()-COLUMN($AT$63) + (ROW()-ROW($AT$63))*14,0),0)</f>
        <v>0</v>
      </c>
      <c r="AU66" s="5">
        <f ca="1">IF(AND((OFFSET('DATA INPUT'!$C$51, ROW()-ROW($AT$63),0)=$AT$10),
(OFFSET('DATA INPUT'!$V$51,ROW()-ROW($AT$63),0)=3)),
OFFSET('Calc - OTHER PERS'!$Q$11,COLUMN()-COLUMN($AT$63) + (ROW()-ROW($AT$63))*14,0),0)</f>
        <v>0</v>
      </c>
      <c r="AV66" s="5">
        <f ca="1">IF(AND((OFFSET('DATA INPUT'!$C$51, ROW()-ROW($AT$63),0)=$AT$10),
(OFFSET('DATA INPUT'!$V$51,ROW()-ROW($AT$63),0)=3)),
OFFSET('Calc - OTHER PERS'!$Q$11,COLUMN()-COLUMN($AT$63) + (ROW()-ROW($AT$63))*14,0),0)</f>
        <v>0</v>
      </c>
      <c r="AW66" s="5">
        <f ca="1">IF(AND((OFFSET('DATA INPUT'!$C$51, ROW()-ROW($AT$63),0)=$AT$10),
(OFFSET('DATA INPUT'!$V$51,ROW()-ROW($AT$63),0)=3)),
OFFSET('Calc - OTHER PERS'!$Q$11,COLUMN()-COLUMN($AT$63) + (ROW()-ROW($AT$63))*14,0),0)</f>
        <v>0</v>
      </c>
      <c r="AX66" s="21">
        <f ca="1">IF(AND((OFFSET('DATA INPUT'!$C$51, ROW()-ROW($AT$63),0)=$AT$10),
(OFFSET('DATA INPUT'!$V$51,ROW()-ROW($AT$63),0)=3)),
OFFSET('Calc - OTHER PERS'!$Q$11,COLUMN()-COLUMN($AT$63) + (ROW()-ROW($AT$63))*14,0),0)</f>
        <v>0</v>
      </c>
      <c r="AY66" s="21">
        <f ca="1">IF(AND((OFFSET('DATA INPUT'!$C$51, ROW()-ROW($AT$63),0)=$AT$10),
(OFFSET('DATA INPUT'!$V$51,ROW()-ROW($AT$63),0)=3)),
OFFSET('Calc - OTHER PERS'!$Q$11,COLUMN()-COLUMN($AT$63) + (ROW()-ROW($AT$63))*14,0),0)</f>
        <v>0</v>
      </c>
      <c r="AZ66" s="150">
        <f t="shared" ca="1" si="113"/>
        <v>0</v>
      </c>
      <c r="BB66" s="133">
        <f ca="1">IF(AND((OFFSET('DATA INPUT'!$C$51, ROW()-ROW($BB$63),0)=$BB$10),
(OFFSET('DATA INPUT'!$V$51,ROW()-ROW($BB$63),0)=3)),
OFFSET('Calc - OTHER PERS'!$Q$11,COLUMN()-COLUMN($BB$63) + (ROW()-ROW($BB$63))*14,0),0)</f>
        <v>0</v>
      </c>
      <c r="BC66" s="5">
        <f ca="1">IF(AND((OFFSET('DATA INPUT'!$C$51, ROW()-ROW($BB$63),0)=$BB$10),
(OFFSET('DATA INPUT'!$V$51,ROW()-ROW($BB$63),0)=3)),
OFFSET('Calc - OTHER PERS'!$Q$11,COLUMN()-COLUMN($BB$63) + (ROW()-ROW($BB$63))*14,0),0)</f>
        <v>0</v>
      </c>
      <c r="BD66" s="5">
        <f ca="1">IF(AND((OFFSET('DATA INPUT'!$C$51, ROW()-ROW($BB$63),0)=$BB$10),
(OFFSET('DATA INPUT'!$V$51,ROW()-ROW($BB$63),0)=3)),
OFFSET('Calc - OTHER PERS'!$Q$11,COLUMN()-COLUMN($BB$63) + (ROW()-ROW($BB$63))*14,0),0)</f>
        <v>0</v>
      </c>
      <c r="BE66" s="5">
        <f ca="1">IF(AND((OFFSET('DATA INPUT'!$C$51, ROW()-ROW($BB$63),0)=$BB$10),
(OFFSET('DATA INPUT'!$V$51,ROW()-ROW($BB$63),0)=3)),
OFFSET('Calc - OTHER PERS'!$Q$11,COLUMN()-COLUMN($BB$63) + (ROW()-ROW($BB$63))*14,0),0)</f>
        <v>0</v>
      </c>
      <c r="BF66" s="21">
        <f ca="1">IF(AND((OFFSET('DATA INPUT'!$C$51, ROW()-ROW($BB$63),0)=$BB$10),
(OFFSET('DATA INPUT'!$V$51,ROW()-ROW($BB$63),0)=3)),
OFFSET('Calc - OTHER PERS'!$Q$11,COLUMN()-COLUMN($BB$63) + (ROW()-ROW($BB$63))*14,0),0)</f>
        <v>0</v>
      </c>
      <c r="BG66" s="21">
        <f ca="1">IF(AND((OFFSET('DATA INPUT'!$C$51, ROW()-ROW($BB$63),0)=$BB$10),
(OFFSET('DATA INPUT'!$V$51,ROW()-ROW($BB$63),0)=3)),
OFFSET('Calc - OTHER PERS'!$Q$11,COLUMN()-COLUMN($BB$63) + (ROW()-ROW($BB$63))*14,0),0)</f>
        <v>0</v>
      </c>
      <c r="BH66" s="192">
        <f t="shared" ca="1" si="114"/>
        <v>0</v>
      </c>
      <c r="BJ66" s="21"/>
      <c r="BK66" s="5"/>
      <c r="BL66" s="5"/>
      <c r="BM66" s="5"/>
      <c r="BN66" s="21"/>
      <c r="BO66" s="21"/>
      <c r="BP66" s="1105">
        <f t="shared" si="115"/>
        <v>0</v>
      </c>
      <c r="BR66" s="575">
        <f t="shared" ca="1" si="116"/>
        <v>0</v>
      </c>
      <c r="BS66" s="5">
        <f t="shared" ca="1" si="117"/>
        <v>0</v>
      </c>
      <c r="BT66" s="5">
        <f t="shared" ca="1" si="118"/>
        <v>0</v>
      </c>
      <c r="BU66" s="5">
        <f t="shared" ca="1" si="119"/>
        <v>0</v>
      </c>
      <c r="BV66" s="5">
        <f t="shared" ca="1" si="120"/>
        <v>0</v>
      </c>
      <c r="BW66" s="5">
        <f t="shared" ca="1" si="121"/>
        <v>0</v>
      </c>
      <c r="BX66" s="2175">
        <f t="shared" ca="1" si="122"/>
        <v>0</v>
      </c>
      <c r="BY66" s="573">
        <f t="shared" ca="1" si="123"/>
        <v>0</v>
      </c>
      <c r="BZ66" s="257"/>
      <c r="CB66" s="1182">
        <f t="shared" ca="1" si="203"/>
        <v>0</v>
      </c>
      <c r="CC66" s="387">
        <f t="shared" ca="1" si="204"/>
        <v>0</v>
      </c>
      <c r="CD66" s="56">
        <f t="shared" ca="1" si="204"/>
        <v>0</v>
      </c>
      <c r="CE66" s="56">
        <f t="shared" ca="1" si="205"/>
        <v>0</v>
      </c>
      <c r="CF66" s="56">
        <f t="shared" ca="1" si="206"/>
        <v>0</v>
      </c>
      <c r="CG66" s="1183">
        <f t="shared" ca="1" si="207"/>
        <v>0</v>
      </c>
      <c r="CH66" s="1184">
        <f t="shared" ca="1" si="208"/>
        <v>0</v>
      </c>
      <c r="CI66" s="1193">
        <f t="shared" ca="1" si="208"/>
        <v>0</v>
      </c>
      <c r="CJ66" s="1193">
        <f t="shared" ca="1" si="209"/>
        <v>0</v>
      </c>
      <c r="CK66" s="1193">
        <f t="shared" ca="1" si="210"/>
        <v>0</v>
      </c>
      <c r="CL66" s="1235">
        <f t="shared" ca="1" si="211"/>
        <v>0</v>
      </c>
      <c r="CM66" s="1195">
        <f t="shared" ca="1" si="212"/>
        <v>0</v>
      </c>
      <c r="CN66" s="1188">
        <f t="shared" ca="1" si="212"/>
        <v>0</v>
      </c>
      <c r="CO66" s="1189">
        <f t="shared" ca="1" si="213"/>
        <v>0</v>
      </c>
      <c r="CP66" s="1234">
        <f t="shared" ca="1" si="124"/>
        <v>0</v>
      </c>
      <c r="CS66" s="575"/>
      <c r="CT66" s="5"/>
      <c r="CU66" s="1180"/>
      <c r="CV66" s="575"/>
      <c r="CW66" s="5"/>
      <c r="CX66" s="1180"/>
      <c r="CY66" s="575"/>
      <c r="CZ66" s="5"/>
      <c r="DA66" s="1180"/>
      <c r="DB66" s="575"/>
      <c r="DC66" s="5"/>
      <c r="DD66" s="1180"/>
      <c r="DE66" s="1181">
        <f t="shared" si="214"/>
        <v>0</v>
      </c>
      <c r="DG66" s="575"/>
      <c r="DH66" s="5"/>
      <c r="DI66" s="1180"/>
      <c r="DJ66" s="575"/>
      <c r="DK66" s="5"/>
      <c r="DL66" s="1180"/>
      <c r="DM66" s="575"/>
      <c r="DN66" s="5"/>
      <c r="DO66" s="1180"/>
      <c r="DP66" s="575"/>
      <c r="DQ66" s="5"/>
      <c r="DR66" s="1180"/>
      <c r="DS66" s="1181">
        <f t="shared" si="215"/>
        <v>0</v>
      </c>
      <c r="DU66" s="575"/>
      <c r="DV66" s="5"/>
      <c r="DW66" s="1180"/>
      <c r="DX66" s="575"/>
      <c r="DY66" s="5"/>
      <c r="DZ66" s="1180"/>
      <c r="EA66" s="575"/>
      <c r="EB66" s="5"/>
      <c r="EC66" s="1180"/>
      <c r="ED66" s="575"/>
      <c r="EE66" s="5"/>
      <c r="EF66" s="1180"/>
      <c r="EG66" s="1181">
        <f t="shared" si="216"/>
        <v>0</v>
      </c>
      <c r="EI66" s="22"/>
      <c r="EJ66" s="3211"/>
      <c r="EK66" s="422" t="str">
        <f t="shared" si="217"/>
        <v xml:space="preserve"> - </v>
      </c>
      <c r="EL66" s="409">
        <f t="shared" ca="1" si="218"/>
        <v>0</v>
      </c>
      <c r="EM66" s="409">
        <f t="shared" ca="1" si="219"/>
        <v>0</v>
      </c>
      <c r="EN66" s="409">
        <f t="shared" ca="1" si="220"/>
        <v>0</v>
      </c>
      <c r="EO66" s="409">
        <f t="shared" ca="1" si="221"/>
        <v>0</v>
      </c>
      <c r="EP66" s="409">
        <f t="shared" ca="1" si="222"/>
        <v>0</v>
      </c>
      <c r="EQ66" s="409">
        <f t="shared" ca="1" si="223"/>
        <v>0</v>
      </c>
      <c r="ER66" s="12">
        <f t="shared" ca="1" si="224"/>
        <v>0</v>
      </c>
      <c r="ES66" s="45"/>
      <c r="ET66" s="4"/>
      <c r="EU66" s="45"/>
      <c r="EV66" s="133">
        <f t="shared" ca="1" si="225"/>
        <v>0</v>
      </c>
      <c r="EW66" s="5">
        <f t="shared" ca="1" si="226"/>
        <v>0</v>
      </c>
      <c r="EX66" s="5">
        <f t="shared" ca="1" si="227"/>
        <v>0</v>
      </c>
      <c r="EY66" s="5">
        <f t="shared" ca="1" si="228"/>
        <v>0</v>
      </c>
      <c r="EZ66" s="21">
        <f t="shared" ca="1" si="229"/>
        <v>0</v>
      </c>
      <c r="FA66" s="21">
        <f t="shared" ca="1" si="230"/>
        <v>0</v>
      </c>
      <c r="FB66" s="164">
        <f t="shared" ca="1" si="143"/>
        <v>0</v>
      </c>
      <c r="FC66" s="1"/>
      <c r="FD66" s="133">
        <f t="shared" ca="1" si="231"/>
        <v>0</v>
      </c>
      <c r="FE66" s="5">
        <f t="shared" ca="1" si="232"/>
        <v>0</v>
      </c>
      <c r="FF66" s="5">
        <f t="shared" ca="1" si="233"/>
        <v>0</v>
      </c>
      <c r="FG66" s="5">
        <f t="shared" ca="1" si="234"/>
        <v>0</v>
      </c>
      <c r="FH66" s="21">
        <f t="shared" ca="1" si="235"/>
        <v>0</v>
      </c>
      <c r="FI66" s="2384">
        <f t="shared" ca="1" si="236"/>
        <v>0</v>
      </c>
      <c r="FJ66" s="2385">
        <f t="shared" ca="1" si="150"/>
        <v>0</v>
      </c>
      <c r="FL66" s="133">
        <f t="shared" ca="1" si="237"/>
        <v>0</v>
      </c>
      <c r="FM66" s="5">
        <f t="shared" ca="1" si="238"/>
        <v>0</v>
      </c>
      <c r="FN66" s="5">
        <f t="shared" ca="1" si="239"/>
        <v>0</v>
      </c>
      <c r="FO66" s="5">
        <f t="shared" ca="1" si="240"/>
        <v>0</v>
      </c>
      <c r="FP66" s="21">
        <f t="shared" ca="1" si="241"/>
        <v>0</v>
      </c>
      <c r="FQ66" s="2384">
        <f t="shared" ca="1" si="242"/>
        <v>0</v>
      </c>
      <c r="FR66" s="206">
        <f t="shared" ca="1" si="157"/>
        <v>0</v>
      </c>
      <c r="FT66" s="133">
        <f t="shared" ca="1" si="243"/>
        <v>0</v>
      </c>
      <c r="FU66" s="5">
        <f t="shared" ca="1" si="244"/>
        <v>0</v>
      </c>
      <c r="FV66" s="5">
        <f t="shared" ca="1" si="245"/>
        <v>0</v>
      </c>
      <c r="FW66" s="5">
        <f t="shared" ca="1" si="246"/>
        <v>0</v>
      </c>
      <c r="FX66" s="21">
        <f t="shared" ca="1" si="247"/>
        <v>0</v>
      </c>
      <c r="FY66" s="21">
        <f t="shared" ca="1" si="248"/>
        <v>0</v>
      </c>
      <c r="FZ66" s="178">
        <f t="shared" ca="1" si="164"/>
        <v>0</v>
      </c>
      <c r="GB66" s="133">
        <f t="shared" ca="1" si="249"/>
        <v>0</v>
      </c>
      <c r="GC66" s="5">
        <f t="shared" ca="1" si="250"/>
        <v>0</v>
      </c>
      <c r="GD66" s="5">
        <f t="shared" ca="1" si="251"/>
        <v>0</v>
      </c>
      <c r="GE66" s="5">
        <f t="shared" ca="1" si="252"/>
        <v>0</v>
      </c>
      <c r="GF66" s="21">
        <f t="shared" ca="1" si="253"/>
        <v>0</v>
      </c>
      <c r="GG66" s="21">
        <f t="shared" ca="1" si="254"/>
        <v>0</v>
      </c>
      <c r="GH66" s="150">
        <f t="shared" ca="1" si="171"/>
        <v>0</v>
      </c>
      <c r="GJ66" s="133">
        <f t="shared" ca="1" si="255"/>
        <v>0</v>
      </c>
      <c r="GK66" s="5">
        <f t="shared" ca="1" si="256"/>
        <v>0</v>
      </c>
      <c r="GL66" s="5">
        <f t="shared" ca="1" si="257"/>
        <v>0</v>
      </c>
      <c r="GM66" s="5">
        <f t="shared" ca="1" si="258"/>
        <v>0</v>
      </c>
      <c r="GN66" s="21">
        <f t="shared" ca="1" si="259"/>
        <v>0</v>
      </c>
      <c r="GO66" s="21">
        <f t="shared" ca="1" si="260"/>
        <v>0</v>
      </c>
      <c r="GP66" s="192">
        <f t="shared" ca="1" si="172"/>
        <v>0</v>
      </c>
      <c r="GR66" s="21"/>
      <c r="GS66" s="5"/>
      <c r="GT66" s="5"/>
      <c r="GU66" s="5"/>
      <c r="GV66" s="21"/>
      <c r="GW66" s="21"/>
      <c r="GX66" s="1105">
        <f t="shared" si="173"/>
        <v>0</v>
      </c>
      <c r="GZ66" s="575">
        <f t="shared" ca="1" si="174"/>
        <v>0</v>
      </c>
      <c r="HA66" s="5">
        <f t="shared" ca="1" si="175"/>
        <v>0</v>
      </c>
      <c r="HB66" s="5">
        <f t="shared" ca="1" si="176"/>
        <v>0</v>
      </c>
      <c r="HC66" s="5">
        <f t="shared" ca="1" si="177"/>
        <v>0</v>
      </c>
      <c r="HD66" s="5">
        <f t="shared" ca="1" si="178"/>
        <v>0</v>
      </c>
      <c r="HE66" s="5">
        <f t="shared" ca="1" si="179"/>
        <v>0</v>
      </c>
      <c r="HF66" s="2175">
        <f t="shared" ca="1" si="180"/>
        <v>0</v>
      </c>
      <c r="HG66" s="573">
        <f t="shared" ca="1" si="181"/>
        <v>0</v>
      </c>
      <c r="HH66" s="257"/>
    </row>
    <row r="67" spans="1:216" ht="15" hidden="1" customHeight="1" x14ac:dyDescent="0.25">
      <c r="A67" s="22"/>
      <c r="B67" s="3211"/>
      <c r="C67" s="123" t="str">
        <f>('DATA INPUT'!B55&amp;" "&amp;"-"&amp;" "&amp;'DATA INPUT'!H55)</f>
        <v xml:space="preserve"> - </v>
      </c>
      <c r="D67" s="409">
        <f ca="1">'Calc - OTHER PERS'!J67</f>
        <v>0</v>
      </c>
      <c r="E67" s="41">
        <f ca="1">'Calc - OTHER PERS'!J68</f>
        <v>0</v>
      </c>
      <c r="F67" s="409">
        <f ca="1">'Calc - OTHER PERS'!J69</f>
        <v>0</v>
      </c>
      <c r="G67" s="41">
        <f ca="1">'Calc - OTHER PERS'!J70</f>
        <v>0</v>
      </c>
      <c r="H67" s="409">
        <f ca="1">'Calc - OTHER PERS'!J71</f>
        <v>0</v>
      </c>
      <c r="I67" s="41">
        <f ca="1">'Calc - OTHER PERS'!J72</f>
        <v>0</v>
      </c>
      <c r="J67" s="345">
        <f t="shared" ca="1" si="202"/>
        <v>0</v>
      </c>
      <c r="K67" s="4"/>
      <c r="L67" s="45"/>
      <c r="M67" s="4"/>
      <c r="N67" s="133">
        <f ca="1">IF(AND((OFFSET('DATA INPUT'!$C$51, ROW()-ROW($N$63),0)=$N$10),
(OFFSET('DATA INPUT'!$V$51,ROW()-ROW($N$63),0)=3)),
OFFSET('Calc - OTHER PERS'!$Q$11,COLUMN()-COLUMN($N$63) + (ROW()-ROW($N$63))*14,0),0)</f>
        <v>0</v>
      </c>
      <c r="O67" s="5">
        <f ca="1">IF(AND((OFFSET('DATA INPUT'!$C$51, ROW()-ROW($N$63),0)=$N$10),
(OFFSET('DATA INPUT'!$V$51,ROW()-ROW($N$63),0)=3)),
OFFSET('Calc - OTHER PERS'!$Q$11,COLUMN()-COLUMN($N$63) + (ROW()-ROW($N$63))*14,0),0)</f>
        <v>0</v>
      </c>
      <c r="P67" s="5">
        <f ca="1">IF(AND((OFFSET('DATA INPUT'!$C$51, ROW()-ROW($N$63),0)=$N$10),
(OFFSET('DATA INPUT'!$V$51,ROW()-ROW($N$63),0)=3)),
OFFSET('Calc - OTHER PERS'!$Q$11,COLUMN()-COLUMN($N$63) + (ROW()-ROW($N$63))*14,0),0)</f>
        <v>0</v>
      </c>
      <c r="Q67" s="5">
        <f ca="1">IF(AND((OFFSET('DATA INPUT'!$C$51, ROW()-ROW($N$63),0)=$N$10),
(OFFSET('DATA INPUT'!$V$51,ROW()-ROW($N$63),0)=3)),
OFFSET('Calc - OTHER PERS'!$Q$11,COLUMN()-COLUMN($N$63) + (ROW()-ROW($N$63))*14,0),0)</f>
        <v>0</v>
      </c>
      <c r="R67" s="5">
        <f ca="1">IF(AND((OFFSET('DATA INPUT'!$C$51, ROW()-ROW($N$63),0)=$N$10),
(OFFSET('DATA INPUT'!$V$51,ROW()-ROW($N$63),0)=3)),
OFFSET('Calc - OTHER PERS'!$Q$11,COLUMN()-COLUMN($N$63) + (ROW()-ROW($N$63))*14,0),0)</f>
        <v>0</v>
      </c>
      <c r="S67" s="5">
        <f ca="1">IF(AND((OFFSET('DATA INPUT'!$C$51, ROW()-ROW($N$63),0)=$N$10),
(OFFSET('DATA INPUT'!$V$51,ROW()-ROW($N$63),0)=3)),
OFFSET('Calc - OTHER PERS'!$Q$11,COLUMN()-COLUMN($N$63) + (ROW()-ROW($N$63))*14,0),0)</f>
        <v>0</v>
      </c>
      <c r="T67" s="164">
        <f t="shared" ca="1" si="109"/>
        <v>0</v>
      </c>
      <c r="V67" s="133">
        <f ca="1">IF(AND((OFFSET('DATA INPUT'!$C$51, ROW()-ROW($V$63),0)=$V$10),
(OFFSET('DATA INPUT'!$V$51,ROW()-ROW($V$63),0)=3)),
OFFSET('Calc - OTHER PERS'!$Q$11,COLUMN()-COLUMN($V$63) + (ROW()-ROW($V$63))*14,0),0)</f>
        <v>0</v>
      </c>
      <c r="W67" s="5">
        <f ca="1">IF(AND((OFFSET('DATA INPUT'!$C$51, ROW()-ROW($V$63),0)=$V$10),
(OFFSET('DATA INPUT'!$V$51,ROW()-ROW($V$63),0)=3)),
OFFSET('Calc - OTHER PERS'!$Q$11,COLUMN()-COLUMN($V$63) + (ROW()-ROW($V$63))*14,0),0)</f>
        <v>0</v>
      </c>
      <c r="X67" s="5">
        <f ca="1">IF(AND((OFFSET('DATA INPUT'!$C$51, ROW()-ROW($V$63),0)=$V$10),
(OFFSET('DATA INPUT'!$V$51,ROW()-ROW($V$63),0)=3)),
OFFSET('Calc - OTHER PERS'!$Q$11,COLUMN()-COLUMN($V$63) + (ROW()-ROW($V$63))*14,0),0)</f>
        <v>0</v>
      </c>
      <c r="Y67" s="5">
        <f ca="1">IF(AND((OFFSET('DATA INPUT'!$C$51, ROW()-ROW($V$63),0)=$V$10),
(OFFSET('DATA INPUT'!$V$51,ROW()-ROW($V$63),0)=3)),
OFFSET('Calc - OTHER PERS'!$Q$11,COLUMN()-COLUMN($V$63) + (ROW()-ROW($V$63))*14,0),0)</f>
        <v>0</v>
      </c>
      <c r="Z67" s="5">
        <f ca="1">IF(AND((OFFSET('DATA INPUT'!$C$51, ROW()-ROW($V$63),0)=$V$10),
(OFFSET('DATA INPUT'!$V$51,ROW()-ROW($V$63),0)=3)),
OFFSET('Calc - OTHER PERS'!$Q$11,COLUMN()-COLUMN($V$63) + (ROW()-ROW($V$63))*14,0),0)</f>
        <v>0</v>
      </c>
      <c r="AA67" s="1180">
        <f ca="1">IF(AND((OFFSET('DATA INPUT'!$C$51, ROW()-ROW($V$63),0)=$V$10),
(OFFSET('DATA INPUT'!$V$51,ROW()-ROW($V$63),0)=3)),
OFFSET('Calc - OTHER PERS'!$Q$11,COLUMN()-COLUMN($V$63) + (ROW()-ROW($V$63))*14,0),0)</f>
        <v>0</v>
      </c>
      <c r="AB67" s="2385">
        <f t="shared" ca="1" si="110"/>
        <v>0</v>
      </c>
      <c r="AD67" s="133">
        <f ca="1">IF(AND((OFFSET('DATA INPUT'!$C$51, ROW()-ROW($AD$63),0)=$AD$10),
(OFFSET('DATA INPUT'!$V$51,ROW()-ROW($AD$63),0)=3)),
OFFSET('Calc - OTHER PERS'!$Q$11,COLUMN()-COLUMN($AD$63) + (ROW()-ROW($AD$63))*14,0),0)</f>
        <v>0</v>
      </c>
      <c r="AE67" s="5">
        <f ca="1">IF(AND((OFFSET('DATA INPUT'!$C$51, ROW()-ROW($AD$63),0)=$AD$10),
(OFFSET('DATA INPUT'!$V$51,ROW()-ROW($AD$63),0)=3)),
OFFSET('Calc - OTHER PERS'!$Q$11,COLUMN()-COLUMN($AD$63) + (ROW()-ROW($AD$63))*14,0),0)</f>
        <v>0</v>
      </c>
      <c r="AF67" s="5">
        <f ca="1">IF(AND((OFFSET('DATA INPUT'!$C$51, ROW()-ROW($AD$63),0)=$AD$10),
(OFFSET('DATA INPUT'!$V$51,ROW()-ROW($AD$63),0)=3)),
OFFSET('Calc - OTHER PERS'!$Q$11,COLUMN()-COLUMN($AD$63) + (ROW()-ROW($AD$63))*14,0),0)</f>
        <v>0</v>
      </c>
      <c r="AG67" s="5">
        <f ca="1">IF(AND((OFFSET('DATA INPUT'!$C$51, ROW()-ROW($AD$63),0)=$AD$10),
(OFFSET('DATA INPUT'!$V$51,ROW()-ROW($AD$63),0)=3)),
OFFSET('Calc - OTHER PERS'!$Q$11,COLUMN()-COLUMN($AD$63) + (ROW()-ROW($AD$63))*14,0),0)</f>
        <v>0</v>
      </c>
      <c r="AH67" s="5">
        <f ca="1">IF(AND((OFFSET('DATA INPUT'!$C$51, ROW()-ROW($AD$63),0)=$AD$10),
(OFFSET('DATA INPUT'!$V$51,ROW()-ROW($AD$63),0)=3)),
OFFSET('Calc - OTHER PERS'!$Q$11,COLUMN()-COLUMN($AD$63) + (ROW()-ROW($AD$63))*14,0),0)</f>
        <v>0</v>
      </c>
      <c r="AI67" s="1180">
        <f ca="1">IF(AND((OFFSET('DATA INPUT'!$C$51, ROW()-ROW($AD$63),0)=$AD$10),
(OFFSET('DATA INPUT'!$V$51,ROW()-ROW($AD$63),0)=3)),
OFFSET('Calc - OTHER PERS'!$Q$11,COLUMN()-COLUMN($AD$63) + (ROW()-ROW($AD$63))*14,0),0)</f>
        <v>0</v>
      </c>
      <c r="AJ67" s="206">
        <f t="shared" ca="1" si="111"/>
        <v>0</v>
      </c>
      <c r="AL67" s="133">
        <f ca="1">IF(AND((OFFSET('DATA INPUT'!$C$51, ROW()-ROW($AL$63),0)=$AL$10),
(OFFSET('DATA INPUT'!$V$51,ROW()-ROW($AL$63),0)=3)),
OFFSET('Calc - OTHER PERS'!$Q$11,COLUMN()-COLUMN($AL$63) + (ROW()-ROW($AL$63))*14,0),0)</f>
        <v>0</v>
      </c>
      <c r="AM67" s="5">
        <f ca="1">IF(AND((OFFSET('DATA INPUT'!$C$51, ROW()-ROW($AL$63),0)=$AL$10),
(OFFSET('DATA INPUT'!$V$51,ROW()-ROW($AL$63),0)=3)),
OFFSET('Calc - OTHER PERS'!$Q$11,COLUMN()-COLUMN($AL$63) + (ROW()-ROW($AL$63))*14,0),0)</f>
        <v>0</v>
      </c>
      <c r="AN67" s="5">
        <f ca="1">IF(AND((OFFSET('DATA INPUT'!$C$51, ROW()-ROW($AL$63),0)=$AL$10),
(OFFSET('DATA INPUT'!$V$51,ROW()-ROW($AL$63),0)=3)),
OFFSET('Calc - OTHER PERS'!$Q$11,COLUMN()-COLUMN($AL$63) + (ROW()-ROW($AL$63))*14,0),0)</f>
        <v>0</v>
      </c>
      <c r="AO67" s="5">
        <f ca="1">IF(AND((OFFSET('DATA INPUT'!$C$51, ROW()-ROW($AL$63),0)=$AL$10),
(OFFSET('DATA INPUT'!$V$51,ROW()-ROW($AL$63),0)=3)),
OFFSET('Calc - OTHER PERS'!$Q$11,COLUMN()-COLUMN($AL$63) + (ROW()-ROW($AL$63))*14,0),0)</f>
        <v>0</v>
      </c>
      <c r="AP67" s="5">
        <f ca="1">IF(AND((OFFSET('DATA INPUT'!$C$51, ROW()-ROW($AL$63),0)=$AL$10),
(OFFSET('DATA INPUT'!$V$51,ROW()-ROW($AL$63),0)=3)),
OFFSET('Calc - OTHER PERS'!$Q$11,COLUMN()-COLUMN($AL$63) + (ROW()-ROW($AL$63))*14,0),0)</f>
        <v>0</v>
      </c>
      <c r="AQ67" s="5">
        <f ca="1">IF(AND((OFFSET('DATA INPUT'!$C$51, ROW()-ROW($AL$63),0)=$AL$10),
(OFFSET('DATA INPUT'!$V$51,ROW()-ROW($AL$63),0)=3)),
OFFSET('Calc - OTHER PERS'!$Q$11,COLUMN()-COLUMN($AL$63) + (ROW()-ROW($AL$63))*14,0),0)</f>
        <v>0</v>
      </c>
      <c r="AR67" s="178">
        <f t="shared" ca="1" si="112"/>
        <v>0</v>
      </c>
      <c r="AT67" s="133">
        <f ca="1">IF(AND((OFFSET('DATA INPUT'!$C$51, ROW()-ROW($AT$63),0)=$AT$10),
(OFFSET('DATA INPUT'!$V$51,ROW()-ROW($AT$63),0)=3)),
OFFSET('Calc - OTHER PERS'!$Q$11,COLUMN()-COLUMN($AT$63) + (ROW()-ROW($AT$63))*14,0),0)</f>
        <v>0</v>
      </c>
      <c r="AU67" s="5">
        <f ca="1">IF(AND((OFFSET('DATA INPUT'!$C$51, ROW()-ROW($AT$63),0)=$AT$10),
(OFFSET('DATA INPUT'!$V$51,ROW()-ROW($AT$63),0)=3)),
OFFSET('Calc - OTHER PERS'!$Q$11,COLUMN()-COLUMN($AT$63) + (ROW()-ROW($AT$63))*14,0),0)</f>
        <v>0</v>
      </c>
      <c r="AV67" s="5">
        <f ca="1">IF(AND((OFFSET('DATA INPUT'!$C$51, ROW()-ROW($AT$63),0)=$AT$10),
(OFFSET('DATA INPUT'!$V$51,ROW()-ROW($AT$63),0)=3)),
OFFSET('Calc - OTHER PERS'!$Q$11,COLUMN()-COLUMN($AT$63) + (ROW()-ROW($AT$63))*14,0),0)</f>
        <v>0</v>
      </c>
      <c r="AW67" s="5">
        <f ca="1">IF(AND((OFFSET('DATA INPUT'!$C$51, ROW()-ROW($AT$63),0)=$AT$10),
(OFFSET('DATA INPUT'!$V$51,ROW()-ROW($AT$63),0)=3)),
OFFSET('Calc - OTHER PERS'!$Q$11,COLUMN()-COLUMN($AT$63) + (ROW()-ROW($AT$63))*14,0),0)</f>
        <v>0</v>
      </c>
      <c r="AX67" s="5">
        <f ca="1">IF(AND((OFFSET('DATA INPUT'!$C$51, ROW()-ROW($AT$63),0)=$AT$10),
(OFFSET('DATA INPUT'!$V$51,ROW()-ROW($AT$63),0)=3)),
OFFSET('Calc - OTHER PERS'!$Q$11,COLUMN()-COLUMN($AT$63) + (ROW()-ROW($AT$63))*14,0),0)</f>
        <v>0</v>
      </c>
      <c r="AY67" s="5">
        <f ca="1">IF(AND((OFFSET('DATA INPUT'!$C$51, ROW()-ROW($AT$63),0)=$AT$10),
(OFFSET('DATA INPUT'!$V$51,ROW()-ROW($AT$63),0)=3)),
OFFSET('Calc - OTHER PERS'!$Q$11,COLUMN()-COLUMN($AT$63) + (ROW()-ROW($AT$63))*14,0),0)</f>
        <v>0</v>
      </c>
      <c r="AZ67" s="150">
        <f t="shared" ca="1" si="113"/>
        <v>0</v>
      </c>
      <c r="BB67" s="133">
        <f ca="1">IF(AND((OFFSET('DATA INPUT'!$C$51, ROW()-ROW($BB$63),0)=$BB$10),
(OFFSET('DATA INPUT'!$V$51,ROW()-ROW($BB$63),0)=3)),
OFFSET('Calc - OTHER PERS'!$Q$11,COLUMN()-COLUMN($BB$63) + (ROW()-ROW($BB$63))*14,0),0)</f>
        <v>0</v>
      </c>
      <c r="BC67" s="5">
        <f ca="1">IF(AND((OFFSET('DATA INPUT'!$C$51, ROW()-ROW($BB$63),0)=$BB$10),
(OFFSET('DATA INPUT'!$V$51,ROW()-ROW($BB$63),0)=3)),
OFFSET('Calc - OTHER PERS'!$Q$11,COLUMN()-COLUMN($BB$63) + (ROW()-ROW($BB$63))*14,0),0)</f>
        <v>0</v>
      </c>
      <c r="BD67" s="5">
        <f ca="1">IF(AND((OFFSET('DATA INPUT'!$C$51, ROW()-ROW($BB$63),0)=$BB$10),
(OFFSET('DATA INPUT'!$V$51,ROW()-ROW($BB$63),0)=3)),
OFFSET('Calc - OTHER PERS'!$Q$11,COLUMN()-COLUMN($BB$63) + (ROW()-ROW($BB$63))*14,0),0)</f>
        <v>0</v>
      </c>
      <c r="BE67" s="5">
        <f ca="1">IF(AND((OFFSET('DATA INPUT'!$C$51, ROW()-ROW($BB$63),0)=$BB$10),
(OFFSET('DATA INPUT'!$V$51,ROW()-ROW($BB$63),0)=3)),
OFFSET('Calc - OTHER PERS'!$Q$11,COLUMN()-COLUMN($BB$63) + (ROW()-ROW($BB$63))*14,0),0)</f>
        <v>0</v>
      </c>
      <c r="BF67" s="5">
        <f ca="1">IF(AND((OFFSET('DATA INPUT'!$C$51, ROW()-ROW($BB$63),0)=$BB$10),
(OFFSET('DATA INPUT'!$V$51,ROW()-ROW($BB$63),0)=3)),
OFFSET('Calc - OTHER PERS'!$Q$11,COLUMN()-COLUMN($BB$63) + (ROW()-ROW($BB$63))*14,0),0)</f>
        <v>0</v>
      </c>
      <c r="BG67" s="5">
        <f ca="1">IF(AND((OFFSET('DATA INPUT'!$C$51, ROW()-ROW($BB$63),0)=$BB$10),
(OFFSET('DATA INPUT'!$V$51,ROW()-ROW($BB$63),0)=3)),
OFFSET('Calc - OTHER PERS'!$Q$11,COLUMN()-COLUMN($BB$63) + (ROW()-ROW($BB$63))*14,0),0)</f>
        <v>0</v>
      </c>
      <c r="BH67" s="192">
        <f t="shared" ca="1" si="114"/>
        <v>0</v>
      </c>
      <c r="BJ67" s="21"/>
      <c r="BK67" s="5"/>
      <c r="BL67" s="5"/>
      <c r="BM67" s="5"/>
      <c r="BN67" s="5"/>
      <c r="BO67" s="5"/>
      <c r="BP67" s="1105">
        <f t="shared" si="115"/>
        <v>0</v>
      </c>
      <c r="BR67" s="575">
        <f t="shared" ca="1" si="116"/>
        <v>0</v>
      </c>
      <c r="BS67" s="5">
        <f t="shared" ca="1" si="117"/>
        <v>0</v>
      </c>
      <c r="BT67" s="5">
        <f t="shared" ca="1" si="118"/>
        <v>0</v>
      </c>
      <c r="BU67" s="5">
        <f t="shared" ca="1" si="119"/>
        <v>0</v>
      </c>
      <c r="BV67" s="5">
        <f t="shared" ca="1" si="120"/>
        <v>0</v>
      </c>
      <c r="BW67" s="5">
        <f t="shared" ca="1" si="121"/>
        <v>0</v>
      </c>
      <c r="BX67" s="2175">
        <f t="shared" ca="1" si="122"/>
        <v>0</v>
      </c>
      <c r="BY67" s="573">
        <f t="shared" ca="1" si="123"/>
        <v>0</v>
      </c>
      <c r="BZ67" s="257"/>
      <c r="CB67" s="1182">
        <f t="shared" ca="1" si="203"/>
        <v>0</v>
      </c>
      <c r="CC67" s="387">
        <f t="shared" ca="1" si="204"/>
        <v>0</v>
      </c>
      <c r="CD67" s="56">
        <f t="shared" ca="1" si="204"/>
        <v>0</v>
      </c>
      <c r="CE67" s="56">
        <f t="shared" ca="1" si="205"/>
        <v>0</v>
      </c>
      <c r="CF67" s="56">
        <f t="shared" ca="1" si="206"/>
        <v>0</v>
      </c>
      <c r="CG67" s="1183">
        <f t="shared" ca="1" si="207"/>
        <v>0</v>
      </c>
      <c r="CH67" s="1184">
        <f t="shared" ca="1" si="208"/>
        <v>0</v>
      </c>
      <c r="CI67" s="1185">
        <f t="shared" ca="1" si="208"/>
        <v>0</v>
      </c>
      <c r="CJ67" s="1185">
        <f t="shared" ca="1" si="209"/>
        <v>0</v>
      </c>
      <c r="CK67" s="1185">
        <f t="shared" ca="1" si="210"/>
        <v>0</v>
      </c>
      <c r="CL67" s="2361">
        <f t="shared" ca="1" si="211"/>
        <v>0</v>
      </c>
      <c r="CM67" s="1187">
        <f t="shared" ca="1" si="212"/>
        <v>0</v>
      </c>
      <c r="CN67" s="1188">
        <f t="shared" ca="1" si="212"/>
        <v>0</v>
      </c>
      <c r="CO67" s="1189">
        <f t="shared" ca="1" si="213"/>
        <v>0</v>
      </c>
      <c r="CP67" s="1233">
        <f t="shared" ca="1" si="124"/>
        <v>0</v>
      </c>
      <c r="CS67" s="575"/>
      <c r="CT67" s="5"/>
      <c r="CU67" s="1180"/>
      <c r="CV67" s="575"/>
      <c r="CW67" s="5"/>
      <c r="CX67" s="1180"/>
      <c r="CY67" s="575"/>
      <c r="CZ67" s="5"/>
      <c r="DA67" s="1180"/>
      <c r="DB67" s="575"/>
      <c r="DC67" s="5"/>
      <c r="DD67" s="1180"/>
      <c r="DE67" s="1181">
        <f t="shared" si="214"/>
        <v>0</v>
      </c>
      <c r="DG67" s="575"/>
      <c r="DH67" s="5"/>
      <c r="DI67" s="1180"/>
      <c r="DJ67" s="575"/>
      <c r="DK67" s="5"/>
      <c r="DL67" s="1180"/>
      <c r="DM67" s="575"/>
      <c r="DN67" s="5"/>
      <c r="DO67" s="1180"/>
      <c r="DP67" s="575"/>
      <c r="DQ67" s="5"/>
      <c r="DR67" s="1180"/>
      <c r="DS67" s="1181">
        <f t="shared" si="215"/>
        <v>0</v>
      </c>
      <c r="DU67" s="575"/>
      <c r="DV67" s="5"/>
      <c r="DW67" s="1180"/>
      <c r="DX67" s="575"/>
      <c r="DY67" s="5"/>
      <c r="DZ67" s="1180"/>
      <c r="EA67" s="575"/>
      <c r="EB67" s="5"/>
      <c r="EC67" s="1180"/>
      <c r="ED67" s="575"/>
      <c r="EE67" s="5"/>
      <c r="EF67" s="1180"/>
      <c r="EG67" s="1181">
        <f t="shared" si="216"/>
        <v>0</v>
      </c>
      <c r="EI67" s="22"/>
      <c r="EJ67" s="3211"/>
      <c r="EK67" s="422" t="str">
        <f t="shared" si="217"/>
        <v xml:space="preserve"> - </v>
      </c>
      <c r="EL67" s="409">
        <f t="shared" ca="1" si="218"/>
        <v>0</v>
      </c>
      <c r="EM67" s="409">
        <f t="shared" ca="1" si="219"/>
        <v>0</v>
      </c>
      <c r="EN67" s="409">
        <f t="shared" ca="1" si="220"/>
        <v>0</v>
      </c>
      <c r="EO67" s="409">
        <f t="shared" ca="1" si="221"/>
        <v>0</v>
      </c>
      <c r="EP67" s="409">
        <f t="shared" ca="1" si="222"/>
        <v>0</v>
      </c>
      <c r="EQ67" s="409">
        <f t="shared" ca="1" si="223"/>
        <v>0</v>
      </c>
      <c r="ER67" s="345">
        <f t="shared" ca="1" si="224"/>
        <v>0</v>
      </c>
      <c r="ES67" s="4"/>
      <c r="ET67" s="45"/>
      <c r="EU67" s="4"/>
      <c r="EV67" s="133">
        <f t="shared" ca="1" si="225"/>
        <v>0</v>
      </c>
      <c r="EW67" s="5">
        <f t="shared" ca="1" si="226"/>
        <v>0</v>
      </c>
      <c r="EX67" s="5">
        <f t="shared" ca="1" si="227"/>
        <v>0</v>
      </c>
      <c r="EY67" s="5">
        <f t="shared" ca="1" si="228"/>
        <v>0</v>
      </c>
      <c r="EZ67" s="21">
        <f t="shared" ca="1" si="229"/>
        <v>0</v>
      </c>
      <c r="FA67" s="21">
        <f t="shared" ca="1" si="230"/>
        <v>0</v>
      </c>
      <c r="FB67" s="164">
        <f t="shared" ca="1" si="143"/>
        <v>0</v>
      </c>
      <c r="FD67" s="133">
        <f t="shared" ca="1" si="231"/>
        <v>0</v>
      </c>
      <c r="FE67" s="5">
        <f t="shared" ca="1" si="232"/>
        <v>0</v>
      </c>
      <c r="FF67" s="5">
        <f t="shared" ca="1" si="233"/>
        <v>0</v>
      </c>
      <c r="FG67" s="5">
        <f t="shared" ca="1" si="234"/>
        <v>0</v>
      </c>
      <c r="FH67" s="5">
        <f t="shared" ca="1" si="235"/>
        <v>0</v>
      </c>
      <c r="FI67" s="1180">
        <f t="shared" ca="1" si="236"/>
        <v>0</v>
      </c>
      <c r="FJ67" s="2385">
        <f t="shared" ca="1" si="150"/>
        <v>0</v>
      </c>
      <c r="FL67" s="133">
        <f t="shared" ca="1" si="237"/>
        <v>0</v>
      </c>
      <c r="FM67" s="5">
        <f t="shared" ca="1" si="238"/>
        <v>0</v>
      </c>
      <c r="FN67" s="5">
        <f t="shared" ca="1" si="239"/>
        <v>0</v>
      </c>
      <c r="FO67" s="5">
        <f t="shared" ca="1" si="240"/>
        <v>0</v>
      </c>
      <c r="FP67" s="5">
        <f t="shared" ca="1" si="241"/>
        <v>0</v>
      </c>
      <c r="FQ67" s="1180">
        <f t="shared" ca="1" si="242"/>
        <v>0</v>
      </c>
      <c r="FR67" s="206">
        <f t="shared" ca="1" si="157"/>
        <v>0</v>
      </c>
      <c r="FT67" s="133">
        <f t="shared" ca="1" si="243"/>
        <v>0</v>
      </c>
      <c r="FU67" s="5">
        <f t="shared" ca="1" si="244"/>
        <v>0</v>
      </c>
      <c r="FV67" s="5">
        <f t="shared" ca="1" si="245"/>
        <v>0</v>
      </c>
      <c r="FW67" s="5">
        <f t="shared" ca="1" si="246"/>
        <v>0</v>
      </c>
      <c r="FX67" s="5">
        <f t="shared" ca="1" si="247"/>
        <v>0</v>
      </c>
      <c r="FY67" s="5">
        <f t="shared" ca="1" si="248"/>
        <v>0</v>
      </c>
      <c r="FZ67" s="178">
        <f t="shared" ca="1" si="164"/>
        <v>0</v>
      </c>
      <c r="GB67" s="133">
        <f t="shared" ca="1" si="249"/>
        <v>0</v>
      </c>
      <c r="GC67" s="5">
        <f t="shared" ca="1" si="250"/>
        <v>0</v>
      </c>
      <c r="GD67" s="5">
        <f t="shared" ca="1" si="251"/>
        <v>0</v>
      </c>
      <c r="GE67" s="5">
        <f t="shared" ca="1" si="252"/>
        <v>0</v>
      </c>
      <c r="GF67" s="5">
        <f t="shared" ca="1" si="253"/>
        <v>0</v>
      </c>
      <c r="GG67" s="5">
        <f t="shared" ca="1" si="254"/>
        <v>0</v>
      </c>
      <c r="GH67" s="150">
        <f t="shared" ca="1" si="171"/>
        <v>0</v>
      </c>
      <c r="GJ67" s="133">
        <f t="shared" ca="1" si="255"/>
        <v>0</v>
      </c>
      <c r="GK67" s="5">
        <f t="shared" ca="1" si="256"/>
        <v>0</v>
      </c>
      <c r="GL67" s="5">
        <f t="shared" ca="1" si="257"/>
        <v>0</v>
      </c>
      <c r="GM67" s="5">
        <f t="shared" ca="1" si="258"/>
        <v>0</v>
      </c>
      <c r="GN67" s="5">
        <f t="shared" ca="1" si="259"/>
        <v>0</v>
      </c>
      <c r="GO67" s="5">
        <f t="shared" ca="1" si="260"/>
        <v>0</v>
      </c>
      <c r="GP67" s="192">
        <f t="shared" ca="1" si="172"/>
        <v>0</v>
      </c>
      <c r="GR67" s="21"/>
      <c r="GS67" s="5"/>
      <c r="GT67" s="5"/>
      <c r="GU67" s="5"/>
      <c r="GV67" s="5"/>
      <c r="GW67" s="5"/>
      <c r="GX67" s="1105">
        <f t="shared" si="173"/>
        <v>0</v>
      </c>
      <c r="GZ67" s="575">
        <f t="shared" ca="1" si="174"/>
        <v>0</v>
      </c>
      <c r="HA67" s="5">
        <f t="shared" ca="1" si="175"/>
        <v>0</v>
      </c>
      <c r="HB67" s="5">
        <f t="shared" ca="1" si="176"/>
        <v>0</v>
      </c>
      <c r="HC67" s="5">
        <f t="shared" ca="1" si="177"/>
        <v>0</v>
      </c>
      <c r="HD67" s="5">
        <f t="shared" ca="1" si="178"/>
        <v>0</v>
      </c>
      <c r="HE67" s="5">
        <f t="shared" ca="1" si="179"/>
        <v>0</v>
      </c>
      <c r="HF67" s="2175">
        <f t="shared" ca="1" si="180"/>
        <v>0</v>
      </c>
      <c r="HG67" s="573">
        <f t="shared" ca="1" si="181"/>
        <v>0</v>
      </c>
      <c r="HH67" s="257"/>
    </row>
    <row r="68" spans="1:216" ht="15" hidden="1" customHeight="1" x14ac:dyDescent="0.25">
      <c r="A68" s="22"/>
      <c r="B68" s="3211"/>
      <c r="C68" s="422" t="str">
        <f>('DATA INPUT'!B56&amp;" "&amp;"-"&amp;" "&amp;'DATA INPUT'!H56)</f>
        <v xml:space="preserve"> - </v>
      </c>
      <c r="D68" s="21">
        <f ca="1">'Calc - OTHER PERS'!J81</f>
        <v>0</v>
      </c>
      <c r="E68" s="5">
        <f ca="1">'Calc - OTHER PERS'!J82</f>
        <v>0</v>
      </c>
      <c r="F68" s="5">
        <f ca="1">'Calc - OTHER PERS'!J83</f>
        <v>0</v>
      </c>
      <c r="G68" s="5">
        <f ca="1">'Calc - OTHER PERS'!J84</f>
        <v>0</v>
      </c>
      <c r="H68" s="21">
        <f ca="1">'Calc - OTHER PERS'!J85</f>
        <v>0</v>
      </c>
      <c r="I68" s="21">
        <f ca="1">'Calc - OTHER PERS'!J86</f>
        <v>0</v>
      </c>
      <c r="J68" s="12">
        <f t="shared" ca="1" si="202"/>
        <v>0</v>
      </c>
      <c r="K68" s="45"/>
      <c r="L68" s="4"/>
      <c r="M68" s="45"/>
      <c r="N68" s="133">
        <f ca="1">IF(AND((OFFSET('DATA INPUT'!$C$51, ROW()-ROW($N$63),0)=$N$10),
(OFFSET('DATA INPUT'!$V$51,ROW()-ROW($N$63),0)=3)),
OFFSET('Calc - OTHER PERS'!$Q$11,COLUMN()-COLUMN($N$63) + (ROW()-ROW($N$63))*14,0),0)</f>
        <v>0</v>
      </c>
      <c r="O68" s="5">
        <f ca="1">IF(AND((OFFSET('DATA INPUT'!$C$51, ROW()-ROW($N$63),0)=$N$10),
(OFFSET('DATA INPUT'!$V$51,ROW()-ROW($N$63),0)=3)),
OFFSET('Calc - OTHER PERS'!$Q$11,COLUMN()-COLUMN($N$63) + (ROW()-ROW($N$63))*14,0),0)</f>
        <v>0</v>
      </c>
      <c r="P68" s="5">
        <f ca="1">IF(AND((OFFSET('DATA INPUT'!$C$51, ROW()-ROW($N$63),0)=$N$10),
(OFFSET('DATA INPUT'!$V$51,ROW()-ROW($N$63),0)=3)),
OFFSET('Calc - OTHER PERS'!$Q$11,COLUMN()-COLUMN($N$63) + (ROW()-ROW($N$63))*14,0),0)</f>
        <v>0</v>
      </c>
      <c r="Q68" s="5">
        <f ca="1">IF(AND((OFFSET('DATA INPUT'!$C$51, ROW()-ROW($N$63),0)=$N$10),
(OFFSET('DATA INPUT'!$V$51,ROW()-ROW($N$63),0)=3)),
OFFSET('Calc - OTHER PERS'!$Q$11,COLUMN()-COLUMN($N$63) + (ROW()-ROW($N$63))*14,0),0)</f>
        <v>0</v>
      </c>
      <c r="R68" s="21">
        <f ca="1">IF(AND((OFFSET('DATA INPUT'!$C$51, ROW()-ROW($N$63),0)=$N$10),
(OFFSET('DATA INPUT'!$V$51,ROW()-ROW($N$63),0)=3)),
OFFSET('Calc - OTHER PERS'!$Q$11,COLUMN()-COLUMN($N$63) + (ROW()-ROW($N$63))*14,0),0)</f>
        <v>0</v>
      </c>
      <c r="S68" s="21">
        <f ca="1">IF(AND((OFFSET('DATA INPUT'!$C$51, ROW()-ROW($N$63),0)=$N$10),
(OFFSET('DATA INPUT'!$V$51,ROW()-ROW($N$63),0)=3)),
OFFSET('Calc - OTHER PERS'!$Q$11,COLUMN()-COLUMN($N$63) + (ROW()-ROW($N$63))*14,0),0)</f>
        <v>0</v>
      </c>
      <c r="T68" s="164">
        <f t="shared" ca="1" si="109"/>
        <v>0</v>
      </c>
      <c r="U68" s="1"/>
      <c r="V68" s="133">
        <f ca="1">IF(AND((OFFSET('DATA INPUT'!$C$51, ROW()-ROW($V$63),0)=$V$10),
(OFFSET('DATA INPUT'!$V$51,ROW()-ROW($V$63),0)=3)),
OFFSET('Calc - OTHER PERS'!$Q$11,COLUMN()-COLUMN($V$63) + (ROW()-ROW($V$63))*14,0),0)</f>
        <v>0</v>
      </c>
      <c r="W68" s="5">
        <f ca="1">IF(AND((OFFSET('DATA INPUT'!$C$51, ROW()-ROW($V$63),0)=$V$10),
(OFFSET('DATA INPUT'!$V$51,ROW()-ROW($V$63),0)=3)),
OFFSET('Calc - OTHER PERS'!$Q$11,COLUMN()-COLUMN($V$63) + (ROW()-ROW($V$63))*14,0),0)</f>
        <v>0</v>
      </c>
      <c r="X68" s="5">
        <f ca="1">IF(AND((OFFSET('DATA INPUT'!$C$51, ROW()-ROW($V$63),0)=$V$10),
(OFFSET('DATA INPUT'!$V$51,ROW()-ROW($V$63),0)=3)),
OFFSET('Calc - OTHER PERS'!$Q$11,COLUMN()-COLUMN($V$63) + (ROW()-ROW($V$63))*14,0),0)</f>
        <v>0</v>
      </c>
      <c r="Y68" s="5">
        <f ca="1">IF(AND((OFFSET('DATA INPUT'!$C$51, ROW()-ROW($V$63),0)=$V$10),
(OFFSET('DATA INPUT'!$V$51,ROW()-ROW($V$63),0)=3)),
OFFSET('Calc - OTHER PERS'!$Q$11,COLUMN()-COLUMN($V$63) + (ROW()-ROW($V$63))*14,0),0)</f>
        <v>0</v>
      </c>
      <c r="Z68" s="21">
        <f ca="1">IF(AND((OFFSET('DATA INPUT'!$C$51, ROW()-ROW($V$63),0)=$V$10),
(OFFSET('DATA INPUT'!$V$51,ROW()-ROW($V$63),0)=3)),
OFFSET('Calc - OTHER PERS'!$Q$11,COLUMN()-COLUMN($V$63) + (ROW()-ROW($V$63))*14,0),0)</f>
        <v>0</v>
      </c>
      <c r="AA68" s="2384">
        <f ca="1">IF(AND((OFFSET('DATA INPUT'!$C$51, ROW()-ROW($V$63),0)=$V$10),
(OFFSET('DATA INPUT'!$V$51,ROW()-ROW($V$63),0)=3)),
OFFSET('Calc - OTHER PERS'!$Q$11,COLUMN()-COLUMN($V$63) + (ROW()-ROW($V$63))*14,0),0)</f>
        <v>0</v>
      </c>
      <c r="AB68" s="2385">
        <f t="shared" ca="1" si="110"/>
        <v>0</v>
      </c>
      <c r="AD68" s="133">
        <f ca="1">IF(AND((OFFSET('DATA INPUT'!$C$51, ROW()-ROW($AD$63),0)=$AD$10),
(OFFSET('DATA INPUT'!$V$51,ROW()-ROW($AD$63),0)=3)),
OFFSET('Calc - OTHER PERS'!$Q$11,COLUMN()-COLUMN($AD$63) + (ROW()-ROW($AD$63))*14,0),0)</f>
        <v>0</v>
      </c>
      <c r="AE68" s="5">
        <f ca="1">IF(AND((OFFSET('DATA INPUT'!$C$51, ROW()-ROW($AD$63),0)=$AD$10),
(OFFSET('DATA INPUT'!$V$51,ROW()-ROW($AD$63),0)=3)),
OFFSET('Calc - OTHER PERS'!$Q$11,COLUMN()-COLUMN($AD$63) + (ROW()-ROW($AD$63))*14,0),0)</f>
        <v>0</v>
      </c>
      <c r="AF68" s="5">
        <f ca="1">IF(AND((OFFSET('DATA INPUT'!$C$51, ROW()-ROW($AD$63),0)=$AD$10),
(OFFSET('DATA INPUT'!$V$51,ROW()-ROW($AD$63),0)=3)),
OFFSET('Calc - OTHER PERS'!$Q$11,COLUMN()-COLUMN($AD$63) + (ROW()-ROW($AD$63))*14,0),0)</f>
        <v>0</v>
      </c>
      <c r="AG68" s="5">
        <f ca="1">IF(AND((OFFSET('DATA INPUT'!$C$51, ROW()-ROW($AD$63),0)=$AD$10),
(OFFSET('DATA INPUT'!$V$51,ROW()-ROW($AD$63),0)=3)),
OFFSET('Calc - OTHER PERS'!$Q$11,COLUMN()-COLUMN($AD$63) + (ROW()-ROW($AD$63))*14,0),0)</f>
        <v>0</v>
      </c>
      <c r="AH68" s="21">
        <f ca="1">IF(AND((OFFSET('DATA INPUT'!$C$51, ROW()-ROW($AD$63),0)=$AD$10),
(OFFSET('DATA INPUT'!$V$51,ROW()-ROW($AD$63),0)=3)),
OFFSET('Calc - OTHER PERS'!$Q$11,COLUMN()-COLUMN($AD$63) + (ROW()-ROW($AD$63))*14,0),0)</f>
        <v>0</v>
      </c>
      <c r="AI68" s="2384">
        <f ca="1">IF(AND((OFFSET('DATA INPUT'!$C$51, ROW()-ROW($AD$63),0)=$AD$10),
(OFFSET('DATA INPUT'!$V$51,ROW()-ROW($AD$63),0)=3)),
OFFSET('Calc - OTHER PERS'!$Q$11,COLUMN()-COLUMN($AD$63) + (ROW()-ROW($AD$63))*14,0),0)</f>
        <v>0</v>
      </c>
      <c r="AJ68" s="206">
        <f t="shared" ca="1" si="111"/>
        <v>0</v>
      </c>
      <c r="AL68" s="133">
        <f ca="1">IF(AND((OFFSET('DATA INPUT'!$C$51, ROW()-ROW($AL$63),0)=$AL$10),
(OFFSET('DATA INPUT'!$V$51,ROW()-ROW($AL$63),0)=3)),
OFFSET('Calc - OTHER PERS'!$Q$11,COLUMN()-COLUMN($AL$63) + (ROW()-ROW($AL$63))*14,0),0)</f>
        <v>0</v>
      </c>
      <c r="AM68" s="5">
        <f ca="1">IF(AND((OFFSET('DATA INPUT'!$C$51, ROW()-ROW($AL$63),0)=$AL$10),
(OFFSET('DATA INPUT'!$V$51,ROW()-ROW($AL$63),0)=3)),
OFFSET('Calc - OTHER PERS'!$Q$11,COLUMN()-COLUMN($AL$63) + (ROW()-ROW($AL$63))*14,0),0)</f>
        <v>0</v>
      </c>
      <c r="AN68" s="5">
        <f ca="1">IF(AND((OFFSET('DATA INPUT'!$C$51, ROW()-ROW($AL$63),0)=$AL$10),
(OFFSET('DATA INPUT'!$V$51,ROW()-ROW($AL$63),0)=3)),
OFFSET('Calc - OTHER PERS'!$Q$11,COLUMN()-COLUMN($AL$63) + (ROW()-ROW($AL$63))*14,0),0)</f>
        <v>0</v>
      </c>
      <c r="AO68" s="5">
        <f ca="1">IF(AND((OFFSET('DATA INPUT'!$C$51, ROW()-ROW($AL$63),0)=$AL$10),
(OFFSET('DATA INPUT'!$V$51,ROW()-ROW($AL$63),0)=3)),
OFFSET('Calc - OTHER PERS'!$Q$11,COLUMN()-COLUMN($AL$63) + (ROW()-ROW($AL$63))*14,0),0)</f>
        <v>0</v>
      </c>
      <c r="AP68" s="21">
        <f ca="1">IF(AND((OFFSET('DATA INPUT'!$C$51, ROW()-ROW($AL$63),0)=$AL$10),
(OFFSET('DATA INPUT'!$V$51,ROW()-ROW($AL$63),0)=3)),
OFFSET('Calc - OTHER PERS'!$Q$11,COLUMN()-COLUMN($AL$63) + (ROW()-ROW($AL$63))*14,0),0)</f>
        <v>0</v>
      </c>
      <c r="AQ68" s="21">
        <f ca="1">IF(AND((OFFSET('DATA INPUT'!$C$51, ROW()-ROW($AL$63),0)=$AL$10),
(OFFSET('DATA INPUT'!$V$51,ROW()-ROW($AL$63),0)=3)),
OFFSET('Calc - OTHER PERS'!$Q$11,COLUMN()-COLUMN($AL$63) + (ROW()-ROW($AL$63))*14,0),0)</f>
        <v>0</v>
      </c>
      <c r="AR68" s="178">
        <f t="shared" ca="1" si="112"/>
        <v>0</v>
      </c>
      <c r="AT68" s="133">
        <f ca="1">IF(AND((OFFSET('DATA INPUT'!$C$51, ROW()-ROW($AT$63),0)=$AT$10),
(OFFSET('DATA INPUT'!$V$51,ROW()-ROW($AT$63),0)=3)),
OFFSET('Calc - OTHER PERS'!$Q$11,COLUMN()-COLUMN($AT$63) + (ROW()-ROW($AT$63))*14,0),0)</f>
        <v>0</v>
      </c>
      <c r="AU68" s="5">
        <f ca="1">IF(AND((OFFSET('DATA INPUT'!$C$51, ROW()-ROW($AT$63),0)=$AT$10),
(OFFSET('DATA INPUT'!$V$51,ROW()-ROW($AT$63),0)=3)),
OFFSET('Calc - OTHER PERS'!$Q$11,COLUMN()-COLUMN($AT$63) + (ROW()-ROW($AT$63))*14,0),0)</f>
        <v>0</v>
      </c>
      <c r="AV68" s="5">
        <f ca="1">IF(AND((OFFSET('DATA INPUT'!$C$51, ROW()-ROW($AT$63),0)=$AT$10),
(OFFSET('DATA INPUT'!$V$51,ROW()-ROW($AT$63),0)=3)),
OFFSET('Calc - OTHER PERS'!$Q$11,COLUMN()-COLUMN($AT$63) + (ROW()-ROW($AT$63))*14,0),0)</f>
        <v>0</v>
      </c>
      <c r="AW68" s="5">
        <f ca="1">IF(AND((OFFSET('DATA INPUT'!$C$51, ROW()-ROW($AT$63),0)=$AT$10),
(OFFSET('DATA INPUT'!$V$51,ROW()-ROW($AT$63),0)=3)),
OFFSET('Calc - OTHER PERS'!$Q$11,COLUMN()-COLUMN($AT$63) + (ROW()-ROW($AT$63))*14,0),0)</f>
        <v>0</v>
      </c>
      <c r="AX68" s="21">
        <f ca="1">IF(AND((OFFSET('DATA INPUT'!$C$51, ROW()-ROW($AT$63),0)=$AT$10),
(OFFSET('DATA INPUT'!$V$51,ROW()-ROW($AT$63),0)=3)),
OFFSET('Calc - OTHER PERS'!$Q$11,COLUMN()-COLUMN($AT$63) + (ROW()-ROW($AT$63))*14,0),0)</f>
        <v>0</v>
      </c>
      <c r="AY68" s="21">
        <f ca="1">IF(AND((OFFSET('DATA INPUT'!$C$51, ROW()-ROW($AT$63),0)=$AT$10),
(OFFSET('DATA INPUT'!$V$51,ROW()-ROW($AT$63),0)=3)),
OFFSET('Calc - OTHER PERS'!$Q$11,COLUMN()-COLUMN($AT$63) + (ROW()-ROW($AT$63))*14,0),0)</f>
        <v>0</v>
      </c>
      <c r="AZ68" s="150">
        <f t="shared" ca="1" si="113"/>
        <v>0</v>
      </c>
      <c r="BB68" s="133">
        <f ca="1">IF(AND((OFFSET('DATA INPUT'!$C$51, ROW()-ROW($BB$63),0)=$BB$10),
(OFFSET('DATA INPUT'!$V$51,ROW()-ROW($BB$63),0)=3)),
OFFSET('Calc - OTHER PERS'!$Q$11,COLUMN()-COLUMN($BB$63) + (ROW()-ROW($BB$63))*14,0),0)</f>
        <v>0</v>
      </c>
      <c r="BC68" s="5">
        <f ca="1">IF(AND((OFFSET('DATA INPUT'!$C$51, ROW()-ROW($BB$63),0)=$BB$10),
(OFFSET('DATA INPUT'!$V$51,ROW()-ROW($BB$63),0)=3)),
OFFSET('Calc - OTHER PERS'!$Q$11,COLUMN()-COLUMN($BB$63) + (ROW()-ROW($BB$63))*14,0),0)</f>
        <v>0</v>
      </c>
      <c r="BD68" s="5">
        <f ca="1">IF(AND((OFFSET('DATA INPUT'!$C$51, ROW()-ROW($BB$63),0)=$BB$10),
(OFFSET('DATA INPUT'!$V$51,ROW()-ROW($BB$63),0)=3)),
OFFSET('Calc - OTHER PERS'!$Q$11,COLUMN()-COLUMN($BB$63) + (ROW()-ROW($BB$63))*14,0),0)</f>
        <v>0</v>
      </c>
      <c r="BE68" s="5">
        <f ca="1">IF(AND((OFFSET('DATA INPUT'!$C$51, ROW()-ROW($BB$63),0)=$BB$10),
(OFFSET('DATA INPUT'!$V$51,ROW()-ROW($BB$63),0)=3)),
OFFSET('Calc - OTHER PERS'!$Q$11,COLUMN()-COLUMN($BB$63) + (ROW()-ROW($BB$63))*14,0),0)</f>
        <v>0</v>
      </c>
      <c r="BF68" s="21">
        <f ca="1">IF(AND((OFFSET('DATA INPUT'!$C$51, ROW()-ROW($BB$63),0)=$BB$10),
(OFFSET('DATA INPUT'!$V$51,ROW()-ROW($BB$63),0)=3)),
OFFSET('Calc - OTHER PERS'!$Q$11,COLUMN()-COLUMN($BB$63) + (ROW()-ROW($BB$63))*14,0),0)</f>
        <v>0</v>
      </c>
      <c r="BG68" s="21">
        <f ca="1">IF(AND((OFFSET('DATA INPUT'!$C$51, ROW()-ROW($BB$63),0)=$BB$10),
(OFFSET('DATA INPUT'!$V$51,ROW()-ROW($BB$63),0)=3)),
OFFSET('Calc - OTHER PERS'!$Q$11,COLUMN()-COLUMN($BB$63) + (ROW()-ROW($BB$63))*14,0),0)</f>
        <v>0</v>
      </c>
      <c r="BH68" s="192">
        <f t="shared" ca="1" si="114"/>
        <v>0</v>
      </c>
      <c r="BJ68" s="21"/>
      <c r="BK68" s="5"/>
      <c r="BL68" s="5"/>
      <c r="BM68" s="5"/>
      <c r="BN68" s="21"/>
      <c r="BO68" s="21"/>
      <c r="BP68" s="1105">
        <f t="shared" si="115"/>
        <v>0</v>
      </c>
      <c r="BR68" s="575">
        <f t="shared" ca="1" si="116"/>
        <v>0</v>
      </c>
      <c r="BS68" s="5">
        <f t="shared" ca="1" si="117"/>
        <v>0</v>
      </c>
      <c r="BT68" s="5">
        <f t="shared" ca="1" si="118"/>
        <v>0</v>
      </c>
      <c r="BU68" s="5">
        <f t="shared" ca="1" si="119"/>
        <v>0</v>
      </c>
      <c r="BV68" s="5">
        <f t="shared" ca="1" si="120"/>
        <v>0</v>
      </c>
      <c r="BW68" s="5">
        <f t="shared" ca="1" si="121"/>
        <v>0</v>
      </c>
      <c r="BX68" s="2175">
        <f t="shared" ca="1" si="122"/>
        <v>0</v>
      </c>
      <c r="BY68" s="573">
        <f t="shared" ca="1" si="123"/>
        <v>0</v>
      </c>
      <c r="BZ68" s="257"/>
      <c r="CB68" s="1182">
        <f t="shared" ca="1" si="203"/>
        <v>0</v>
      </c>
      <c r="CC68" s="387">
        <f t="shared" ca="1" si="204"/>
        <v>0</v>
      </c>
      <c r="CD68" s="56">
        <f t="shared" ca="1" si="204"/>
        <v>0</v>
      </c>
      <c r="CE68" s="56">
        <f t="shared" ca="1" si="205"/>
        <v>0</v>
      </c>
      <c r="CF68" s="1191">
        <f t="shared" ca="1" si="206"/>
        <v>0</v>
      </c>
      <c r="CG68" s="1192">
        <f t="shared" ca="1" si="207"/>
        <v>0</v>
      </c>
      <c r="CH68" s="1184">
        <f t="shared" ca="1" si="208"/>
        <v>0</v>
      </c>
      <c r="CI68" s="1193">
        <f t="shared" ca="1" si="208"/>
        <v>0</v>
      </c>
      <c r="CJ68" s="1193">
        <f t="shared" ca="1" si="209"/>
        <v>0</v>
      </c>
      <c r="CK68" s="1193">
        <f t="shared" ca="1" si="210"/>
        <v>0</v>
      </c>
      <c r="CL68" s="1235">
        <f t="shared" ca="1" si="211"/>
        <v>0</v>
      </c>
      <c r="CM68" s="1195">
        <f t="shared" ca="1" si="212"/>
        <v>0</v>
      </c>
      <c r="CN68" s="1188">
        <f t="shared" ca="1" si="212"/>
        <v>0</v>
      </c>
      <c r="CO68" s="1196">
        <f t="shared" ca="1" si="213"/>
        <v>0</v>
      </c>
      <c r="CP68" s="1234">
        <f t="shared" ca="1" si="124"/>
        <v>0</v>
      </c>
      <c r="CS68" s="575"/>
      <c r="CT68" s="5"/>
      <c r="CU68" s="1180"/>
      <c r="CV68" s="575"/>
      <c r="CW68" s="5"/>
      <c r="CX68" s="1180"/>
      <c r="CY68" s="575"/>
      <c r="CZ68" s="5"/>
      <c r="DA68" s="1180"/>
      <c r="DB68" s="575"/>
      <c r="DC68" s="5"/>
      <c r="DD68" s="1180"/>
      <c r="DE68" s="1181">
        <f t="shared" si="214"/>
        <v>0</v>
      </c>
      <c r="DG68" s="575"/>
      <c r="DH68" s="5"/>
      <c r="DI68" s="1180"/>
      <c r="DJ68" s="575"/>
      <c r="DK68" s="5"/>
      <c r="DL68" s="1180"/>
      <c r="DM68" s="575"/>
      <c r="DN68" s="5"/>
      <c r="DO68" s="1180"/>
      <c r="DP68" s="575"/>
      <c r="DQ68" s="5"/>
      <c r="DR68" s="1180"/>
      <c r="DS68" s="1181">
        <f t="shared" si="215"/>
        <v>0</v>
      </c>
      <c r="DU68" s="575"/>
      <c r="DV68" s="5"/>
      <c r="DW68" s="1180"/>
      <c r="DX68" s="575"/>
      <c r="DY68" s="5"/>
      <c r="DZ68" s="1180"/>
      <c r="EA68" s="575"/>
      <c r="EB68" s="5"/>
      <c r="EC68" s="1180"/>
      <c r="ED68" s="575"/>
      <c r="EE68" s="5"/>
      <c r="EF68" s="1180"/>
      <c r="EG68" s="1181">
        <f t="shared" si="216"/>
        <v>0</v>
      </c>
      <c r="EI68" s="22"/>
      <c r="EJ68" s="3211"/>
      <c r="EK68" s="422" t="str">
        <f t="shared" si="217"/>
        <v xml:space="preserve"> - </v>
      </c>
      <c r="EL68" s="409">
        <f t="shared" ca="1" si="218"/>
        <v>0</v>
      </c>
      <c r="EM68" s="409">
        <f t="shared" ca="1" si="219"/>
        <v>0</v>
      </c>
      <c r="EN68" s="409">
        <f t="shared" ca="1" si="220"/>
        <v>0</v>
      </c>
      <c r="EO68" s="409">
        <f t="shared" ca="1" si="221"/>
        <v>0</v>
      </c>
      <c r="EP68" s="409">
        <f t="shared" ca="1" si="222"/>
        <v>0</v>
      </c>
      <c r="EQ68" s="409">
        <f t="shared" ca="1" si="223"/>
        <v>0</v>
      </c>
      <c r="ER68" s="12">
        <f t="shared" ca="1" si="224"/>
        <v>0</v>
      </c>
      <c r="ES68" s="45"/>
      <c r="ET68" s="4"/>
      <c r="EU68" s="45"/>
      <c r="EV68" s="133">
        <f t="shared" ca="1" si="225"/>
        <v>0</v>
      </c>
      <c r="EW68" s="5">
        <f t="shared" ca="1" si="226"/>
        <v>0</v>
      </c>
      <c r="EX68" s="5">
        <f t="shared" ca="1" si="227"/>
        <v>0</v>
      </c>
      <c r="EY68" s="5">
        <f t="shared" ca="1" si="228"/>
        <v>0</v>
      </c>
      <c r="EZ68" s="21">
        <f t="shared" ca="1" si="229"/>
        <v>0</v>
      </c>
      <c r="FA68" s="21">
        <f t="shared" ca="1" si="230"/>
        <v>0</v>
      </c>
      <c r="FB68" s="164">
        <f t="shared" ca="1" si="143"/>
        <v>0</v>
      </c>
      <c r="FC68" s="1"/>
      <c r="FD68" s="133">
        <f t="shared" ca="1" si="231"/>
        <v>0</v>
      </c>
      <c r="FE68" s="5">
        <f t="shared" ca="1" si="232"/>
        <v>0</v>
      </c>
      <c r="FF68" s="5">
        <f t="shared" ca="1" si="233"/>
        <v>0</v>
      </c>
      <c r="FG68" s="5">
        <f t="shared" ca="1" si="234"/>
        <v>0</v>
      </c>
      <c r="FH68" s="21">
        <f t="shared" ca="1" si="235"/>
        <v>0</v>
      </c>
      <c r="FI68" s="2384">
        <f t="shared" ca="1" si="236"/>
        <v>0</v>
      </c>
      <c r="FJ68" s="2385">
        <f t="shared" ca="1" si="150"/>
        <v>0</v>
      </c>
      <c r="FL68" s="133">
        <f t="shared" ca="1" si="237"/>
        <v>0</v>
      </c>
      <c r="FM68" s="5">
        <f t="shared" ca="1" si="238"/>
        <v>0</v>
      </c>
      <c r="FN68" s="5">
        <f t="shared" ca="1" si="239"/>
        <v>0</v>
      </c>
      <c r="FO68" s="5">
        <f t="shared" ca="1" si="240"/>
        <v>0</v>
      </c>
      <c r="FP68" s="21">
        <f t="shared" ca="1" si="241"/>
        <v>0</v>
      </c>
      <c r="FQ68" s="2384">
        <f t="shared" ca="1" si="242"/>
        <v>0</v>
      </c>
      <c r="FR68" s="206">
        <f t="shared" ca="1" si="157"/>
        <v>0</v>
      </c>
      <c r="FT68" s="133">
        <f t="shared" ca="1" si="243"/>
        <v>0</v>
      </c>
      <c r="FU68" s="5">
        <f t="shared" ca="1" si="244"/>
        <v>0</v>
      </c>
      <c r="FV68" s="5">
        <f t="shared" ca="1" si="245"/>
        <v>0</v>
      </c>
      <c r="FW68" s="5">
        <f t="shared" ca="1" si="246"/>
        <v>0</v>
      </c>
      <c r="FX68" s="21">
        <f t="shared" ca="1" si="247"/>
        <v>0</v>
      </c>
      <c r="FY68" s="21">
        <f t="shared" ca="1" si="248"/>
        <v>0</v>
      </c>
      <c r="FZ68" s="178">
        <f t="shared" ca="1" si="164"/>
        <v>0</v>
      </c>
      <c r="GB68" s="133">
        <f t="shared" ca="1" si="249"/>
        <v>0</v>
      </c>
      <c r="GC68" s="5">
        <f t="shared" ca="1" si="250"/>
        <v>0</v>
      </c>
      <c r="GD68" s="5">
        <f t="shared" ca="1" si="251"/>
        <v>0</v>
      </c>
      <c r="GE68" s="5">
        <f t="shared" ca="1" si="252"/>
        <v>0</v>
      </c>
      <c r="GF68" s="21">
        <f t="shared" ca="1" si="253"/>
        <v>0</v>
      </c>
      <c r="GG68" s="21">
        <f t="shared" ca="1" si="254"/>
        <v>0</v>
      </c>
      <c r="GH68" s="150">
        <f t="shared" ca="1" si="171"/>
        <v>0</v>
      </c>
      <c r="GJ68" s="133">
        <f t="shared" ca="1" si="255"/>
        <v>0</v>
      </c>
      <c r="GK68" s="5">
        <f t="shared" ca="1" si="256"/>
        <v>0</v>
      </c>
      <c r="GL68" s="5">
        <f t="shared" ca="1" si="257"/>
        <v>0</v>
      </c>
      <c r="GM68" s="5">
        <f t="shared" ca="1" si="258"/>
        <v>0</v>
      </c>
      <c r="GN68" s="21">
        <f t="shared" ca="1" si="259"/>
        <v>0</v>
      </c>
      <c r="GO68" s="21">
        <f t="shared" ca="1" si="260"/>
        <v>0</v>
      </c>
      <c r="GP68" s="192">
        <f t="shared" ca="1" si="172"/>
        <v>0</v>
      </c>
      <c r="GR68" s="21"/>
      <c r="GS68" s="5"/>
      <c r="GT68" s="5"/>
      <c r="GU68" s="5"/>
      <c r="GV68" s="21"/>
      <c r="GW68" s="21"/>
      <c r="GX68" s="1105">
        <f t="shared" si="173"/>
        <v>0</v>
      </c>
      <c r="GZ68" s="575">
        <f t="shared" ca="1" si="174"/>
        <v>0</v>
      </c>
      <c r="HA68" s="5">
        <f t="shared" ca="1" si="175"/>
        <v>0</v>
      </c>
      <c r="HB68" s="5">
        <f t="shared" ca="1" si="176"/>
        <v>0</v>
      </c>
      <c r="HC68" s="5">
        <f t="shared" ca="1" si="177"/>
        <v>0</v>
      </c>
      <c r="HD68" s="5">
        <f t="shared" ca="1" si="178"/>
        <v>0</v>
      </c>
      <c r="HE68" s="5">
        <f t="shared" ca="1" si="179"/>
        <v>0</v>
      </c>
      <c r="HF68" s="2175">
        <f t="shared" ca="1" si="180"/>
        <v>0</v>
      </c>
      <c r="HG68" s="573">
        <f t="shared" ca="1" si="181"/>
        <v>0</v>
      </c>
      <c r="HH68" s="257"/>
    </row>
    <row r="69" spans="1:216" ht="15" hidden="1" customHeight="1" x14ac:dyDescent="0.25">
      <c r="A69" s="22"/>
      <c r="B69" s="3211"/>
      <c r="C69" s="123" t="str">
        <f>('DATA INPUT'!B57&amp;" "&amp;"-"&amp;" "&amp;'DATA INPUT'!H57)</f>
        <v xml:space="preserve"> - </v>
      </c>
      <c r="D69" s="21">
        <f ca="1">'Calc - OTHER PERS'!J95</f>
        <v>0</v>
      </c>
      <c r="E69" s="5">
        <f ca="1">'Calc - OTHER PERS'!J96</f>
        <v>0</v>
      </c>
      <c r="F69" s="5">
        <f ca="1">'Calc - OTHER PERS'!J97</f>
        <v>0</v>
      </c>
      <c r="G69" s="5">
        <f ca="1">'Calc - OTHER PERS'!J98</f>
        <v>0</v>
      </c>
      <c r="H69" s="5">
        <f ca="1">'Calc - OTHER PERS'!J99</f>
        <v>0</v>
      </c>
      <c r="I69" s="5">
        <f ca="1">'Calc - OTHER PERS'!J100</f>
        <v>0</v>
      </c>
      <c r="J69" s="12">
        <f t="shared" ca="1" si="202"/>
        <v>0</v>
      </c>
      <c r="K69" s="4"/>
      <c r="L69" s="45"/>
      <c r="M69" s="4"/>
      <c r="N69" s="133">
        <f ca="1">IF(AND((OFFSET('DATA INPUT'!$C$51, ROW()-ROW($N$63),0)=$N$10),
(OFFSET('DATA INPUT'!$V$51,ROW()-ROW($N$63),0)=3)),
OFFSET('Calc - OTHER PERS'!$Q$11,COLUMN()-COLUMN($N$63) + (ROW()-ROW($N$63))*14,0),0)</f>
        <v>0</v>
      </c>
      <c r="O69" s="5">
        <f ca="1">IF(AND((OFFSET('DATA INPUT'!$C$51, ROW()-ROW($N$63),0)=$N$10),
(OFFSET('DATA INPUT'!$V$51,ROW()-ROW($N$63),0)=3)),
OFFSET('Calc - OTHER PERS'!$Q$11,COLUMN()-COLUMN($N$63) + (ROW()-ROW($N$63))*14,0),0)</f>
        <v>0</v>
      </c>
      <c r="P69" s="5">
        <f ca="1">IF(AND((OFFSET('DATA INPUT'!$C$51, ROW()-ROW($N$63),0)=$N$10),
(OFFSET('DATA INPUT'!$V$51,ROW()-ROW($N$63),0)=3)),
OFFSET('Calc - OTHER PERS'!$Q$11,COLUMN()-COLUMN($N$63) + (ROW()-ROW($N$63))*14,0),0)</f>
        <v>0</v>
      </c>
      <c r="Q69" s="5">
        <f ca="1">IF(AND((OFFSET('DATA INPUT'!$C$51, ROW()-ROW($N$63),0)=$N$10),
(OFFSET('DATA INPUT'!$V$51,ROW()-ROW($N$63),0)=3)),
OFFSET('Calc - OTHER PERS'!$Q$11,COLUMN()-COLUMN($N$63) + (ROW()-ROW($N$63))*14,0),0)</f>
        <v>0</v>
      </c>
      <c r="R69" s="5">
        <f ca="1">IF(AND((OFFSET('DATA INPUT'!$C$51, ROW()-ROW($N$63),0)=$N$10),
(OFFSET('DATA INPUT'!$V$51,ROW()-ROW($N$63),0)=3)),
OFFSET('Calc - OTHER PERS'!$Q$11,COLUMN()-COLUMN($N$63) + (ROW()-ROW($N$63))*14,0),0)</f>
        <v>0</v>
      </c>
      <c r="S69" s="5">
        <f ca="1">IF(AND((OFFSET('DATA INPUT'!$C$51, ROW()-ROW($N$63),0)=$N$10),
(OFFSET('DATA INPUT'!$V$51,ROW()-ROW($N$63),0)=3)),
OFFSET('Calc - OTHER PERS'!$Q$11,COLUMN()-COLUMN($N$63) + (ROW()-ROW($N$63))*14,0),0)</f>
        <v>0</v>
      </c>
      <c r="T69" s="164">
        <f t="shared" ca="1" si="109"/>
        <v>0</v>
      </c>
      <c r="V69" s="133">
        <f ca="1">IF(AND((OFFSET('DATA INPUT'!$C$51, ROW()-ROW($V$63),0)=$V$10),
(OFFSET('DATA INPUT'!$V$51,ROW()-ROW($V$63),0)=3)),
OFFSET('Calc - OTHER PERS'!$Q$11,COLUMN()-COLUMN($V$63) + (ROW()-ROW($V$63))*14,0),0)</f>
        <v>0</v>
      </c>
      <c r="W69" s="5">
        <f ca="1">IF(AND((OFFSET('DATA INPUT'!$C$51, ROW()-ROW($V$63),0)=$V$10),
(OFFSET('DATA INPUT'!$V$51,ROW()-ROW($V$63),0)=3)),
OFFSET('Calc - OTHER PERS'!$Q$11,COLUMN()-COLUMN($V$63) + (ROW()-ROW($V$63))*14,0),0)</f>
        <v>0</v>
      </c>
      <c r="X69" s="5">
        <f ca="1">IF(AND((OFFSET('DATA INPUT'!$C$51, ROW()-ROW($V$63),0)=$V$10),
(OFFSET('DATA INPUT'!$V$51,ROW()-ROW($V$63),0)=3)),
OFFSET('Calc - OTHER PERS'!$Q$11,COLUMN()-COLUMN($V$63) + (ROW()-ROW($V$63))*14,0),0)</f>
        <v>0</v>
      </c>
      <c r="Y69" s="5">
        <f ca="1">IF(AND((OFFSET('DATA INPUT'!$C$51, ROW()-ROW($V$63),0)=$V$10),
(OFFSET('DATA INPUT'!$V$51,ROW()-ROW($V$63),0)=3)),
OFFSET('Calc - OTHER PERS'!$Q$11,COLUMN()-COLUMN($V$63) + (ROW()-ROW($V$63))*14,0),0)</f>
        <v>0</v>
      </c>
      <c r="Z69" s="5">
        <f ca="1">IF(AND((OFFSET('DATA INPUT'!$C$51, ROW()-ROW($V$63),0)=$V$10),
(OFFSET('DATA INPUT'!$V$51,ROW()-ROW($V$63),0)=3)),
OFFSET('Calc - OTHER PERS'!$Q$11,COLUMN()-COLUMN($V$63) + (ROW()-ROW($V$63))*14,0),0)</f>
        <v>0</v>
      </c>
      <c r="AA69" s="1180">
        <f ca="1">IF(AND((OFFSET('DATA INPUT'!$C$51, ROW()-ROW($V$63),0)=$V$10),
(OFFSET('DATA INPUT'!$V$51,ROW()-ROW($V$63),0)=3)),
OFFSET('Calc - OTHER PERS'!$Q$11,COLUMN()-COLUMN($V$63) + (ROW()-ROW($V$63))*14,0),0)</f>
        <v>0</v>
      </c>
      <c r="AB69" s="2385">
        <f t="shared" ca="1" si="110"/>
        <v>0</v>
      </c>
      <c r="AD69" s="133">
        <f ca="1">IF(AND((OFFSET('DATA INPUT'!$C$51, ROW()-ROW($AD$63),0)=$AD$10),
(OFFSET('DATA INPUT'!$V$51,ROW()-ROW($AD$63),0)=3)),
OFFSET('Calc - OTHER PERS'!$Q$11,COLUMN()-COLUMN($AD$63) + (ROW()-ROW($AD$63))*14,0),0)</f>
        <v>0</v>
      </c>
      <c r="AE69" s="5">
        <f ca="1">IF(AND((OFFSET('DATA INPUT'!$C$51, ROW()-ROW($AD$63),0)=$AD$10),
(OFFSET('DATA INPUT'!$V$51,ROW()-ROW($AD$63),0)=3)),
OFFSET('Calc - OTHER PERS'!$Q$11,COLUMN()-COLUMN($AD$63) + (ROW()-ROW($AD$63))*14,0),0)</f>
        <v>0</v>
      </c>
      <c r="AF69" s="5">
        <f ca="1">IF(AND((OFFSET('DATA INPUT'!$C$51, ROW()-ROW($AD$63),0)=$AD$10),
(OFFSET('DATA INPUT'!$V$51,ROW()-ROW($AD$63),0)=3)),
OFFSET('Calc - OTHER PERS'!$Q$11,COLUMN()-COLUMN($AD$63) + (ROW()-ROW($AD$63))*14,0),0)</f>
        <v>0</v>
      </c>
      <c r="AG69" s="5">
        <f ca="1">IF(AND((OFFSET('DATA INPUT'!$C$51, ROW()-ROW($AD$63),0)=$AD$10),
(OFFSET('DATA INPUT'!$V$51,ROW()-ROW($AD$63),0)=3)),
OFFSET('Calc - OTHER PERS'!$Q$11,COLUMN()-COLUMN($AD$63) + (ROW()-ROW($AD$63))*14,0),0)</f>
        <v>0</v>
      </c>
      <c r="AH69" s="5">
        <f ca="1">IF(AND((OFFSET('DATA INPUT'!$C$51, ROW()-ROW($AD$63),0)=$AD$10),
(OFFSET('DATA INPUT'!$V$51,ROW()-ROW($AD$63),0)=3)),
OFFSET('Calc - OTHER PERS'!$Q$11,COLUMN()-COLUMN($AD$63) + (ROW()-ROW($AD$63))*14,0),0)</f>
        <v>0</v>
      </c>
      <c r="AI69" s="1180">
        <f ca="1">IF(AND((OFFSET('DATA INPUT'!$C$51, ROW()-ROW($AD$63),0)=$AD$10),
(OFFSET('DATA INPUT'!$V$51,ROW()-ROW($AD$63),0)=3)),
OFFSET('Calc - OTHER PERS'!$Q$11,COLUMN()-COLUMN($AD$63) + (ROW()-ROW($AD$63))*14,0),0)</f>
        <v>0</v>
      </c>
      <c r="AJ69" s="206">
        <f t="shared" ca="1" si="111"/>
        <v>0</v>
      </c>
      <c r="AL69" s="133">
        <f ca="1">IF(AND((OFFSET('DATA INPUT'!$C$51, ROW()-ROW($AL$63),0)=$AL$10),
(OFFSET('DATA INPUT'!$V$51,ROW()-ROW($AL$63),0)=3)),
OFFSET('Calc - OTHER PERS'!$Q$11,COLUMN()-COLUMN($AL$63) + (ROW()-ROW($AL$63))*14,0),0)</f>
        <v>0</v>
      </c>
      <c r="AM69" s="5">
        <f ca="1">IF(AND((OFFSET('DATA INPUT'!$C$51, ROW()-ROW($AL$63),0)=$AL$10),
(OFFSET('DATA INPUT'!$V$51,ROW()-ROW($AL$63),0)=3)),
OFFSET('Calc - OTHER PERS'!$Q$11,COLUMN()-COLUMN($AL$63) + (ROW()-ROW($AL$63))*14,0),0)</f>
        <v>0</v>
      </c>
      <c r="AN69" s="5">
        <f ca="1">IF(AND((OFFSET('DATA INPUT'!$C$51, ROW()-ROW($AL$63),0)=$AL$10),
(OFFSET('DATA INPUT'!$V$51,ROW()-ROW($AL$63),0)=3)),
OFFSET('Calc - OTHER PERS'!$Q$11,COLUMN()-COLUMN($AL$63) + (ROW()-ROW($AL$63))*14,0),0)</f>
        <v>0</v>
      </c>
      <c r="AO69" s="5">
        <f ca="1">IF(AND((OFFSET('DATA INPUT'!$C$51, ROW()-ROW($AL$63),0)=$AL$10),
(OFFSET('DATA INPUT'!$V$51,ROW()-ROW($AL$63),0)=3)),
OFFSET('Calc - OTHER PERS'!$Q$11,COLUMN()-COLUMN($AL$63) + (ROW()-ROW($AL$63))*14,0),0)</f>
        <v>0</v>
      </c>
      <c r="AP69" s="5">
        <f ca="1">IF(AND((OFFSET('DATA INPUT'!$C$51, ROW()-ROW($AL$63),0)=$AL$10),
(OFFSET('DATA INPUT'!$V$51,ROW()-ROW($AL$63),0)=3)),
OFFSET('Calc - OTHER PERS'!$Q$11,COLUMN()-COLUMN($AL$63) + (ROW()-ROW($AL$63))*14,0),0)</f>
        <v>0</v>
      </c>
      <c r="AQ69" s="5">
        <f ca="1">IF(AND((OFFSET('DATA INPUT'!$C$51, ROW()-ROW($AL$63),0)=$AL$10),
(OFFSET('DATA INPUT'!$V$51,ROW()-ROW($AL$63),0)=3)),
OFFSET('Calc - OTHER PERS'!$Q$11,COLUMN()-COLUMN($AL$63) + (ROW()-ROW($AL$63))*14,0),0)</f>
        <v>0</v>
      </c>
      <c r="AR69" s="178">
        <f t="shared" ca="1" si="112"/>
        <v>0</v>
      </c>
      <c r="AT69" s="133">
        <f ca="1">IF(AND((OFFSET('DATA INPUT'!$C$51, ROW()-ROW($AT$63),0)=$AT$10),
(OFFSET('DATA INPUT'!$V$51,ROW()-ROW($AT$63),0)=3)),
OFFSET('Calc - OTHER PERS'!$Q$11,COLUMN()-COLUMN($AT$63) + (ROW()-ROW($AT$63))*14,0),0)</f>
        <v>0</v>
      </c>
      <c r="AU69" s="5">
        <f ca="1">IF(AND((OFFSET('DATA INPUT'!$C$51, ROW()-ROW($AT$63),0)=$AT$10),
(OFFSET('DATA INPUT'!$V$51,ROW()-ROW($AT$63),0)=3)),
OFFSET('Calc - OTHER PERS'!$Q$11,COLUMN()-COLUMN($AT$63) + (ROW()-ROW($AT$63))*14,0),0)</f>
        <v>0</v>
      </c>
      <c r="AV69" s="5">
        <f ca="1">IF(AND((OFFSET('DATA INPUT'!$C$51, ROW()-ROW($AT$63),0)=$AT$10),
(OFFSET('DATA INPUT'!$V$51,ROW()-ROW($AT$63),0)=3)),
OFFSET('Calc - OTHER PERS'!$Q$11,COLUMN()-COLUMN($AT$63) + (ROW()-ROW($AT$63))*14,0),0)</f>
        <v>0</v>
      </c>
      <c r="AW69" s="5">
        <f ca="1">IF(AND((OFFSET('DATA INPUT'!$C$51, ROW()-ROW($AT$63),0)=$AT$10),
(OFFSET('DATA INPUT'!$V$51,ROW()-ROW($AT$63),0)=3)),
OFFSET('Calc - OTHER PERS'!$Q$11,COLUMN()-COLUMN($AT$63) + (ROW()-ROW($AT$63))*14,0),0)</f>
        <v>0</v>
      </c>
      <c r="AX69" s="5">
        <f ca="1">IF(AND((OFFSET('DATA INPUT'!$C$51, ROW()-ROW($AT$63),0)=$AT$10),
(OFFSET('DATA INPUT'!$V$51,ROW()-ROW($AT$63),0)=3)),
OFFSET('Calc - OTHER PERS'!$Q$11,COLUMN()-COLUMN($AT$63) + (ROW()-ROW($AT$63))*14,0),0)</f>
        <v>0</v>
      </c>
      <c r="AY69" s="5">
        <f ca="1">IF(AND((OFFSET('DATA INPUT'!$C$51, ROW()-ROW($AT$63),0)=$AT$10),
(OFFSET('DATA INPUT'!$V$51,ROW()-ROW($AT$63),0)=3)),
OFFSET('Calc - OTHER PERS'!$Q$11,COLUMN()-COLUMN($AT$63) + (ROW()-ROW($AT$63))*14,0),0)</f>
        <v>0</v>
      </c>
      <c r="AZ69" s="150">
        <f t="shared" ca="1" si="113"/>
        <v>0</v>
      </c>
      <c r="BB69" s="133">
        <f ca="1">IF(AND((OFFSET('DATA INPUT'!$C$51, ROW()-ROW($BB$63),0)=$BB$10),
(OFFSET('DATA INPUT'!$V$51,ROW()-ROW($BB$63),0)=3)),
OFFSET('Calc - OTHER PERS'!$Q$11,COLUMN()-COLUMN($BB$63) + (ROW()-ROW($BB$63))*14,0),0)</f>
        <v>0</v>
      </c>
      <c r="BC69" s="5">
        <f ca="1">IF(AND((OFFSET('DATA INPUT'!$C$51, ROW()-ROW($BB$63),0)=$BB$10),
(OFFSET('DATA INPUT'!$V$51,ROW()-ROW($BB$63),0)=3)),
OFFSET('Calc - OTHER PERS'!$Q$11,COLUMN()-COLUMN($BB$63) + (ROW()-ROW($BB$63))*14,0),0)</f>
        <v>0</v>
      </c>
      <c r="BD69" s="5">
        <f ca="1">IF(AND((OFFSET('DATA INPUT'!$C$51, ROW()-ROW($BB$63),0)=$BB$10),
(OFFSET('DATA INPUT'!$V$51,ROW()-ROW($BB$63),0)=3)),
OFFSET('Calc - OTHER PERS'!$Q$11,COLUMN()-COLUMN($BB$63) + (ROW()-ROW($BB$63))*14,0),0)</f>
        <v>0</v>
      </c>
      <c r="BE69" s="5">
        <f ca="1">IF(AND((OFFSET('DATA INPUT'!$C$51, ROW()-ROW($BB$63),0)=$BB$10),
(OFFSET('DATA INPUT'!$V$51,ROW()-ROW($BB$63),0)=3)),
OFFSET('Calc - OTHER PERS'!$Q$11,COLUMN()-COLUMN($BB$63) + (ROW()-ROW($BB$63))*14,0),0)</f>
        <v>0</v>
      </c>
      <c r="BF69" s="5">
        <f ca="1">IF(AND((OFFSET('DATA INPUT'!$C$51, ROW()-ROW($BB$63),0)=$BB$10),
(OFFSET('DATA INPUT'!$V$51,ROW()-ROW($BB$63),0)=3)),
OFFSET('Calc - OTHER PERS'!$Q$11,COLUMN()-COLUMN($BB$63) + (ROW()-ROW($BB$63))*14,0),0)</f>
        <v>0</v>
      </c>
      <c r="BG69" s="5">
        <f ca="1">IF(AND((OFFSET('DATA INPUT'!$C$51, ROW()-ROW($BB$63),0)=$BB$10),
(OFFSET('DATA INPUT'!$V$51,ROW()-ROW($BB$63),0)=3)),
OFFSET('Calc - OTHER PERS'!$Q$11,COLUMN()-COLUMN($BB$63) + (ROW()-ROW($BB$63))*14,0),0)</f>
        <v>0</v>
      </c>
      <c r="BH69" s="192">
        <f t="shared" ca="1" si="114"/>
        <v>0</v>
      </c>
      <c r="BJ69" s="21"/>
      <c r="BK69" s="5"/>
      <c r="BL69" s="5"/>
      <c r="BM69" s="5"/>
      <c r="BN69" s="5"/>
      <c r="BO69" s="5"/>
      <c r="BP69" s="1105">
        <f t="shared" si="115"/>
        <v>0</v>
      </c>
      <c r="BR69" s="575">
        <f t="shared" ca="1" si="116"/>
        <v>0</v>
      </c>
      <c r="BS69" s="5">
        <f t="shared" ca="1" si="117"/>
        <v>0</v>
      </c>
      <c r="BT69" s="5">
        <f t="shared" ca="1" si="118"/>
        <v>0</v>
      </c>
      <c r="BU69" s="5">
        <f t="shared" ca="1" si="119"/>
        <v>0</v>
      </c>
      <c r="BV69" s="5">
        <f t="shared" ca="1" si="120"/>
        <v>0</v>
      </c>
      <c r="BW69" s="5">
        <f t="shared" ca="1" si="121"/>
        <v>0</v>
      </c>
      <c r="BX69" s="2175">
        <f t="shared" ca="1" si="122"/>
        <v>0</v>
      </c>
      <c r="BY69" s="573">
        <f t="shared" ca="1" si="123"/>
        <v>0</v>
      </c>
      <c r="BZ69" s="257"/>
      <c r="CB69" s="1182">
        <f t="shared" ca="1" si="203"/>
        <v>0</v>
      </c>
      <c r="CC69" s="387">
        <f t="shared" ca="1" si="204"/>
        <v>0</v>
      </c>
      <c r="CD69" s="56">
        <f t="shared" ca="1" si="204"/>
        <v>0</v>
      </c>
      <c r="CE69" s="56">
        <f t="shared" ca="1" si="205"/>
        <v>0</v>
      </c>
      <c r="CF69" s="56">
        <f t="shared" ca="1" si="206"/>
        <v>0</v>
      </c>
      <c r="CG69" s="1183">
        <f t="shared" ca="1" si="207"/>
        <v>0</v>
      </c>
      <c r="CH69" s="1184">
        <f t="shared" ca="1" si="208"/>
        <v>0</v>
      </c>
      <c r="CI69" s="1193">
        <f t="shared" ca="1" si="208"/>
        <v>0</v>
      </c>
      <c r="CJ69" s="1193">
        <f t="shared" ca="1" si="209"/>
        <v>0</v>
      </c>
      <c r="CK69" s="1193">
        <f t="shared" ca="1" si="210"/>
        <v>0</v>
      </c>
      <c r="CL69" s="1235">
        <f t="shared" ca="1" si="211"/>
        <v>0</v>
      </c>
      <c r="CM69" s="1187">
        <f t="shared" ca="1" si="212"/>
        <v>0</v>
      </c>
      <c r="CN69" s="1188">
        <f t="shared" ca="1" si="212"/>
        <v>0</v>
      </c>
      <c r="CO69" s="1189">
        <f t="shared" ca="1" si="213"/>
        <v>0</v>
      </c>
      <c r="CP69" s="1234">
        <f t="shared" ca="1" si="124"/>
        <v>0</v>
      </c>
      <c r="CS69" s="575"/>
      <c r="CT69" s="5"/>
      <c r="CU69" s="1180"/>
      <c r="CV69" s="575"/>
      <c r="CW69" s="5"/>
      <c r="CX69" s="1180"/>
      <c r="CY69" s="575"/>
      <c r="CZ69" s="5"/>
      <c r="DA69" s="1180"/>
      <c r="DB69" s="575"/>
      <c r="DC69" s="5"/>
      <c r="DD69" s="1180"/>
      <c r="DE69" s="1181">
        <f t="shared" si="214"/>
        <v>0</v>
      </c>
      <c r="DG69" s="575"/>
      <c r="DH69" s="5"/>
      <c r="DI69" s="1180"/>
      <c r="DJ69" s="575"/>
      <c r="DK69" s="5"/>
      <c r="DL69" s="1180"/>
      <c r="DM69" s="575"/>
      <c r="DN69" s="5"/>
      <c r="DO69" s="1180"/>
      <c r="DP69" s="575"/>
      <c r="DQ69" s="5"/>
      <c r="DR69" s="1180"/>
      <c r="DS69" s="1181">
        <f t="shared" si="215"/>
        <v>0</v>
      </c>
      <c r="DU69" s="575"/>
      <c r="DV69" s="5"/>
      <c r="DW69" s="1180"/>
      <c r="DX69" s="575"/>
      <c r="DY69" s="5"/>
      <c r="DZ69" s="1180"/>
      <c r="EA69" s="575"/>
      <c r="EB69" s="5"/>
      <c r="EC69" s="1180"/>
      <c r="ED69" s="575"/>
      <c r="EE69" s="5"/>
      <c r="EF69" s="1180"/>
      <c r="EG69" s="1181">
        <f t="shared" si="216"/>
        <v>0</v>
      </c>
      <c r="EI69" s="22"/>
      <c r="EJ69" s="3211"/>
      <c r="EK69" s="422" t="str">
        <f t="shared" si="217"/>
        <v xml:space="preserve"> - </v>
      </c>
      <c r="EL69" s="409">
        <f t="shared" ca="1" si="218"/>
        <v>0</v>
      </c>
      <c r="EM69" s="409">
        <f t="shared" ca="1" si="219"/>
        <v>0</v>
      </c>
      <c r="EN69" s="409">
        <f t="shared" ca="1" si="220"/>
        <v>0</v>
      </c>
      <c r="EO69" s="409">
        <f t="shared" ca="1" si="221"/>
        <v>0</v>
      </c>
      <c r="EP69" s="409">
        <f t="shared" ca="1" si="222"/>
        <v>0</v>
      </c>
      <c r="EQ69" s="409">
        <f t="shared" ca="1" si="223"/>
        <v>0</v>
      </c>
      <c r="ER69" s="12">
        <f t="shared" ca="1" si="224"/>
        <v>0</v>
      </c>
      <c r="ES69" s="4"/>
      <c r="ET69" s="45"/>
      <c r="EU69" s="4"/>
      <c r="EV69" s="133">
        <f t="shared" ca="1" si="225"/>
        <v>0</v>
      </c>
      <c r="EW69" s="5">
        <f t="shared" ca="1" si="226"/>
        <v>0</v>
      </c>
      <c r="EX69" s="5">
        <f t="shared" ca="1" si="227"/>
        <v>0</v>
      </c>
      <c r="EY69" s="5">
        <f t="shared" ca="1" si="228"/>
        <v>0</v>
      </c>
      <c r="EZ69" s="21">
        <f t="shared" ca="1" si="229"/>
        <v>0</v>
      </c>
      <c r="FA69" s="21">
        <f t="shared" ca="1" si="230"/>
        <v>0</v>
      </c>
      <c r="FB69" s="164">
        <f t="shared" ca="1" si="143"/>
        <v>0</v>
      </c>
      <c r="FD69" s="133">
        <f t="shared" ca="1" si="231"/>
        <v>0</v>
      </c>
      <c r="FE69" s="5">
        <f t="shared" ca="1" si="232"/>
        <v>0</v>
      </c>
      <c r="FF69" s="5">
        <f t="shared" ca="1" si="233"/>
        <v>0</v>
      </c>
      <c r="FG69" s="5">
        <f t="shared" ca="1" si="234"/>
        <v>0</v>
      </c>
      <c r="FH69" s="5">
        <f t="shared" ca="1" si="235"/>
        <v>0</v>
      </c>
      <c r="FI69" s="1180">
        <f t="shared" ca="1" si="236"/>
        <v>0</v>
      </c>
      <c r="FJ69" s="2385">
        <f t="shared" ca="1" si="150"/>
        <v>0</v>
      </c>
      <c r="FL69" s="133">
        <f t="shared" ca="1" si="237"/>
        <v>0</v>
      </c>
      <c r="FM69" s="5">
        <f t="shared" ca="1" si="238"/>
        <v>0</v>
      </c>
      <c r="FN69" s="5">
        <f t="shared" ca="1" si="239"/>
        <v>0</v>
      </c>
      <c r="FO69" s="5">
        <f t="shared" ca="1" si="240"/>
        <v>0</v>
      </c>
      <c r="FP69" s="5">
        <f t="shared" ca="1" si="241"/>
        <v>0</v>
      </c>
      <c r="FQ69" s="1180">
        <f t="shared" ca="1" si="242"/>
        <v>0</v>
      </c>
      <c r="FR69" s="206">
        <f t="shared" ca="1" si="157"/>
        <v>0</v>
      </c>
      <c r="FT69" s="133">
        <f t="shared" ca="1" si="243"/>
        <v>0</v>
      </c>
      <c r="FU69" s="5">
        <f t="shared" ca="1" si="244"/>
        <v>0</v>
      </c>
      <c r="FV69" s="5">
        <f t="shared" ca="1" si="245"/>
        <v>0</v>
      </c>
      <c r="FW69" s="5">
        <f t="shared" ca="1" si="246"/>
        <v>0</v>
      </c>
      <c r="FX69" s="5">
        <f t="shared" ca="1" si="247"/>
        <v>0</v>
      </c>
      <c r="FY69" s="5">
        <f t="shared" ca="1" si="248"/>
        <v>0</v>
      </c>
      <c r="FZ69" s="178">
        <f t="shared" ca="1" si="164"/>
        <v>0</v>
      </c>
      <c r="GB69" s="133">
        <f t="shared" ca="1" si="249"/>
        <v>0</v>
      </c>
      <c r="GC69" s="5">
        <f t="shared" ca="1" si="250"/>
        <v>0</v>
      </c>
      <c r="GD69" s="5">
        <f t="shared" ca="1" si="251"/>
        <v>0</v>
      </c>
      <c r="GE69" s="5">
        <f t="shared" ca="1" si="252"/>
        <v>0</v>
      </c>
      <c r="GF69" s="5">
        <f t="shared" ca="1" si="253"/>
        <v>0</v>
      </c>
      <c r="GG69" s="5">
        <f t="shared" ca="1" si="254"/>
        <v>0</v>
      </c>
      <c r="GH69" s="150">
        <f t="shared" ca="1" si="171"/>
        <v>0</v>
      </c>
      <c r="GJ69" s="133">
        <f t="shared" ca="1" si="255"/>
        <v>0</v>
      </c>
      <c r="GK69" s="5">
        <f t="shared" ca="1" si="256"/>
        <v>0</v>
      </c>
      <c r="GL69" s="5">
        <f t="shared" ca="1" si="257"/>
        <v>0</v>
      </c>
      <c r="GM69" s="5">
        <f t="shared" ca="1" si="258"/>
        <v>0</v>
      </c>
      <c r="GN69" s="5">
        <f t="shared" ca="1" si="259"/>
        <v>0</v>
      </c>
      <c r="GO69" s="5">
        <f t="shared" ca="1" si="260"/>
        <v>0</v>
      </c>
      <c r="GP69" s="192">
        <f t="shared" ca="1" si="172"/>
        <v>0</v>
      </c>
      <c r="GR69" s="21"/>
      <c r="GS69" s="5"/>
      <c r="GT69" s="5"/>
      <c r="GU69" s="5"/>
      <c r="GV69" s="5"/>
      <c r="GW69" s="5"/>
      <c r="GX69" s="1105">
        <f t="shared" si="173"/>
        <v>0</v>
      </c>
      <c r="GZ69" s="575">
        <f t="shared" ca="1" si="174"/>
        <v>0</v>
      </c>
      <c r="HA69" s="5">
        <f t="shared" ca="1" si="175"/>
        <v>0</v>
      </c>
      <c r="HB69" s="5">
        <f t="shared" ca="1" si="176"/>
        <v>0</v>
      </c>
      <c r="HC69" s="5">
        <f t="shared" ca="1" si="177"/>
        <v>0</v>
      </c>
      <c r="HD69" s="5">
        <f t="shared" ca="1" si="178"/>
        <v>0</v>
      </c>
      <c r="HE69" s="5">
        <f t="shared" ca="1" si="179"/>
        <v>0</v>
      </c>
      <c r="HF69" s="2175">
        <f t="shared" ca="1" si="180"/>
        <v>0</v>
      </c>
      <c r="HG69" s="573">
        <f t="shared" ca="1" si="181"/>
        <v>0</v>
      </c>
      <c r="HH69" s="257"/>
    </row>
    <row r="70" spans="1:216" ht="15" hidden="1" customHeight="1" x14ac:dyDescent="0.25">
      <c r="A70" s="22"/>
      <c r="B70" s="3211"/>
      <c r="C70" s="123" t="str">
        <f>('DATA INPUT'!B58&amp;" "&amp;"-"&amp;" "&amp;'DATA INPUT'!H58)</f>
        <v xml:space="preserve"> - </v>
      </c>
      <c r="D70" s="409">
        <f ca="1">'Calc - OTHER PERS'!J109</f>
        <v>0</v>
      </c>
      <c r="E70" s="41">
        <f ca="1">'Calc - OTHER PERS'!J110</f>
        <v>0</v>
      </c>
      <c r="F70" s="41">
        <f ca="1">'Calc - OTHER PERS'!J111</f>
        <v>0</v>
      </c>
      <c r="G70" s="41">
        <f ca="1">'Calc - OTHER PERS'!J112</f>
        <v>0</v>
      </c>
      <c r="H70" s="41">
        <f ca="1">'Calc - OTHER PERS'!J113</f>
        <v>0</v>
      </c>
      <c r="I70" s="41">
        <f ca="1">'Calc - OTHER PERS'!J114</f>
        <v>0</v>
      </c>
      <c r="J70" s="345">
        <f t="shared" ca="1" si="202"/>
        <v>0</v>
      </c>
      <c r="K70" s="4"/>
      <c r="L70" s="45"/>
      <c r="M70" s="4"/>
      <c r="N70" s="133">
        <f ca="1">IF(AND((OFFSET('DATA INPUT'!$C$51, ROW()-ROW($N$63),0)=$N$10),
(OFFSET('DATA INPUT'!$V$51,ROW()-ROW($N$63),0)=3)),
OFFSET('Calc - OTHER PERS'!$Q$11,COLUMN()-COLUMN($N$63) + (ROW()-ROW($N$63))*14,0),0)</f>
        <v>0</v>
      </c>
      <c r="O70" s="5">
        <f ca="1">IF(AND((OFFSET('DATA INPUT'!$C$51, ROW()-ROW($N$63),0)=$N$10),
(OFFSET('DATA INPUT'!$V$51,ROW()-ROW($N$63),0)=3)),
OFFSET('Calc - OTHER PERS'!$Q$11,COLUMN()-COLUMN($N$63) + (ROW()-ROW($N$63))*14,0),0)</f>
        <v>0</v>
      </c>
      <c r="P70" s="5">
        <f ca="1">IF(AND((OFFSET('DATA INPUT'!$C$51, ROW()-ROW($N$63),0)=$N$10),
(OFFSET('DATA INPUT'!$V$51,ROW()-ROW($N$63),0)=3)),
OFFSET('Calc - OTHER PERS'!$Q$11,COLUMN()-COLUMN($N$63) + (ROW()-ROW($N$63))*14,0),0)</f>
        <v>0</v>
      </c>
      <c r="Q70" s="5">
        <f ca="1">IF(AND((OFFSET('DATA INPUT'!$C$51, ROW()-ROW($N$63),0)=$N$10),
(OFFSET('DATA INPUT'!$V$51,ROW()-ROW($N$63),0)=3)),
OFFSET('Calc - OTHER PERS'!$Q$11,COLUMN()-COLUMN($N$63) + (ROW()-ROW($N$63))*14,0),0)</f>
        <v>0</v>
      </c>
      <c r="R70" s="5">
        <f ca="1">IF(AND((OFFSET('DATA INPUT'!$C$51, ROW()-ROW($N$63),0)=$N$10),
(OFFSET('DATA INPUT'!$V$51,ROW()-ROW($N$63),0)=3)),
OFFSET('Calc - OTHER PERS'!$Q$11,COLUMN()-COLUMN($N$63) + (ROW()-ROW($N$63))*14,0),0)</f>
        <v>0</v>
      </c>
      <c r="S70" s="5">
        <f ca="1">IF(AND((OFFSET('DATA INPUT'!$C$51, ROW()-ROW($N$63),0)=$N$10),
(OFFSET('DATA INPUT'!$V$51,ROW()-ROW($N$63),0)=3)),
OFFSET('Calc - OTHER PERS'!$Q$11,COLUMN()-COLUMN($N$63) + (ROW()-ROW($N$63))*14,0),0)</f>
        <v>0</v>
      </c>
      <c r="T70" s="164">
        <f t="shared" ca="1" si="109"/>
        <v>0</v>
      </c>
      <c r="V70" s="133">
        <f ca="1">IF(AND((OFFSET('DATA INPUT'!$C$51, ROW()-ROW($V$63),0)=$V$10),
(OFFSET('DATA INPUT'!$V$51,ROW()-ROW($V$63),0)=3)),
OFFSET('Calc - OTHER PERS'!$Q$11,COLUMN()-COLUMN($V$63) + (ROW()-ROW($V$63))*14,0),0)</f>
        <v>0</v>
      </c>
      <c r="W70" s="5">
        <f ca="1">IF(AND((OFFSET('DATA INPUT'!$C$51, ROW()-ROW($V$63),0)=$V$10),
(OFFSET('DATA INPUT'!$V$51,ROW()-ROW($V$63),0)=3)),
OFFSET('Calc - OTHER PERS'!$Q$11,COLUMN()-COLUMN($V$63) + (ROW()-ROW($V$63))*14,0),0)</f>
        <v>0</v>
      </c>
      <c r="X70" s="5">
        <f ca="1">IF(AND((OFFSET('DATA INPUT'!$C$51, ROW()-ROW($V$63),0)=$V$10),
(OFFSET('DATA INPUT'!$V$51,ROW()-ROW($V$63),0)=3)),
OFFSET('Calc - OTHER PERS'!$Q$11,COLUMN()-COLUMN($V$63) + (ROW()-ROW($V$63))*14,0),0)</f>
        <v>0</v>
      </c>
      <c r="Y70" s="5">
        <f ca="1">IF(AND((OFFSET('DATA INPUT'!$C$51, ROW()-ROW($V$63),0)=$V$10),
(OFFSET('DATA INPUT'!$V$51,ROW()-ROW($V$63),0)=3)),
OFFSET('Calc - OTHER PERS'!$Q$11,COLUMN()-COLUMN($V$63) + (ROW()-ROW($V$63))*14,0),0)</f>
        <v>0</v>
      </c>
      <c r="Z70" s="5">
        <f ca="1">IF(AND((OFFSET('DATA INPUT'!$C$51, ROW()-ROW($V$63),0)=$V$10),
(OFFSET('DATA INPUT'!$V$51,ROW()-ROW($V$63),0)=3)),
OFFSET('Calc - OTHER PERS'!$Q$11,COLUMN()-COLUMN($V$63) + (ROW()-ROW($V$63))*14,0),0)</f>
        <v>0</v>
      </c>
      <c r="AA70" s="1180">
        <f ca="1">IF(AND((OFFSET('DATA INPUT'!$C$51, ROW()-ROW($V$63),0)=$V$10),
(OFFSET('DATA INPUT'!$V$51,ROW()-ROW($V$63),0)=3)),
OFFSET('Calc - OTHER PERS'!$Q$11,COLUMN()-COLUMN($V$63) + (ROW()-ROW($V$63))*14,0),0)</f>
        <v>0</v>
      </c>
      <c r="AB70" s="2385">
        <f t="shared" ca="1" si="110"/>
        <v>0</v>
      </c>
      <c r="AD70" s="133">
        <f ca="1">IF(AND((OFFSET('DATA INPUT'!$C$51, ROW()-ROW($AD$63),0)=$AD$10),
(OFFSET('DATA INPUT'!$V$51,ROW()-ROW($AD$63),0)=3)),
OFFSET('Calc - OTHER PERS'!$Q$11,COLUMN()-COLUMN($AD$63) + (ROW()-ROW($AD$63))*14,0),0)</f>
        <v>0</v>
      </c>
      <c r="AE70" s="5">
        <f ca="1">IF(AND((OFFSET('DATA INPUT'!$C$51, ROW()-ROW($AD$63),0)=$AD$10),
(OFFSET('DATA INPUT'!$V$51,ROW()-ROW($AD$63),0)=3)),
OFFSET('Calc - OTHER PERS'!$Q$11,COLUMN()-COLUMN($AD$63) + (ROW()-ROW($AD$63))*14,0),0)</f>
        <v>0</v>
      </c>
      <c r="AF70" s="5">
        <f ca="1">IF(AND((OFFSET('DATA INPUT'!$C$51, ROW()-ROW($AD$63),0)=$AD$10),
(OFFSET('DATA INPUT'!$V$51,ROW()-ROW($AD$63),0)=3)),
OFFSET('Calc - OTHER PERS'!$Q$11,COLUMN()-COLUMN($AD$63) + (ROW()-ROW($AD$63))*14,0),0)</f>
        <v>0</v>
      </c>
      <c r="AG70" s="5">
        <f ca="1">IF(AND((OFFSET('DATA INPUT'!$C$51, ROW()-ROW($AD$63),0)=$AD$10),
(OFFSET('DATA INPUT'!$V$51,ROW()-ROW($AD$63),0)=3)),
OFFSET('Calc - OTHER PERS'!$Q$11,COLUMN()-COLUMN($AD$63) + (ROW()-ROW($AD$63))*14,0),0)</f>
        <v>0</v>
      </c>
      <c r="AH70" s="5">
        <f ca="1">IF(AND((OFFSET('DATA INPUT'!$C$51, ROW()-ROW($AD$63),0)=$AD$10),
(OFFSET('DATA INPUT'!$V$51,ROW()-ROW($AD$63),0)=3)),
OFFSET('Calc - OTHER PERS'!$Q$11,COLUMN()-COLUMN($AD$63) + (ROW()-ROW($AD$63))*14,0),0)</f>
        <v>0</v>
      </c>
      <c r="AI70" s="1180">
        <f ca="1">IF(AND((OFFSET('DATA INPUT'!$C$51, ROW()-ROW($AD$63),0)=$AD$10),
(OFFSET('DATA INPUT'!$V$51,ROW()-ROW($AD$63),0)=3)),
OFFSET('Calc - OTHER PERS'!$Q$11,COLUMN()-COLUMN($AD$63) + (ROW()-ROW($AD$63))*14,0),0)</f>
        <v>0</v>
      </c>
      <c r="AJ70" s="206">
        <f t="shared" ca="1" si="111"/>
        <v>0</v>
      </c>
      <c r="AL70" s="133">
        <f ca="1">IF(AND((OFFSET('DATA INPUT'!$C$51, ROW()-ROW($AL$63),0)=$AL$10),
(OFFSET('DATA INPUT'!$V$51,ROW()-ROW($AL$63),0)=3)),
OFFSET('Calc - OTHER PERS'!$Q$11,COLUMN()-COLUMN($AL$63) + (ROW()-ROW($AL$63))*14,0),0)</f>
        <v>0</v>
      </c>
      <c r="AM70" s="5">
        <f ca="1">IF(AND((OFFSET('DATA INPUT'!$C$51, ROW()-ROW($AL$63),0)=$AL$10),
(OFFSET('DATA INPUT'!$V$51,ROW()-ROW($AL$63),0)=3)),
OFFSET('Calc - OTHER PERS'!$Q$11,COLUMN()-COLUMN($AL$63) + (ROW()-ROW($AL$63))*14,0),0)</f>
        <v>0</v>
      </c>
      <c r="AN70" s="5">
        <f ca="1">IF(AND((OFFSET('DATA INPUT'!$C$51, ROW()-ROW($AL$63),0)=$AL$10),
(OFFSET('DATA INPUT'!$V$51,ROW()-ROW($AL$63),0)=3)),
OFFSET('Calc - OTHER PERS'!$Q$11,COLUMN()-COLUMN($AL$63) + (ROW()-ROW($AL$63))*14,0),0)</f>
        <v>0</v>
      </c>
      <c r="AO70" s="5">
        <f ca="1">IF(AND((OFFSET('DATA INPUT'!$C$51, ROW()-ROW($AL$63),0)=$AL$10),
(OFFSET('DATA INPUT'!$V$51,ROW()-ROW($AL$63),0)=3)),
OFFSET('Calc - OTHER PERS'!$Q$11,COLUMN()-COLUMN($AL$63) + (ROW()-ROW($AL$63))*14,0),0)</f>
        <v>0</v>
      </c>
      <c r="AP70" s="5">
        <f ca="1">IF(AND((OFFSET('DATA INPUT'!$C$51, ROW()-ROW($AL$63),0)=$AL$10),
(OFFSET('DATA INPUT'!$V$51,ROW()-ROW($AL$63),0)=3)),
OFFSET('Calc - OTHER PERS'!$Q$11,COLUMN()-COLUMN($AL$63) + (ROW()-ROW($AL$63))*14,0),0)</f>
        <v>0</v>
      </c>
      <c r="AQ70" s="5">
        <f ca="1">IF(AND((OFFSET('DATA INPUT'!$C$51, ROW()-ROW($AL$63),0)=$AL$10),
(OFFSET('DATA INPUT'!$V$51,ROW()-ROW($AL$63),0)=3)),
OFFSET('Calc - OTHER PERS'!$Q$11,COLUMN()-COLUMN($AL$63) + (ROW()-ROW($AL$63))*14,0),0)</f>
        <v>0</v>
      </c>
      <c r="AR70" s="178">
        <f t="shared" ca="1" si="112"/>
        <v>0</v>
      </c>
      <c r="AT70" s="133">
        <f ca="1">IF(AND((OFFSET('DATA INPUT'!$C$51, ROW()-ROW($AT$63),0)=$AT$10),
(OFFSET('DATA INPUT'!$V$51,ROW()-ROW($AT$63),0)=3)),
OFFSET('Calc - OTHER PERS'!$Q$11,COLUMN()-COLUMN($AT$63) + (ROW()-ROW($AT$63))*14,0),0)</f>
        <v>0</v>
      </c>
      <c r="AU70" s="5">
        <f ca="1">IF(AND((OFFSET('DATA INPUT'!$C$51, ROW()-ROW($AT$63),0)=$AT$10),
(OFFSET('DATA INPUT'!$V$51,ROW()-ROW($AT$63),0)=3)),
OFFSET('Calc - OTHER PERS'!$Q$11,COLUMN()-COLUMN($AT$63) + (ROW()-ROW($AT$63))*14,0),0)</f>
        <v>0</v>
      </c>
      <c r="AV70" s="5">
        <f ca="1">IF(AND((OFFSET('DATA INPUT'!$C$51, ROW()-ROW($AT$63),0)=$AT$10),
(OFFSET('DATA INPUT'!$V$51,ROW()-ROW($AT$63),0)=3)),
OFFSET('Calc - OTHER PERS'!$Q$11,COLUMN()-COLUMN($AT$63) + (ROW()-ROW($AT$63))*14,0),0)</f>
        <v>0</v>
      </c>
      <c r="AW70" s="5">
        <f ca="1">IF(AND((OFFSET('DATA INPUT'!$C$51, ROW()-ROW($AT$63),0)=$AT$10),
(OFFSET('DATA INPUT'!$V$51,ROW()-ROW($AT$63),0)=3)),
OFFSET('Calc - OTHER PERS'!$Q$11,COLUMN()-COLUMN($AT$63) + (ROW()-ROW($AT$63))*14,0),0)</f>
        <v>0</v>
      </c>
      <c r="AX70" s="5">
        <f ca="1">IF(AND((OFFSET('DATA INPUT'!$C$51, ROW()-ROW($AT$63),0)=$AT$10),
(OFFSET('DATA INPUT'!$V$51,ROW()-ROW($AT$63),0)=3)),
OFFSET('Calc - OTHER PERS'!$Q$11,COLUMN()-COLUMN($AT$63) + (ROW()-ROW($AT$63))*14,0),0)</f>
        <v>0</v>
      </c>
      <c r="AY70" s="5">
        <f ca="1">IF(AND((OFFSET('DATA INPUT'!$C$51, ROW()-ROW($AT$63),0)=$AT$10),
(OFFSET('DATA INPUT'!$V$51,ROW()-ROW($AT$63),0)=3)),
OFFSET('Calc - OTHER PERS'!$Q$11,COLUMN()-COLUMN($AT$63) + (ROW()-ROW($AT$63))*14,0),0)</f>
        <v>0</v>
      </c>
      <c r="AZ70" s="150">
        <f t="shared" ca="1" si="113"/>
        <v>0</v>
      </c>
      <c r="BB70" s="133">
        <f ca="1">IF(AND((OFFSET('DATA INPUT'!$C$51, ROW()-ROW($BB$63),0)=$BB$10),
(OFFSET('DATA INPUT'!$V$51,ROW()-ROW($BB$63),0)=3)),
OFFSET('Calc - OTHER PERS'!$Q$11,COLUMN()-COLUMN($BB$63) + (ROW()-ROW($BB$63))*14,0),0)</f>
        <v>0</v>
      </c>
      <c r="BC70" s="5">
        <f ca="1">IF(AND((OFFSET('DATA INPUT'!$C$51, ROW()-ROW($BB$63),0)=$BB$10),
(OFFSET('DATA INPUT'!$V$51,ROW()-ROW($BB$63),0)=3)),
OFFSET('Calc - OTHER PERS'!$Q$11,COLUMN()-COLUMN($BB$63) + (ROW()-ROW($BB$63))*14,0),0)</f>
        <v>0</v>
      </c>
      <c r="BD70" s="5">
        <f ca="1">IF(AND((OFFSET('DATA INPUT'!$C$51, ROW()-ROW($BB$63),0)=$BB$10),
(OFFSET('DATA INPUT'!$V$51,ROW()-ROW($BB$63),0)=3)),
OFFSET('Calc - OTHER PERS'!$Q$11,COLUMN()-COLUMN($BB$63) + (ROW()-ROW($BB$63))*14,0),0)</f>
        <v>0</v>
      </c>
      <c r="BE70" s="5">
        <f ca="1">IF(AND((OFFSET('DATA INPUT'!$C$51, ROW()-ROW($BB$63),0)=$BB$10),
(OFFSET('DATA INPUT'!$V$51,ROW()-ROW($BB$63),0)=3)),
OFFSET('Calc - OTHER PERS'!$Q$11,COLUMN()-COLUMN($BB$63) + (ROW()-ROW($BB$63))*14,0),0)</f>
        <v>0</v>
      </c>
      <c r="BF70" s="5">
        <f ca="1">IF(AND((OFFSET('DATA INPUT'!$C$51, ROW()-ROW($BB$63),0)=$BB$10),
(OFFSET('DATA INPUT'!$V$51,ROW()-ROW($BB$63),0)=3)),
OFFSET('Calc - OTHER PERS'!$Q$11,COLUMN()-COLUMN($BB$63) + (ROW()-ROW($BB$63))*14,0),0)</f>
        <v>0</v>
      </c>
      <c r="BG70" s="5">
        <f ca="1">IF(AND((OFFSET('DATA INPUT'!$C$51, ROW()-ROW($BB$63),0)=$BB$10),
(OFFSET('DATA INPUT'!$V$51,ROW()-ROW($BB$63),0)=3)),
OFFSET('Calc - OTHER PERS'!$Q$11,COLUMN()-COLUMN($BB$63) + (ROW()-ROW($BB$63))*14,0),0)</f>
        <v>0</v>
      </c>
      <c r="BH70" s="192">
        <f t="shared" ca="1" si="114"/>
        <v>0</v>
      </c>
      <c r="BJ70" s="21"/>
      <c r="BK70" s="5"/>
      <c r="BL70" s="5"/>
      <c r="BM70" s="5"/>
      <c r="BN70" s="5"/>
      <c r="BO70" s="5"/>
      <c r="BP70" s="1105">
        <f t="shared" si="115"/>
        <v>0</v>
      </c>
      <c r="BR70" s="575">
        <f t="shared" ca="1" si="116"/>
        <v>0</v>
      </c>
      <c r="BS70" s="5">
        <f t="shared" ca="1" si="117"/>
        <v>0</v>
      </c>
      <c r="BT70" s="5">
        <f t="shared" ca="1" si="118"/>
        <v>0</v>
      </c>
      <c r="BU70" s="5">
        <f t="shared" ca="1" si="119"/>
        <v>0</v>
      </c>
      <c r="BV70" s="5">
        <f t="shared" ca="1" si="120"/>
        <v>0</v>
      </c>
      <c r="BW70" s="5">
        <f t="shared" ca="1" si="121"/>
        <v>0</v>
      </c>
      <c r="BX70" s="2175">
        <f t="shared" ca="1" si="122"/>
        <v>0</v>
      </c>
      <c r="BY70" s="573">
        <f t="shared" ca="1" si="123"/>
        <v>0</v>
      </c>
      <c r="BZ70" s="257"/>
      <c r="CB70" s="1182">
        <f t="shared" ca="1" si="203"/>
        <v>0</v>
      </c>
      <c r="CC70" s="387">
        <f t="shared" ca="1" si="204"/>
        <v>0</v>
      </c>
      <c r="CD70" s="56">
        <f t="shared" ca="1" si="204"/>
        <v>0</v>
      </c>
      <c r="CE70" s="56">
        <f t="shared" ca="1" si="205"/>
        <v>0</v>
      </c>
      <c r="CF70" s="56">
        <f t="shared" ca="1" si="206"/>
        <v>0</v>
      </c>
      <c r="CG70" s="1183">
        <f t="shared" ca="1" si="207"/>
        <v>0</v>
      </c>
      <c r="CH70" s="1184">
        <f t="shared" ca="1" si="208"/>
        <v>0</v>
      </c>
      <c r="CI70" s="1185">
        <f t="shared" ca="1" si="208"/>
        <v>0</v>
      </c>
      <c r="CJ70" s="1185">
        <f t="shared" ca="1" si="209"/>
        <v>0</v>
      </c>
      <c r="CK70" s="1185">
        <f t="shared" ca="1" si="210"/>
        <v>0</v>
      </c>
      <c r="CL70" s="2361">
        <f t="shared" ca="1" si="211"/>
        <v>0</v>
      </c>
      <c r="CM70" s="1187">
        <f t="shared" ca="1" si="212"/>
        <v>0</v>
      </c>
      <c r="CN70" s="1188">
        <f t="shared" ca="1" si="212"/>
        <v>0</v>
      </c>
      <c r="CO70" s="1189">
        <f t="shared" ca="1" si="213"/>
        <v>0</v>
      </c>
      <c r="CP70" s="1233">
        <f t="shared" ca="1" si="124"/>
        <v>0</v>
      </c>
      <c r="CS70" s="575"/>
      <c r="CT70" s="5"/>
      <c r="CU70" s="1180"/>
      <c r="CV70" s="575"/>
      <c r="CW70" s="5"/>
      <c r="CX70" s="1180"/>
      <c r="CY70" s="575"/>
      <c r="CZ70" s="5"/>
      <c r="DA70" s="1180"/>
      <c r="DB70" s="575"/>
      <c r="DC70" s="5"/>
      <c r="DD70" s="1180"/>
      <c r="DE70" s="1181">
        <f t="shared" si="214"/>
        <v>0</v>
      </c>
      <c r="DG70" s="575"/>
      <c r="DH70" s="5"/>
      <c r="DI70" s="1180"/>
      <c r="DJ70" s="575"/>
      <c r="DK70" s="5"/>
      <c r="DL70" s="1180"/>
      <c r="DM70" s="575"/>
      <c r="DN70" s="5"/>
      <c r="DO70" s="1180"/>
      <c r="DP70" s="575"/>
      <c r="DQ70" s="5"/>
      <c r="DR70" s="1180"/>
      <c r="DS70" s="1181">
        <f t="shared" si="215"/>
        <v>0</v>
      </c>
      <c r="DU70" s="575"/>
      <c r="DV70" s="5"/>
      <c r="DW70" s="1180"/>
      <c r="DX70" s="575"/>
      <c r="DY70" s="5"/>
      <c r="DZ70" s="1180"/>
      <c r="EA70" s="575"/>
      <c r="EB70" s="5"/>
      <c r="EC70" s="1180"/>
      <c r="ED70" s="575"/>
      <c r="EE70" s="5"/>
      <c r="EF70" s="1180"/>
      <c r="EG70" s="1181">
        <f t="shared" si="216"/>
        <v>0</v>
      </c>
      <c r="EI70" s="22"/>
      <c r="EJ70" s="3211"/>
      <c r="EK70" s="422" t="str">
        <f t="shared" si="217"/>
        <v xml:space="preserve"> - </v>
      </c>
      <c r="EL70" s="409">
        <f t="shared" ca="1" si="218"/>
        <v>0</v>
      </c>
      <c r="EM70" s="409">
        <f t="shared" ca="1" si="219"/>
        <v>0</v>
      </c>
      <c r="EN70" s="409">
        <f t="shared" ca="1" si="220"/>
        <v>0</v>
      </c>
      <c r="EO70" s="409">
        <f t="shared" ca="1" si="221"/>
        <v>0</v>
      </c>
      <c r="EP70" s="409">
        <f t="shared" ca="1" si="222"/>
        <v>0</v>
      </c>
      <c r="EQ70" s="409">
        <f t="shared" ca="1" si="223"/>
        <v>0</v>
      </c>
      <c r="ER70" s="345">
        <f t="shared" ca="1" si="224"/>
        <v>0</v>
      </c>
      <c r="ES70" s="4"/>
      <c r="ET70" s="45"/>
      <c r="EU70" s="4"/>
      <c r="EV70" s="133">
        <f t="shared" ca="1" si="225"/>
        <v>0</v>
      </c>
      <c r="EW70" s="5">
        <f t="shared" ca="1" si="226"/>
        <v>0</v>
      </c>
      <c r="EX70" s="5">
        <f t="shared" ca="1" si="227"/>
        <v>0</v>
      </c>
      <c r="EY70" s="5">
        <f t="shared" ca="1" si="228"/>
        <v>0</v>
      </c>
      <c r="EZ70" s="21">
        <f t="shared" ca="1" si="229"/>
        <v>0</v>
      </c>
      <c r="FA70" s="21">
        <f t="shared" ca="1" si="230"/>
        <v>0</v>
      </c>
      <c r="FB70" s="164">
        <f t="shared" ca="1" si="143"/>
        <v>0</v>
      </c>
      <c r="FD70" s="133">
        <f t="shared" ca="1" si="231"/>
        <v>0</v>
      </c>
      <c r="FE70" s="5">
        <f t="shared" ca="1" si="232"/>
        <v>0</v>
      </c>
      <c r="FF70" s="5">
        <f t="shared" ca="1" si="233"/>
        <v>0</v>
      </c>
      <c r="FG70" s="5">
        <f t="shared" ca="1" si="234"/>
        <v>0</v>
      </c>
      <c r="FH70" s="5">
        <f t="shared" ca="1" si="235"/>
        <v>0</v>
      </c>
      <c r="FI70" s="1180">
        <f t="shared" ca="1" si="236"/>
        <v>0</v>
      </c>
      <c r="FJ70" s="2385">
        <f t="shared" ca="1" si="150"/>
        <v>0</v>
      </c>
      <c r="FL70" s="133">
        <f t="shared" ca="1" si="237"/>
        <v>0</v>
      </c>
      <c r="FM70" s="5">
        <f t="shared" ca="1" si="238"/>
        <v>0</v>
      </c>
      <c r="FN70" s="5">
        <f t="shared" ca="1" si="239"/>
        <v>0</v>
      </c>
      <c r="FO70" s="5">
        <f t="shared" ca="1" si="240"/>
        <v>0</v>
      </c>
      <c r="FP70" s="5">
        <f t="shared" ca="1" si="241"/>
        <v>0</v>
      </c>
      <c r="FQ70" s="1180">
        <f t="shared" ca="1" si="242"/>
        <v>0</v>
      </c>
      <c r="FR70" s="206">
        <f t="shared" ca="1" si="157"/>
        <v>0</v>
      </c>
      <c r="FT70" s="133">
        <f t="shared" ca="1" si="243"/>
        <v>0</v>
      </c>
      <c r="FU70" s="5">
        <f t="shared" ca="1" si="244"/>
        <v>0</v>
      </c>
      <c r="FV70" s="5">
        <f t="shared" ca="1" si="245"/>
        <v>0</v>
      </c>
      <c r="FW70" s="5">
        <f t="shared" ca="1" si="246"/>
        <v>0</v>
      </c>
      <c r="FX70" s="5">
        <f t="shared" ca="1" si="247"/>
        <v>0</v>
      </c>
      <c r="FY70" s="5">
        <f t="shared" ca="1" si="248"/>
        <v>0</v>
      </c>
      <c r="FZ70" s="178">
        <f t="shared" ca="1" si="164"/>
        <v>0</v>
      </c>
      <c r="GB70" s="133">
        <f t="shared" ca="1" si="249"/>
        <v>0</v>
      </c>
      <c r="GC70" s="5">
        <f t="shared" ca="1" si="250"/>
        <v>0</v>
      </c>
      <c r="GD70" s="5">
        <f t="shared" ca="1" si="251"/>
        <v>0</v>
      </c>
      <c r="GE70" s="5">
        <f t="shared" ca="1" si="252"/>
        <v>0</v>
      </c>
      <c r="GF70" s="5">
        <f t="shared" ca="1" si="253"/>
        <v>0</v>
      </c>
      <c r="GG70" s="5">
        <f t="shared" ca="1" si="254"/>
        <v>0</v>
      </c>
      <c r="GH70" s="150">
        <f t="shared" ca="1" si="171"/>
        <v>0</v>
      </c>
      <c r="GJ70" s="133">
        <f t="shared" ca="1" si="255"/>
        <v>0</v>
      </c>
      <c r="GK70" s="5">
        <f t="shared" ca="1" si="256"/>
        <v>0</v>
      </c>
      <c r="GL70" s="5">
        <f t="shared" ca="1" si="257"/>
        <v>0</v>
      </c>
      <c r="GM70" s="5">
        <f t="shared" ca="1" si="258"/>
        <v>0</v>
      </c>
      <c r="GN70" s="5">
        <f t="shared" ca="1" si="259"/>
        <v>0</v>
      </c>
      <c r="GO70" s="5">
        <f t="shared" ca="1" si="260"/>
        <v>0</v>
      </c>
      <c r="GP70" s="192">
        <f t="shared" ca="1" si="172"/>
        <v>0</v>
      </c>
      <c r="GR70" s="21"/>
      <c r="GS70" s="5"/>
      <c r="GT70" s="5"/>
      <c r="GU70" s="5"/>
      <c r="GV70" s="5"/>
      <c r="GW70" s="5"/>
      <c r="GX70" s="1105">
        <f t="shared" si="173"/>
        <v>0</v>
      </c>
      <c r="GZ70" s="575">
        <f t="shared" ca="1" si="174"/>
        <v>0</v>
      </c>
      <c r="HA70" s="5">
        <f t="shared" ca="1" si="175"/>
        <v>0</v>
      </c>
      <c r="HB70" s="5">
        <f t="shared" ca="1" si="176"/>
        <v>0</v>
      </c>
      <c r="HC70" s="5">
        <f t="shared" ca="1" si="177"/>
        <v>0</v>
      </c>
      <c r="HD70" s="5">
        <f t="shared" ca="1" si="178"/>
        <v>0</v>
      </c>
      <c r="HE70" s="5">
        <f t="shared" ca="1" si="179"/>
        <v>0</v>
      </c>
      <c r="HF70" s="2175">
        <f t="shared" ca="1" si="180"/>
        <v>0</v>
      </c>
      <c r="HG70" s="573">
        <f t="shared" ca="1" si="181"/>
        <v>0</v>
      </c>
      <c r="HH70" s="257"/>
    </row>
    <row r="71" spans="1:216" ht="15" hidden="1" customHeight="1" x14ac:dyDescent="0.25">
      <c r="A71" s="22"/>
      <c r="B71" s="3211"/>
      <c r="C71" s="422" t="str">
        <f>('DATA INPUT'!B59&amp;" "&amp;"-"&amp;" "&amp;'DATA INPUT'!H59)</f>
        <v xml:space="preserve"> - </v>
      </c>
      <c r="D71" s="21">
        <f ca="1">'Calc - OTHER PERS'!J123</f>
        <v>0</v>
      </c>
      <c r="E71" s="5">
        <f ca="1">'Calc - OTHER PERS'!J124</f>
        <v>0</v>
      </c>
      <c r="F71" s="5">
        <f ca="1">'Calc - OTHER PERS'!J125</f>
        <v>0</v>
      </c>
      <c r="G71" s="5">
        <f ca="1">'Calc - OTHER PERS'!J126</f>
        <v>0</v>
      </c>
      <c r="H71" s="21">
        <f ca="1">'Calc - OTHER PERS'!J127</f>
        <v>0</v>
      </c>
      <c r="I71" s="21">
        <f ca="1">'Calc - OTHER PERS'!J128</f>
        <v>0</v>
      </c>
      <c r="J71" s="12">
        <f t="shared" ca="1" si="202"/>
        <v>0</v>
      </c>
      <c r="K71" s="45"/>
      <c r="L71" s="4"/>
      <c r="M71" s="45"/>
      <c r="N71" s="133">
        <f ca="1">IF(AND((OFFSET('DATA INPUT'!$C$51, ROW()-ROW($N$63),0)=$N$10),
(OFFSET('DATA INPUT'!$V$51,ROW()-ROW($N$63),0)=3)),
OFFSET('Calc - OTHER PERS'!$Q$11,COLUMN()-COLUMN($N$63) + (ROW()-ROW($N$63))*14,0),0)</f>
        <v>0</v>
      </c>
      <c r="O71" s="5">
        <f ca="1">IF(AND((OFFSET('DATA INPUT'!$C$51, ROW()-ROW($N$63),0)=$N$10),
(OFFSET('DATA INPUT'!$V$51,ROW()-ROW($N$63),0)=3)),
OFFSET('Calc - OTHER PERS'!$Q$11,COLUMN()-COLUMN($N$63) + (ROW()-ROW($N$63))*14,0),0)</f>
        <v>0</v>
      </c>
      <c r="P71" s="5">
        <f ca="1">IF(AND((OFFSET('DATA INPUT'!$C$51, ROW()-ROW($N$63),0)=$N$10),
(OFFSET('DATA INPUT'!$V$51,ROW()-ROW($N$63),0)=3)),
OFFSET('Calc - OTHER PERS'!$Q$11,COLUMN()-COLUMN($N$63) + (ROW()-ROW($N$63))*14,0),0)</f>
        <v>0</v>
      </c>
      <c r="Q71" s="5">
        <f ca="1">IF(AND((OFFSET('DATA INPUT'!$C$51, ROW()-ROW($N$63),0)=$N$10),
(OFFSET('DATA INPUT'!$V$51,ROW()-ROW($N$63),0)=3)),
OFFSET('Calc - OTHER PERS'!$Q$11,COLUMN()-COLUMN($N$63) + (ROW()-ROW($N$63))*14,0),0)</f>
        <v>0</v>
      </c>
      <c r="R71" s="21">
        <f ca="1">IF(AND((OFFSET('DATA INPUT'!$C$51, ROW()-ROW($N$63),0)=$N$10),
(OFFSET('DATA INPUT'!$V$51,ROW()-ROW($N$63),0)=3)),
OFFSET('Calc - OTHER PERS'!$Q$11,COLUMN()-COLUMN($N$63) + (ROW()-ROW($N$63))*14,0),0)</f>
        <v>0</v>
      </c>
      <c r="S71" s="21">
        <f ca="1">IF(AND((OFFSET('DATA INPUT'!$C$51, ROW()-ROW($N$63),0)=$N$10),
(OFFSET('DATA INPUT'!$V$51,ROW()-ROW($N$63),0)=3)),
OFFSET('Calc - OTHER PERS'!$Q$11,COLUMN()-COLUMN($N$63) + (ROW()-ROW($N$63))*14,0),0)</f>
        <v>0</v>
      </c>
      <c r="T71" s="164">
        <f t="shared" ca="1" si="109"/>
        <v>0</v>
      </c>
      <c r="U71" s="1"/>
      <c r="V71" s="133">
        <f ca="1">IF(AND((OFFSET('DATA INPUT'!$C$51, ROW()-ROW($V$63),0)=$V$10),
(OFFSET('DATA INPUT'!$V$51,ROW()-ROW($V$63),0)=3)),
OFFSET('Calc - OTHER PERS'!$Q$11,COLUMN()-COLUMN($V$63) + (ROW()-ROW($V$63))*14,0),0)</f>
        <v>0</v>
      </c>
      <c r="W71" s="5">
        <f ca="1">IF(AND((OFFSET('DATA INPUT'!$C$51, ROW()-ROW($V$63),0)=$V$10),
(OFFSET('DATA INPUT'!$V$51,ROW()-ROW($V$63),0)=3)),
OFFSET('Calc - OTHER PERS'!$Q$11,COLUMN()-COLUMN($V$63) + (ROW()-ROW($V$63))*14,0),0)</f>
        <v>0</v>
      </c>
      <c r="X71" s="5">
        <f ca="1">IF(AND((OFFSET('DATA INPUT'!$C$51, ROW()-ROW($V$63),0)=$V$10),
(OFFSET('DATA INPUT'!$V$51,ROW()-ROW($V$63),0)=3)),
OFFSET('Calc - OTHER PERS'!$Q$11,COLUMN()-COLUMN($V$63) + (ROW()-ROW($V$63))*14,0),0)</f>
        <v>0</v>
      </c>
      <c r="Y71" s="5">
        <f ca="1">IF(AND((OFFSET('DATA INPUT'!$C$51, ROW()-ROW($V$63),0)=$V$10),
(OFFSET('DATA INPUT'!$V$51,ROW()-ROW($V$63),0)=3)),
OFFSET('Calc - OTHER PERS'!$Q$11,COLUMN()-COLUMN($V$63) + (ROW()-ROW($V$63))*14,0),0)</f>
        <v>0</v>
      </c>
      <c r="Z71" s="21">
        <f ca="1">IF(AND((OFFSET('DATA INPUT'!$C$51, ROW()-ROW($V$63),0)=$V$10),
(OFFSET('DATA INPUT'!$V$51,ROW()-ROW($V$63),0)=3)),
OFFSET('Calc - OTHER PERS'!$Q$11,COLUMN()-COLUMN($V$63) + (ROW()-ROW($V$63))*14,0),0)</f>
        <v>0</v>
      </c>
      <c r="AA71" s="2384">
        <f ca="1">IF(AND((OFFSET('DATA INPUT'!$C$51, ROW()-ROW($V$63),0)=$V$10),
(OFFSET('DATA INPUT'!$V$51,ROW()-ROW($V$63),0)=3)),
OFFSET('Calc - OTHER PERS'!$Q$11,COLUMN()-COLUMN($V$63) + (ROW()-ROW($V$63))*14,0),0)</f>
        <v>0</v>
      </c>
      <c r="AB71" s="2385">
        <f t="shared" ca="1" si="110"/>
        <v>0</v>
      </c>
      <c r="AD71" s="133">
        <f ca="1">IF(AND((OFFSET('DATA INPUT'!$C$51, ROW()-ROW($AD$63),0)=$AD$10),
(OFFSET('DATA INPUT'!$V$51,ROW()-ROW($AD$63),0)=3)),
OFFSET('Calc - OTHER PERS'!$Q$11,COLUMN()-COLUMN($AD$63) + (ROW()-ROW($AD$63))*14,0),0)</f>
        <v>0</v>
      </c>
      <c r="AE71" s="5">
        <f ca="1">IF(AND((OFFSET('DATA INPUT'!$C$51, ROW()-ROW($AD$63),0)=$AD$10),
(OFFSET('DATA INPUT'!$V$51,ROW()-ROW($AD$63),0)=3)),
OFFSET('Calc - OTHER PERS'!$Q$11,COLUMN()-COLUMN($AD$63) + (ROW()-ROW($AD$63))*14,0),0)</f>
        <v>0</v>
      </c>
      <c r="AF71" s="5">
        <f ca="1">IF(AND((OFFSET('DATA INPUT'!$C$51, ROW()-ROW($AD$63),0)=$AD$10),
(OFFSET('DATA INPUT'!$V$51,ROW()-ROW($AD$63),0)=3)),
OFFSET('Calc - OTHER PERS'!$Q$11,COLUMN()-COLUMN($AD$63) + (ROW()-ROW($AD$63))*14,0),0)</f>
        <v>0</v>
      </c>
      <c r="AG71" s="5">
        <f ca="1">IF(AND((OFFSET('DATA INPUT'!$C$51, ROW()-ROW($AD$63),0)=$AD$10),
(OFFSET('DATA INPUT'!$V$51,ROW()-ROW($AD$63),0)=3)),
OFFSET('Calc - OTHER PERS'!$Q$11,COLUMN()-COLUMN($AD$63) + (ROW()-ROW($AD$63))*14,0),0)</f>
        <v>0</v>
      </c>
      <c r="AH71" s="21">
        <f ca="1">IF(AND((OFFSET('DATA INPUT'!$C$51, ROW()-ROW($AD$63),0)=$AD$10),
(OFFSET('DATA INPUT'!$V$51,ROW()-ROW($AD$63),0)=3)),
OFFSET('Calc - OTHER PERS'!$Q$11,COLUMN()-COLUMN($AD$63) + (ROW()-ROW($AD$63))*14,0),0)</f>
        <v>0</v>
      </c>
      <c r="AI71" s="2384">
        <f ca="1">IF(AND((OFFSET('DATA INPUT'!$C$51, ROW()-ROW($AD$63),0)=$AD$10),
(OFFSET('DATA INPUT'!$V$51,ROW()-ROW($AD$63),0)=3)),
OFFSET('Calc - OTHER PERS'!$Q$11,COLUMN()-COLUMN($AD$63) + (ROW()-ROW($AD$63))*14,0),0)</f>
        <v>0</v>
      </c>
      <c r="AJ71" s="206">
        <f t="shared" ca="1" si="111"/>
        <v>0</v>
      </c>
      <c r="AL71" s="133">
        <f ca="1">IF(AND((OFFSET('DATA INPUT'!$C$51, ROW()-ROW($AL$63),0)=$AL$10),
(OFFSET('DATA INPUT'!$V$51,ROW()-ROW($AL$63),0)=3)),
OFFSET('Calc - OTHER PERS'!$Q$11,COLUMN()-COLUMN($AL$63) + (ROW()-ROW($AL$63))*14,0),0)</f>
        <v>0</v>
      </c>
      <c r="AM71" s="5">
        <f ca="1">IF(AND((OFFSET('DATA INPUT'!$C$51, ROW()-ROW($AL$63),0)=$AL$10),
(OFFSET('DATA INPUT'!$V$51,ROW()-ROW($AL$63),0)=3)),
OFFSET('Calc - OTHER PERS'!$Q$11,COLUMN()-COLUMN($AL$63) + (ROW()-ROW($AL$63))*14,0),0)</f>
        <v>0</v>
      </c>
      <c r="AN71" s="5">
        <f ca="1">IF(AND((OFFSET('DATA INPUT'!$C$51, ROW()-ROW($AL$63),0)=$AL$10),
(OFFSET('DATA INPUT'!$V$51,ROW()-ROW($AL$63),0)=3)),
OFFSET('Calc - OTHER PERS'!$Q$11,COLUMN()-COLUMN($AL$63) + (ROW()-ROW($AL$63))*14,0),0)</f>
        <v>0</v>
      </c>
      <c r="AO71" s="5">
        <f ca="1">IF(AND((OFFSET('DATA INPUT'!$C$51, ROW()-ROW($AL$63),0)=$AL$10),
(OFFSET('DATA INPUT'!$V$51,ROW()-ROW($AL$63),0)=3)),
OFFSET('Calc - OTHER PERS'!$Q$11,COLUMN()-COLUMN($AL$63) + (ROW()-ROW($AL$63))*14,0),0)</f>
        <v>0</v>
      </c>
      <c r="AP71" s="21">
        <f ca="1">IF(AND((OFFSET('DATA INPUT'!$C$51, ROW()-ROW($AL$63),0)=$AL$10),
(OFFSET('DATA INPUT'!$V$51,ROW()-ROW($AL$63),0)=3)),
OFFSET('Calc - OTHER PERS'!$Q$11,COLUMN()-COLUMN($AL$63) + (ROW()-ROW($AL$63))*14,0),0)</f>
        <v>0</v>
      </c>
      <c r="AQ71" s="21">
        <f ca="1">IF(AND((OFFSET('DATA INPUT'!$C$51, ROW()-ROW($AL$63),0)=$AL$10),
(OFFSET('DATA INPUT'!$V$51,ROW()-ROW($AL$63),0)=3)),
OFFSET('Calc - OTHER PERS'!$Q$11,COLUMN()-COLUMN($AL$63) + (ROW()-ROW($AL$63))*14,0),0)</f>
        <v>0</v>
      </c>
      <c r="AR71" s="178">
        <f t="shared" ca="1" si="112"/>
        <v>0</v>
      </c>
      <c r="AT71" s="133">
        <f ca="1">IF(AND((OFFSET('DATA INPUT'!$C$51, ROW()-ROW($AT$63),0)=$AT$10),
(OFFSET('DATA INPUT'!$V$51,ROW()-ROW($AT$63),0)=3)),
OFFSET('Calc - OTHER PERS'!$Q$11,COLUMN()-COLUMN($AT$63) + (ROW()-ROW($AT$63))*14,0),0)</f>
        <v>0</v>
      </c>
      <c r="AU71" s="5">
        <f ca="1">IF(AND((OFFSET('DATA INPUT'!$C$51, ROW()-ROW($AT$63),0)=$AT$10),
(OFFSET('DATA INPUT'!$V$51,ROW()-ROW($AT$63),0)=3)),
OFFSET('Calc - OTHER PERS'!$Q$11,COLUMN()-COLUMN($AT$63) + (ROW()-ROW($AT$63))*14,0),0)</f>
        <v>0</v>
      </c>
      <c r="AV71" s="5">
        <f ca="1">IF(AND((OFFSET('DATA INPUT'!$C$51, ROW()-ROW($AT$63),0)=$AT$10),
(OFFSET('DATA INPUT'!$V$51,ROW()-ROW($AT$63),0)=3)),
OFFSET('Calc - OTHER PERS'!$Q$11,COLUMN()-COLUMN($AT$63) + (ROW()-ROW($AT$63))*14,0),0)</f>
        <v>0</v>
      </c>
      <c r="AW71" s="5">
        <f ca="1">IF(AND((OFFSET('DATA INPUT'!$C$51, ROW()-ROW($AT$63),0)=$AT$10),
(OFFSET('DATA INPUT'!$V$51,ROW()-ROW($AT$63),0)=3)),
OFFSET('Calc - OTHER PERS'!$Q$11,COLUMN()-COLUMN($AT$63) + (ROW()-ROW($AT$63))*14,0),0)</f>
        <v>0</v>
      </c>
      <c r="AX71" s="21">
        <f ca="1">IF(AND((OFFSET('DATA INPUT'!$C$51, ROW()-ROW($AT$63),0)=$AT$10),
(OFFSET('DATA INPUT'!$V$51,ROW()-ROW($AT$63),0)=3)),
OFFSET('Calc - OTHER PERS'!$Q$11,COLUMN()-COLUMN($AT$63) + (ROW()-ROW($AT$63))*14,0),0)</f>
        <v>0</v>
      </c>
      <c r="AY71" s="21">
        <f ca="1">IF(AND((OFFSET('DATA INPUT'!$C$51, ROW()-ROW($AT$63),0)=$AT$10),
(OFFSET('DATA INPUT'!$V$51,ROW()-ROW($AT$63),0)=3)),
OFFSET('Calc - OTHER PERS'!$Q$11,COLUMN()-COLUMN($AT$63) + (ROW()-ROW($AT$63))*14,0),0)</f>
        <v>0</v>
      </c>
      <c r="AZ71" s="150">
        <f t="shared" ca="1" si="113"/>
        <v>0</v>
      </c>
      <c r="BB71" s="133">
        <f ca="1">IF(AND((OFFSET('DATA INPUT'!$C$51, ROW()-ROW($BB$63),0)=$BB$10),
(OFFSET('DATA INPUT'!$V$51,ROW()-ROW($BB$63),0)=3)),
OFFSET('Calc - OTHER PERS'!$Q$11,COLUMN()-COLUMN($BB$63) + (ROW()-ROW($BB$63))*14,0),0)</f>
        <v>0</v>
      </c>
      <c r="BC71" s="5">
        <f ca="1">IF(AND((OFFSET('DATA INPUT'!$C$51, ROW()-ROW($BB$63),0)=$BB$10),
(OFFSET('DATA INPUT'!$V$51,ROW()-ROW($BB$63),0)=3)),
OFFSET('Calc - OTHER PERS'!$Q$11,COLUMN()-COLUMN($BB$63) + (ROW()-ROW($BB$63))*14,0),0)</f>
        <v>0</v>
      </c>
      <c r="BD71" s="5">
        <f ca="1">IF(AND((OFFSET('DATA INPUT'!$C$51, ROW()-ROW($BB$63),0)=$BB$10),
(OFFSET('DATA INPUT'!$V$51,ROW()-ROW($BB$63),0)=3)),
OFFSET('Calc - OTHER PERS'!$Q$11,COLUMN()-COLUMN($BB$63) + (ROW()-ROW($BB$63))*14,0),0)</f>
        <v>0</v>
      </c>
      <c r="BE71" s="5">
        <f ca="1">IF(AND((OFFSET('DATA INPUT'!$C$51, ROW()-ROW($BB$63),0)=$BB$10),
(OFFSET('DATA INPUT'!$V$51,ROW()-ROW($BB$63),0)=3)),
OFFSET('Calc - OTHER PERS'!$Q$11,COLUMN()-COLUMN($BB$63) + (ROW()-ROW($BB$63))*14,0),0)</f>
        <v>0</v>
      </c>
      <c r="BF71" s="21">
        <f ca="1">IF(AND((OFFSET('DATA INPUT'!$C$51, ROW()-ROW($BB$63),0)=$BB$10),
(OFFSET('DATA INPUT'!$V$51,ROW()-ROW($BB$63),0)=3)),
OFFSET('Calc - OTHER PERS'!$Q$11,COLUMN()-COLUMN($BB$63) + (ROW()-ROW($BB$63))*14,0),0)</f>
        <v>0</v>
      </c>
      <c r="BG71" s="21">
        <f ca="1">IF(AND((OFFSET('DATA INPUT'!$C$51, ROW()-ROW($BB$63),0)=$BB$10),
(OFFSET('DATA INPUT'!$V$51,ROW()-ROW($BB$63),0)=3)),
OFFSET('Calc - OTHER PERS'!$Q$11,COLUMN()-COLUMN($BB$63) + (ROW()-ROW($BB$63))*14,0),0)</f>
        <v>0</v>
      </c>
      <c r="BH71" s="192">
        <f t="shared" ca="1" si="114"/>
        <v>0</v>
      </c>
      <c r="BJ71" s="21"/>
      <c r="BK71" s="5"/>
      <c r="BL71" s="5"/>
      <c r="BM71" s="5"/>
      <c r="BN71" s="21"/>
      <c r="BO71" s="21"/>
      <c r="BP71" s="1105">
        <f t="shared" si="115"/>
        <v>0</v>
      </c>
      <c r="BR71" s="575">
        <f t="shared" ca="1" si="116"/>
        <v>0</v>
      </c>
      <c r="BS71" s="5">
        <f t="shared" ca="1" si="117"/>
        <v>0</v>
      </c>
      <c r="BT71" s="5">
        <f t="shared" ca="1" si="118"/>
        <v>0</v>
      </c>
      <c r="BU71" s="5">
        <f t="shared" ca="1" si="119"/>
        <v>0</v>
      </c>
      <c r="BV71" s="5">
        <f t="shared" ca="1" si="120"/>
        <v>0</v>
      </c>
      <c r="BW71" s="5">
        <f t="shared" ca="1" si="121"/>
        <v>0</v>
      </c>
      <c r="BX71" s="2175">
        <f t="shared" ca="1" si="122"/>
        <v>0</v>
      </c>
      <c r="BY71" s="573">
        <f t="shared" ca="1" si="123"/>
        <v>0</v>
      </c>
      <c r="BZ71" s="257"/>
      <c r="CB71" s="1182">
        <f t="shared" ca="1" si="203"/>
        <v>0</v>
      </c>
      <c r="CC71" s="387">
        <f t="shared" ca="1" si="204"/>
        <v>0</v>
      </c>
      <c r="CD71" s="56">
        <f t="shared" ca="1" si="204"/>
        <v>0</v>
      </c>
      <c r="CE71" s="56">
        <f t="shared" ca="1" si="205"/>
        <v>0</v>
      </c>
      <c r="CF71" s="1191">
        <f t="shared" ca="1" si="206"/>
        <v>0</v>
      </c>
      <c r="CG71" s="1192">
        <f t="shared" ca="1" si="207"/>
        <v>0</v>
      </c>
      <c r="CH71" s="1184">
        <f t="shared" ca="1" si="208"/>
        <v>0</v>
      </c>
      <c r="CI71" s="1193">
        <f t="shared" ca="1" si="208"/>
        <v>0</v>
      </c>
      <c r="CJ71" s="1193">
        <f t="shared" ca="1" si="209"/>
        <v>0</v>
      </c>
      <c r="CK71" s="1193">
        <f t="shared" ca="1" si="210"/>
        <v>0</v>
      </c>
      <c r="CL71" s="1235">
        <f t="shared" ca="1" si="211"/>
        <v>0</v>
      </c>
      <c r="CM71" s="1195">
        <f t="shared" ca="1" si="212"/>
        <v>0</v>
      </c>
      <c r="CN71" s="1188">
        <f t="shared" ca="1" si="212"/>
        <v>0</v>
      </c>
      <c r="CO71" s="1196">
        <f t="shared" ca="1" si="213"/>
        <v>0</v>
      </c>
      <c r="CP71" s="1234">
        <f t="shared" ca="1" si="124"/>
        <v>0</v>
      </c>
      <c r="CS71" s="575"/>
      <c r="CT71" s="5"/>
      <c r="CU71" s="1180"/>
      <c r="CV71" s="575"/>
      <c r="CW71" s="5"/>
      <c r="CX71" s="1180"/>
      <c r="CY71" s="575"/>
      <c r="CZ71" s="5"/>
      <c r="DA71" s="1180"/>
      <c r="DB71" s="575"/>
      <c r="DC71" s="5"/>
      <c r="DD71" s="1180"/>
      <c r="DE71" s="1181">
        <f t="shared" si="214"/>
        <v>0</v>
      </c>
      <c r="DG71" s="575"/>
      <c r="DH71" s="5"/>
      <c r="DI71" s="1180"/>
      <c r="DJ71" s="575"/>
      <c r="DK71" s="5"/>
      <c r="DL71" s="1180"/>
      <c r="DM71" s="575"/>
      <c r="DN71" s="5"/>
      <c r="DO71" s="1180"/>
      <c r="DP71" s="575"/>
      <c r="DQ71" s="5"/>
      <c r="DR71" s="1180"/>
      <c r="DS71" s="1181">
        <f t="shared" si="215"/>
        <v>0</v>
      </c>
      <c r="DU71" s="575"/>
      <c r="DV71" s="5"/>
      <c r="DW71" s="1180"/>
      <c r="DX71" s="575"/>
      <c r="DY71" s="5"/>
      <c r="DZ71" s="1180"/>
      <c r="EA71" s="575"/>
      <c r="EB71" s="5"/>
      <c r="EC71" s="1180"/>
      <c r="ED71" s="575"/>
      <c r="EE71" s="5"/>
      <c r="EF71" s="1180"/>
      <c r="EG71" s="1181">
        <f t="shared" si="216"/>
        <v>0</v>
      </c>
      <c r="EI71" s="22"/>
      <c r="EJ71" s="3211"/>
      <c r="EK71" s="422" t="str">
        <f t="shared" si="217"/>
        <v xml:space="preserve"> - </v>
      </c>
      <c r="EL71" s="409">
        <f t="shared" ca="1" si="218"/>
        <v>0</v>
      </c>
      <c r="EM71" s="409">
        <f t="shared" ca="1" si="219"/>
        <v>0</v>
      </c>
      <c r="EN71" s="409">
        <f t="shared" ca="1" si="220"/>
        <v>0</v>
      </c>
      <c r="EO71" s="409">
        <f t="shared" ca="1" si="221"/>
        <v>0</v>
      </c>
      <c r="EP71" s="409">
        <f t="shared" ca="1" si="222"/>
        <v>0</v>
      </c>
      <c r="EQ71" s="409">
        <f t="shared" ca="1" si="223"/>
        <v>0</v>
      </c>
      <c r="ER71" s="12">
        <f t="shared" ca="1" si="224"/>
        <v>0</v>
      </c>
      <c r="ES71" s="45"/>
      <c r="ET71" s="4"/>
      <c r="EU71" s="45"/>
      <c r="EV71" s="133">
        <f t="shared" ca="1" si="225"/>
        <v>0</v>
      </c>
      <c r="EW71" s="5">
        <f t="shared" ca="1" si="226"/>
        <v>0</v>
      </c>
      <c r="EX71" s="5">
        <f t="shared" ca="1" si="227"/>
        <v>0</v>
      </c>
      <c r="EY71" s="5">
        <f t="shared" ca="1" si="228"/>
        <v>0</v>
      </c>
      <c r="EZ71" s="21">
        <f t="shared" ca="1" si="229"/>
        <v>0</v>
      </c>
      <c r="FA71" s="21">
        <f t="shared" ca="1" si="230"/>
        <v>0</v>
      </c>
      <c r="FB71" s="164">
        <f t="shared" ca="1" si="143"/>
        <v>0</v>
      </c>
      <c r="FC71" s="1"/>
      <c r="FD71" s="133">
        <f t="shared" ca="1" si="231"/>
        <v>0</v>
      </c>
      <c r="FE71" s="5">
        <f t="shared" ca="1" si="232"/>
        <v>0</v>
      </c>
      <c r="FF71" s="5">
        <f t="shared" ca="1" si="233"/>
        <v>0</v>
      </c>
      <c r="FG71" s="5">
        <f t="shared" ca="1" si="234"/>
        <v>0</v>
      </c>
      <c r="FH71" s="21">
        <f t="shared" ca="1" si="235"/>
        <v>0</v>
      </c>
      <c r="FI71" s="2384">
        <f t="shared" ca="1" si="236"/>
        <v>0</v>
      </c>
      <c r="FJ71" s="2385">
        <f t="shared" ca="1" si="150"/>
        <v>0</v>
      </c>
      <c r="FL71" s="133">
        <f t="shared" ca="1" si="237"/>
        <v>0</v>
      </c>
      <c r="FM71" s="5">
        <f t="shared" ca="1" si="238"/>
        <v>0</v>
      </c>
      <c r="FN71" s="5">
        <f t="shared" ca="1" si="239"/>
        <v>0</v>
      </c>
      <c r="FO71" s="5">
        <f t="shared" ca="1" si="240"/>
        <v>0</v>
      </c>
      <c r="FP71" s="21">
        <f t="shared" ca="1" si="241"/>
        <v>0</v>
      </c>
      <c r="FQ71" s="2384">
        <f t="shared" ca="1" si="242"/>
        <v>0</v>
      </c>
      <c r="FR71" s="206">
        <f t="shared" ca="1" si="157"/>
        <v>0</v>
      </c>
      <c r="FT71" s="133">
        <f t="shared" ca="1" si="243"/>
        <v>0</v>
      </c>
      <c r="FU71" s="5">
        <f t="shared" ca="1" si="244"/>
        <v>0</v>
      </c>
      <c r="FV71" s="5">
        <f t="shared" ca="1" si="245"/>
        <v>0</v>
      </c>
      <c r="FW71" s="5">
        <f t="shared" ca="1" si="246"/>
        <v>0</v>
      </c>
      <c r="FX71" s="21">
        <f t="shared" ca="1" si="247"/>
        <v>0</v>
      </c>
      <c r="FY71" s="21">
        <f t="shared" ca="1" si="248"/>
        <v>0</v>
      </c>
      <c r="FZ71" s="178">
        <f t="shared" ca="1" si="164"/>
        <v>0</v>
      </c>
      <c r="GB71" s="133">
        <f t="shared" ca="1" si="249"/>
        <v>0</v>
      </c>
      <c r="GC71" s="5">
        <f t="shared" ca="1" si="250"/>
        <v>0</v>
      </c>
      <c r="GD71" s="5">
        <f t="shared" ca="1" si="251"/>
        <v>0</v>
      </c>
      <c r="GE71" s="5">
        <f t="shared" ca="1" si="252"/>
        <v>0</v>
      </c>
      <c r="GF71" s="21">
        <f t="shared" ca="1" si="253"/>
        <v>0</v>
      </c>
      <c r="GG71" s="21">
        <f t="shared" ca="1" si="254"/>
        <v>0</v>
      </c>
      <c r="GH71" s="150">
        <f t="shared" ca="1" si="171"/>
        <v>0</v>
      </c>
      <c r="GJ71" s="133">
        <f t="shared" ca="1" si="255"/>
        <v>0</v>
      </c>
      <c r="GK71" s="5">
        <f t="shared" ca="1" si="256"/>
        <v>0</v>
      </c>
      <c r="GL71" s="5">
        <f t="shared" ca="1" si="257"/>
        <v>0</v>
      </c>
      <c r="GM71" s="5">
        <f t="shared" ca="1" si="258"/>
        <v>0</v>
      </c>
      <c r="GN71" s="21">
        <f t="shared" ca="1" si="259"/>
        <v>0</v>
      </c>
      <c r="GO71" s="21">
        <f t="shared" ca="1" si="260"/>
        <v>0</v>
      </c>
      <c r="GP71" s="192">
        <f t="shared" ca="1" si="172"/>
        <v>0</v>
      </c>
      <c r="GR71" s="21"/>
      <c r="GS71" s="5"/>
      <c r="GT71" s="5"/>
      <c r="GU71" s="5"/>
      <c r="GV71" s="21"/>
      <c r="GW71" s="21"/>
      <c r="GX71" s="1105">
        <f t="shared" si="173"/>
        <v>0</v>
      </c>
      <c r="GZ71" s="575">
        <f t="shared" ca="1" si="174"/>
        <v>0</v>
      </c>
      <c r="HA71" s="5">
        <f t="shared" ca="1" si="175"/>
        <v>0</v>
      </c>
      <c r="HB71" s="5">
        <f t="shared" ca="1" si="176"/>
        <v>0</v>
      </c>
      <c r="HC71" s="5">
        <f t="shared" ca="1" si="177"/>
        <v>0</v>
      </c>
      <c r="HD71" s="5">
        <f t="shared" ca="1" si="178"/>
        <v>0</v>
      </c>
      <c r="HE71" s="5">
        <f t="shared" ca="1" si="179"/>
        <v>0</v>
      </c>
      <c r="HF71" s="2175">
        <f t="shared" ca="1" si="180"/>
        <v>0</v>
      </c>
      <c r="HG71" s="573">
        <f t="shared" ca="1" si="181"/>
        <v>0</v>
      </c>
      <c r="HH71" s="257"/>
    </row>
    <row r="72" spans="1:216" ht="15" hidden="1" customHeight="1" x14ac:dyDescent="0.25">
      <c r="A72" s="22"/>
      <c r="B72" s="3211"/>
      <c r="C72" s="123" t="str">
        <f>('DATA INPUT'!B60&amp;" "&amp;"-"&amp;" "&amp;'DATA INPUT'!H60)</f>
        <v xml:space="preserve"> - </v>
      </c>
      <c r="D72" s="21">
        <f ca="1">'Calc - OTHER PERS'!J137</f>
        <v>0</v>
      </c>
      <c r="E72" s="5">
        <f ca="1">'Calc - OTHER PERS'!J138</f>
        <v>0</v>
      </c>
      <c r="F72" s="5">
        <f ca="1">'Calc - OTHER PERS'!J139</f>
        <v>0</v>
      </c>
      <c r="G72" s="5">
        <f ca="1">'Calc - OTHER PERS'!J140</f>
        <v>0</v>
      </c>
      <c r="H72" s="5">
        <f ca="1">'Calc - OTHER PERS'!J141</f>
        <v>0</v>
      </c>
      <c r="I72" s="5">
        <f ca="1">'Calc - OTHER PERS'!J142</f>
        <v>0</v>
      </c>
      <c r="J72" s="12">
        <f t="shared" ca="1" si="202"/>
        <v>0</v>
      </c>
      <c r="K72" s="4"/>
      <c r="L72" s="45"/>
      <c r="M72" s="4"/>
      <c r="N72" s="133">
        <f ca="1">IF(AND((OFFSET('DATA INPUT'!$C$51, ROW()-ROW($N$63),0)=$N$10),
(OFFSET('DATA INPUT'!$V$51,ROW()-ROW($N$63),0)=3)),
OFFSET('Calc - OTHER PERS'!$Q$11,COLUMN()-COLUMN($N$63) + (ROW()-ROW($N$63))*14,0),0)</f>
        <v>0</v>
      </c>
      <c r="O72" s="5">
        <f ca="1">IF(AND((OFFSET('DATA INPUT'!$C$51, ROW()-ROW($N$63),0)=$N$10),
(OFFSET('DATA INPUT'!$V$51,ROW()-ROW($N$63),0)=3)),
OFFSET('Calc - OTHER PERS'!$Q$11,COLUMN()-COLUMN($N$63) + (ROW()-ROW($N$63))*14,0),0)</f>
        <v>0</v>
      </c>
      <c r="P72" s="5">
        <f ca="1">IF(AND((OFFSET('DATA INPUT'!$C$51, ROW()-ROW($N$63),0)=$N$10),
(OFFSET('DATA INPUT'!$V$51,ROW()-ROW($N$63),0)=3)),
OFFSET('Calc - OTHER PERS'!$Q$11,COLUMN()-COLUMN($N$63) + (ROW()-ROW($N$63))*14,0),0)</f>
        <v>0</v>
      </c>
      <c r="Q72" s="5">
        <f ca="1">IF(AND((OFFSET('DATA INPUT'!$C$51, ROW()-ROW($N$63),0)=$N$10),
(OFFSET('DATA INPUT'!$V$51,ROW()-ROW($N$63),0)=3)),
OFFSET('Calc - OTHER PERS'!$Q$11,COLUMN()-COLUMN($N$63) + (ROW()-ROW($N$63))*14,0),0)</f>
        <v>0</v>
      </c>
      <c r="R72" s="5">
        <f ca="1">IF(AND((OFFSET('DATA INPUT'!$C$51, ROW()-ROW($N$63),0)=$N$10),
(OFFSET('DATA INPUT'!$V$51,ROW()-ROW($N$63),0)=3)),
OFFSET('Calc - OTHER PERS'!$Q$11,COLUMN()-COLUMN($N$63) + (ROW()-ROW($N$63))*14,0),0)</f>
        <v>0</v>
      </c>
      <c r="S72" s="5">
        <f ca="1">IF(AND((OFFSET('DATA INPUT'!$C$51, ROW()-ROW($N$63),0)=$N$10),
(OFFSET('DATA INPUT'!$V$51,ROW()-ROW($N$63),0)=3)),
OFFSET('Calc - OTHER PERS'!$Q$11,COLUMN()-COLUMN($N$63) + (ROW()-ROW($N$63))*14,0),0)</f>
        <v>0</v>
      </c>
      <c r="T72" s="164">
        <f t="shared" ca="1" si="109"/>
        <v>0</v>
      </c>
      <c r="V72" s="133">
        <f ca="1">IF(AND((OFFSET('DATA INPUT'!$C$51, ROW()-ROW($V$63),0)=$V$10),
(OFFSET('DATA INPUT'!$V$51,ROW()-ROW($V$63),0)=3)),
OFFSET('Calc - OTHER PERS'!$Q$11,COLUMN()-COLUMN($V$63) + (ROW()-ROW($V$63))*14,0),0)</f>
        <v>0</v>
      </c>
      <c r="W72" s="5">
        <f ca="1">IF(AND((OFFSET('DATA INPUT'!$C$51, ROW()-ROW($V$63),0)=$V$10),
(OFFSET('DATA INPUT'!$V$51,ROW()-ROW($V$63),0)=3)),
OFFSET('Calc - OTHER PERS'!$Q$11,COLUMN()-COLUMN($V$63) + (ROW()-ROW($V$63))*14,0),0)</f>
        <v>0</v>
      </c>
      <c r="X72" s="5">
        <f ca="1">IF(AND((OFFSET('DATA INPUT'!$C$51, ROW()-ROW($V$63),0)=$V$10),
(OFFSET('DATA INPUT'!$V$51,ROW()-ROW($V$63),0)=3)),
OFFSET('Calc - OTHER PERS'!$Q$11,COLUMN()-COLUMN($V$63) + (ROW()-ROW($V$63))*14,0),0)</f>
        <v>0</v>
      </c>
      <c r="Y72" s="5">
        <f ca="1">IF(AND((OFFSET('DATA INPUT'!$C$51, ROW()-ROW($V$63),0)=$V$10),
(OFFSET('DATA INPUT'!$V$51,ROW()-ROW($V$63),0)=3)),
OFFSET('Calc - OTHER PERS'!$Q$11,COLUMN()-COLUMN($V$63) + (ROW()-ROW($V$63))*14,0),0)</f>
        <v>0</v>
      </c>
      <c r="Z72" s="5">
        <f ca="1">IF(AND((OFFSET('DATA INPUT'!$C$51, ROW()-ROW($V$63),0)=$V$10),
(OFFSET('DATA INPUT'!$V$51,ROW()-ROW($V$63),0)=3)),
OFFSET('Calc - OTHER PERS'!$Q$11,COLUMN()-COLUMN($V$63) + (ROW()-ROW($V$63))*14,0),0)</f>
        <v>0</v>
      </c>
      <c r="AA72" s="1180">
        <f ca="1">IF(AND((OFFSET('DATA INPUT'!$C$51, ROW()-ROW($V$63),0)=$V$10),
(OFFSET('DATA INPUT'!$V$51,ROW()-ROW($V$63),0)=3)),
OFFSET('Calc - OTHER PERS'!$Q$11,COLUMN()-COLUMN($V$63) + (ROW()-ROW($V$63))*14,0),0)</f>
        <v>0</v>
      </c>
      <c r="AB72" s="2385">
        <f t="shared" ca="1" si="110"/>
        <v>0</v>
      </c>
      <c r="AD72" s="133">
        <f ca="1">IF(AND((OFFSET('DATA INPUT'!$C$51, ROW()-ROW($AD$63),0)=$AD$10),
(OFFSET('DATA INPUT'!$V$51,ROW()-ROW($AD$63),0)=3)),
OFFSET('Calc - OTHER PERS'!$Q$11,COLUMN()-COLUMN($AD$63) + (ROW()-ROW($AD$63))*14,0),0)</f>
        <v>0</v>
      </c>
      <c r="AE72" s="5">
        <f ca="1">IF(AND((OFFSET('DATA INPUT'!$C$51, ROW()-ROW($AD$63),0)=$AD$10),
(OFFSET('DATA INPUT'!$V$51,ROW()-ROW($AD$63),0)=3)),
OFFSET('Calc - OTHER PERS'!$Q$11,COLUMN()-COLUMN($AD$63) + (ROW()-ROW($AD$63))*14,0),0)</f>
        <v>0</v>
      </c>
      <c r="AF72" s="5">
        <f ca="1">IF(AND((OFFSET('DATA INPUT'!$C$51, ROW()-ROW($AD$63),0)=$AD$10),
(OFFSET('DATA INPUT'!$V$51,ROW()-ROW($AD$63),0)=3)),
OFFSET('Calc - OTHER PERS'!$Q$11,COLUMN()-COLUMN($AD$63) + (ROW()-ROW($AD$63))*14,0),0)</f>
        <v>0</v>
      </c>
      <c r="AG72" s="5">
        <f ca="1">IF(AND((OFFSET('DATA INPUT'!$C$51, ROW()-ROW($AD$63),0)=$AD$10),
(OFFSET('DATA INPUT'!$V$51,ROW()-ROW($AD$63),0)=3)),
OFFSET('Calc - OTHER PERS'!$Q$11,COLUMN()-COLUMN($AD$63) + (ROW()-ROW($AD$63))*14,0),0)</f>
        <v>0</v>
      </c>
      <c r="AH72" s="5">
        <f ca="1">IF(AND((OFFSET('DATA INPUT'!$C$51, ROW()-ROW($AD$63),0)=$AD$10),
(OFFSET('DATA INPUT'!$V$51,ROW()-ROW($AD$63),0)=3)),
OFFSET('Calc - OTHER PERS'!$Q$11,COLUMN()-COLUMN($AD$63) + (ROW()-ROW($AD$63))*14,0),0)</f>
        <v>0</v>
      </c>
      <c r="AI72" s="1180">
        <f ca="1">IF(AND((OFFSET('DATA INPUT'!$C$51, ROW()-ROW($AD$63),0)=$AD$10),
(OFFSET('DATA INPUT'!$V$51,ROW()-ROW($AD$63),0)=3)),
OFFSET('Calc - OTHER PERS'!$Q$11,COLUMN()-COLUMN($AD$63) + (ROW()-ROW($AD$63))*14,0),0)</f>
        <v>0</v>
      </c>
      <c r="AJ72" s="206">
        <f t="shared" ca="1" si="111"/>
        <v>0</v>
      </c>
      <c r="AL72" s="133">
        <f ca="1">IF(AND((OFFSET('DATA INPUT'!$C$51, ROW()-ROW($AL$63),0)=$AL$10),
(OFFSET('DATA INPUT'!$V$51,ROW()-ROW($AL$63),0)=3)),
OFFSET('Calc - OTHER PERS'!$Q$11,COLUMN()-COLUMN($AL$63) + (ROW()-ROW($AL$63))*14,0),0)</f>
        <v>0</v>
      </c>
      <c r="AM72" s="5">
        <f ca="1">IF(AND((OFFSET('DATA INPUT'!$C$51, ROW()-ROW($AL$63),0)=$AL$10),
(OFFSET('DATA INPUT'!$V$51,ROW()-ROW($AL$63),0)=3)),
OFFSET('Calc - OTHER PERS'!$Q$11,COLUMN()-COLUMN($AL$63) + (ROW()-ROW($AL$63))*14,0),0)</f>
        <v>0</v>
      </c>
      <c r="AN72" s="5">
        <f ca="1">IF(AND((OFFSET('DATA INPUT'!$C$51, ROW()-ROW($AL$63),0)=$AL$10),
(OFFSET('DATA INPUT'!$V$51,ROW()-ROW($AL$63),0)=3)),
OFFSET('Calc - OTHER PERS'!$Q$11,COLUMN()-COLUMN($AL$63) + (ROW()-ROW($AL$63))*14,0),0)</f>
        <v>0</v>
      </c>
      <c r="AO72" s="5">
        <f ca="1">IF(AND((OFFSET('DATA INPUT'!$C$51, ROW()-ROW($AL$63),0)=$AL$10),
(OFFSET('DATA INPUT'!$V$51,ROW()-ROW($AL$63),0)=3)),
OFFSET('Calc - OTHER PERS'!$Q$11,COLUMN()-COLUMN($AL$63) + (ROW()-ROW($AL$63))*14,0),0)</f>
        <v>0</v>
      </c>
      <c r="AP72" s="5">
        <f ca="1">IF(AND((OFFSET('DATA INPUT'!$C$51, ROW()-ROW($AL$63),0)=$AL$10),
(OFFSET('DATA INPUT'!$V$51,ROW()-ROW($AL$63),0)=3)),
OFFSET('Calc - OTHER PERS'!$Q$11,COLUMN()-COLUMN($AL$63) + (ROW()-ROW($AL$63))*14,0),0)</f>
        <v>0</v>
      </c>
      <c r="AQ72" s="5">
        <f ca="1">IF(AND((OFFSET('DATA INPUT'!$C$51, ROW()-ROW($AL$63),0)=$AL$10),
(OFFSET('DATA INPUT'!$V$51,ROW()-ROW($AL$63),0)=3)),
OFFSET('Calc - OTHER PERS'!$Q$11,COLUMN()-COLUMN($AL$63) + (ROW()-ROW($AL$63))*14,0),0)</f>
        <v>0</v>
      </c>
      <c r="AR72" s="178">
        <f t="shared" ca="1" si="112"/>
        <v>0</v>
      </c>
      <c r="AT72" s="133">
        <f ca="1">IF(AND((OFFSET('DATA INPUT'!$C$51, ROW()-ROW($AT$63),0)=$AT$10),
(OFFSET('DATA INPUT'!$V$51,ROW()-ROW($AT$63),0)=3)),
OFFSET('Calc - OTHER PERS'!$Q$11,COLUMN()-COLUMN($AT$63) + (ROW()-ROW($AT$63))*14,0),0)</f>
        <v>0</v>
      </c>
      <c r="AU72" s="5">
        <f ca="1">IF(AND((OFFSET('DATA INPUT'!$C$51, ROW()-ROW($AT$63),0)=$AT$10),
(OFFSET('DATA INPUT'!$V$51,ROW()-ROW($AT$63),0)=3)),
OFFSET('Calc - OTHER PERS'!$Q$11,COLUMN()-COLUMN($AT$63) + (ROW()-ROW($AT$63))*14,0),0)</f>
        <v>0</v>
      </c>
      <c r="AV72" s="5">
        <f ca="1">IF(AND((OFFSET('DATA INPUT'!$C$51, ROW()-ROW($AT$63),0)=$AT$10),
(OFFSET('DATA INPUT'!$V$51,ROW()-ROW($AT$63),0)=3)),
OFFSET('Calc - OTHER PERS'!$Q$11,COLUMN()-COLUMN($AT$63) + (ROW()-ROW($AT$63))*14,0),0)</f>
        <v>0</v>
      </c>
      <c r="AW72" s="5">
        <f ca="1">IF(AND((OFFSET('DATA INPUT'!$C$51, ROW()-ROW($AT$63),0)=$AT$10),
(OFFSET('DATA INPUT'!$V$51,ROW()-ROW($AT$63),0)=3)),
OFFSET('Calc - OTHER PERS'!$Q$11,COLUMN()-COLUMN($AT$63) + (ROW()-ROW($AT$63))*14,0),0)</f>
        <v>0</v>
      </c>
      <c r="AX72" s="5">
        <f ca="1">IF(AND((OFFSET('DATA INPUT'!$C$51, ROW()-ROW($AT$63),0)=$AT$10),
(OFFSET('DATA INPUT'!$V$51,ROW()-ROW($AT$63),0)=3)),
OFFSET('Calc - OTHER PERS'!$Q$11,COLUMN()-COLUMN($AT$63) + (ROW()-ROW($AT$63))*14,0),0)</f>
        <v>0</v>
      </c>
      <c r="AY72" s="5">
        <f ca="1">IF(AND((OFFSET('DATA INPUT'!$C$51, ROW()-ROW($AT$63),0)=$AT$10),
(OFFSET('DATA INPUT'!$V$51,ROW()-ROW($AT$63),0)=3)),
OFFSET('Calc - OTHER PERS'!$Q$11,COLUMN()-COLUMN($AT$63) + (ROW()-ROW($AT$63))*14,0),0)</f>
        <v>0</v>
      </c>
      <c r="AZ72" s="150">
        <f t="shared" ca="1" si="113"/>
        <v>0</v>
      </c>
      <c r="BB72" s="133">
        <f ca="1">IF(AND((OFFSET('DATA INPUT'!$C$51, ROW()-ROW($BB$63),0)=$BB$10),
(OFFSET('DATA INPUT'!$V$51,ROW()-ROW($BB$63),0)=3)),
OFFSET('Calc - OTHER PERS'!$Q$11,COLUMN()-COLUMN($BB$63) + (ROW()-ROW($BB$63))*14,0),0)</f>
        <v>0</v>
      </c>
      <c r="BC72" s="5">
        <f ca="1">IF(AND((OFFSET('DATA INPUT'!$C$51, ROW()-ROW($BB$63),0)=$BB$10),
(OFFSET('DATA INPUT'!$V$51,ROW()-ROW($BB$63),0)=3)),
OFFSET('Calc - OTHER PERS'!$Q$11,COLUMN()-COLUMN($BB$63) + (ROW()-ROW($BB$63))*14,0),0)</f>
        <v>0</v>
      </c>
      <c r="BD72" s="5">
        <f ca="1">IF(AND((OFFSET('DATA INPUT'!$C$51, ROW()-ROW($BB$63),0)=$BB$10),
(OFFSET('DATA INPUT'!$V$51,ROW()-ROW($BB$63),0)=3)),
OFFSET('Calc - OTHER PERS'!$Q$11,COLUMN()-COLUMN($BB$63) + (ROW()-ROW($BB$63))*14,0),0)</f>
        <v>0</v>
      </c>
      <c r="BE72" s="5">
        <f ca="1">IF(AND((OFFSET('DATA INPUT'!$C$51, ROW()-ROW($BB$63),0)=$BB$10),
(OFFSET('DATA INPUT'!$V$51,ROW()-ROW($BB$63),0)=3)),
OFFSET('Calc - OTHER PERS'!$Q$11,COLUMN()-COLUMN($BB$63) + (ROW()-ROW($BB$63))*14,0),0)</f>
        <v>0</v>
      </c>
      <c r="BF72" s="5">
        <f ca="1">IF(AND((OFFSET('DATA INPUT'!$C$51, ROW()-ROW($BB$63),0)=$BB$10),
(OFFSET('DATA INPUT'!$V$51,ROW()-ROW($BB$63),0)=3)),
OFFSET('Calc - OTHER PERS'!$Q$11,COLUMN()-COLUMN($BB$63) + (ROW()-ROW($BB$63))*14,0),0)</f>
        <v>0</v>
      </c>
      <c r="BG72" s="5">
        <f ca="1">IF(AND((OFFSET('DATA INPUT'!$C$51, ROW()-ROW($BB$63),0)=$BB$10),
(OFFSET('DATA INPUT'!$V$51,ROW()-ROW($BB$63),0)=3)),
OFFSET('Calc - OTHER PERS'!$Q$11,COLUMN()-COLUMN($BB$63) + (ROW()-ROW($BB$63))*14,0),0)</f>
        <v>0</v>
      </c>
      <c r="BH72" s="192">
        <f t="shared" ca="1" si="114"/>
        <v>0</v>
      </c>
      <c r="BJ72" s="21"/>
      <c r="BK72" s="5"/>
      <c r="BL72" s="5"/>
      <c r="BM72" s="5"/>
      <c r="BN72" s="5"/>
      <c r="BO72" s="5"/>
      <c r="BP72" s="1105">
        <f t="shared" si="115"/>
        <v>0</v>
      </c>
      <c r="BR72" s="575">
        <f t="shared" ca="1" si="116"/>
        <v>0</v>
      </c>
      <c r="BS72" s="5">
        <f t="shared" ca="1" si="117"/>
        <v>0</v>
      </c>
      <c r="BT72" s="5">
        <f t="shared" ca="1" si="118"/>
        <v>0</v>
      </c>
      <c r="BU72" s="5">
        <f t="shared" ca="1" si="119"/>
        <v>0</v>
      </c>
      <c r="BV72" s="5">
        <f t="shared" ca="1" si="120"/>
        <v>0</v>
      </c>
      <c r="BW72" s="5">
        <f t="shared" ca="1" si="121"/>
        <v>0</v>
      </c>
      <c r="BX72" s="2175">
        <f t="shared" ca="1" si="122"/>
        <v>0</v>
      </c>
      <c r="BY72" s="573">
        <f t="shared" ca="1" si="123"/>
        <v>0</v>
      </c>
      <c r="BZ72" s="257"/>
      <c r="CB72" s="1182">
        <f t="shared" ca="1" si="203"/>
        <v>0</v>
      </c>
      <c r="CC72" s="387">
        <f t="shared" ca="1" si="204"/>
        <v>0</v>
      </c>
      <c r="CD72" s="56">
        <f t="shared" ca="1" si="204"/>
        <v>0</v>
      </c>
      <c r="CE72" s="56">
        <f t="shared" ca="1" si="205"/>
        <v>0</v>
      </c>
      <c r="CF72" s="56">
        <f t="shared" ca="1" si="206"/>
        <v>0</v>
      </c>
      <c r="CG72" s="1183">
        <f t="shared" ca="1" si="207"/>
        <v>0</v>
      </c>
      <c r="CH72" s="1184">
        <f t="shared" ca="1" si="208"/>
        <v>0</v>
      </c>
      <c r="CI72" s="1193">
        <f t="shared" ca="1" si="208"/>
        <v>0</v>
      </c>
      <c r="CJ72" s="1193">
        <f t="shared" ca="1" si="209"/>
        <v>0</v>
      </c>
      <c r="CK72" s="1193">
        <f t="shared" ca="1" si="210"/>
        <v>0</v>
      </c>
      <c r="CL72" s="1235">
        <f t="shared" ca="1" si="211"/>
        <v>0</v>
      </c>
      <c r="CM72" s="1187">
        <f t="shared" ca="1" si="212"/>
        <v>0</v>
      </c>
      <c r="CN72" s="1188">
        <f t="shared" ca="1" si="212"/>
        <v>0</v>
      </c>
      <c r="CO72" s="1189">
        <f t="shared" ca="1" si="213"/>
        <v>0</v>
      </c>
      <c r="CP72" s="1234">
        <f t="shared" ca="1" si="124"/>
        <v>0</v>
      </c>
      <c r="CS72" s="575"/>
      <c r="CT72" s="5"/>
      <c r="CU72" s="1180"/>
      <c r="CV72" s="575"/>
      <c r="CW72" s="5"/>
      <c r="CX72" s="1180"/>
      <c r="CY72" s="575"/>
      <c r="CZ72" s="5"/>
      <c r="DA72" s="1180"/>
      <c r="DB72" s="575"/>
      <c r="DC72" s="5"/>
      <c r="DD72" s="1180"/>
      <c r="DE72" s="1181">
        <f t="shared" si="214"/>
        <v>0</v>
      </c>
      <c r="DG72" s="575"/>
      <c r="DH72" s="5"/>
      <c r="DI72" s="1180"/>
      <c r="DJ72" s="575"/>
      <c r="DK72" s="5"/>
      <c r="DL72" s="1180"/>
      <c r="DM72" s="575"/>
      <c r="DN72" s="5"/>
      <c r="DO72" s="1180"/>
      <c r="DP72" s="575"/>
      <c r="DQ72" s="5"/>
      <c r="DR72" s="1180"/>
      <c r="DS72" s="1181">
        <f t="shared" si="215"/>
        <v>0</v>
      </c>
      <c r="DU72" s="575"/>
      <c r="DV72" s="5"/>
      <c r="DW72" s="1180"/>
      <c r="DX72" s="575"/>
      <c r="DY72" s="5"/>
      <c r="DZ72" s="1180"/>
      <c r="EA72" s="575"/>
      <c r="EB72" s="5"/>
      <c r="EC72" s="1180"/>
      <c r="ED72" s="575"/>
      <c r="EE72" s="5"/>
      <c r="EF72" s="1180"/>
      <c r="EG72" s="1181">
        <f t="shared" si="216"/>
        <v>0</v>
      </c>
      <c r="EI72" s="22"/>
      <c r="EJ72" s="3211"/>
      <c r="EK72" s="422" t="str">
        <f t="shared" si="217"/>
        <v xml:space="preserve"> - </v>
      </c>
      <c r="EL72" s="409">
        <f t="shared" ca="1" si="218"/>
        <v>0</v>
      </c>
      <c r="EM72" s="409">
        <f t="shared" ca="1" si="219"/>
        <v>0</v>
      </c>
      <c r="EN72" s="409">
        <f t="shared" ca="1" si="220"/>
        <v>0</v>
      </c>
      <c r="EO72" s="409">
        <f t="shared" ca="1" si="221"/>
        <v>0</v>
      </c>
      <c r="EP72" s="409">
        <f t="shared" ca="1" si="222"/>
        <v>0</v>
      </c>
      <c r="EQ72" s="409">
        <f t="shared" ca="1" si="223"/>
        <v>0</v>
      </c>
      <c r="ER72" s="12">
        <f t="shared" ca="1" si="224"/>
        <v>0</v>
      </c>
      <c r="ES72" s="4"/>
      <c r="ET72" s="45"/>
      <c r="EU72" s="4"/>
      <c r="EV72" s="133">
        <f t="shared" ca="1" si="225"/>
        <v>0</v>
      </c>
      <c r="EW72" s="5">
        <f t="shared" ca="1" si="226"/>
        <v>0</v>
      </c>
      <c r="EX72" s="5">
        <f t="shared" ca="1" si="227"/>
        <v>0</v>
      </c>
      <c r="EY72" s="5">
        <f t="shared" ca="1" si="228"/>
        <v>0</v>
      </c>
      <c r="EZ72" s="21">
        <f t="shared" ca="1" si="229"/>
        <v>0</v>
      </c>
      <c r="FA72" s="21">
        <f t="shared" ca="1" si="230"/>
        <v>0</v>
      </c>
      <c r="FB72" s="164">
        <f t="shared" ca="1" si="143"/>
        <v>0</v>
      </c>
      <c r="FD72" s="133">
        <f t="shared" ca="1" si="231"/>
        <v>0</v>
      </c>
      <c r="FE72" s="5">
        <f t="shared" ca="1" si="232"/>
        <v>0</v>
      </c>
      <c r="FF72" s="5">
        <f t="shared" ca="1" si="233"/>
        <v>0</v>
      </c>
      <c r="FG72" s="5">
        <f t="shared" ca="1" si="234"/>
        <v>0</v>
      </c>
      <c r="FH72" s="5">
        <f t="shared" ca="1" si="235"/>
        <v>0</v>
      </c>
      <c r="FI72" s="1180">
        <f t="shared" ca="1" si="236"/>
        <v>0</v>
      </c>
      <c r="FJ72" s="2385">
        <f t="shared" ca="1" si="150"/>
        <v>0</v>
      </c>
      <c r="FL72" s="133">
        <f t="shared" ca="1" si="237"/>
        <v>0</v>
      </c>
      <c r="FM72" s="5">
        <f t="shared" ca="1" si="238"/>
        <v>0</v>
      </c>
      <c r="FN72" s="5">
        <f t="shared" ca="1" si="239"/>
        <v>0</v>
      </c>
      <c r="FO72" s="5">
        <f t="shared" ca="1" si="240"/>
        <v>0</v>
      </c>
      <c r="FP72" s="5">
        <f t="shared" ca="1" si="241"/>
        <v>0</v>
      </c>
      <c r="FQ72" s="1180">
        <f t="shared" ca="1" si="242"/>
        <v>0</v>
      </c>
      <c r="FR72" s="206">
        <f t="shared" ca="1" si="157"/>
        <v>0</v>
      </c>
      <c r="FT72" s="133">
        <f t="shared" ca="1" si="243"/>
        <v>0</v>
      </c>
      <c r="FU72" s="5">
        <f t="shared" ca="1" si="244"/>
        <v>0</v>
      </c>
      <c r="FV72" s="5">
        <f t="shared" ca="1" si="245"/>
        <v>0</v>
      </c>
      <c r="FW72" s="5">
        <f t="shared" ca="1" si="246"/>
        <v>0</v>
      </c>
      <c r="FX72" s="5">
        <f t="shared" ca="1" si="247"/>
        <v>0</v>
      </c>
      <c r="FY72" s="5">
        <f t="shared" ca="1" si="248"/>
        <v>0</v>
      </c>
      <c r="FZ72" s="178">
        <f t="shared" ca="1" si="164"/>
        <v>0</v>
      </c>
      <c r="GB72" s="133">
        <f t="shared" ca="1" si="249"/>
        <v>0</v>
      </c>
      <c r="GC72" s="5">
        <f t="shared" ca="1" si="250"/>
        <v>0</v>
      </c>
      <c r="GD72" s="5">
        <f t="shared" ca="1" si="251"/>
        <v>0</v>
      </c>
      <c r="GE72" s="5">
        <f t="shared" ca="1" si="252"/>
        <v>0</v>
      </c>
      <c r="GF72" s="5">
        <f t="shared" ca="1" si="253"/>
        <v>0</v>
      </c>
      <c r="GG72" s="5">
        <f t="shared" ca="1" si="254"/>
        <v>0</v>
      </c>
      <c r="GH72" s="150">
        <f t="shared" ca="1" si="171"/>
        <v>0</v>
      </c>
      <c r="GJ72" s="133">
        <f t="shared" ca="1" si="255"/>
        <v>0</v>
      </c>
      <c r="GK72" s="5">
        <f t="shared" ca="1" si="256"/>
        <v>0</v>
      </c>
      <c r="GL72" s="5">
        <f t="shared" ca="1" si="257"/>
        <v>0</v>
      </c>
      <c r="GM72" s="5">
        <f t="shared" ca="1" si="258"/>
        <v>0</v>
      </c>
      <c r="GN72" s="5">
        <f t="shared" ca="1" si="259"/>
        <v>0</v>
      </c>
      <c r="GO72" s="5">
        <f t="shared" ca="1" si="260"/>
        <v>0</v>
      </c>
      <c r="GP72" s="192">
        <f t="shared" ca="1" si="172"/>
        <v>0</v>
      </c>
      <c r="GR72" s="21"/>
      <c r="GS72" s="5"/>
      <c r="GT72" s="5"/>
      <c r="GU72" s="5"/>
      <c r="GV72" s="5"/>
      <c r="GW72" s="5"/>
      <c r="GX72" s="1105">
        <f t="shared" si="173"/>
        <v>0</v>
      </c>
      <c r="GZ72" s="575">
        <f t="shared" ca="1" si="174"/>
        <v>0</v>
      </c>
      <c r="HA72" s="5">
        <f t="shared" ca="1" si="175"/>
        <v>0</v>
      </c>
      <c r="HB72" s="5">
        <f t="shared" ca="1" si="176"/>
        <v>0</v>
      </c>
      <c r="HC72" s="5">
        <f t="shared" ca="1" si="177"/>
        <v>0</v>
      </c>
      <c r="HD72" s="5">
        <f t="shared" ca="1" si="178"/>
        <v>0</v>
      </c>
      <c r="HE72" s="5">
        <f t="shared" ca="1" si="179"/>
        <v>0</v>
      </c>
      <c r="HF72" s="2175">
        <f t="shared" ca="1" si="180"/>
        <v>0</v>
      </c>
      <c r="HG72" s="573">
        <f t="shared" ca="1" si="181"/>
        <v>0</v>
      </c>
      <c r="HH72" s="257"/>
    </row>
    <row r="73" spans="1:216" ht="15" hidden="1" customHeight="1" x14ac:dyDescent="0.25">
      <c r="A73" s="22"/>
      <c r="B73" s="3211"/>
      <c r="C73" s="57" t="str">
        <f>('DATA INPUT'!B61&amp;" "&amp;"-"&amp;" "&amp;'DATA INPUT'!H61)</f>
        <v xml:space="preserve"> - </v>
      </c>
      <c r="D73" s="21">
        <f ca="1">'Calc - OTHER PERS'!J151</f>
        <v>0</v>
      </c>
      <c r="E73" s="5">
        <f ca="1">'Calc - OTHER PERS'!J152</f>
        <v>0</v>
      </c>
      <c r="F73" s="5">
        <f ca="1">'Calc - OTHER PERS'!J153</f>
        <v>0</v>
      </c>
      <c r="G73" s="5">
        <f ca="1">'Calc - OTHER PERS'!J154</f>
        <v>0</v>
      </c>
      <c r="H73" s="21">
        <f ca="1">'Calc - OTHER PERS'!J155</f>
        <v>0</v>
      </c>
      <c r="I73" s="21">
        <f ca="1">'Calc - OTHER PERS'!J156</f>
        <v>0</v>
      </c>
      <c r="J73" s="12">
        <f t="shared" ca="1" si="202"/>
        <v>0</v>
      </c>
      <c r="K73" s="45"/>
      <c r="L73" s="4"/>
      <c r="M73" s="45"/>
      <c r="N73" s="133">
        <f ca="1">IF(AND((OFFSET('DATA INPUT'!$C$51, ROW()-ROW($N$63),0)=$N$10),
(OFFSET('DATA INPUT'!$V$51,ROW()-ROW($N$63),0)=3)),
OFFSET('Calc - OTHER PERS'!$Q$11,COLUMN()-COLUMN($N$63) + (ROW()-ROW($N$63))*14,0),0)</f>
        <v>0</v>
      </c>
      <c r="O73" s="5">
        <f ca="1">IF(AND((OFFSET('DATA INPUT'!$C$51, ROW()-ROW($N$63),0)=$N$10),
(OFFSET('DATA INPUT'!$V$51,ROW()-ROW($N$63),0)=3)),
OFFSET('Calc - OTHER PERS'!$Q$11,COLUMN()-COLUMN($N$63) + (ROW()-ROW($N$63))*14,0),0)</f>
        <v>0</v>
      </c>
      <c r="P73" s="5">
        <f ca="1">IF(AND((OFFSET('DATA INPUT'!$C$51, ROW()-ROW($N$63),0)=$N$10),
(OFFSET('DATA INPUT'!$V$51,ROW()-ROW($N$63),0)=3)),
OFFSET('Calc - OTHER PERS'!$Q$11,COLUMN()-COLUMN($N$63) + (ROW()-ROW($N$63))*14,0),0)</f>
        <v>0</v>
      </c>
      <c r="Q73" s="5">
        <f ca="1">IF(AND((OFFSET('DATA INPUT'!$C$51, ROW()-ROW($N$63),0)=$N$10),
(OFFSET('DATA INPUT'!$V$51,ROW()-ROW($N$63),0)=3)),
OFFSET('Calc - OTHER PERS'!$Q$11,COLUMN()-COLUMN($N$63) + (ROW()-ROW($N$63))*14,0),0)</f>
        <v>0</v>
      </c>
      <c r="R73" s="21">
        <f ca="1">IF(AND((OFFSET('DATA INPUT'!$C$51, ROW()-ROW($N$63),0)=$N$10),
(OFFSET('DATA INPUT'!$V$51,ROW()-ROW($N$63),0)=3)),
OFFSET('Calc - OTHER PERS'!$Q$11,COLUMN()-COLUMN($N$63) + (ROW()-ROW($N$63))*14,0),0)</f>
        <v>0</v>
      </c>
      <c r="S73" s="21">
        <f ca="1">IF(AND((OFFSET('DATA INPUT'!$C$51, ROW()-ROW($N$63),0)=$N$10),
(OFFSET('DATA INPUT'!$V$51,ROW()-ROW($N$63),0)=3)),
OFFSET('Calc - OTHER PERS'!$Q$11,COLUMN()-COLUMN($N$63) + (ROW()-ROW($N$63))*14,0),0)</f>
        <v>0</v>
      </c>
      <c r="T73" s="164">
        <f t="shared" ca="1" si="109"/>
        <v>0</v>
      </c>
      <c r="U73" s="1"/>
      <c r="V73" s="133">
        <f ca="1">IF(AND((OFFSET('DATA INPUT'!$C$51, ROW()-ROW($V$63),0)=$V$10),
(OFFSET('DATA INPUT'!$V$51,ROW()-ROW($V$63),0)=3)),
OFFSET('Calc - OTHER PERS'!$Q$11,COLUMN()-COLUMN($V$63) + (ROW()-ROW($V$63))*14,0),0)</f>
        <v>0</v>
      </c>
      <c r="W73" s="5">
        <f ca="1">IF(AND((OFFSET('DATA INPUT'!$C$51, ROW()-ROW($V$63),0)=$V$10),
(OFFSET('DATA INPUT'!$V$51,ROW()-ROW($V$63),0)=3)),
OFFSET('Calc - OTHER PERS'!$Q$11,COLUMN()-COLUMN($V$63) + (ROW()-ROW($V$63))*14,0),0)</f>
        <v>0</v>
      </c>
      <c r="X73" s="5">
        <f ca="1">IF(AND((OFFSET('DATA INPUT'!$C$51, ROW()-ROW($V$63),0)=$V$10),
(OFFSET('DATA INPUT'!$V$51,ROW()-ROW($V$63),0)=3)),
OFFSET('Calc - OTHER PERS'!$Q$11,COLUMN()-COLUMN($V$63) + (ROW()-ROW($V$63))*14,0),0)</f>
        <v>0</v>
      </c>
      <c r="Y73" s="5">
        <f ca="1">IF(AND((OFFSET('DATA INPUT'!$C$51, ROW()-ROW($V$63),0)=$V$10),
(OFFSET('DATA INPUT'!$V$51,ROW()-ROW($V$63),0)=3)),
OFFSET('Calc - OTHER PERS'!$Q$11,COLUMN()-COLUMN($V$63) + (ROW()-ROW($V$63))*14,0),0)</f>
        <v>0</v>
      </c>
      <c r="Z73" s="21">
        <f ca="1">IF(AND((OFFSET('DATA INPUT'!$C$51, ROW()-ROW($V$63),0)=$V$10),
(OFFSET('DATA INPUT'!$V$51,ROW()-ROW($V$63),0)=3)),
OFFSET('Calc - OTHER PERS'!$Q$11,COLUMN()-COLUMN($V$63) + (ROW()-ROW($V$63))*14,0),0)</f>
        <v>0</v>
      </c>
      <c r="AA73" s="2384">
        <f ca="1">IF(AND((OFFSET('DATA INPUT'!$C$51, ROW()-ROW($V$63),0)=$V$10),
(OFFSET('DATA INPUT'!$V$51,ROW()-ROW($V$63),0)=3)),
OFFSET('Calc - OTHER PERS'!$Q$11,COLUMN()-COLUMN($V$63) + (ROW()-ROW($V$63))*14,0),0)</f>
        <v>0</v>
      </c>
      <c r="AB73" s="2385">
        <f t="shared" ca="1" si="110"/>
        <v>0</v>
      </c>
      <c r="AD73" s="133">
        <f ca="1">IF(AND((OFFSET('DATA INPUT'!$C$51, ROW()-ROW($AD$63),0)=$AD$10),
(OFFSET('DATA INPUT'!$V$51,ROW()-ROW($AD$63),0)=3)),
OFFSET('Calc - OTHER PERS'!$Q$11,COLUMN()-COLUMN($AD$63) + (ROW()-ROW($AD$63))*14,0),0)</f>
        <v>0</v>
      </c>
      <c r="AE73" s="5">
        <f ca="1">IF(AND((OFFSET('DATA INPUT'!$C$51, ROW()-ROW($AD$63),0)=$AD$10),
(OFFSET('DATA INPUT'!$V$51,ROW()-ROW($AD$63),0)=3)),
OFFSET('Calc - OTHER PERS'!$Q$11,COLUMN()-COLUMN($AD$63) + (ROW()-ROW($AD$63))*14,0),0)</f>
        <v>0</v>
      </c>
      <c r="AF73" s="5">
        <f ca="1">IF(AND((OFFSET('DATA INPUT'!$C$51, ROW()-ROW($AD$63),0)=$AD$10),
(OFFSET('DATA INPUT'!$V$51,ROW()-ROW($AD$63),0)=3)),
OFFSET('Calc - OTHER PERS'!$Q$11,COLUMN()-COLUMN($AD$63) + (ROW()-ROW($AD$63))*14,0),0)</f>
        <v>0</v>
      </c>
      <c r="AG73" s="5">
        <f ca="1">IF(AND((OFFSET('DATA INPUT'!$C$51, ROW()-ROW($AD$63),0)=$AD$10),
(OFFSET('DATA INPUT'!$V$51,ROW()-ROW($AD$63),0)=3)),
OFFSET('Calc - OTHER PERS'!$Q$11,COLUMN()-COLUMN($AD$63) + (ROW()-ROW($AD$63))*14,0),0)</f>
        <v>0</v>
      </c>
      <c r="AH73" s="21">
        <f ca="1">IF(AND((OFFSET('DATA INPUT'!$C$51, ROW()-ROW($AD$63),0)=$AD$10),
(OFFSET('DATA INPUT'!$V$51,ROW()-ROW($AD$63),0)=3)),
OFFSET('Calc - OTHER PERS'!$Q$11,COLUMN()-COLUMN($AD$63) + (ROW()-ROW($AD$63))*14,0),0)</f>
        <v>0</v>
      </c>
      <c r="AI73" s="2384">
        <f ca="1">IF(AND((OFFSET('DATA INPUT'!$C$51, ROW()-ROW($AD$63),0)=$AD$10),
(OFFSET('DATA INPUT'!$V$51,ROW()-ROW($AD$63),0)=3)),
OFFSET('Calc - OTHER PERS'!$Q$11,COLUMN()-COLUMN($AD$63) + (ROW()-ROW($AD$63))*14,0),0)</f>
        <v>0</v>
      </c>
      <c r="AJ73" s="206">
        <f t="shared" ca="1" si="111"/>
        <v>0</v>
      </c>
      <c r="AL73" s="133">
        <f ca="1">IF(AND((OFFSET('DATA INPUT'!$C$51, ROW()-ROW($AL$63),0)=$AL$10),
(OFFSET('DATA INPUT'!$V$51,ROW()-ROW($AL$63),0)=3)),
OFFSET('Calc - OTHER PERS'!$Q$11,COLUMN()-COLUMN($AL$63) + (ROW()-ROW($AL$63))*14,0),0)</f>
        <v>0</v>
      </c>
      <c r="AM73" s="5">
        <f ca="1">IF(AND((OFFSET('DATA INPUT'!$C$51, ROW()-ROW($AL$63),0)=$AL$10),
(OFFSET('DATA INPUT'!$V$51,ROW()-ROW($AL$63),0)=3)),
OFFSET('Calc - OTHER PERS'!$Q$11,COLUMN()-COLUMN($AL$63) + (ROW()-ROW($AL$63))*14,0),0)</f>
        <v>0</v>
      </c>
      <c r="AN73" s="5">
        <f ca="1">IF(AND((OFFSET('DATA INPUT'!$C$51, ROW()-ROW($AL$63),0)=$AL$10),
(OFFSET('DATA INPUT'!$V$51,ROW()-ROW($AL$63),0)=3)),
OFFSET('Calc - OTHER PERS'!$Q$11,COLUMN()-COLUMN($AL$63) + (ROW()-ROW($AL$63))*14,0),0)</f>
        <v>0</v>
      </c>
      <c r="AO73" s="5">
        <f ca="1">IF(AND((OFFSET('DATA INPUT'!$C$51, ROW()-ROW($AL$63),0)=$AL$10),
(OFFSET('DATA INPUT'!$V$51,ROW()-ROW($AL$63),0)=3)),
OFFSET('Calc - OTHER PERS'!$Q$11,COLUMN()-COLUMN($AL$63) + (ROW()-ROW($AL$63))*14,0),0)</f>
        <v>0</v>
      </c>
      <c r="AP73" s="21">
        <f ca="1">IF(AND((OFFSET('DATA INPUT'!$C$51, ROW()-ROW($AL$63),0)=$AL$10),
(OFFSET('DATA INPUT'!$V$51,ROW()-ROW($AL$63),0)=3)),
OFFSET('Calc - OTHER PERS'!$Q$11,COLUMN()-COLUMN($AL$63) + (ROW()-ROW($AL$63))*14,0),0)</f>
        <v>0</v>
      </c>
      <c r="AQ73" s="21">
        <f ca="1">IF(AND((OFFSET('DATA INPUT'!$C$51, ROW()-ROW($AL$63),0)=$AL$10),
(OFFSET('DATA INPUT'!$V$51,ROW()-ROW($AL$63),0)=3)),
OFFSET('Calc - OTHER PERS'!$Q$11,COLUMN()-COLUMN($AL$63) + (ROW()-ROW($AL$63))*14,0),0)</f>
        <v>0</v>
      </c>
      <c r="AR73" s="178">
        <f t="shared" ca="1" si="112"/>
        <v>0</v>
      </c>
      <c r="AT73" s="133">
        <f ca="1">IF(AND((OFFSET('DATA INPUT'!$C$51, ROW()-ROW($AT$63),0)=$AT$10),
(OFFSET('DATA INPUT'!$V$51,ROW()-ROW($AT$63),0)=3)),
OFFSET('Calc - OTHER PERS'!$Q$11,COLUMN()-COLUMN($AT$63) + (ROW()-ROW($AT$63))*14,0),0)</f>
        <v>0</v>
      </c>
      <c r="AU73" s="5">
        <f ca="1">IF(AND((OFFSET('DATA INPUT'!$C$51, ROW()-ROW($AT$63),0)=$AT$10),
(OFFSET('DATA INPUT'!$V$51,ROW()-ROW($AT$63),0)=3)),
OFFSET('Calc - OTHER PERS'!$Q$11,COLUMN()-COLUMN($AT$63) + (ROW()-ROW($AT$63))*14,0),0)</f>
        <v>0</v>
      </c>
      <c r="AV73" s="5">
        <f ca="1">IF(AND((OFFSET('DATA INPUT'!$C$51, ROW()-ROW($AT$63),0)=$AT$10),
(OFFSET('DATA INPUT'!$V$51,ROW()-ROW($AT$63),0)=3)),
OFFSET('Calc - OTHER PERS'!$Q$11,COLUMN()-COLUMN($AT$63) + (ROW()-ROW($AT$63))*14,0),0)</f>
        <v>0</v>
      </c>
      <c r="AW73" s="5">
        <f ca="1">IF(AND((OFFSET('DATA INPUT'!$C$51, ROW()-ROW($AT$63),0)=$AT$10),
(OFFSET('DATA INPUT'!$V$51,ROW()-ROW($AT$63),0)=3)),
OFFSET('Calc - OTHER PERS'!$Q$11,COLUMN()-COLUMN($AT$63) + (ROW()-ROW($AT$63))*14,0),0)</f>
        <v>0</v>
      </c>
      <c r="AX73" s="21">
        <f ca="1">IF(AND((OFFSET('DATA INPUT'!$C$51, ROW()-ROW($AT$63),0)=$AT$10),
(OFFSET('DATA INPUT'!$V$51,ROW()-ROW($AT$63),0)=3)),
OFFSET('Calc - OTHER PERS'!$Q$11,COLUMN()-COLUMN($AT$63) + (ROW()-ROW($AT$63))*14,0),0)</f>
        <v>0</v>
      </c>
      <c r="AY73" s="21">
        <f ca="1">IF(AND((OFFSET('DATA INPUT'!$C$51, ROW()-ROW($AT$63),0)=$AT$10),
(OFFSET('DATA INPUT'!$V$51,ROW()-ROW($AT$63),0)=3)),
OFFSET('Calc - OTHER PERS'!$Q$11,COLUMN()-COLUMN($AT$63) + (ROW()-ROW($AT$63))*14,0),0)</f>
        <v>0</v>
      </c>
      <c r="AZ73" s="150">
        <f t="shared" ca="1" si="113"/>
        <v>0</v>
      </c>
      <c r="BB73" s="133">
        <f ca="1">IF(AND((OFFSET('DATA INPUT'!$C$51, ROW()-ROW($BB$63),0)=$BB$10),
(OFFSET('DATA INPUT'!$V$51,ROW()-ROW($BB$63),0)=3)),
OFFSET('Calc - OTHER PERS'!$Q$11,COLUMN()-COLUMN($BB$63) + (ROW()-ROW($BB$63))*14,0),0)</f>
        <v>0</v>
      </c>
      <c r="BC73" s="5">
        <f ca="1">IF(AND((OFFSET('DATA INPUT'!$C$51, ROW()-ROW($BB$63),0)=$BB$10),
(OFFSET('DATA INPUT'!$V$51,ROW()-ROW($BB$63),0)=3)),
OFFSET('Calc - OTHER PERS'!$Q$11,COLUMN()-COLUMN($BB$63) + (ROW()-ROW($BB$63))*14,0),0)</f>
        <v>0</v>
      </c>
      <c r="BD73" s="5">
        <f ca="1">IF(AND((OFFSET('DATA INPUT'!$C$51, ROW()-ROW($BB$63),0)=$BB$10),
(OFFSET('DATA INPUT'!$V$51,ROW()-ROW($BB$63),0)=3)),
OFFSET('Calc - OTHER PERS'!$Q$11,COLUMN()-COLUMN($BB$63) + (ROW()-ROW($BB$63))*14,0),0)</f>
        <v>0</v>
      </c>
      <c r="BE73" s="5">
        <f ca="1">IF(AND((OFFSET('DATA INPUT'!$C$51, ROW()-ROW($BB$63),0)=$BB$10),
(OFFSET('DATA INPUT'!$V$51,ROW()-ROW($BB$63),0)=3)),
OFFSET('Calc - OTHER PERS'!$Q$11,COLUMN()-COLUMN($BB$63) + (ROW()-ROW($BB$63))*14,0),0)</f>
        <v>0</v>
      </c>
      <c r="BF73" s="21">
        <f ca="1">IF(AND((OFFSET('DATA INPUT'!$C$51, ROW()-ROW($BB$63),0)=$BB$10),
(OFFSET('DATA INPUT'!$V$51,ROW()-ROW($BB$63),0)=3)),
OFFSET('Calc - OTHER PERS'!$Q$11,COLUMN()-COLUMN($BB$63) + (ROW()-ROW($BB$63))*14,0),0)</f>
        <v>0</v>
      </c>
      <c r="BG73" s="21">
        <f ca="1">IF(AND((OFFSET('DATA INPUT'!$C$51, ROW()-ROW($BB$63),0)=$BB$10),
(OFFSET('DATA INPUT'!$V$51,ROW()-ROW($BB$63),0)=3)),
OFFSET('Calc - OTHER PERS'!$Q$11,COLUMN()-COLUMN($BB$63) + (ROW()-ROW($BB$63))*14,0),0)</f>
        <v>0</v>
      </c>
      <c r="BH73" s="192">
        <f t="shared" ca="1" si="114"/>
        <v>0</v>
      </c>
      <c r="BJ73" s="21"/>
      <c r="BK73" s="5"/>
      <c r="BL73" s="5"/>
      <c r="BM73" s="5"/>
      <c r="BN73" s="21"/>
      <c r="BO73" s="21"/>
      <c r="BP73" s="1105">
        <f t="shared" si="115"/>
        <v>0</v>
      </c>
      <c r="BR73" s="575">
        <f t="shared" ca="1" si="116"/>
        <v>0</v>
      </c>
      <c r="BS73" s="5">
        <f t="shared" ca="1" si="117"/>
        <v>0</v>
      </c>
      <c r="BT73" s="5">
        <f t="shared" ca="1" si="118"/>
        <v>0</v>
      </c>
      <c r="BU73" s="5">
        <f t="shared" ca="1" si="119"/>
        <v>0</v>
      </c>
      <c r="BV73" s="5">
        <f t="shared" ca="1" si="120"/>
        <v>0</v>
      </c>
      <c r="BW73" s="5">
        <f t="shared" ca="1" si="121"/>
        <v>0</v>
      </c>
      <c r="BX73" s="2175">
        <f t="shared" ca="1" si="122"/>
        <v>0</v>
      </c>
      <c r="BY73" s="573">
        <f t="shared" ca="1" si="123"/>
        <v>0</v>
      </c>
      <c r="BZ73" s="257"/>
      <c r="CB73" s="1182">
        <f t="shared" ca="1" si="203"/>
        <v>0</v>
      </c>
      <c r="CC73" s="387">
        <f t="shared" ca="1" si="204"/>
        <v>0</v>
      </c>
      <c r="CD73" s="56">
        <f t="shared" ca="1" si="204"/>
        <v>0</v>
      </c>
      <c r="CE73" s="56">
        <f t="shared" ca="1" si="205"/>
        <v>0</v>
      </c>
      <c r="CF73" s="56">
        <f t="shared" ca="1" si="206"/>
        <v>0</v>
      </c>
      <c r="CG73" s="1183">
        <f t="shared" ca="1" si="207"/>
        <v>0</v>
      </c>
      <c r="CH73" s="1184">
        <f t="shared" ca="1" si="208"/>
        <v>0</v>
      </c>
      <c r="CI73" s="1193">
        <f t="shared" ca="1" si="208"/>
        <v>0</v>
      </c>
      <c r="CJ73" s="1193">
        <f t="shared" ca="1" si="209"/>
        <v>0</v>
      </c>
      <c r="CK73" s="1193">
        <f t="shared" ca="1" si="210"/>
        <v>0</v>
      </c>
      <c r="CL73" s="1235">
        <f t="shared" ca="1" si="211"/>
        <v>0</v>
      </c>
      <c r="CM73" s="1195">
        <f t="shared" ca="1" si="212"/>
        <v>0</v>
      </c>
      <c r="CN73" s="1188">
        <f t="shared" ca="1" si="212"/>
        <v>0</v>
      </c>
      <c r="CO73" s="1189">
        <f t="shared" ca="1" si="213"/>
        <v>0</v>
      </c>
      <c r="CP73" s="1234">
        <f t="shared" ca="1" si="124"/>
        <v>0</v>
      </c>
      <c r="CS73" s="575"/>
      <c r="CT73" s="5"/>
      <c r="CU73" s="1180"/>
      <c r="CV73" s="575"/>
      <c r="CW73" s="5"/>
      <c r="CX73" s="1180"/>
      <c r="CY73" s="575"/>
      <c r="CZ73" s="5"/>
      <c r="DA73" s="1180"/>
      <c r="DB73" s="575"/>
      <c r="DC73" s="5"/>
      <c r="DD73" s="1180"/>
      <c r="DE73" s="1181">
        <f t="shared" si="214"/>
        <v>0</v>
      </c>
      <c r="DG73" s="575"/>
      <c r="DH73" s="5"/>
      <c r="DI73" s="1180"/>
      <c r="DJ73" s="575"/>
      <c r="DK73" s="5"/>
      <c r="DL73" s="1180"/>
      <c r="DM73" s="575"/>
      <c r="DN73" s="5"/>
      <c r="DO73" s="1180"/>
      <c r="DP73" s="575"/>
      <c r="DQ73" s="5"/>
      <c r="DR73" s="1180"/>
      <c r="DS73" s="1181">
        <f t="shared" si="215"/>
        <v>0</v>
      </c>
      <c r="DU73" s="575"/>
      <c r="DV73" s="5"/>
      <c r="DW73" s="1180"/>
      <c r="DX73" s="575"/>
      <c r="DY73" s="5"/>
      <c r="DZ73" s="1180"/>
      <c r="EA73" s="575"/>
      <c r="EB73" s="5"/>
      <c r="EC73" s="1180"/>
      <c r="ED73" s="575"/>
      <c r="EE73" s="5"/>
      <c r="EF73" s="1180"/>
      <c r="EG73" s="1181">
        <f t="shared" si="216"/>
        <v>0</v>
      </c>
      <c r="EI73" s="22"/>
      <c r="EJ73" s="3211"/>
      <c r="EK73" s="422" t="str">
        <f t="shared" si="217"/>
        <v xml:space="preserve"> - </v>
      </c>
      <c r="EL73" s="409">
        <f t="shared" ca="1" si="218"/>
        <v>0</v>
      </c>
      <c r="EM73" s="409">
        <f t="shared" ca="1" si="219"/>
        <v>0</v>
      </c>
      <c r="EN73" s="409">
        <f t="shared" ca="1" si="220"/>
        <v>0</v>
      </c>
      <c r="EO73" s="409">
        <f t="shared" ca="1" si="221"/>
        <v>0</v>
      </c>
      <c r="EP73" s="409">
        <f t="shared" ca="1" si="222"/>
        <v>0</v>
      </c>
      <c r="EQ73" s="409">
        <f t="shared" ca="1" si="223"/>
        <v>0</v>
      </c>
      <c r="ER73" s="12">
        <f t="shared" ca="1" si="224"/>
        <v>0</v>
      </c>
      <c r="ES73" s="45"/>
      <c r="ET73" s="4"/>
      <c r="EU73" s="45"/>
      <c r="EV73" s="133">
        <f t="shared" ca="1" si="225"/>
        <v>0</v>
      </c>
      <c r="EW73" s="5">
        <f t="shared" ca="1" si="226"/>
        <v>0</v>
      </c>
      <c r="EX73" s="5">
        <f t="shared" ca="1" si="227"/>
        <v>0</v>
      </c>
      <c r="EY73" s="5">
        <f t="shared" ca="1" si="228"/>
        <v>0</v>
      </c>
      <c r="EZ73" s="21">
        <f t="shared" ca="1" si="229"/>
        <v>0</v>
      </c>
      <c r="FA73" s="21">
        <f t="shared" ca="1" si="230"/>
        <v>0</v>
      </c>
      <c r="FB73" s="164">
        <f t="shared" ca="1" si="143"/>
        <v>0</v>
      </c>
      <c r="FC73" s="1"/>
      <c r="FD73" s="133">
        <f t="shared" ca="1" si="231"/>
        <v>0</v>
      </c>
      <c r="FE73" s="5">
        <f t="shared" ca="1" si="232"/>
        <v>0</v>
      </c>
      <c r="FF73" s="5">
        <f t="shared" ca="1" si="233"/>
        <v>0</v>
      </c>
      <c r="FG73" s="5">
        <f t="shared" ca="1" si="234"/>
        <v>0</v>
      </c>
      <c r="FH73" s="21">
        <f t="shared" ca="1" si="235"/>
        <v>0</v>
      </c>
      <c r="FI73" s="2384">
        <f t="shared" ca="1" si="236"/>
        <v>0</v>
      </c>
      <c r="FJ73" s="2385">
        <f t="shared" ca="1" si="150"/>
        <v>0</v>
      </c>
      <c r="FL73" s="133">
        <f t="shared" ca="1" si="237"/>
        <v>0</v>
      </c>
      <c r="FM73" s="5">
        <f t="shared" ca="1" si="238"/>
        <v>0</v>
      </c>
      <c r="FN73" s="5">
        <f t="shared" ca="1" si="239"/>
        <v>0</v>
      </c>
      <c r="FO73" s="5">
        <f t="shared" ca="1" si="240"/>
        <v>0</v>
      </c>
      <c r="FP73" s="21">
        <f t="shared" ca="1" si="241"/>
        <v>0</v>
      </c>
      <c r="FQ73" s="2384">
        <f t="shared" ca="1" si="242"/>
        <v>0</v>
      </c>
      <c r="FR73" s="206">
        <f t="shared" ca="1" si="157"/>
        <v>0</v>
      </c>
      <c r="FT73" s="133">
        <f t="shared" ca="1" si="243"/>
        <v>0</v>
      </c>
      <c r="FU73" s="5">
        <f t="shared" ca="1" si="244"/>
        <v>0</v>
      </c>
      <c r="FV73" s="5">
        <f t="shared" ca="1" si="245"/>
        <v>0</v>
      </c>
      <c r="FW73" s="5">
        <f t="shared" ca="1" si="246"/>
        <v>0</v>
      </c>
      <c r="FX73" s="21">
        <f t="shared" ca="1" si="247"/>
        <v>0</v>
      </c>
      <c r="FY73" s="21">
        <f t="shared" ca="1" si="248"/>
        <v>0</v>
      </c>
      <c r="FZ73" s="178">
        <f t="shared" ca="1" si="164"/>
        <v>0</v>
      </c>
      <c r="GB73" s="133">
        <f t="shared" ca="1" si="249"/>
        <v>0</v>
      </c>
      <c r="GC73" s="5">
        <f t="shared" ca="1" si="250"/>
        <v>0</v>
      </c>
      <c r="GD73" s="5">
        <f t="shared" ca="1" si="251"/>
        <v>0</v>
      </c>
      <c r="GE73" s="5">
        <f t="shared" ca="1" si="252"/>
        <v>0</v>
      </c>
      <c r="GF73" s="21">
        <f t="shared" ca="1" si="253"/>
        <v>0</v>
      </c>
      <c r="GG73" s="21">
        <f t="shared" ca="1" si="254"/>
        <v>0</v>
      </c>
      <c r="GH73" s="150">
        <f t="shared" ca="1" si="171"/>
        <v>0</v>
      </c>
      <c r="GJ73" s="133">
        <f t="shared" ca="1" si="255"/>
        <v>0</v>
      </c>
      <c r="GK73" s="5">
        <f t="shared" ca="1" si="256"/>
        <v>0</v>
      </c>
      <c r="GL73" s="5">
        <f t="shared" ca="1" si="257"/>
        <v>0</v>
      </c>
      <c r="GM73" s="5">
        <f t="shared" ca="1" si="258"/>
        <v>0</v>
      </c>
      <c r="GN73" s="21">
        <f t="shared" ca="1" si="259"/>
        <v>0</v>
      </c>
      <c r="GO73" s="21">
        <f t="shared" ca="1" si="260"/>
        <v>0</v>
      </c>
      <c r="GP73" s="192">
        <f t="shared" ca="1" si="172"/>
        <v>0</v>
      </c>
      <c r="GR73" s="21"/>
      <c r="GS73" s="5"/>
      <c r="GT73" s="5"/>
      <c r="GU73" s="5"/>
      <c r="GV73" s="21"/>
      <c r="GW73" s="21"/>
      <c r="GX73" s="1105">
        <f t="shared" si="173"/>
        <v>0</v>
      </c>
      <c r="GZ73" s="575">
        <f t="shared" ca="1" si="174"/>
        <v>0</v>
      </c>
      <c r="HA73" s="5">
        <f t="shared" ca="1" si="175"/>
        <v>0</v>
      </c>
      <c r="HB73" s="5">
        <f t="shared" ca="1" si="176"/>
        <v>0</v>
      </c>
      <c r="HC73" s="5">
        <f t="shared" ca="1" si="177"/>
        <v>0</v>
      </c>
      <c r="HD73" s="5">
        <f t="shared" ca="1" si="178"/>
        <v>0</v>
      </c>
      <c r="HE73" s="5">
        <f t="shared" ca="1" si="179"/>
        <v>0</v>
      </c>
      <c r="HF73" s="2175">
        <f t="shared" ca="1" si="180"/>
        <v>0</v>
      </c>
      <c r="HG73" s="573">
        <f t="shared" ca="1" si="181"/>
        <v>0</v>
      </c>
      <c r="HH73" s="257"/>
    </row>
    <row r="74" spans="1:216" ht="15" hidden="1" customHeight="1" x14ac:dyDescent="0.25">
      <c r="A74" s="22"/>
      <c r="B74" s="3211"/>
      <c r="C74" s="418" t="str">
        <f>('DATA INPUT'!B62&amp;" "&amp;"-"&amp;" "&amp;'DATA INPUT'!H62)</f>
        <v xml:space="preserve"> - </v>
      </c>
      <c r="D74" s="409">
        <f ca="1">'Calc - OTHER PERS'!J165</f>
        <v>0</v>
      </c>
      <c r="E74" s="41">
        <f ca="1">'Calc - OTHER PERS'!J166</f>
        <v>0</v>
      </c>
      <c r="F74" s="41">
        <f ca="1">'Calc - OTHER PERS'!J167</f>
        <v>0</v>
      </c>
      <c r="G74" s="41">
        <f ca="1">'Calc - OTHER PERS'!J168</f>
        <v>0</v>
      </c>
      <c r="H74" s="41">
        <f ca="1">'Calc - OTHER PERS'!J169</f>
        <v>0</v>
      </c>
      <c r="I74" s="41">
        <f ca="1">'Calc - OTHER PERS'!J170</f>
        <v>0</v>
      </c>
      <c r="J74" s="345">
        <f t="shared" ca="1" si="202"/>
        <v>0</v>
      </c>
      <c r="K74" s="4"/>
      <c r="L74" s="45"/>
      <c r="M74" s="4"/>
      <c r="N74" s="133">
        <f ca="1">IF(AND((OFFSET('DATA INPUT'!$C$51, ROW()-ROW($N$63),0)=$N$10),
(OFFSET('DATA INPUT'!$V$51,ROW()-ROW($N$63),0)=3)),
OFFSET('Calc - OTHER PERS'!$Q$11,COLUMN()-COLUMN($N$63) + (ROW()-ROW($N$63))*14,0),0)</f>
        <v>0</v>
      </c>
      <c r="O74" s="5">
        <f ca="1">IF(AND((OFFSET('DATA INPUT'!$C$51, ROW()-ROW($N$63),0)=$N$10),
(OFFSET('DATA INPUT'!$V$51,ROW()-ROW($N$63),0)=3)),
OFFSET('Calc - OTHER PERS'!$Q$11,COLUMN()-COLUMN($N$63) + (ROW()-ROW($N$63))*14,0),0)</f>
        <v>0</v>
      </c>
      <c r="P74" s="5">
        <f ca="1">IF(AND((OFFSET('DATA INPUT'!$C$51, ROW()-ROW($N$63),0)=$N$10),
(OFFSET('DATA INPUT'!$V$51,ROW()-ROW($N$63),0)=3)),
OFFSET('Calc - OTHER PERS'!$Q$11,COLUMN()-COLUMN($N$63) + (ROW()-ROW($N$63))*14,0),0)</f>
        <v>0</v>
      </c>
      <c r="Q74" s="5">
        <f ca="1">IF(AND((OFFSET('DATA INPUT'!$C$51, ROW()-ROW($N$63),0)=$N$10),
(OFFSET('DATA INPUT'!$V$51,ROW()-ROW($N$63),0)=3)),
OFFSET('Calc - OTHER PERS'!$Q$11,COLUMN()-COLUMN($N$63) + (ROW()-ROW($N$63))*14,0),0)</f>
        <v>0</v>
      </c>
      <c r="R74" s="5">
        <f ca="1">IF(AND((OFFSET('DATA INPUT'!$C$51, ROW()-ROW($N$63),0)=$N$10),
(OFFSET('DATA INPUT'!$V$51,ROW()-ROW($N$63),0)=3)),
OFFSET('Calc - OTHER PERS'!$Q$11,COLUMN()-COLUMN($N$63) + (ROW()-ROW($N$63))*14,0),0)</f>
        <v>0</v>
      </c>
      <c r="S74" s="5">
        <f ca="1">IF(AND((OFFSET('DATA INPUT'!$C$51, ROW()-ROW($N$63),0)=$N$10),
(OFFSET('DATA INPUT'!$V$51,ROW()-ROW($N$63),0)=3)),
OFFSET('Calc - OTHER PERS'!$Q$11,COLUMN()-COLUMN($N$63) + (ROW()-ROW($N$63))*14,0),0)</f>
        <v>0</v>
      </c>
      <c r="T74" s="164">
        <f t="shared" ca="1" si="109"/>
        <v>0</v>
      </c>
      <c r="V74" s="133">
        <f ca="1">IF(AND((OFFSET('DATA INPUT'!$C$51, ROW()-ROW($V$63),0)=$V$10),
(OFFSET('DATA INPUT'!$V$51,ROW()-ROW($V$63),0)=3)),
OFFSET('Calc - OTHER PERS'!$Q$11,COLUMN()-COLUMN($V$63) + (ROW()-ROW($V$63))*14,0),0)</f>
        <v>0</v>
      </c>
      <c r="W74" s="5">
        <f ca="1">IF(AND((OFFSET('DATA INPUT'!$C$51, ROW()-ROW($V$63),0)=$V$10),
(OFFSET('DATA INPUT'!$V$51,ROW()-ROW($V$63),0)=3)),
OFFSET('Calc - OTHER PERS'!$Q$11,COLUMN()-COLUMN($V$63) + (ROW()-ROW($V$63))*14,0),0)</f>
        <v>0</v>
      </c>
      <c r="X74" s="5">
        <f ca="1">IF(AND((OFFSET('DATA INPUT'!$C$51, ROW()-ROW($V$63),0)=$V$10),
(OFFSET('DATA INPUT'!$V$51,ROW()-ROW($V$63),0)=3)),
OFFSET('Calc - OTHER PERS'!$Q$11,COLUMN()-COLUMN($V$63) + (ROW()-ROW($V$63))*14,0),0)</f>
        <v>0</v>
      </c>
      <c r="Y74" s="5">
        <f ca="1">IF(AND((OFFSET('DATA INPUT'!$C$51, ROW()-ROW($V$63),0)=$V$10),
(OFFSET('DATA INPUT'!$V$51,ROW()-ROW($V$63),0)=3)),
OFFSET('Calc - OTHER PERS'!$Q$11,COLUMN()-COLUMN($V$63) + (ROW()-ROW($V$63))*14,0),0)</f>
        <v>0</v>
      </c>
      <c r="Z74" s="5">
        <f ca="1">IF(AND((OFFSET('DATA INPUT'!$C$51, ROW()-ROW($V$63),0)=$V$10),
(OFFSET('DATA INPUT'!$V$51,ROW()-ROW($V$63),0)=3)),
OFFSET('Calc - OTHER PERS'!$Q$11,COLUMN()-COLUMN($V$63) + (ROW()-ROW($V$63))*14,0),0)</f>
        <v>0</v>
      </c>
      <c r="AA74" s="1180">
        <f ca="1">IF(AND((OFFSET('DATA INPUT'!$C$51, ROW()-ROW($V$63),0)=$V$10),
(OFFSET('DATA INPUT'!$V$51,ROW()-ROW($V$63),0)=3)),
OFFSET('Calc - OTHER PERS'!$Q$11,COLUMN()-COLUMN($V$63) + (ROW()-ROW($V$63))*14,0),0)</f>
        <v>0</v>
      </c>
      <c r="AB74" s="2385">
        <f t="shared" ca="1" si="110"/>
        <v>0</v>
      </c>
      <c r="AD74" s="133">
        <f ca="1">IF(AND((OFFSET('DATA INPUT'!$C$51, ROW()-ROW($AD$63),0)=$AD$10),
(OFFSET('DATA INPUT'!$V$51,ROW()-ROW($AD$63),0)=3)),
OFFSET('Calc - OTHER PERS'!$Q$11,COLUMN()-COLUMN($AD$63) + (ROW()-ROW($AD$63))*14,0),0)</f>
        <v>0</v>
      </c>
      <c r="AE74" s="5">
        <f ca="1">IF(AND((OFFSET('DATA INPUT'!$C$51, ROW()-ROW($AD$63),0)=$AD$10),
(OFFSET('DATA INPUT'!$V$51,ROW()-ROW($AD$63),0)=3)),
OFFSET('Calc - OTHER PERS'!$Q$11,COLUMN()-COLUMN($AD$63) + (ROW()-ROW($AD$63))*14,0),0)</f>
        <v>0</v>
      </c>
      <c r="AF74" s="5">
        <f ca="1">IF(AND((OFFSET('DATA INPUT'!$C$51, ROW()-ROW($AD$63),0)=$AD$10),
(OFFSET('DATA INPUT'!$V$51,ROW()-ROW($AD$63),0)=3)),
OFFSET('Calc - OTHER PERS'!$Q$11,COLUMN()-COLUMN($AD$63) + (ROW()-ROW($AD$63))*14,0),0)</f>
        <v>0</v>
      </c>
      <c r="AG74" s="5">
        <f ca="1">IF(AND((OFFSET('DATA INPUT'!$C$51, ROW()-ROW($AD$63),0)=$AD$10),
(OFFSET('DATA INPUT'!$V$51,ROW()-ROW($AD$63),0)=3)),
OFFSET('Calc - OTHER PERS'!$Q$11,COLUMN()-COLUMN($AD$63) + (ROW()-ROW($AD$63))*14,0),0)</f>
        <v>0</v>
      </c>
      <c r="AH74" s="5">
        <f ca="1">IF(AND((OFFSET('DATA INPUT'!$C$51, ROW()-ROW($AD$63),0)=$AD$10),
(OFFSET('DATA INPUT'!$V$51,ROW()-ROW($AD$63),0)=3)),
OFFSET('Calc - OTHER PERS'!$Q$11,COLUMN()-COLUMN($AD$63) + (ROW()-ROW($AD$63))*14,0),0)</f>
        <v>0</v>
      </c>
      <c r="AI74" s="1180">
        <f ca="1">IF(AND((OFFSET('DATA INPUT'!$C$51, ROW()-ROW($AD$63),0)=$AD$10),
(OFFSET('DATA INPUT'!$V$51,ROW()-ROW($AD$63),0)=3)),
OFFSET('Calc - OTHER PERS'!$Q$11,COLUMN()-COLUMN($AD$63) + (ROW()-ROW($AD$63))*14,0),0)</f>
        <v>0</v>
      </c>
      <c r="AJ74" s="206">
        <f t="shared" ca="1" si="111"/>
        <v>0</v>
      </c>
      <c r="AL74" s="133">
        <f ca="1">IF(AND((OFFSET('DATA INPUT'!$C$51, ROW()-ROW($AL$63),0)=$AL$10),
(OFFSET('DATA INPUT'!$V$51,ROW()-ROW($AL$63),0)=3)),
OFFSET('Calc - OTHER PERS'!$Q$11,COLUMN()-COLUMN($AL$63) + (ROW()-ROW($AL$63))*14,0),0)</f>
        <v>0</v>
      </c>
      <c r="AM74" s="5">
        <f ca="1">IF(AND((OFFSET('DATA INPUT'!$C$51, ROW()-ROW($AL$63),0)=$AL$10),
(OFFSET('DATA INPUT'!$V$51,ROW()-ROW($AL$63),0)=3)),
OFFSET('Calc - OTHER PERS'!$Q$11,COLUMN()-COLUMN($AL$63) + (ROW()-ROW($AL$63))*14,0),0)</f>
        <v>0</v>
      </c>
      <c r="AN74" s="5">
        <f ca="1">IF(AND((OFFSET('DATA INPUT'!$C$51, ROW()-ROW($AL$63),0)=$AL$10),
(OFFSET('DATA INPUT'!$V$51,ROW()-ROW($AL$63),0)=3)),
OFFSET('Calc - OTHER PERS'!$Q$11,COLUMN()-COLUMN($AL$63) + (ROW()-ROW($AL$63))*14,0),0)</f>
        <v>0</v>
      </c>
      <c r="AO74" s="5">
        <f ca="1">IF(AND((OFFSET('DATA INPUT'!$C$51, ROW()-ROW($AL$63),0)=$AL$10),
(OFFSET('DATA INPUT'!$V$51,ROW()-ROW($AL$63),0)=3)),
OFFSET('Calc - OTHER PERS'!$Q$11,COLUMN()-COLUMN($AL$63) + (ROW()-ROW($AL$63))*14,0),0)</f>
        <v>0</v>
      </c>
      <c r="AP74" s="5">
        <f ca="1">IF(AND((OFFSET('DATA INPUT'!$C$51, ROW()-ROW($AL$63),0)=$AL$10),
(OFFSET('DATA INPUT'!$V$51,ROW()-ROW($AL$63),0)=3)),
OFFSET('Calc - OTHER PERS'!$Q$11,COLUMN()-COLUMN($AL$63) + (ROW()-ROW($AL$63))*14,0),0)</f>
        <v>0</v>
      </c>
      <c r="AQ74" s="5">
        <f ca="1">IF(AND((OFFSET('DATA INPUT'!$C$51, ROW()-ROW($AL$63),0)=$AL$10),
(OFFSET('DATA INPUT'!$V$51,ROW()-ROW($AL$63),0)=3)),
OFFSET('Calc - OTHER PERS'!$Q$11,COLUMN()-COLUMN($AL$63) + (ROW()-ROW($AL$63))*14,0),0)</f>
        <v>0</v>
      </c>
      <c r="AR74" s="178">
        <f t="shared" ca="1" si="112"/>
        <v>0</v>
      </c>
      <c r="AT74" s="133">
        <f ca="1">IF(AND((OFFSET('DATA INPUT'!$C$51, ROW()-ROW($AT$63),0)=$AT$10),
(OFFSET('DATA INPUT'!$V$51,ROW()-ROW($AT$63),0)=3)),
OFFSET('Calc - OTHER PERS'!$Q$11,COLUMN()-COLUMN($AT$63) + (ROW()-ROW($AT$63))*14,0),0)</f>
        <v>0</v>
      </c>
      <c r="AU74" s="5">
        <f ca="1">IF(AND((OFFSET('DATA INPUT'!$C$51, ROW()-ROW($AT$63),0)=$AT$10),
(OFFSET('DATA INPUT'!$V$51,ROW()-ROW($AT$63),0)=3)),
OFFSET('Calc - OTHER PERS'!$Q$11,COLUMN()-COLUMN($AT$63) + (ROW()-ROW($AT$63))*14,0),0)</f>
        <v>0</v>
      </c>
      <c r="AV74" s="5">
        <f ca="1">IF(AND((OFFSET('DATA INPUT'!$C$51, ROW()-ROW($AT$63),0)=$AT$10),
(OFFSET('DATA INPUT'!$V$51,ROW()-ROW($AT$63),0)=3)),
OFFSET('Calc - OTHER PERS'!$Q$11,COLUMN()-COLUMN($AT$63) + (ROW()-ROW($AT$63))*14,0),0)</f>
        <v>0</v>
      </c>
      <c r="AW74" s="5">
        <f ca="1">IF(AND((OFFSET('DATA INPUT'!$C$51, ROW()-ROW($AT$63),0)=$AT$10),
(OFFSET('DATA INPUT'!$V$51,ROW()-ROW($AT$63),0)=3)),
OFFSET('Calc - OTHER PERS'!$Q$11,COLUMN()-COLUMN($AT$63) + (ROW()-ROW($AT$63))*14,0),0)</f>
        <v>0</v>
      </c>
      <c r="AX74" s="5">
        <f ca="1">IF(AND((OFFSET('DATA INPUT'!$C$51, ROW()-ROW($AT$63),0)=$AT$10),
(OFFSET('DATA INPUT'!$V$51,ROW()-ROW($AT$63),0)=3)),
OFFSET('Calc - OTHER PERS'!$Q$11,COLUMN()-COLUMN($AT$63) + (ROW()-ROW($AT$63))*14,0),0)</f>
        <v>0</v>
      </c>
      <c r="AY74" s="5">
        <f ca="1">IF(AND((OFFSET('DATA INPUT'!$C$51, ROW()-ROW($AT$63),0)=$AT$10),
(OFFSET('DATA INPUT'!$V$51,ROW()-ROW($AT$63),0)=3)),
OFFSET('Calc - OTHER PERS'!$Q$11,COLUMN()-COLUMN($AT$63) + (ROW()-ROW($AT$63))*14,0),0)</f>
        <v>0</v>
      </c>
      <c r="AZ74" s="150">
        <f t="shared" ca="1" si="113"/>
        <v>0</v>
      </c>
      <c r="BB74" s="133">
        <f ca="1">IF(AND((OFFSET('DATA INPUT'!$C$51, ROW()-ROW($BB$63),0)=$BB$10),
(OFFSET('DATA INPUT'!$V$51,ROW()-ROW($BB$63),0)=3)),
OFFSET('Calc - OTHER PERS'!$Q$11,COLUMN()-COLUMN($BB$63) + (ROW()-ROW($BB$63))*14,0),0)</f>
        <v>0</v>
      </c>
      <c r="BC74" s="5">
        <f ca="1">IF(AND((OFFSET('DATA INPUT'!$C$51, ROW()-ROW($BB$63),0)=$BB$10),
(OFFSET('DATA INPUT'!$V$51,ROW()-ROW($BB$63),0)=3)),
OFFSET('Calc - OTHER PERS'!$Q$11,COLUMN()-COLUMN($BB$63) + (ROW()-ROW($BB$63))*14,0),0)</f>
        <v>0</v>
      </c>
      <c r="BD74" s="5">
        <f ca="1">IF(AND((OFFSET('DATA INPUT'!$C$51, ROW()-ROW($BB$63),0)=$BB$10),
(OFFSET('DATA INPUT'!$V$51,ROW()-ROW($BB$63),0)=3)),
OFFSET('Calc - OTHER PERS'!$Q$11,COLUMN()-COLUMN($BB$63) + (ROW()-ROW($BB$63))*14,0),0)</f>
        <v>0</v>
      </c>
      <c r="BE74" s="5">
        <f ca="1">IF(AND((OFFSET('DATA INPUT'!$C$51, ROW()-ROW($BB$63),0)=$BB$10),
(OFFSET('DATA INPUT'!$V$51,ROW()-ROW($BB$63),0)=3)),
OFFSET('Calc - OTHER PERS'!$Q$11,COLUMN()-COLUMN($BB$63) + (ROW()-ROW($BB$63))*14,0),0)</f>
        <v>0</v>
      </c>
      <c r="BF74" s="5">
        <f ca="1">IF(AND((OFFSET('DATA INPUT'!$C$51, ROW()-ROW($BB$63),0)=$BB$10),
(OFFSET('DATA INPUT'!$V$51,ROW()-ROW($BB$63),0)=3)),
OFFSET('Calc - OTHER PERS'!$Q$11,COLUMN()-COLUMN($BB$63) + (ROW()-ROW($BB$63))*14,0),0)</f>
        <v>0</v>
      </c>
      <c r="BG74" s="5">
        <f ca="1">IF(AND((OFFSET('DATA INPUT'!$C$51, ROW()-ROW($BB$63),0)=$BB$10),
(OFFSET('DATA INPUT'!$V$51,ROW()-ROW($BB$63),0)=3)),
OFFSET('Calc - OTHER PERS'!$Q$11,COLUMN()-COLUMN($BB$63) + (ROW()-ROW($BB$63))*14,0),0)</f>
        <v>0</v>
      </c>
      <c r="BH74" s="192">
        <f t="shared" ca="1" si="114"/>
        <v>0</v>
      </c>
      <c r="BJ74" s="21"/>
      <c r="BK74" s="5"/>
      <c r="BL74" s="5"/>
      <c r="BM74" s="5"/>
      <c r="BN74" s="5"/>
      <c r="BO74" s="5"/>
      <c r="BP74" s="1105">
        <f t="shared" si="115"/>
        <v>0</v>
      </c>
      <c r="BR74" s="575">
        <f t="shared" ca="1" si="116"/>
        <v>0</v>
      </c>
      <c r="BS74" s="5">
        <f t="shared" ca="1" si="117"/>
        <v>0</v>
      </c>
      <c r="BT74" s="5">
        <f t="shared" ca="1" si="118"/>
        <v>0</v>
      </c>
      <c r="BU74" s="5">
        <f t="shared" ca="1" si="119"/>
        <v>0</v>
      </c>
      <c r="BV74" s="5">
        <f t="shared" ca="1" si="120"/>
        <v>0</v>
      </c>
      <c r="BW74" s="5">
        <f t="shared" ca="1" si="121"/>
        <v>0</v>
      </c>
      <c r="BX74" s="2175">
        <f t="shared" ca="1" si="122"/>
        <v>0</v>
      </c>
      <c r="BY74" s="573">
        <f t="shared" ca="1" si="123"/>
        <v>0</v>
      </c>
      <c r="BZ74" s="257"/>
      <c r="CB74" s="1182">
        <f t="shared" ca="1" si="203"/>
        <v>0</v>
      </c>
      <c r="CC74" s="387">
        <f t="shared" ca="1" si="204"/>
        <v>0</v>
      </c>
      <c r="CD74" s="56">
        <f t="shared" ca="1" si="204"/>
        <v>0</v>
      </c>
      <c r="CE74" s="56">
        <f t="shared" ca="1" si="205"/>
        <v>0</v>
      </c>
      <c r="CF74" s="56">
        <f t="shared" ca="1" si="206"/>
        <v>0</v>
      </c>
      <c r="CG74" s="1183">
        <f t="shared" ca="1" si="207"/>
        <v>0</v>
      </c>
      <c r="CH74" s="1184">
        <f t="shared" ca="1" si="208"/>
        <v>0</v>
      </c>
      <c r="CI74" s="1185">
        <f t="shared" ca="1" si="208"/>
        <v>0</v>
      </c>
      <c r="CJ74" s="1185">
        <f t="shared" ca="1" si="209"/>
        <v>0</v>
      </c>
      <c r="CK74" s="1185">
        <f t="shared" ca="1" si="210"/>
        <v>0</v>
      </c>
      <c r="CL74" s="2361">
        <f t="shared" ca="1" si="211"/>
        <v>0</v>
      </c>
      <c r="CM74" s="1187">
        <f t="shared" ca="1" si="212"/>
        <v>0</v>
      </c>
      <c r="CN74" s="1188">
        <f t="shared" ca="1" si="212"/>
        <v>0</v>
      </c>
      <c r="CO74" s="1189">
        <f t="shared" ca="1" si="213"/>
        <v>0</v>
      </c>
      <c r="CP74" s="1233">
        <f t="shared" ca="1" si="124"/>
        <v>0</v>
      </c>
      <c r="CS74" s="575"/>
      <c r="CT74" s="5"/>
      <c r="CU74" s="1180"/>
      <c r="CV74" s="575"/>
      <c r="CW74" s="5"/>
      <c r="CX74" s="1180"/>
      <c r="CY74" s="575"/>
      <c r="CZ74" s="5"/>
      <c r="DA74" s="1180"/>
      <c r="DB74" s="575"/>
      <c r="DC74" s="5"/>
      <c r="DD74" s="1180"/>
      <c r="DE74" s="1181">
        <f t="shared" si="214"/>
        <v>0</v>
      </c>
      <c r="DG74" s="575"/>
      <c r="DH74" s="5"/>
      <c r="DI74" s="1180"/>
      <c r="DJ74" s="575"/>
      <c r="DK74" s="5"/>
      <c r="DL74" s="1180"/>
      <c r="DM74" s="575"/>
      <c r="DN74" s="5"/>
      <c r="DO74" s="1180"/>
      <c r="DP74" s="575"/>
      <c r="DQ74" s="5"/>
      <c r="DR74" s="1180"/>
      <c r="DS74" s="1181">
        <f t="shared" si="215"/>
        <v>0</v>
      </c>
      <c r="DU74" s="575"/>
      <c r="DV74" s="5"/>
      <c r="DW74" s="1180"/>
      <c r="DX74" s="575"/>
      <c r="DY74" s="5"/>
      <c r="DZ74" s="1180"/>
      <c r="EA74" s="575"/>
      <c r="EB74" s="5"/>
      <c r="EC74" s="1180"/>
      <c r="ED74" s="575"/>
      <c r="EE74" s="5"/>
      <c r="EF74" s="1180"/>
      <c r="EG74" s="1181">
        <f t="shared" si="216"/>
        <v>0</v>
      </c>
      <c r="EI74" s="22"/>
      <c r="EJ74" s="3211"/>
      <c r="EK74" s="422" t="str">
        <f t="shared" si="217"/>
        <v xml:space="preserve"> - </v>
      </c>
      <c r="EL74" s="409">
        <f t="shared" ca="1" si="218"/>
        <v>0</v>
      </c>
      <c r="EM74" s="409">
        <f t="shared" ca="1" si="219"/>
        <v>0</v>
      </c>
      <c r="EN74" s="409">
        <f t="shared" ca="1" si="220"/>
        <v>0</v>
      </c>
      <c r="EO74" s="409">
        <f t="shared" ca="1" si="221"/>
        <v>0</v>
      </c>
      <c r="EP74" s="409">
        <f t="shared" ca="1" si="222"/>
        <v>0</v>
      </c>
      <c r="EQ74" s="409">
        <f t="shared" ca="1" si="223"/>
        <v>0</v>
      </c>
      <c r="ER74" s="345">
        <f t="shared" ca="1" si="224"/>
        <v>0</v>
      </c>
      <c r="ES74" s="4"/>
      <c r="ET74" s="45"/>
      <c r="EU74" s="4"/>
      <c r="EV74" s="133">
        <f t="shared" ca="1" si="225"/>
        <v>0</v>
      </c>
      <c r="EW74" s="5">
        <f t="shared" ca="1" si="226"/>
        <v>0</v>
      </c>
      <c r="EX74" s="5">
        <f t="shared" ca="1" si="227"/>
        <v>0</v>
      </c>
      <c r="EY74" s="5">
        <f t="shared" ca="1" si="228"/>
        <v>0</v>
      </c>
      <c r="EZ74" s="21">
        <f t="shared" ca="1" si="229"/>
        <v>0</v>
      </c>
      <c r="FA74" s="21">
        <f t="shared" ca="1" si="230"/>
        <v>0</v>
      </c>
      <c r="FB74" s="164">
        <f t="shared" ca="1" si="143"/>
        <v>0</v>
      </c>
      <c r="FD74" s="133">
        <f t="shared" ca="1" si="231"/>
        <v>0</v>
      </c>
      <c r="FE74" s="5">
        <f t="shared" ca="1" si="232"/>
        <v>0</v>
      </c>
      <c r="FF74" s="5">
        <f t="shared" ca="1" si="233"/>
        <v>0</v>
      </c>
      <c r="FG74" s="5">
        <f t="shared" ca="1" si="234"/>
        <v>0</v>
      </c>
      <c r="FH74" s="5">
        <f t="shared" ca="1" si="235"/>
        <v>0</v>
      </c>
      <c r="FI74" s="1180">
        <f t="shared" ca="1" si="236"/>
        <v>0</v>
      </c>
      <c r="FJ74" s="2385">
        <f t="shared" ca="1" si="150"/>
        <v>0</v>
      </c>
      <c r="FL74" s="133">
        <f t="shared" ca="1" si="237"/>
        <v>0</v>
      </c>
      <c r="FM74" s="5">
        <f t="shared" ca="1" si="238"/>
        <v>0</v>
      </c>
      <c r="FN74" s="5">
        <f t="shared" ca="1" si="239"/>
        <v>0</v>
      </c>
      <c r="FO74" s="5">
        <f t="shared" ca="1" si="240"/>
        <v>0</v>
      </c>
      <c r="FP74" s="5">
        <f t="shared" ca="1" si="241"/>
        <v>0</v>
      </c>
      <c r="FQ74" s="1180">
        <f t="shared" ca="1" si="242"/>
        <v>0</v>
      </c>
      <c r="FR74" s="206">
        <f t="shared" ca="1" si="157"/>
        <v>0</v>
      </c>
      <c r="FT74" s="133">
        <f t="shared" ca="1" si="243"/>
        <v>0</v>
      </c>
      <c r="FU74" s="5">
        <f t="shared" ca="1" si="244"/>
        <v>0</v>
      </c>
      <c r="FV74" s="5">
        <f t="shared" ca="1" si="245"/>
        <v>0</v>
      </c>
      <c r="FW74" s="5">
        <f t="shared" ca="1" si="246"/>
        <v>0</v>
      </c>
      <c r="FX74" s="5">
        <f t="shared" ca="1" si="247"/>
        <v>0</v>
      </c>
      <c r="FY74" s="5">
        <f t="shared" ca="1" si="248"/>
        <v>0</v>
      </c>
      <c r="FZ74" s="178">
        <f t="shared" ca="1" si="164"/>
        <v>0</v>
      </c>
      <c r="GB74" s="133">
        <f t="shared" ca="1" si="249"/>
        <v>0</v>
      </c>
      <c r="GC74" s="5">
        <f t="shared" ca="1" si="250"/>
        <v>0</v>
      </c>
      <c r="GD74" s="5">
        <f t="shared" ca="1" si="251"/>
        <v>0</v>
      </c>
      <c r="GE74" s="5">
        <f t="shared" ca="1" si="252"/>
        <v>0</v>
      </c>
      <c r="GF74" s="5">
        <f t="shared" ca="1" si="253"/>
        <v>0</v>
      </c>
      <c r="GG74" s="5">
        <f t="shared" ca="1" si="254"/>
        <v>0</v>
      </c>
      <c r="GH74" s="150">
        <f t="shared" ca="1" si="171"/>
        <v>0</v>
      </c>
      <c r="GJ74" s="133">
        <f t="shared" ca="1" si="255"/>
        <v>0</v>
      </c>
      <c r="GK74" s="5">
        <f t="shared" ca="1" si="256"/>
        <v>0</v>
      </c>
      <c r="GL74" s="5">
        <f t="shared" ca="1" si="257"/>
        <v>0</v>
      </c>
      <c r="GM74" s="5">
        <f t="shared" ca="1" si="258"/>
        <v>0</v>
      </c>
      <c r="GN74" s="5">
        <f t="shared" ca="1" si="259"/>
        <v>0</v>
      </c>
      <c r="GO74" s="5">
        <f t="shared" ca="1" si="260"/>
        <v>0</v>
      </c>
      <c r="GP74" s="192">
        <f t="shared" ca="1" si="172"/>
        <v>0</v>
      </c>
      <c r="GR74" s="21"/>
      <c r="GS74" s="5"/>
      <c r="GT74" s="5"/>
      <c r="GU74" s="5"/>
      <c r="GV74" s="5"/>
      <c r="GW74" s="5"/>
      <c r="GX74" s="1105">
        <f t="shared" si="173"/>
        <v>0</v>
      </c>
      <c r="GZ74" s="575">
        <f t="shared" ca="1" si="174"/>
        <v>0</v>
      </c>
      <c r="HA74" s="5">
        <f t="shared" ca="1" si="175"/>
        <v>0</v>
      </c>
      <c r="HB74" s="5">
        <f t="shared" ca="1" si="176"/>
        <v>0</v>
      </c>
      <c r="HC74" s="5">
        <f t="shared" ca="1" si="177"/>
        <v>0</v>
      </c>
      <c r="HD74" s="5">
        <f t="shared" ca="1" si="178"/>
        <v>0</v>
      </c>
      <c r="HE74" s="5">
        <f t="shared" ca="1" si="179"/>
        <v>0</v>
      </c>
      <c r="HF74" s="2175">
        <f t="shared" ca="1" si="180"/>
        <v>0</v>
      </c>
      <c r="HG74" s="573">
        <f t="shared" ca="1" si="181"/>
        <v>0</v>
      </c>
      <c r="HH74" s="257"/>
    </row>
    <row r="75" spans="1:216" ht="15" hidden="1" customHeight="1" x14ac:dyDescent="0.25">
      <c r="A75" s="22"/>
      <c r="B75" s="3211"/>
      <c r="C75" s="422" t="str">
        <f>('DATA INPUT'!B63&amp;" "&amp;"-"&amp;" "&amp;'DATA INPUT'!H63)</f>
        <v xml:space="preserve"> - </v>
      </c>
      <c r="D75" s="21">
        <f ca="1">'Calc - OTHER PERS'!J179</f>
        <v>0</v>
      </c>
      <c r="E75" s="5">
        <f ca="1">'Calc - OTHER PERS'!J180</f>
        <v>0</v>
      </c>
      <c r="F75" s="5">
        <f ca="1">'Calc - OTHER PERS'!J181</f>
        <v>0</v>
      </c>
      <c r="G75" s="5">
        <f ca="1">'Calc - OTHER PERS'!J182</f>
        <v>0</v>
      </c>
      <c r="H75" s="21">
        <f ca="1">'Calc - OTHER PERS'!J183</f>
        <v>0</v>
      </c>
      <c r="I75" s="21">
        <f ca="1">'Calc - OTHER PERS'!J184</f>
        <v>0</v>
      </c>
      <c r="J75" s="12">
        <f t="shared" ca="1" si="202"/>
        <v>0</v>
      </c>
      <c r="K75" s="45"/>
      <c r="L75" s="4"/>
      <c r="M75" s="45"/>
      <c r="N75" s="133">
        <f ca="1">IF(AND((OFFSET('DATA INPUT'!$C$51, ROW()-ROW($N$63),0)=$N$10),
(OFFSET('DATA INPUT'!$V$51,ROW()-ROW($N$63),0)=3)),
OFFSET('Calc - OTHER PERS'!$Q$11,COLUMN()-COLUMN($N$63) + (ROW()-ROW($N$63))*14,0),0)</f>
        <v>0</v>
      </c>
      <c r="O75" s="5">
        <f ca="1">IF(AND((OFFSET('DATA INPUT'!$C$51, ROW()-ROW($N$63),0)=$N$10),
(OFFSET('DATA INPUT'!$V$51,ROW()-ROW($N$63),0)=3)),
OFFSET('Calc - OTHER PERS'!$Q$11,COLUMN()-COLUMN($N$63) + (ROW()-ROW($N$63))*14,0),0)</f>
        <v>0</v>
      </c>
      <c r="P75" s="5">
        <f ca="1">IF(AND((OFFSET('DATA INPUT'!$C$51, ROW()-ROW($N$63),0)=$N$10),
(OFFSET('DATA INPUT'!$V$51,ROW()-ROW($N$63),0)=3)),
OFFSET('Calc - OTHER PERS'!$Q$11,COLUMN()-COLUMN($N$63) + (ROW()-ROW($N$63))*14,0),0)</f>
        <v>0</v>
      </c>
      <c r="Q75" s="5">
        <f ca="1">IF(AND((OFFSET('DATA INPUT'!$C$51, ROW()-ROW($N$63),0)=$N$10),
(OFFSET('DATA INPUT'!$V$51,ROW()-ROW($N$63),0)=3)),
OFFSET('Calc - OTHER PERS'!$Q$11,COLUMN()-COLUMN($N$63) + (ROW()-ROW($N$63))*14,0),0)</f>
        <v>0</v>
      </c>
      <c r="R75" s="21">
        <f ca="1">IF(AND((OFFSET('DATA INPUT'!$C$51, ROW()-ROW($N$63),0)=$N$10),
(OFFSET('DATA INPUT'!$V$51,ROW()-ROW($N$63),0)=3)),
OFFSET('Calc - OTHER PERS'!$Q$11,COLUMN()-COLUMN($N$63) + (ROW()-ROW($N$63))*14,0),0)</f>
        <v>0</v>
      </c>
      <c r="S75" s="21">
        <f ca="1">IF(AND((OFFSET('DATA INPUT'!$C$51, ROW()-ROW($N$63),0)=$N$10),
(OFFSET('DATA INPUT'!$V$51,ROW()-ROW($N$63),0)=3)),
OFFSET('Calc - OTHER PERS'!$Q$11,COLUMN()-COLUMN($N$63) + (ROW()-ROW($N$63))*14,0),0)</f>
        <v>0</v>
      </c>
      <c r="T75" s="164">
        <f t="shared" ca="1" si="109"/>
        <v>0</v>
      </c>
      <c r="U75" s="1"/>
      <c r="V75" s="133">
        <f ca="1">IF(AND((OFFSET('DATA INPUT'!$C$51, ROW()-ROW($V$63),0)=$V$10),
(OFFSET('DATA INPUT'!$V$51,ROW()-ROW($V$63),0)=3)),
OFFSET('Calc - OTHER PERS'!$Q$11,COLUMN()-COLUMN($V$63) + (ROW()-ROW($V$63))*14,0),0)</f>
        <v>0</v>
      </c>
      <c r="W75" s="5">
        <f ca="1">IF(AND((OFFSET('DATA INPUT'!$C$51, ROW()-ROW($V$63),0)=$V$10),
(OFFSET('DATA INPUT'!$V$51,ROW()-ROW($V$63),0)=3)),
OFFSET('Calc - OTHER PERS'!$Q$11,COLUMN()-COLUMN($V$63) + (ROW()-ROW($V$63))*14,0),0)</f>
        <v>0</v>
      </c>
      <c r="X75" s="5">
        <f ca="1">IF(AND((OFFSET('DATA INPUT'!$C$51, ROW()-ROW($V$63),0)=$V$10),
(OFFSET('DATA INPUT'!$V$51,ROW()-ROW($V$63),0)=3)),
OFFSET('Calc - OTHER PERS'!$Q$11,COLUMN()-COLUMN($V$63) + (ROW()-ROW($V$63))*14,0),0)</f>
        <v>0</v>
      </c>
      <c r="Y75" s="5">
        <f ca="1">IF(AND((OFFSET('DATA INPUT'!$C$51, ROW()-ROW($V$63),0)=$V$10),
(OFFSET('DATA INPUT'!$V$51,ROW()-ROW($V$63),0)=3)),
OFFSET('Calc - OTHER PERS'!$Q$11,COLUMN()-COLUMN($V$63) + (ROW()-ROW($V$63))*14,0),0)</f>
        <v>0</v>
      </c>
      <c r="Z75" s="21">
        <f ca="1">IF(AND((OFFSET('DATA INPUT'!$C$51, ROW()-ROW($V$63),0)=$V$10),
(OFFSET('DATA INPUT'!$V$51,ROW()-ROW($V$63),0)=3)),
OFFSET('Calc - OTHER PERS'!$Q$11,COLUMN()-COLUMN($V$63) + (ROW()-ROW($V$63))*14,0),0)</f>
        <v>0</v>
      </c>
      <c r="AA75" s="2384">
        <f ca="1">IF(AND((OFFSET('DATA INPUT'!$C$51, ROW()-ROW($V$63),0)=$V$10),
(OFFSET('DATA INPUT'!$V$51,ROW()-ROW($V$63),0)=3)),
OFFSET('Calc - OTHER PERS'!$Q$11,COLUMN()-COLUMN($V$63) + (ROW()-ROW($V$63))*14,0),0)</f>
        <v>0</v>
      </c>
      <c r="AB75" s="2385">
        <f t="shared" ca="1" si="110"/>
        <v>0</v>
      </c>
      <c r="AD75" s="133">
        <f ca="1">IF(AND((OFFSET('DATA INPUT'!$C$51, ROW()-ROW($AD$63),0)=$AD$10),
(OFFSET('DATA INPUT'!$V$51,ROW()-ROW($AD$63),0)=3)),
OFFSET('Calc - OTHER PERS'!$Q$11,COLUMN()-COLUMN($AD$63) + (ROW()-ROW($AD$63))*14,0),0)</f>
        <v>0</v>
      </c>
      <c r="AE75" s="5">
        <f ca="1">IF(AND((OFFSET('DATA INPUT'!$C$51, ROW()-ROW($AD$63),0)=$AD$10),
(OFFSET('DATA INPUT'!$V$51,ROW()-ROW($AD$63),0)=3)),
OFFSET('Calc - OTHER PERS'!$Q$11,COLUMN()-COLUMN($AD$63) + (ROW()-ROW($AD$63))*14,0),0)</f>
        <v>0</v>
      </c>
      <c r="AF75" s="5">
        <f ca="1">IF(AND((OFFSET('DATA INPUT'!$C$51, ROW()-ROW($AD$63),0)=$AD$10),
(OFFSET('DATA INPUT'!$V$51,ROW()-ROW($AD$63),0)=3)),
OFFSET('Calc - OTHER PERS'!$Q$11,COLUMN()-COLUMN($AD$63) + (ROW()-ROW($AD$63))*14,0),0)</f>
        <v>0</v>
      </c>
      <c r="AG75" s="5">
        <f ca="1">IF(AND((OFFSET('DATA INPUT'!$C$51, ROW()-ROW($AD$63),0)=$AD$10),
(OFFSET('DATA INPUT'!$V$51,ROW()-ROW($AD$63),0)=3)),
OFFSET('Calc - OTHER PERS'!$Q$11,COLUMN()-COLUMN($AD$63) + (ROW()-ROW($AD$63))*14,0),0)</f>
        <v>0</v>
      </c>
      <c r="AH75" s="21">
        <f ca="1">IF(AND((OFFSET('DATA INPUT'!$C$51, ROW()-ROW($AD$63),0)=$AD$10),
(OFFSET('DATA INPUT'!$V$51,ROW()-ROW($AD$63),0)=3)),
OFFSET('Calc - OTHER PERS'!$Q$11,COLUMN()-COLUMN($AD$63) + (ROW()-ROW($AD$63))*14,0),0)</f>
        <v>0</v>
      </c>
      <c r="AI75" s="2384">
        <f ca="1">IF(AND((OFFSET('DATA INPUT'!$C$51, ROW()-ROW($AD$63),0)=$AD$10),
(OFFSET('DATA INPUT'!$V$51,ROW()-ROW($AD$63),0)=3)),
OFFSET('Calc - OTHER PERS'!$Q$11,COLUMN()-COLUMN($AD$63) + (ROW()-ROW($AD$63))*14,0),0)</f>
        <v>0</v>
      </c>
      <c r="AJ75" s="206">
        <f t="shared" ca="1" si="111"/>
        <v>0</v>
      </c>
      <c r="AL75" s="133">
        <f ca="1">IF(AND((OFFSET('DATA INPUT'!$C$51, ROW()-ROW($AL$63),0)=$AL$10),
(OFFSET('DATA INPUT'!$V$51,ROW()-ROW($AL$63),0)=3)),
OFFSET('Calc - OTHER PERS'!$Q$11,COLUMN()-COLUMN($AL$63) + (ROW()-ROW($AL$63))*14,0),0)</f>
        <v>0</v>
      </c>
      <c r="AM75" s="5">
        <f ca="1">IF(AND((OFFSET('DATA INPUT'!$C$51, ROW()-ROW($AL$63),0)=$AL$10),
(OFFSET('DATA INPUT'!$V$51,ROW()-ROW($AL$63),0)=3)),
OFFSET('Calc - OTHER PERS'!$Q$11,COLUMN()-COLUMN($AL$63) + (ROW()-ROW($AL$63))*14,0),0)</f>
        <v>0</v>
      </c>
      <c r="AN75" s="5">
        <f ca="1">IF(AND((OFFSET('DATA INPUT'!$C$51, ROW()-ROW($AL$63),0)=$AL$10),
(OFFSET('DATA INPUT'!$V$51,ROW()-ROW($AL$63),0)=3)),
OFFSET('Calc - OTHER PERS'!$Q$11,COLUMN()-COLUMN($AL$63) + (ROW()-ROW($AL$63))*14,0),0)</f>
        <v>0</v>
      </c>
      <c r="AO75" s="5">
        <f ca="1">IF(AND((OFFSET('DATA INPUT'!$C$51, ROW()-ROW($AL$63),0)=$AL$10),
(OFFSET('DATA INPUT'!$V$51,ROW()-ROW($AL$63),0)=3)),
OFFSET('Calc - OTHER PERS'!$Q$11,COLUMN()-COLUMN($AL$63) + (ROW()-ROW($AL$63))*14,0),0)</f>
        <v>0</v>
      </c>
      <c r="AP75" s="21">
        <f ca="1">IF(AND((OFFSET('DATA INPUT'!$C$51, ROW()-ROW($AL$63),0)=$AL$10),
(OFFSET('DATA INPUT'!$V$51,ROW()-ROW($AL$63),0)=3)),
OFFSET('Calc - OTHER PERS'!$Q$11,COLUMN()-COLUMN($AL$63) + (ROW()-ROW($AL$63))*14,0),0)</f>
        <v>0</v>
      </c>
      <c r="AQ75" s="21">
        <f ca="1">IF(AND((OFFSET('DATA INPUT'!$C$51, ROW()-ROW($AL$63),0)=$AL$10),
(OFFSET('DATA INPUT'!$V$51,ROW()-ROW($AL$63),0)=3)),
OFFSET('Calc - OTHER PERS'!$Q$11,COLUMN()-COLUMN($AL$63) + (ROW()-ROW($AL$63))*14,0),0)</f>
        <v>0</v>
      </c>
      <c r="AR75" s="178">
        <f t="shared" ca="1" si="112"/>
        <v>0</v>
      </c>
      <c r="AT75" s="133">
        <f ca="1">IF(AND((OFFSET('DATA INPUT'!$C$51, ROW()-ROW($AT$63),0)=$AT$10),
(OFFSET('DATA INPUT'!$V$51,ROW()-ROW($AT$63),0)=3)),
OFFSET('Calc - OTHER PERS'!$Q$11,COLUMN()-COLUMN($AT$63) + (ROW()-ROW($AT$63))*14,0),0)</f>
        <v>0</v>
      </c>
      <c r="AU75" s="5">
        <f ca="1">IF(AND((OFFSET('DATA INPUT'!$C$51, ROW()-ROW($AT$63),0)=$AT$10),
(OFFSET('DATA INPUT'!$V$51,ROW()-ROW($AT$63),0)=3)),
OFFSET('Calc - OTHER PERS'!$Q$11,COLUMN()-COLUMN($AT$63) + (ROW()-ROW($AT$63))*14,0),0)</f>
        <v>0</v>
      </c>
      <c r="AV75" s="5">
        <f ca="1">IF(AND((OFFSET('DATA INPUT'!$C$51, ROW()-ROW($AT$63),0)=$AT$10),
(OFFSET('DATA INPUT'!$V$51,ROW()-ROW($AT$63),0)=3)),
OFFSET('Calc - OTHER PERS'!$Q$11,COLUMN()-COLUMN($AT$63) + (ROW()-ROW($AT$63))*14,0),0)</f>
        <v>0</v>
      </c>
      <c r="AW75" s="5">
        <f ca="1">IF(AND((OFFSET('DATA INPUT'!$C$51, ROW()-ROW($AT$63),0)=$AT$10),
(OFFSET('DATA INPUT'!$V$51,ROW()-ROW($AT$63),0)=3)),
OFFSET('Calc - OTHER PERS'!$Q$11,COLUMN()-COLUMN($AT$63) + (ROW()-ROW($AT$63))*14,0),0)</f>
        <v>0</v>
      </c>
      <c r="AX75" s="21">
        <f ca="1">IF(AND((OFFSET('DATA INPUT'!$C$51, ROW()-ROW($AT$63),0)=$AT$10),
(OFFSET('DATA INPUT'!$V$51,ROW()-ROW($AT$63),0)=3)),
OFFSET('Calc - OTHER PERS'!$Q$11,COLUMN()-COLUMN($AT$63) + (ROW()-ROW($AT$63))*14,0),0)</f>
        <v>0</v>
      </c>
      <c r="AY75" s="21">
        <f ca="1">IF(AND((OFFSET('DATA INPUT'!$C$51, ROW()-ROW($AT$63),0)=$AT$10),
(OFFSET('DATA INPUT'!$V$51,ROW()-ROW($AT$63),0)=3)),
OFFSET('Calc - OTHER PERS'!$Q$11,COLUMN()-COLUMN($AT$63) + (ROW()-ROW($AT$63))*14,0),0)</f>
        <v>0</v>
      </c>
      <c r="AZ75" s="150">
        <f t="shared" ca="1" si="113"/>
        <v>0</v>
      </c>
      <c r="BB75" s="133">
        <f ca="1">IF(AND((OFFSET('DATA INPUT'!$C$51, ROW()-ROW($BB$63),0)=$BB$10),
(OFFSET('DATA INPUT'!$V$51,ROW()-ROW($BB$63),0)=3)),
OFFSET('Calc - OTHER PERS'!$Q$11,COLUMN()-COLUMN($BB$63) + (ROW()-ROW($BB$63))*14,0),0)</f>
        <v>0</v>
      </c>
      <c r="BC75" s="5">
        <f ca="1">IF(AND((OFFSET('DATA INPUT'!$C$51, ROW()-ROW($BB$63),0)=$BB$10),
(OFFSET('DATA INPUT'!$V$51,ROW()-ROW($BB$63),0)=3)),
OFFSET('Calc - OTHER PERS'!$Q$11,COLUMN()-COLUMN($BB$63) + (ROW()-ROW($BB$63))*14,0),0)</f>
        <v>0</v>
      </c>
      <c r="BD75" s="5">
        <f ca="1">IF(AND((OFFSET('DATA INPUT'!$C$51, ROW()-ROW($BB$63),0)=$BB$10),
(OFFSET('DATA INPUT'!$V$51,ROW()-ROW($BB$63),0)=3)),
OFFSET('Calc - OTHER PERS'!$Q$11,COLUMN()-COLUMN($BB$63) + (ROW()-ROW($BB$63))*14,0),0)</f>
        <v>0</v>
      </c>
      <c r="BE75" s="5">
        <f ca="1">IF(AND((OFFSET('DATA INPUT'!$C$51, ROW()-ROW($BB$63),0)=$BB$10),
(OFFSET('DATA INPUT'!$V$51,ROW()-ROW($BB$63),0)=3)),
OFFSET('Calc - OTHER PERS'!$Q$11,COLUMN()-COLUMN($BB$63) + (ROW()-ROW($BB$63))*14,0),0)</f>
        <v>0</v>
      </c>
      <c r="BF75" s="21">
        <f ca="1">IF(AND((OFFSET('DATA INPUT'!$C$51, ROW()-ROW($BB$63),0)=$BB$10),
(OFFSET('DATA INPUT'!$V$51,ROW()-ROW($BB$63),0)=3)),
OFFSET('Calc - OTHER PERS'!$Q$11,COLUMN()-COLUMN($BB$63) + (ROW()-ROW($BB$63))*14,0),0)</f>
        <v>0</v>
      </c>
      <c r="BG75" s="21">
        <f ca="1">IF(AND((OFFSET('DATA INPUT'!$C$51, ROW()-ROW($BB$63),0)=$BB$10),
(OFFSET('DATA INPUT'!$V$51,ROW()-ROW($BB$63),0)=3)),
OFFSET('Calc - OTHER PERS'!$Q$11,COLUMN()-COLUMN($BB$63) + (ROW()-ROW($BB$63))*14,0),0)</f>
        <v>0</v>
      </c>
      <c r="BH75" s="192">
        <f t="shared" ca="1" si="114"/>
        <v>0</v>
      </c>
      <c r="BJ75" s="21"/>
      <c r="BK75" s="5"/>
      <c r="BL75" s="5"/>
      <c r="BM75" s="5"/>
      <c r="BN75" s="21"/>
      <c r="BO75" s="21"/>
      <c r="BP75" s="1105">
        <f t="shared" si="115"/>
        <v>0</v>
      </c>
      <c r="BR75" s="575">
        <f t="shared" ca="1" si="116"/>
        <v>0</v>
      </c>
      <c r="BS75" s="5">
        <f t="shared" ca="1" si="117"/>
        <v>0</v>
      </c>
      <c r="BT75" s="5">
        <f t="shared" ca="1" si="118"/>
        <v>0</v>
      </c>
      <c r="BU75" s="5">
        <f t="shared" ca="1" si="119"/>
        <v>0</v>
      </c>
      <c r="BV75" s="5">
        <f t="shared" ca="1" si="120"/>
        <v>0</v>
      </c>
      <c r="BW75" s="5">
        <f t="shared" ca="1" si="121"/>
        <v>0</v>
      </c>
      <c r="BX75" s="2175">
        <f t="shared" ca="1" si="122"/>
        <v>0</v>
      </c>
      <c r="BY75" s="573">
        <f t="shared" ca="1" si="123"/>
        <v>0</v>
      </c>
      <c r="BZ75" s="257"/>
      <c r="CB75" s="1182">
        <f t="shared" ca="1" si="203"/>
        <v>0</v>
      </c>
      <c r="CC75" s="387">
        <f t="shared" ca="1" si="204"/>
        <v>0</v>
      </c>
      <c r="CD75" s="56">
        <f t="shared" ca="1" si="204"/>
        <v>0</v>
      </c>
      <c r="CE75" s="56">
        <f t="shared" ca="1" si="205"/>
        <v>0</v>
      </c>
      <c r="CF75" s="1191">
        <f t="shared" ca="1" si="206"/>
        <v>0</v>
      </c>
      <c r="CG75" s="1192">
        <f t="shared" ca="1" si="207"/>
        <v>0</v>
      </c>
      <c r="CH75" s="1184">
        <f t="shared" ca="1" si="208"/>
        <v>0</v>
      </c>
      <c r="CI75" s="1193">
        <f t="shared" ca="1" si="208"/>
        <v>0</v>
      </c>
      <c r="CJ75" s="1193">
        <f t="shared" ca="1" si="209"/>
        <v>0</v>
      </c>
      <c r="CK75" s="1193">
        <f t="shared" ca="1" si="210"/>
        <v>0</v>
      </c>
      <c r="CL75" s="1235">
        <f t="shared" ca="1" si="211"/>
        <v>0</v>
      </c>
      <c r="CM75" s="1195">
        <f t="shared" ca="1" si="212"/>
        <v>0</v>
      </c>
      <c r="CN75" s="1188">
        <f t="shared" ca="1" si="212"/>
        <v>0</v>
      </c>
      <c r="CO75" s="1196">
        <f t="shared" ca="1" si="213"/>
        <v>0</v>
      </c>
      <c r="CP75" s="1234">
        <f t="shared" ca="1" si="124"/>
        <v>0</v>
      </c>
      <c r="CS75" s="575"/>
      <c r="CT75" s="5"/>
      <c r="CU75" s="1180"/>
      <c r="CV75" s="575"/>
      <c r="CW75" s="5"/>
      <c r="CX75" s="1180"/>
      <c r="CY75" s="575"/>
      <c r="CZ75" s="5"/>
      <c r="DA75" s="1180"/>
      <c r="DB75" s="575"/>
      <c r="DC75" s="5"/>
      <c r="DD75" s="1180"/>
      <c r="DE75" s="1181">
        <f t="shared" si="214"/>
        <v>0</v>
      </c>
      <c r="DG75" s="575"/>
      <c r="DH75" s="5"/>
      <c r="DI75" s="1180"/>
      <c r="DJ75" s="575"/>
      <c r="DK75" s="5"/>
      <c r="DL75" s="1180"/>
      <c r="DM75" s="575"/>
      <c r="DN75" s="5"/>
      <c r="DO75" s="1180"/>
      <c r="DP75" s="575"/>
      <c r="DQ75" s="5"/>
      <c r="DR75" s="1180"/>
      <c r="DS75" s="1181">
        <f t="shared" si="215"/>
        <v>0</v>
      </c>
      <c r="DU75" s="575"/>
      <c r="DV75" s="5"/>
      <c r="DW75" s="1180"/>
      <c r="DX75" s="575"/>
      <c r="DY75" s="5"/>
      <c r="DZ75" s="1180"/>
      <c r="EA75" s="575"/>
      <c r="EB75" s="5"/>
      <c r="EC75" s="1180"/>
      <c r="ED75" s="575"/>
      <c r="EE75" s="5"/>
      <c r="EF75" s="1180"/>
      <c r="EG75" s="1181">
        <f t="shared" si="216"/>
        <v>0</v>
      </c>
      <c r="EI75" s="22"/>
      <c r="EJ75" s="3211"/>
      <c r="EK75" s="422" t="str">
        <f t="shared" si="217"/>
        <v xml:space="preserve"> - </v>
      </c>
      <c r="EL75" s="409">
        <f t="shared" ca="1" si="218"/>
        <v>0</v>
      </c>
      <c r="EM75" s="409">
        <f t="shared" ca="1" si="219"/>
        <v>0</v>
      </c>
      <c r="EN75" s="409">
        <f t="shared" ca="1" si="220"/>
        <v>0</v>
      </c>
      <c r="EO75" s="409">
        <f t="shared" ca="1" si="221"/>
        <v>0</v>
      </c>
      <c r="EP75" s="409">
        <f t="shared" ca="1" si="222"/>
        <v>0</v>
      </c>
      <c r="EQ75" s="409">
        <f t="shared" ca="1" si="223"/>
        <v>0</v>
      </c>
      <c r="ER75" s="12">
        <f t="shared" ca="1" si="224"/>
        <v>0</v>
      </c>
      <c r="ES75" s="45"/>
      <c r="ET75" s="4"/>
      <c r="EU75" s="45"/>
      <c r="EV75" s="133">
        <f t="shared" ca="1" si="225"/>
        <v>0</v>
      </c>
      <c r="EW75" s="5">
        <f t="shared" ca="1" si="226"/>
        <v>0</v>
      </c>
      <c r="EX75" s="5">
        <f t="shared" ca="1" si="227"/>
        <v>0</v>
      </c>
      <c r="EY75" s="5">
        <f t="shared" ca="1" si="228"/>
        <v>0</v>
      </c>
      <c r="EZ75" s="21">
        <f t="shared" ca="1" si="229"/>
        <v>0</v>
      </c>
      <c r="FA75" s="21">
        <f t="shared" ca="1" si="230"/>
        <v>0</v>
      </c>
      <c r="FB75" s="164">
        <f t="shared" ca="1" si="143"/>
        <v>0</v>
      </c>
      <c r="FC75" s="1"/>
      <c r="FD75" s="133">
        <f t="shared" ca="1" si="231"/>
        <v>0</v>
      </c>
      <c r="FE75" s="5">
        <f t="shared" ca="1" si="232"/>
        <v>0</v>
      </c>
      <c r="FF75" s="5">
        <f t="shared" ca="1" si="233"/>
        <v>0</v>
      </c>
      <c r="FG75" s="5">
        <f t="shared" ca="1" si="234"/>
        <v>0</v>
      </c>
      <c r="FH75" s="21">
        <f t="shared" ca="1" si="235"/>
        <v>0</v>
      </c>
      <c r="FI75" s="2384">
        <f t="shared" ca="1" si="236"/>
        <v>0</v>
      </c>
      <c r="FJ75" s="2385">
        <f t="shared" ca="1" si="150"/>
        <v>0</v>
      </c>
      <c r="FL75" s="133">
        <f t="shared" ca="1" si="237"/>
        <v>0</v>
      </c>
      <c r="FM75" s="5">
        <f t="shared" ca="1" si="238"/>
        <v>0</v>
      </c>
      <c r="FN75" s="5">
        <f t="shared" ca="1" si="239"/>
        <v>0</v>
      </c>
      <c r="FO75" s="5">
        <f t="shared" ca="1" si="240"/>
        <v>0</v>
      </c>
      <c r="FP75" s="21">
        <f t="shared" ca="1" si="241"/>
        <v>0</v>
      </c>
      <c r="FQ75" s="2384">
        <f t="shared" ca="1" si="242"/>
        <v>0</v>
      </c>
      <c r="FR75" s="206">
        <f t="shared" ca="1" si="157"/>
        <v>0</v>
      </c>
      <c r="FT75" s="133">
        <f t="shared" ca="1" si="243"/>
        <v>0</v>
      </c>
      <c r="FU75" s="5">
        <f t="shared" ca="1" si="244"/>
        <v>0</v>
      </c>
      <c r="FV75" s="5">
        <f t="shared" ca="1" si="245"/>
        <v>0</v>
      </c>
      <c r="FW75" s="5">
        <f t="shared" ca="1" si="246"/>
        <v>0</v>
      </c>
      <c r="FX75" s="21">
        <f t="shared" ca="1" si="247"/>
        <v>0</v>
      </c>
      <c r="FY75" s="21">
        <f t="shared" ca="1" si="248"/>
        <v>0</v>
      </c>
      <c r="FZ75" s="178">
        <f t="shared" ca="1" si="164"/>
        <v>0</v>
      </c>
      <c r="GB75" s="133">
        <f t="shared" ca="1" si="249"/>
        <v>0</v>
      </c>
      <c r="GC75" s="5">
        <f t="shared" ca="1" si="250"/>
        <v>0</v>
      </c>
      <c r="GD75" s="5">
        <f t="shared" ca="1" si="251"/>
        <v>0</v>
      </c>
      <c r="GE75" s="5">
        <f t="shared" ca="1" si="252"/>
        <v>0</v>
      </c>
      <c r="GF75" s="21">
        <f t="shared" ca="1" si="253"/>
        <v>0</v>
      </c>
      <c r="GG75" s="21">
        <f t="shared" ca="1" si="254"/>
        <v>0</v>
      </c>
      <c r="GH75" s="150">
        <f t="shared" ca="1" si="171"/>
        <v>0</v>
      </c>
      <c r="GJ75" s="133">
        <f t="shared" ca="1" si="255"/>
        <v>0</v>
      </c>
      <c r="GK75" s="5">
        <f t="shared" ca="1" si="256"/>
        <v>0</v>
      </c>
      <c r="GL75" s="5">
        <f t="shared" ca="1" si="257"/>
        <v>0</v>
      </c>
      <c r="GM75" s="5">
        <f t="shared" ca="1" si="258"/>
        <v>0</v>
      </c>
      <c r="GN75" s="21">
        <f t="shared" ca="1" si="259"/>
        <v>0</v>
      </c>
      <c r="GO75" s="21">
        <f t="shared" ca="1" si="260"/>
        <v>0</v>
      </c>
      <c r="GP75" s="192">
        <f t="shared" ca="1" si="172"/>
        <v>0</v>
      </c>
      <c r="GR75" s="21"/>
      <c r="GS75" s="5"/>
      <c r="GT75" s="5"/>
      <c r="GU75" s="5"/>
      <c r="GV75" s="21"/>
      <c r="GW75" s="21"/>
      <c r="GX75" s="1105">
        <f t="shared" si="173"/>
        <v>0</v>
      </c>
      <c r="GZ75" s="575">
        <f t="shared" ca="1" si="174"/>
        <v>0</v>
      </c>
      <c r="HA75" s="5">
        <f t="shared" ca="1" si="175"/>
        <v>0</v>
      </c>
      <c r="HB75" s="5">
        <f t="shared" ca="1" si="176"/>
        <v>0</v>
      </c>
      <c r="HC75" s="5">
        <f t="shared" ca="1" si="177"/>
        <v>0</v>
      </c>
      <c r="HD75" s="5">
        <f t="shared" ca="1" si="178"/>
        <v>0</v>
      </c>
      <c r="HE75" s="5">
        <f t="shared" ca="1" si="179"/>
        <v>0</v>
      </c>
      <c r="HF75" s="2175">
        <f t="shared" ca="1" si="180"/>
        <v>0</v>
      </c>
      <c r="HG75" s="573">
        <f t="shared" ca="1" si="181"/>
        <v>0</v>
      </c>
      <c r="HH75" s="257"/>
    </row>
    <row r="76" spans="1:216" ht="15" hidden="1" customHeight="1" x14ac:dyDescent="0.25">
      <c r="A76" s="22"/>
      <c r="B76" s="3211"/>
      <c r="C76" s="123" t="str">
        <f>('DATA INPUT'!B64&amp;" "&amp;"-"&amp;" "&amp;'DATA INPUT'!H64)</f>
        <v xml:space="preserve"> - </v>
      </c>
      <c r="D76" s="21">
        <f ca="1">'Calc - OTHER PERS'!J193</f>
        <v>0</v>
      </c>
      <c r="E76" s="5">
        <f ca="1">'Calc - OTHER PERS'!J194</f>
        <v>0</v>
      </c>
      <c r="F76" s="5">
        <f ca="1">'Calc - OTHER PERS'!J195</f>
        <v>0</v>
      </c>
      <c r="G76" s="5">
        <f ca="1">'Calc - OTHER PERS'!J196</f>
        <v>0</v>
      </c>
      <c r="H76" s="5">
        <f ca="1">'Calc - OTHER PERS'!J197</f>
        <v>0</v>
      </c>
      <c r="I76" s="5">
        <f ca="1">'Calc - OTHER PERS'!J198</f>
        <v>0</v>
      </c>
      <c r="J76" s="12">
        <f t="shared" ca="1" si="202"/>
        <v>0</v>
      </c>
      <c r="K76" s="4"/>
      <c r="L76" s="45"/>
      <c r="M76" s="4"/>
      <c r="N76" s="133">
        <f ca="1">IF(AND((OFFSET('DATA INPUT'!$C$51, ROW()-ROW($N$63),0)=$N$10),
(OFFSET('DATA INPUT'!$V$51,ROW()-ROW($N$63),0)=3)),
OFFSET('Calc - OTHER PERS'!$Q$11,COLUMN()-COLUMN($N$63) + (ROW()-ROW($N$63))*14,0),0)</f>
        <v>0</v>
      </c>
      <c r="O76" s="5">
        <f ca="1">IF(AND((OFFSET('DATA INPUT'!$C$51, ROW()-ROW($N$63),0)=$N$10),
(OFFSET('DATA INPUT'!$V$51,ROW()-ROW($N$63),0)=3)),
OFFSET('Calc - OTHER PERS'!$Q$11,COLUMN()-COLUMN($N$63) + (ROW()-ROW($N$63))*14,0),0)</f>
        <v>0</v>
      </c>
      <c r="P76" s="5">
        <f ca="1">IF(AND((OFFSET('DATA INPUT'!$C$51, ROW()-ROW($N$63),0)=$N$10),
(OFFSET('DATA INPUT'!$V$51,ROW()-ROW($N$63),0)=3)),
OFFSET('Calc - OTHER PERS'!$Q$11,COLUMN()-COLUMN($N$63) + (ROW()-ROW($N$63))*14,0),0)</f>
        <v>0</v>
      </c>
      <c r="Q76" s="5">
        <f ca="1">IF(AND((OFFSET('DATA INPUT'!$C$51, ROW()-ROW($N$63),0)=$N$10),
(OFFSET('DATA INPUT'!$V$51,ROW()-ROW($N$63),0)=3)),
OFFSET('Calc - OTHER PERS'!$Q$11,COLUMN()-COLUMN($N$63) + (ROW()-ROW($N$63))*14,0),0)</f>
        <v>0</v>
      </c>
      <c r="R76" s="5">
        <f ca="1">IF(AND((OFFSET('DATA INPUT'!$C$51, ROW()-ROW($N$63),0)=$N$10),
(OFFSET('DATA INPUT'!$V$51,ROW()-ROW($N$63),0)=3)),
OFFSET('Calc - OTHER PERS'!$Q$11,COLUMN()-COLUMN($N$63) + (ROW()-ROW($N$63))*14,0),0)</f>
        <v>0</v>
      </c>
      <c r="S76" s="5">
        <f ca="1">IF(AND((OFFSET('DATA INPUT'!$C$51, ROW()-ROW($N$63),0)=$N$10),
(OFFSET('DATA INPUT'!$V$51,ROW()-ROW($N$63),0)=3)),
OFFSET('Calc - OTHER PERS'!$Q$11,COLUMN()-COLUMN($N$63) + (ROW()-ROW($N$63))*14,0),0)</f>
        <v>0</v>
      </c>
      <c r="T76" s="164">
        <f t="shared" ca="1" si="109"/>
        <v>0</v>
      </c>
      <c r="V76" s="133">
        <f ca="1">IF(AND((OFFSET('DATA INPUT'!$C$51, ROW()-ROW($V$63),0)=$V$10),
(OFFSET('DATA INPUT'!$V$51,ROW()-ROW($V$63),0)=3)),
OFFSET('Calc - OTHER PERS'!$Q$11,COLUMN()-COLUMN($V$63) + (ROW()-ROW($V$63))*14,0),0)</f>
        <v>0</v>
      </c>
      <c r="W76" s="5">
        <f ca="1">IF(AND((OFFSET('DATA INPUT'!$C$51, ROW()-ROW($V$63),0)=$V$10),
(OFFSET('DATA INPUT'!$V$51,ROW()-ROW($V$63),0)=3)),
OFFSET('Calc - OTHER PERS'!$Q$11,COLUMN()-COLUMN($V$63) + (ROW()-ROW($V$63))*14,0),0)</f>
        <v>0</v>
      </c>
      <c r="X76" s="5">
        <f ca="1">IF(AND((OFFSET('DATA INPUT'!$C$51, ROW()-ROW($V$63),0)=$V$10),
(OFFSET('DATA INPUT'!$V$51,ROW()-ROW($V$63),0)=3)),
OFFSET('Calc - OTHER PERS'!$Q$11,COLUMN()-COLUMN($V$63) + (ROW()-ROW($V$63))*14,0),0)</f>
        <v>0</v>
      </c>
      <c r="Y76" s="5">
        <f ca="1">IF(AND((OFFSET('DATA INPUT'!$C$51, ROW()-ROW($V$63),0)=$V$10),
(OFFSET('DATA INPUT'!$V$51,ROW()-ROW($V$63),0)=3)),
OFFSET('Calc - OTHER PERS'!$Q$11,COLUMN()-COLUMN($V$63) + (ROW()-ROW($V$63))*14,0),0)</f>
        <v>0</v>
      </c>
      <c r="Z76" s="5">
        <f ca="1">IF(AND((OFFSET('DATA INPUT'!$C$51, ROW()-ROW($V$63),0)=$V$10),
(OFFSET('DATA INPUT'!$V$51,ROW()-ROW($V$63),0)=3)),
OFFSET('Calc - OTHER PERS'!$Q$11,COLUMN()-COLUMN($V$63) + (ROW()-ROW($V$63))*14,0),0)</f>
        <v>0</v>
      </c>
      <c r="AA76" s="5">
        <f ca="1">IF(AND((OFFSET('DATA INPUT'!$C$51, ROW()-ROW($V$63),0)=$V$10),
(OFFSET('DATA INPUT'!$V$51,ROW()-ROW($V$63),0)=3)),
OFFSET('Calc - OTHER PERS'!$Q$11,COLUMN()-COLUMN($V$63) + (ROW()-ROW($V$63))*14,0),0)</f>
        <v>0</v>
      </c>
      <c r="AB76" s="138">
        <f t="shared" ca="1" si="110"/>
        <v>0</v>
      </c>
      <c r="AD76" s="133">
        <f ca="1">IF(AND((OFFSET('DATA INPUT'!$C$51, ROW()-ROW($AD$63),0)=$AD$10),
(OFFSET('DATA INPUT'!$V$51,ROW()-ROW($AD$63),0)=3)),
OFFSET('Calc - OTHER PERS'!$Q$11,COLUMN()-COLUMN($AD$63) + (ROW()-ROW($AD$63))*14,0),0)</f>
        <v>0</v>
      </c>
      <c r="AE76" s="5">
        <f ca="1">IF(AND((OFFSET('DATA INPUT'!$C$51, ROW()-ROW($AD$63),0)=$AD$10),
(OFFSET('DATA INPUT'!$V$51,ROW()-ROW($AD$63),0)=3)),
OFFSET('Calc - OTHER PERS'!$Q$11,COLUMN()-COLUMN($AD$63) + (ROW()-ROW($AD$63))*14,0),0)</f>
        <v>0</v>
      </c>
      <c r="AF76" s="5">
        <f ca="1">IF(AND((OFFSET('DATA INPUT'!$C$51, ROW()-ROW($AD$63),0)=$AD$10),
(OFFSET('DATA INPUT'!$V$51,ROW()-ROW($AD$63),0)=3)),
OFFSET('Calc - OTHER PERS'!$Q$11,COLUMN()-COLUMN($AD$63) + (ROW()-ROW($AD$63))*14,0),0)</f>
        <v>0</v>
      </c>
      <c r="AG76" s="5">
        <f ca="1">IF(AND((OFFSET('DATA INPUT'!$C$51, ROW()-ROW($AD$63),0)=$AD$10),
(OFFSET('DATA INPUT'!$V$51,ROW()-ROW($AD$63),0)=3)),
OFFSET('Calc - OTHER PERS'!$Q$11,COLUMN()-COLUMN($AD$63) + (ROW()-ROW($AD$63))*14,0),0)</f>
        <v>0</v>
      </c>
      <c r="AH76" s="5">
        <f ca="1">IF(AND((OFFSET('DATA INPUT'!$C$51, ROW()-ROW($AD$63),0)=$AD$10),
(OFFSET('DATA INPUT'!$V$51,ROW()-ROW($AD$63),0)=3)),
OFFSET('Calc - OTHER PERS'!$Q$11,COLUMN()-COLUMN($AD$63) + (ROW()-ROW($AD$63))*14,0),0)</f>
        <v>0</v>
      </c>
      <c r="AI76" s="5">
        <f ca="1">IF(AND((OFFSET('DATA INPUT'!$C$51, ROW()-ROW($AD$63),0)=$AD$10),
(OFFSET('DATA INPUT'!$V$51,ROW()-ROW($AD$63),0)=3)),
OFFSET('Calc - OTHER PERS'!$Q$11,COLUMN()-COLUMN($AD$63) + (ROW()-ROW($AD$63))*14,0),0)</f>
        <v>0</v>
      </c>
      <c r="AJ76" s="206">
        <f t="shared" ca="1" si="111"/>
        <v>0</v>
      </c>
      <c r="AL76" s="133">
        <f ca="1">IF(AND((OFFSET('DATA INPUT'!$C$51, ROW()-ROW($AL$63),0)=$AL$10),
(OFFSET('DATA INPUT'!$V$51,ROW()-ROW($AL$63),0)=3)),
OFFSET('Calc - OTHER PERS'!$Q$11,COLUMN()-COLUMN($AL$63) + (ROW()-ROW($AL$63))*14,0),0)</f>
        <v>0</v>
      </c>
      <c r="AM76" s="5">
        <f ca="1">IF(AND((OFFSET('DATA INPUT'!$C$51, ROW()-ROW($AL$63),0)=$AL$10),
(OFFSET('DATA INPUT'!$V$51,ROW()-ROW($AL$63),0)=3)),
OFFSET('Calc - OTHER PERS'!$Q$11,COLUMN()-COLUMN($AL$63) + (ROW()-ROW($AL$63))*14,0),0)</f>
        <v>0</v>
      </c>
      <c r="AN76" s="5">
        <f ca="1">IF(AND((OFFSET('DATA INPUT'!$C$51, ROW()-ROW($AL$63),0)=$AL$10),
(OFFSET('DATA INPUT'!$V$51,ROW()-ROW($AL$63),0)=3)),
OFFSET('Calc - OTHER PERS'!$Q$11,COLUMN()-COLUMN($AL$63) + (ROW()-ROW($AL$63))*14,0),0)</f>
        <v>0</v>
      </c>
      <c r="AO76" s="5">
        <f ca="1">IF(AND((OFFSET('DATA INPUT'!$C$51, ROW()-ROW($AL$63),0)=$AL$10),
(OFFSET('DATA INPUT'!$V$51,ROW()-ROW($AL$63),0)=3)),
OFFSET('Calc - OTHER PERS'!$Q$11,COLUMN()-COLUMN($AL$63) + (ROW()-ROW($AL$63))*14,0),0)</f>
        <v>0</v>
      </c>
      <c r="AP76" s="5">
        <f ca="1">IF(AND((OFFSET('DATA INPUT'!$C$51, ROW()-ROW($AL$63),0)=$AL$10),
(OFFSET('DATA INPUT'!$V$51,ROW()-ROW($AL$63),0)=3)),
OFFSET('Calc - OTHER PERS'!$Q$11,COLUMN()-COLUMN($AL$63) + (ROW()-ROW($AL$63))*14,0),0)</f>
        <v>0</v>
      </c>
      <c r="AQ76" s="5">
        <f ca="1">IF(AND((OFFSET('DATA INPUT'!$C$51, ROW()-ROW($AL$63),0)=$AL$10),
(OFFSET('DATA INPUT'!$V$51,ROW()-ROW($AL$63),0)=3)),
OFFSET('Calc - OTHER PERS'!$Q$11,COLUMN()-COLUMN($AL$63) + (ROW()-ROW($AL$63))*14,0),0)</f>
        <v>0</v>
      </c>
      <c r="AR76" s="178">
        <f t="shared" ca="1" si="112"/>
        <v>0</v>
      </c>
      <c r="AT76" s="133">
        <f ca="1">IF(AND((OFFSET('DATA INPUT'!$C$51, ROW()-ROW($AT$63),0)=$AT$10),
(OFFSET('DATA INPUT'!$V$51,ROW()-ROW($AT$63),0)=3)),
OFFSET('Calc - OTHER PERS'!$Q$11,COLUMN()-COLUMN($AT$63) + (ROW()-ROW($AT$63))*14,0),0)</f>
        <v>0</v>
      </c>
      <c r="AU76" s="5">
        <f ca="1">IF(AND((OFFSET('DATA INPUT'!$C$51, ROW()-ROW($AT$63),0)=$AT$10),
(OFFSET('DATA INPUT'!$V$51,ROW()-ROW($AT$63),0)=3)),
OFFSET('Calc - OTHER PERS'!$Q$11,COLUMN()-COLUMN($AT$63) + (ROW()-ROW($AT$63))*14,0),0)</f>
        <v>0</v>
      </c>
      <c r="AV76" s="5">
        <f ca="1">IF(AND((OFFSET('DATA INPUT'!$C$51, ROW()-ROW($AT$63),0)=$AT$10),
(OFFSET('DATA INPUT'!$V$51,ROW()-ROW($AT$63),0)=3)),
OFFSET('Calc - OTHER PERS'!$Q$11,COLUMN()-COLUMN($AT$63) + (ROW()-ROW($AT$63))*14,0),0)</f>
        <v>0</v>
      </c>
      <c r="AW76" s="5">
        <f ca="1">IF(AND((OFFSET('DATA INPUT'!$C$51, ROW()-ROW($AT$63),0)=$AT$10),
(OFFSET('DATA INPUT'!$V$51,ROW()-ROW($AT$63),0)=3)),
OFFSET('Calc - OTHER PERS'!$Q$11,COLUMN()-COLUMN($AT$63) + (ROW()-ROW($AT$63))*14,0),0)</f>
        <v>0</v>
      </c>
      <c r="AX76" s="5">
        <f ca="1">IF(AND((OFFSET('DATA INPUT'!$C$51, ROW()-ROW($AT$63),0)=$AT$10),
(OFFSET('DATA INPUT'!$V$51,ROW()-ROW($AT$63),0)=3)),
OFFSET('Calc - OTHER PERS'!$Q$11,COLUMN()-COLUMN($AT$63) + (ROW()-ROW($AT$63))*14,0),0)</f>
        <v>0</v>
      </c>
      <c r="AY76" s="5">
        <f ca="1">IF(AND((OFFSET('DATA INPUT'!$C$51, ROW()-ROW($AT$63),0)=$AT$10),
(OFFSET('DATA INPUT'!$V$51,ROW()-ROW($AT$63),0)=3)),
OFFSET('Calc - OTHER PERS'!$Q$11,COLUMN()-COLUMN($AT$63) + (ROW()-ROW($AT$63))*14,0),0)</f>
        <v>0</v>
      </c>
      <c r="AZ76" s="150">
        <f t="shared" ca="1" si="113"/>
        <v>0</v>
      </c>
      <c r="BB76" s="133">
        <f ca="1">IF(AND((OFFSET('DATA INPUT'!$C$51, ROW()-ROW($BB$63),0)=$BB$10),
(OFFSET('DATA INPUT'!$V$51,ROW()-ROW($BB$63),0)=3)),
OFFSET('Calc - OTHER PERS'!$Q$11,COLUMN()-COLUMN($BB$63) + (ROW()-ROW($BB$63))*14,0),0)</f>
        <v>0</v>
      </c>
      <c r="BC76" s="5">
        <f ca="1">IF(AND((OFFSET('DATA INPUT'!$C$51, ROW()-ROW($BB$63),0)=$BB$10),
(OFFSET('DATA INPUT'!$V$51,ROW()-ROW($BB$63),0)=3)),
OFFSET('Calc - OTHER PERS'!$Q$11,COLUMN()-COLUMN($BB$63) + (ROW()-ROW($BB$63))*14,0),0)</f>
        <v>0</v>
      </c>
      <c r="BD76" s="5">
        <f ca="1">IF(AND((OFFSET('DATA INPUT'!$C$51, ROW()-ROW($BB$63),0)=$BB$10),
(OFFSET('DATA INPUT'!$V$51,ROW()-ROW($BB$63),0)=3)),
OFFSET('Calc - OTHER PERS'!$Q$11,COLUMN()-COLUMN($BB$63) + (ROW()-ROW($BB$63))*14,0),0)</f>
        <v>0</v>
      </c>
      <c r="BE76" s="5">
        <f ca="1">IF(AND((OFFSET('DATA INPUT'!$C$51, ROW()-ROW($BB$63),0)=$BB$10),
(OFFSET('DATA INPUT'!$V$51,ROW()-ROW($BB$63),0)=3)),
OFFSET('Calc - OTHER PERS'!$Q$11,COLUMN()-COLUMN($BB$63) + (ROW()-ROW($BB$63))*14,0),0)</f>
        <v>0</v>
      </c>
      <c r="BF76" s="5">
        <f ca="1">IF(AND((OFFSET('DATA INPUT'!$C$51, ROW()-ROW($BB$63),0)=$BB$10),
(OFFSET('DATA INPUT'!$V$51,ROW()-ROW($BB$63),0)=3)),
OFFSET('Calc - OTHER PERS'!$Q$11,COLUMN()-COLUMN($BB$63) + (ROW()-ROW($BB$63))*14,0),0)</f>
        <v>0</v>
      </c>
      <c r="BG76" s="5">
        <f ca="1">IF(AND((OFFSET('DATA INPUT'!$C$51, ROW()-ROW($BB$63),0)=$BB$10),
(OFFSET('DATA INPUT'!$V$51,ROW()-ROW($BB$63),0)=3)),
OFFSET('Calc - OTHER PERS'!$Q$11,COLUMN()-COLUMN($BB$63) + (ROW()-ROW($BB$63))*14,0),0)</f>
        <v>0</v>
      </c>
      <c r="BH76" s="192">
        <f t="shared" ca="1" si="114"/>
        <v>0</v>
      </c>
      <c r="BJ76" s="21"/>
      <c r="BK76" s="5"/>
      <c r="BL76" s="5"/>
      <c r="BM76" s="5"/>
      <c r="BN76" s="5"/>
      <c r="BO76" s="5"/>
      <c r="BP76" s="1105">
        <f t="shared" si="115"/>
        <v>0</v>
      </c>
      <c r="BR76" s="575">
        <f t="shared" ca="1" si="116"/>
        <v>0</v>
      </c>
      <c r="BS76" s="5">
        <f t="shared" ca="1" si="117"/>
        <v>0</v>
      </c>
      <c r="BT76" s="5">
        <f t="shared" ca="1" si="118"/>
        <v>0</v>
      </c>
      <c r="BU76" s="5">
        <f t="shared" ca="1" si="119"/>
        <v>0</v>
      </c>
      <c r="BV76" s="5">
        <f t="shared" ca="1" si="120"/>
        <v>0</v>
      </c>
      <c r="BW76" s="5">
        <f t="shared" ca="1" si="121"/>
        <v>0</v>
      </c>
      <c r="BX76" s="2175">
        <f t="shared" ca="1" si="122"/>
        <v>0</v>
      </c>
      <c r="BY76" s="573">
        <f t="shared" ca="1" si="123"/>
        <v>0</v>
      </c>
      <c r="BZ76" s="257"/>
      <c r="CB76" s="1182">
        <f t="shared" ca="1" si="203"/>
        <v>0</v>
      </c>
      <c r="CC76" s="387">
        <f t="shared" ca="1" si="204"/>
        <v>0</v>
      </c>
      <c r="CD76" s="56">
        <f t="shared" ca="1" si="204"/>
        <v>0</v>
      </c>
      <c r="CE76" s="56">
        <f t="shared" ca="1" si="205"/>
        <v>0</v>
      </c>
      <c r="CF76" s="56">
        <f t="shared" ca="1" si="206"/>
        <v>0</v>
      </c>
      <c r="CG76" s="1183">
        <f t="shared" ca="1" si="207"/>
        <v>0</v>
      </c>
      <c r="CH76" s="1184">
        <f t="shared" ca="1" si="208"/>
        <v>0</v>
      </c>
      <c r="CI76" s="1193">
        <f t="shared" ca="1" si="208"/>
        <v>0</v>
      </c>
      <c r="CJ76" s="1193">
        <f t="shared" ca="1" si="209"/>
        <v>0</v>
      </c>
      <c r="CK76" s="1193">
        <f t="shared" ca="1" si="210"/>
        <v>0</v>
      </c>
      <c r="CL76" s="1235">
        <f t="shared" ca="1" si="211"/>
        <v>0</v>
      </c>
      <c r="CM76" s="1187">
        <f t="shared" ca="1" si="212"/>
        <v>0</v>
      </c>
      <c r="CN76" s="1188">
        <f t="shared" ca="1" si="212"/>
        <v>0</v>
      </c>
      <c r="CO76" s="1189">
        <f t="shared" ca="1" si="213"/>
        <v>0</v>
      </c>
      <c r="CP76" s="1234">
        <f t="shared" ca="1" si="124"/>
        <v>0</v>
      </c>
      <c r="CS76" s="575"/>
      <c r="CT76" s="5"/>
      <c r="CU76" s="1180"/>
      <c r="CV76" s="575"/>
      <c r="CW76" s="5"/>
      <c r="CX76" s="1180"/>
      <c r="CY76" s="575"/>
      <c r="CZ76" s="5"/>
      <c r="DA76" s="1180"/>
      <c r="DB76" s="575"/>
      <c r="DC76" s="5"/>
      <c r="DD76" s="1180"/>
      <c r="DE76" s="1181">
        <f t="shared" si="214"/>
        <v>0</v>
      </c>
      <c r="DG76" s="575"/>
      <c r="DH76" s="5"/>
      <c r="DI76" s="1180"/>
      <c r="DJ76" s="575"/>
      <c r="DK76" s="5"/>
      <c r="DL76" s="1180"/>
      <c r="DM76" s="575"/>
      <c r="DN76" s="5"/>
      <c r="DO76" s="1180"/>
      <c r="DP76" s="575"/>
      <c r="DQ76" s="5"/>
      <c r="DR76" s="1180"/>
      <c r="DS76" s="1181">
        <f t="shared" si="215"/>
        <v>0</v>
      </c>
      <c r="DU76" s="575"/>
      <c r="DV76" s="5"/>
      <c r="DW76" s="1180"/>
      <c r="DX76" s="575"/>
      <c r="DY76" s="5"/>
      <c r="DZ76" s="1180"/>
      <c r="EA76" s="575"/>
      <c r="EB76" s="5"/>
      <c r="EC76" s="1180"/>
      <c r="ED76" s="575"/>
      <c r="EE76" s="5"/>
      <c r="EF76" s="1180"/>
      <c r="EG76" s="1181">
        <f t="shared" si="216"/>
        <v>0</v>
      </c>
      <c r="EI76" s="22"/>
      <c r="EJ76" s="3211"/>
      <c r="EK76" s="422" t="str">
        <f t="shared" si="217"/>
        <v xml:space="preserve"> - </v>
      </c>
      <c r="EL76" s="409">
        <f t="shared" ca="1" si="218"/>
        <v>0</v>
      </c>
      <c r="EM76" s="409">
        <f t="shared" ca="1" si="219"/>
        <v>0</v>
      </c>
      <c r="EN76" s="409">
        <f t="shared" ca="1" si="220"/>
        <v>0</v>
      </c>
      <c r="EO76" s="409">
        <f t="shared" ca="1" si="221"/>
        <v>0</v>
      </c>
      <c r="EP76" s="409">
        <f t="shared" ca="1" si="222"/>
        <v>0</v>
      </c>
      <c r="EQ76" s="409">
        <f t="shared" ca="1" si="223"/>
        <v>0</v>
      </c>
      <c r="ER76" s="12">
        <f t="shared" ca="1" si="224"/>
        <v>0</v>
      </c>
      <c r="ES76" s="4"/>
      <c r="ET76" s="45"/>
      <c r="EU76" s="4"/>
      <c r="EV76" s="133">
        <f t="shared" ca="1" si="225"/>
        <v>0</v>
      </c>
      <c r="EW76" s="5">
        <f t="shared" ca="1" si="226"/>
        <v>0</v>
      </c>
      <c r="EX76" s="5">
        <f t="shared" ca="1" si="227"/>
        <v>0</v>
      </c>
      <c r="EY76" s="5">
        <f t="shared" ca="1" si="228"/>
        <v>0</v>
      </c>
      <c r="EZ76" s="21">
        <f t="shared" ca="1" si="229"/>
        <v>0</v>
      </c>
      <c r="FA76" s="21">
        <f t="shared" ca="1" si="230"/>
        <v>0</v>
      </c>
      <c r="FB76" s="164">
        <f t="shared" ca="1" si="143"/>
        <v>0</v>
      </c>
      <c r="FD76" s="133">
        <f t="shared" ca="1" si="231"/>
        <v>0</v>
      </c>
      <c r="FE76" s="5">
        <f t="shared" ca="1" si="232"/>
        <v>0</v>
      </c>
      <c r="FF76" s="5">
        <f t="shared" ca="1" si="233"/>
        <v>0</v>
      </c>
      <c r="FG76" s="5">
        <f t="shared" ca="1" si="234"/>
        <v>0</v>
      </c>
      <c r="FH76" s="5">
        <f t="shared" ca="1" si="235"/>
        <v>0</v>
      </c>
      <c r="FI76" s="5">
        <f t="shared" ca="1" si="236"/>
        <v>0</v>
      </c>
      <c r="FJ76" s="138">
        <f t="shared" ca="1" si="150"/>
        <v>0</v>
      </c>
      <c r="FL76" s="133">
        <f t="shared" ca="1" si="237"/>
        <v>0</v>
      </c>
      <c r="FM76" s="5">
        <f t="shared" ca="1" si="238"/>
        <v>0</v>
      </c>
      <c r="FN76" s="5">
        <f t="shared" ca="1" si="239"/>
        <v>0</v>
      </c>
      <c r="FO76" s="5">
        <f t="shared" ca="1" si="240"/>
        <v>0</v>
      </c>
      <c r="FP76" s="5">
        <f t="shared" ca="1" si="241"/>
        <v>0</v>
      </c>
      <c r="FQ76" s="5">
        <f t="shared" ca="1" si="242"/>
        <v>0</v>
      </c>
      <c r="FR76" s="206">
        <f t="shared" ca="1" si="157"/>
        <v>0</v>
      </c>
      <c r="FT76" s="133">
        <f t="shared" ca="1" si="243"/>
        <v>0</v>
      </c>
      <c r="FU76" s="5">
        <f t="shared" ca="1" si="244"/>
        <v>0</v>
      </c>
      <c r="FV76" s="5">
        <f t="shared" ca="1" si="245"/>
        <v>0</v>
      </c>
      <c r="FW76" s="5">
        <f t="shared" ca="1" si="246"/>
        <v>0</v>
      </c>
      <c r="FX76" s="5">
        <f t="shared" ca="1" si="247"/>
        <v>0</v>
      </c>
      <c r="FY76" s="5">
        <f t="shared" ca="1" si="248"/>
        <v>0</v>
      </c>
      <c r="FZ76" s="178">
        <f t="shared" ca="1" si="164"/>
        <v>0</v>
      </c>
      <c r="GB76" s="133">
        <f t="shared" ca="1" si="249"/>
        <v>0</v>
      </c>
      <c r="GC76" s="5">
        <f t="shared" ca="1" si="250"/>
        <v>0</v>
      </c>
      <c r="GD76" s="5">
        <f t="shared" ca="1" si="251"/>
        <v>0</v>
      </c>
      <c r="GE76" s="5">
        <f t="shared" ca="1" si="252"/>
        <v>0</v>
      </c>
      <c r="GF76" s="5">
        <f t="shared" ca="1" si="253"/>
        <v>0</v>
      </c>
      <c r="GG76" s="5">
        <f t="shared" ca="1" si="254"/>
        <v>0</v>
      </c>
      <c r="GH76" s="150">
        <f t="shared" ca="1" si="171"/>
        <v>0</v>
      </c>
      <c r="GJ76" s="133">
        <f t="shared" ca="1" si="255"/>
        <v>0</v>
      </c>
      <c r="GK76" s="5">
        <f t="shared" ca="1" si="256"/>
        <v>0</v>
      </c>
      <c r="GL76" s="5">
        <f t="shared" ca="1" si="257"/>
        <v>0</v>
      </c>
      <c r="GM76" s="5">
        <f t="shared" ca="1" si="258"/>
        <v>0</v>
      </c>
      <c r="GN76" s="5">
        <f t="shared" ca="1" si="259"/>
        <v>0</v>
      </c>
      <c r="GO76" s="5">
        <f t="shared" ca="1" si="260"/>
        <v>0</v>
      </c>
      <c r="GP76" s="192">
        <f t="shared" ca="1" si="172"/>
        <v>0</v>
      </c>
      <c r="GR76" s="21"/>
      <c r="GS76" s="5"/>
      <c r="GT76" s="5"/>
      <c r="GU76" s="5"/>
      <c r="GV76" s="5"/>
      <c r="GW76" s="5"/>
      <c r="GX76" s="1105">
        <f t="shared" si="173"/>
        <v>0</v>
      </c>
      <c r="GZ76" s="575">
        <f t="shared" ca="1" si="174"/>
        <v>0</v>
      </c>
      <c r="HA76" s="5">
        <f t="shared" ca="1" si="175"/>
        <v>0</v>
      </c>
      <c r="HB76" s="5">
        <f t="shared" ca="1" si="176"/>
        <v>0</v>
      </c>
      <c r="HC76" s="5">
        <f t="shared" ca="1" si="177"/>
        <v>0</v>
      </c>
      <c r="HD76" s="5">
        <f t="shared" ca="1" si="178"/>
        <v>0</v>
      </c>
      <c r="HE76" s="5">
        <f t="shared" ca="1" si="179"/>
        <v>0</v>
      </c>
      <c r="HF76" s="2175">
        <f t="shared" ca="1" si="180"/>
        <v>0</v>
      </c>
      <c r="HG76" s="573">
        <f t="shared" ca="1" si="181"/>
        <v>0</v>
      </c>
      <c r="HH76" s="257"/>
    </row>
    <row r="77" spans="1:216" ht="15" hidden="1" customHeight="1" thickBot="1" x14ac:dyDescent="0.3">
      <c r="A77" s="22"/>
      <c r="B77" s="3211"/>
      <c r="C77" s="424" t="str">
        <f>('DATA INPUT'!B65&amp;" "&amp;"-"&amp;" "&amp;'DATA INPUT'!H65)</f>
        <v xml:space="preserve"> - </v>
      </c>
      <c r="D77" s="410">
        <f ca="1">'Calc - OTHER PERS'!J207</f>
        <v>0</v>
      </c>
      <c r="E77" s="321">
        <f ca="1">'Calc - OTHER PERS'!J208</f>
        <v>0</v>
      </c>
      <c r="F77" s="321">
        <f ca="1">'Calc - OTHER PERS'!J209</f>
        <v>0</v>
      </c>
      <c r="G77" s="321">
        <f ca="1">'Calc - OTHER PERS'!J210</f>
        <v>0</v>
      </c>
      <c r="H77" s="410">
        <f ca="1">'Calc - OTHER PERS'!J211</f>
        <v>0</v>
      </c>
      <c r="I77" s="410">
        <f ca="1">'Calc - OTHER PERS'!J212</f>
        <v>0</v>
      </c>
      <c r="J77" s="322">
        <f t="shared" ca="1" si="202"/>
        <v>0</v>
      </c>
      <c r="K77" s="45"/>
      <c r="L77" s="4"/>
      <c r="M77" s="45"/>
      <c r="N77" s="133">
        <f ca="1">IF(AND((OFFSET('DATA INPUT'!$C$51, ROW()-ROW($N$63),0)=$N$10),
(OFFSET('DATA INPUT'!$V$51,ROW()-ROW($N$63),0)=3)),
OFFSET('Calc - OTHER PERS'!$Q$11,COLUMN()-COLUMN($N$63) + (ROW()-ROW($N$63))*14,0),0)</f>
        <v>0</v>
      </c>
      <c r="O77" s="5">
        <f ca="1">IF(AND((OFFSET('DATA INPUT'!$C$51, ROW()-ROW($N$63),0)=$N$10),
(OFFSET('DATA INPUT'!$V$51,ROW()-ROW($N$63),0)=3)),
OFFSET('Calc - OTHER PERS'!$Q$11,COLUMN()-COLUMN($N$63) + (ROW()-ROW($N$63))*14,0),0)</f>
        <v>0</v>
      </c>
      <c r="P77" s="5">
        <f ca="1">IF(AND((OFFSET('DATA INPUT'!$C$51, ROW()-ROW($N$63),0)=$N$10),
(OFFSET('DATA INPUT'!$V$51,ROW()-ROW($N$63),0)=3)),
OFFSET('Calc - OTHER PERS'!$Q$11,COLUMN()-COLUMN($N$63) + (ROW()-ROW($N$63))*14,0),0)</f>
        <v>0</v>
      </c>
      <c r="Q77" s="5">
        <f ca="1">IF(AND((OFFSET('DATA INPUT'!$C$51, ROW()-ROW($N$63),0)=$N$10),
(OFFSET('DATA INPUT'!$V$51,ROW()-ROW($N$63),0)=3)),
OFFSET('Calc - OTHER PERS'!$Q$11,COLUMN()-COLUMN($N$63) + (ROW()-ROW($N$63))*14,0),0)</f>
        <v>0</v>
      </c>
      <c r="R77" s="21">
        <f ca="1">IF(AND((OFFSET('DATA INPUT'!$C$51, ROW()-ROW($N$63),0)=$N$10),
(OFFSET('DATA INPUT'!$V$51,ROW()-ROW($N$63),0)=3)),
OFFSET('Calc - OTHER PERS'!$Q$11,COLUMN()-COLUMN($N$63) + (ROW()-ROW($N$63))*14,0),0)</f>
        <v>0</v>
      </c>
      <c r="S77" s="21">
        <f ca="1">IF(AND((OFFSET('DATA INPUT'!$C$51, ROW()-ROW($N$63),0)=$N$10),
(OFFSET('DATA INPUT'!$V$51,ROW()-ROW($N$63),0)=3)),
OFFSET('Calc - OTHER PERS'!$Q$11,COLUMN()-COLUMN($N$63) + (ROW()-ROW($N$63))*14,0),0)</f>
        <v>0</v>
      </c>
      <c r="T77" s="164">
        <f t="shared" ca="1" si="109"/>
        <v>0</v>
      </c>
      <c r="U77" s="1"/>
      <c r="V77" s="133">
        <f ca="1">IF(AND((OFFSET('DATA INPUT'!$C$51, ROW()-ROW($V$63),0)=$V$10),
(OFFSET('DATA INPUT'!$V$51,ROW()-ROW($V$63),0)=3)),
OFFSET('Calc - OTHER PERS'!$Q$11,COLUMN()-COLUMN($V$63) + (ROW()-ROW($V$63))*14,0),0)</f>
        <v>0</v>
      </c>
      <c r="W77" s="5">
        <f ca="1">IF(AND((OFFSET('DATA INPUT'!$C$51, ROW()-ROW($V$63),0)=$V$10),
(OFFSET('DATA INPUT'!$V$51,ROW()-ROW($V$63),0)=3)),
OFFSET('Calc - OTHER PERS'!$Q$11,COLUMN()-COLUMN($V$63) + (ROW()-ROW($V$63))*14,0),0)</f>
        <v>0</v>
      </c>
      <c r="X77" s="5">
        <f ca="1">IF(AND((OFFSET('DATA INPUT'!$C$51, ROW()-ROW($V$63),0)=$V$10),
(OFFSET('DATA INPUT'!$V$51,ROW()-ROW($V$63),0)=3)),
OFFSET('Calc - OTHER PERS'!$Q$11,COLUMN()-COLUMN($V$63) + (ROW()-ROW($V$63))*14,0),0)</f>
        <v>0</v>
      </c>
      <c r="Y77" s="5">
        <f ca="1">IF(AND((OFFSET('DATA INPUT'!$C$51, ROW()-ROW($V$63),0)=$V$10),
(OFFSET('DATA INPUT'!$V$51,ROW()-ROW($V$63),0)=3)),
OFFSET('Calc - OTHER PERS'!$Q$11,COLUMN()-COLUMN($V$63) + (ROW()-ROW($V$63))*14,0),0)</f>
        <v>0</v>
      </c>
      <c r="Z77" s="21">
        <f ca="1">IF(AND((OFFSET('DATA INPUT'!$C$51, ROW()-ROW($V$63),0)=$V$10),
(OFFSET('DATA INPUT'!$V$51,ROW()-ROW($V$63),0)=3)),
OFFSET('Calc - OTHER PERS'!$Q$11,COLUMN()-COLUMN($V$63) + (ROW()-ROW($V$63))*14,0),0)</f>
        <v>0</v>
      </c>
      <c r="AA77" s="21">
        <f ca="1">IF(AND((OFFSET('DATA INPUT'!$C$51, ROW()-ROW($V$63),0)=$V$10),
(OFFSET('DATA INPUT'!$V$51,ROW()-ROW($V$63),0)=3)),
OFFSET('Calc - OTHER PERS'!$Q$11,COLUMN()-COLUMN($V$63) + (ROW()-ROW($V$63))*14,0),0)</f>
        <v>0</v>
      </c>
      <c r="AB77" s="138">
        <f t="shared" ca="1" si="110"/>
        <v>0</v>
      </c>
      <c r="AD77" s="133">
        <f ca="1">IF(AND((OFFSET('DATA INPUT'!$C$51, ROW()-ROW($AD$63),0)=$AD$10),
(OFFSET('DATA INPUT'!$V$51,ROW()-ROW($AD$63),0)=3)),
OFFSET('Calc - OTHER PERS'!$Q$11,COLUMN()-COLUMN($AD$63) + (ROW()-ROW($AD$63))*14,0),0)</f>
        <v>0</v>
      </c>
      <c r="AE77" s="5">
        <f ca="1">IF(AND((OFFSET('DATA INPUT'!$C$51, ROW()-ROW($AD$63),0)=$AD$10),
(OFFSET('DATA INPUT'!$V$51,ROW()-ROW($AD$63),0)=3)),
OFFSET('Calc - OTHER PERS'!$Q$11,COLUMN()-COLUMN($AD$63) + (ROW()-ROW($AD$63))*14,0),0)</f>
        <v>0</v>
      </c>
      <c r="AF77" s="5">
        <f ca="1">IF(AND((OFFSET('DATA INPUT'!$C$51, ROW()-ROW($AD$63),0)=$AD$10),
(OFFSET('DATA INPUT'!$V$51,ROW()-ROW($AD$63),0)=3)),
OFFSET('Calc - OTHER PERS'!$Q$11,COLUMN()-COLUMN($AD$63) + (ROW()-ROW($AD$63))*14,0),0)</f>
        <v>0</v>
      </c>
      <c r="AG77" s="5">
        <f ca="1">IF(AND((OFFSET('DATA INPUT'!$C$51, ROW()-ROW($AD$63),0)=$AD$10),
(OFFSET('DATA INPUT'!$V$51,ROW()-ROW($AD$63),0)=3)),
OFFSET('Calc - OTHER PERS'!$Q$11,COLUMN()-COLUMN($AD$63) + (ROW()-ROW($AD$63))*14,0),0)</f>
        <v>0</v>
      </c>
      <c r="AH77" s="21">
        <f ca="1">IF(AND((OFFSET('DATA INPUT'!$C$51, ROW()-ROW($AD$63),0)=$AD$10),
(OFFSET('DATA INPUT'!$V$51,ROW()-ROW($AD$63),0)=3)),
OFFSET('Calc - OTHER PERS'!$Q$11,COLUMN()-COLUMN($AD$63) + (ROW()-ROW($AD$63))*14,0),0)</f>
        <v>0</v>
      </c>
      <c r="AI77" s="21">
        <f ca="1">IF(AND((OFFSET('DATA INPUT'!$C$51, ROW()-ROW($AD$63),0)=$AD$10),
(OFFSET('DATA INPUT'!$V$51,ROW()-ROW($AD$63),0)=3)),
OFFSET('Calc - OTHER PERS'!$Q$11,COLUMN()-COLUMN($AD$63) + (ROW()-ROW($AD$63))*14,0),0)</f>
        <v>0</v>
      </c>
      <c r="AJ77" s="206">
        <f t="shared" ca="1" si="111"/>
        <v>0</v>
      </c>
      <c r="AL77" s="133">
        <f ca="1">IF(AND((OFFSET('DATA INPUT'!$C$51, ROW()-ROW($AL$63),0)=$AL$10),
(OFFSET('DATA INPUT'!$V$51,ROW()-ROW($AL$63),0)=3)),
OFFSET('Calc - OTHER PERS'!$Q$11,COLUMN()-COLUMN($AL$63) + (ROW()-ROW($AL$63))*14,0),0)</f>
        <v>0</v>
      </c>
      <c r="AM77" s="5">
        <f ca="1">IF(AND((OFFSET('DATA INPUT'!$C$51, ROW()-ROW($AL$63),0)=$AL$10),
(OFFSET('DATA INPUT'!$V$51,ROW()-ROW($AL$63),0)=3)),
OFFSET('Calc - OTHER PERS'!$Q$11,COLUMN()-COLUMN($AL$63) + (ROW()-ROW($AL$63))*14,0),0)</f>
        <v>0</v>
      </c>
      <c r="AN77" s="5">
        <f ca="1">IF(AND((OFFSET('DATA INPUT'!$C$51, ROW()-ROW($AL$63),0)=$AL$10),
(OFFSET('DATA INPUT'!$V$51,ROW()-ROW($AL$63),0)=3)),
OFFSET('Calc - OTHER PERS'!$Q$11,COLUMN()-COLUMN($AL$63) + (ROW()-ROW($AL$63))*14,0),0)</f>
        <v>0</v>
      </c>
      <c r="AO77" s="5">
        <f ca="1">IF(AND((OFFSET('DATA INPUT'!$C$51, ROW()-ROW($AL$63),0)=$AL$10),
(OFFSET('DATA INPUT'!$V$51,ROW()-ROW($AL$63),0)=3)),
OFFSET('Calc - OTHER PERS'!$Q$11,COLUMN()-COLUMN($AL$63) + (ROW()-ROW($AL$63))*14,0),0)</f>
        <v>0</v>
      </c>
      <c r="AP77" s="21">
        <f ca="1">IF(AND((OFFSET('DATA INPUT'!$C$51, ROW()-ROW($AL$63),0)=$AL$10),
(OFFSET('DATA INPUT'!$V$51,ROW()-ROW($AL$63),0)=3)),
OFFSET('Calc - OTHER PERS'!$Q$11,COLUMN()-COLUMN($AL$63) + (ROW()-ROW($AL$63))*14,0),0)</f>
        <v>0</v>
      </c>
      <c r="AQ77" s="21">
        <f ca="1">IF(AND((OFFSET('DATA INPUT'!$C$51, ROW()-ROW($AL$63),0)=$AL$10),
(OFFSET('DATA INPUT'!$V$51,ROW()-ROW($AL$63),0)=3)),
OFFSET('Calc - OTHER PERS'!$Q$11,COLUMN()-COLUMN($AL$63) + (ROW()-ROW($AL$63))*14,0),0)</f>
        <v>0</v>
      </c>
      <c r="AR77" s="178">
        <f t="shared" ca="1" si="112"/>
        <v>0</v>
      </c>
      <c r="AT77" s="133">
        <f ca="1">IF(AND((OFFSET('DATA INPUT'!$C$51, ROW()-ROW($AT$63),0)=$AT$10),
(OFFSET('DATA INPUT'!$V$51,ROW()-ROW($AT$63),0)=3)),
OFFSET('Calc - OTHER PERS'!$Q$11,COLUMN()-COLUMN($AT$63) + (ROW()-ROW($AT$63))*14,0),0)</f>
        <v>0</v>
      </c>
      <c r="AU77" s="5">
        <f ca="1">IF(AND((OFFSET('DATA INPUT'!$C$51, ROW()-ROW($AT$63),0)=$AT$10),
(OFFSET('DATA INPUT'!$V$51,ROW()-ROW($AT$63),0)=3)),
OFFSET('Calc - OTHER PERS'!$Q$11,COLUMN()-COLUMN($AT$63) + (ROW()-ROW($AT$63))*14,0),0)</f>
        <v>0</v>
      </c>
      <c r="AV77" s="5">
        <f ca="1">IF(AND((OFFSET('DATA INPUT'!$C$51, ROW()-ROW($AT$63),0)=$AT$10),
(OFFSET('DATA INPUT'!$V$51,ROW()-ROW($AT$63),0)=3)),
OFFSET('Calc - OTHER PERS'!$Q$11,COLUMN()-COLUMN($AT$63) + (ROW()-ROW($AT$63))*14,0),0)</f>
        <v>0</v>
      </c>
      <c r="AW77" s="5">
        <f ca="1">IF(AND((OFFSET('DATA INPUT'!$C$51, ROW()-ROW($AT$63),0)=$AT$10),
(OFFSET('DATA INPUT'!$V$51,ROW()-ROW($AT$63),0)=3)),
OFFSET('Calc - OTHER PERS'!$Q$11,COLUMN()-COLUMN($AT$63) + (ROW()-ROW($AT$63))*14,0),0)</f>
        <v>0</v>
      </c>
      <c r="AX77" s="21">
        <f ca="1">IF(AND((OFFSET('DATA INPUT'!$C$51, ROW()-ROW($AT$63),0)=$AT$10),
(OFFSET('DATA INPUT'!$V$51,ROW()-ROW($AT$63),0)=3)),
OFFSET('Calc - OTHER PERS'!$Q$11,COLUMN()-COLUMN($AT$63) + (ROW()-ROW($AT$63))*14,0),0)</f>
        <v>0</v>
      </c>
      <c r="AY77" s="21">
        <f ca="1">IF(AND((OFFSET('DATA INPUT'!$C$51, ROW()-ROW($AT$63),0)=$AT$10),
(OFFSET('DATA INPUT'!$V$51,ROW()-ROW($AT$63),0)=3)),
OFFSET('Calc - OTHER PERS'!$Q$11,COLUMN()-COLUMN($AT$63) + (ROW()-ROW($AT$63))*14,0),0)</f>
        <v>0</v>
      </c>
      <c r="AZ77" s="150">
        <f t="shared" ca="1" si="113"/>
        <v>0</v>
      </c>
      <c r="BB77" s="2151">
        <f ca="1">IF(AND((OFFSET('DATA INPUT'!$C$51, ROW()-ROW($BB$63),0)=$BB$10),
(OFFSET('DATA INPUT'!$V$51,ROW()-ROW($BB$63),0)=3)),
OFFSET('Calc - OTHER PERS'!$Q$11,COLUMN()-COLUMN($BB$63) + (ROW()-ROW($BB$63))*14,0),0)</f>
        <v>0</v>
      </c>
      <c r="BC77" s="321">
        <f ca="1">IF(AND((OFFSET('DATA INPUT'!$C$51, ROW()-ROW($BB$63),0)=$BB$10),
(OFFSET('DATA INPUT'!$V$51,ROW()-ROW($BB$63),0)=3)),
OFFSET('Calc - OTHER PERS'!$Q$11,COLUMN()-COLUMN($BB$63) + (ROW()-ROW($BB$63))*14,0),0)</f>
        <v>0</v>
      </c>
      <c r="BD77" s="321">
        <f ca="1">IF(AND((OFFSET('DATA INPUT'!$C$51, ROW()-ROW($BB$63),0)=$BB$10),
(OFFSET('DATA INPUT'!$V$51,ROW()-ROW($BB$63),0)=3)),
OFFSET('Calc - OTHER PERS'!$Q$11,COLUMN()-COLUMN($BB$63) + (ROW()-ROW($BB$63))*14,0),0)</f>
        <v>0</v>
      </c>
      <c r="BE77" s="321">
        <f ca="1">IF(AND((OFFSET('DATA INPUT'!$C$51, ROW()-ROW($BB$63),0)=$BB$10),
(OFFSET('DATA INPUT'!$V$51,ROW()-ROW($BB$63),0)=3)),
OFFSET('Calc - OTHER PERS'!$Q$11,COLUMN()-COLUMN($BB$63) + (ROW()-ROW($BB$63))*14,0),0)</f>
        <v>0</v>
      </c>
      <c r="BF77" s="410">
        <f ca="1">IF(AND((OFFSET('DATA INPUT'!$C$51, ROW()-ROW($BB$63),0)=$BB$10),
(OFFSET('DATA INPUT'!$V$51,ROW()-ROW($BB$63),0)=3)),
OFFSET('Calc - OTHER PERS'!$Q$11,COLUMN()-COLUMN($BB$63) + (ROW()-ROW($BB$63))*14,0),0)</f>
        <v>0</v>
      </c>
      <c r="BG77" s="410">
        <f ca="1">IF(AND((OFFSET('DATA INPUT'!$C$51, ROW()-ROW($BB$63),0)=$BB$10),
(OFFSET('DATA INPUT'!$V$51,ROW()-ROW($BB$63),0)=3)),
OFFSET('Calc - OTHER PERS'!$Q$11,COLUMN()-COLUMN($BB$63) + (ROW()-ROW($BB$63))*14,0),0)</f>
        <v>0</v>
      </c>
      <c r="BH77" s="382">
        <f t="shared" ca="1" si="114"/>
        <v>0</v>
      </c>
      <c r="BJ77" s="21"/>
      <c r="BK77" s="5"/>
      <c r="BL77" s="5"/>
      <c r="BM77" s="5"/>
      <c r="BN77" s="21"/>
      <c r="BO77" s="21"/>
      <c r="BP77" s="1105">
        <f t="shared" si="115"/>
        <v>0</v>
      </c>
      <c r="BR77" s="575">
        <f t="shared" ca="1" si="116"/>
        <v>0</v>
      </c>
      <c r="BS77" s="5">
        <f t="shared" ca="1" si="117"/>
        <v>0</v>
      </c>
      <c r="BT77" s="5">
        <f t="shared" ca="1" si="118"/>
        <v>0</v>
      </c>
      <c r="BU77" s="5">
        <f t="shared" ca="1" si="119"/>
        <v>0</v>
      </c>
      <c r="BV77" s="5">
        <f t="shared" ca="1" si="120"/>
        <v>0</v>
      </c>
      <c r="BW77" s="5">
        <f t="shared" ca="1" si="121"/>
        <v>0</v>
      </c>
      <c r="BX77" s="2175">
        <f t="shared" ca="1" si="122"/>
        <v>0</v>
      </c>
      <c r="BY77" s="573">
        <f t="shared" ca="1" si="123"/>
        <v>0</v>
      </c>
      <c r="BZ77" s="257"/>
      <c r="CB77" s="2360">
        <f t="shared" ca="1" si="203"/>
        <v>0</v>
      </c>
      <c r="CC77" s="387">
        <f t="shared" ca="1" si="204"/>
        <v>0</v>
      </c>
      <c r="CD77" s="56">
        <f t="shared" ca="1" si="204"/>
        <v>0</v>
      </c>
      <c r="CE77" s="56">
        <f t="shared" ca="1" si="205"/>
        <v>0</v>
      </c>
      <c r="CF77" s="56">
        <f t="shared" ca="1" si="206"/>
        <v>0</v>
      </c>
      <c r="CG77" s="1183">
        <f t="shared" ca="1" si="207"/>
        <v>0</v>
      </c>
      <c r="CH77" s="1184">
        <f t="shared" ca="1" si="208"/>
        <v>0</v>
      </c>
      <c r="CI77" s="1193">
        <f t="shared" ca="1" si="208"/>
        <v>0</v>
      </c>
      <c r="CJ77" s="1193">
        <f t="shared" ca="1" si="209"/>
        <v>0</v>
      </c>
      <c r="CK77" s="1193">
        <f t="shared" ca="1" si="210"/>
        <v>0</v>
      </c>
      <c r="CL77" s="1235">
        <f t="shared" ca="1" si="211"/>
        <v>0</v>
      </c>
      <c r="CM77" s="1195">
        <f t="shared" ca="1" si="212"/>
        <v>0</v>
      </c>
      <c r="CN77" s="1188">
        <f t="shared" ca="1" si="212"/>
        <v>0</v>
      </c>
      <c r="CO77" s="1189">
        <f t="shared" ca="1" si="213"/>
        <v>0</v>
      </c>
      <c r="CP77" s="1234">
        <f t="shared" ca="1" si="124"/>
        <v>0</v>
      </c>
      <c r="CS77" s="575"/>
      <c r="CT77" s="5"/>
      <c r="CU77" s="1180"/>
      <c r="CV77" s="575"/>
      <c r="CW77" s="5"/>
      <c r="CX77" s="1180"/>
      <c r="CY77" s="575"/>
      <c r="CZ77" s="5"/>
      <c r="DA77" s="1180"/>
      <c r="DB77" s="575"/>
      <c r="DC77" s="5"/>
      <c r="DD77" s="1180"/>
      <c r="DE77" s="1181">
        <f t="shared" si="214"/>
        <v>0</v>
      </c>
      <c r="DG77" s="575"/>
      <c r="DH77" s="5"/>
      <c r="DI77" s="1180"/>
      <c r="DJ77" s="575"/>
      <c r="DK77" s="5"/>
      <c r="DL77" s="1180"/>
      <c r="DM77" s="575"/>
      <c r="DN77" s="5"/>
      <c r="DO77" s="1180"/>
      <c r="DP77" s="575"/>
      <c r="DQ77" s="5"/>
      <c r="DR77" s="1180"/>
      <c r="DS77" s="1181">
        <f t="shared" si="215"/>
        <v>0</v>
      </c>
      <c r="DU77" s="575"/>
      <c r="DV77" s="5"/>
      <c r="DW77" s="1180"/>
      <c r="DX77" s="575"/>
      <c r="DY77" s="5"/>
      <c r="DZ77" s="1180"/>
      <c r="EA77" s="575"/>
      <c r="EB77" s="5"/>
      <c r="EC77" s="1180"/>
      <c r="ED77" s="575"/>
      <c r="EE77" s="5"/>
      <c r="EF77" s="1180"/>
      <c r="EG77" s="1181">
        <f t="shared" si="216"/>
        <v>0</v>
      </c>
      <c r="EI77" s="22"/>
      <c r="EJ77" s="3211"/>
      <c r="EK77" s="422" t="str">
        <f t="shared" si="217"/>
        <v xml:space="preserve"> - </v>
      </c>
      <c r="EL77" s="409">
        <f t="shared" ca="1" si="218"/>
        <v>0</v>
      </c>
      <c r="EM77" s="409">
        <f t="shared" ca="1" si="219"/>
        <v>0</v>
      </c>
      <c r="EN77" s="409">
        <f t="shared" ca="1" si="220"/>
        <v>0</v>
      </c>
      <c r="EO77" s="409">
        <f t="shared" ca="1" si="221"/>
        <v>0</v>
      </c>
      <c r="EP77" s="409">
        <f t="shared" ca="1" si="222"/>
        <v>0</v>
      </c>
      <c r="EQ77" s="409">
        <f t="shared" ca="1" si="223"/>
        <v>0</v>
      </c>
      <c r="ER77" s="322">
        <f t="shared" ca="1" si="224"/>
        <v>0</v>
      </c>
      <c r="ES77" s="45"/>
      <c r="ET77" s="4"/>
      <c r="EU77" s="45"/>
      <c r="EV77" s="133">
        <f t="shared" ca="1" si="225"/>
        <v>0</v>
      </c>
      <c r="EW77" s="5">
        <f t="shared" ca="1" si="226"/>
        <v>0</v>
      </c>
      <c r="EX77" s="5">
        <f t="shared" ca="1" si="227"/>
        <v>0</v>
      </c>
      <c r="EY77" s="5">
        <f t="shared" ca="1" si="228"/>
        <v>0</v>
      </c>
      <c r="EZ77" s="21">
        <f t="shared" ca="1" si="229"/>
        <v>0</v>
      </c>
      <c r="FA77" s="21">
        <f t="shared" ca="1" si="230"/>
        <v>0</v>
      </c>
      <c r="FB77" s="164">
        <f t="shared" ca="1" si="143"/>
        <v>0</v>
      </c>
      <c r="FC77" s="1"/>
      <c r="FD77" s="133">
        <f t="shared" ca="1" si="231"/>
        <v>0</v>
      </c>
      <c r="FE77" s="5">
        <f t="shared" ca="1" si="232"/>
        <v>0</v>
      </c>
      <c r="FF77" s="5">
        <f t="shared" ca="1" si="233"/>
        <v>0</v>
      </c>
      <c r="FG77" s="5">
        <f t="shared" ca="1" si="234"/>
        <v>0</v>
      </c>
      <c r="FH77" s="21">
        <f t="shared" ca="1" si="235"/>
        <v>0</v>
      </c>
      <c r="FI77" s="21">
        <f t="shared" ca="1" si="236"/>
        <v>0</v>
      </c>
      <c r="FJ77" s="138">
        <f t="shared" ca="1" si="150"/>
        <v>0</v>
      </c>
      <c r="FL77" s="133">
        <f t="shared" ca="1" si="237"/>
        <v>0</v>
      </c>
      <c r="FM77" s="5">
        <f t="shared" ca="1" si="238"/>
        <v>0</v>
      </c>
      <c r="FN77" s="5">
        <f t="shared" ca="1" si="239"/>
        <v>0</v>
      </c>
      <c r="FO77" s="5">
        <f t="shared" ca="1" si="240"/>
        <v>0</v>
      </c>
      <c r="FP77" s="21">
        <f t="shared" ca="1" si="241"/>
        <v>0</v>
      </c>
      <c r="FQ77" s="21">
        <f t="shared" ca="1" si="242"/>
        <v>0</v>
      </c>
      <c r="FR77" s="206">
        <f t="shared" ca="1" si="157"/>
        <v>0</v>
      </c>
      <c r="FT77" s="133">
        <f t="shared" ca="1" si="243"/>
        <v>0</v>
      </c>
      <c r="FU77" s="5">
        <f t="shared" ca="1" si="244"/>
        <v>0</v>
      </c>
      <c r="FV77" s="5">
        <f t="shared" ca="1" si="245"/>
        <v>0</v>
      </c>
      <c r="FW77" s="5">
        <f t="shared" ca="1" si="246"/>
        <v>0</v>
      </c>
      <c r="FX77" s="21">
        <f t="shared" ca="1" si="247"/>
        <v>0</v>
      </c>
      <c r="FY77" s="21">
        <f t="shared" ca="1" si="248"/>
        <v>0</v>
      </c>
      <c r="FZ77" s="178">
        <f t="shared" ca="1" si="164"/>
        <v>0</v>
      </c>
      <c r="GB77" s="133">
        <f t="shared" ca="1" si="249"/>
        <v>0</v>
      </c>
      <c r="GC77" s="5">
        <f t="shared" ca="1" si="250"/>
        <v>0</v>
      </c>
      <c r="GD77" s="5">
        <f t="shared" ca="1" si="251"/>
        <v>0</v>
      </c>
      <c r="GE77" s="5">
        <f t="shared" ca="1" si="252"/>
        <v>0</v>
      </c>
      <c r="GF77" s="21">
        <f t="shared" ca="1" si="253"/>
        <v>0</v>
      </c>
      <c r="GG77" s="21">
        <f t="shared" ca="1" si="254"/>
        <v>0</v>
      </c>
      <c r="GH77" s="150">
        <f t="shared" ca="1" si="171"/>
        <v>0</v>
      </c>
      <c r="GJ77" s="2151">
        <f t="shared" ca="1" si="255"/>
        <v>0</v>
      </c>
      <c r="GK77" s="321">
        <f t="shared" ca="1" si="256"/>
        <v>0</v>
      </c>
      <c r="GL77" s="321">
        <f t="shared" ca="1" si="257"/>
        <v>0</v>
      </c>
      <c r="GM77" s="321">
        <f t="shared" ca="1" si="258"/>
        <v>0</v>
      </c>
      <c r="GN77" s="410">
        <f t="shared" ca="1" si="259"/>
        <v>0</v>
      </c>
      <c r="GO77" s="410">
        <f t="shared" ca="1" si="260"/>
        <v>0</v>
      </c>
      <c r="GP77" s="382">
        <f t="shared" ca="1" si="172"/>
        <v>0</v>
      </c>
      <c r="GR77" s="21"/>
      <c r="GS77" s="5"/>
      <c r="GT77" s="5"/>
      <c r="GU77" s="5"/>
      <c r="GV77" s="21"/>
      <c r="GW77" s="21"/>
      <c r="GX77" s="1105">
        <f t="shared" si="173"/>
        <v>0</v>
      </c>
      <c r="GZ77" s="575">
        <f t="shared" ca="1" si="174"/>
        <v>0</v>
      </c>
      <c r="HA77" s="5">
        <f t="shared" ca="1" si="175"/>
        <v>0</v>
      </c>
      <c r="HB77" s="5">
        <f t="shared" ca="1" si="176"/>
        <v>0</v>
      </c>
      <c r="HC77" s="5">
        <f t="shared" ca="1" si="177"/>
        <v>0</v>
      </c>
      <c r="HD77" s="5">
        <f t="shared" ca="1" si="178"/>
        <v>0</v>
      </c>
      <c r="HE77" s="5">
        <f t="shared" ca="1" si="179"/>
        <v>0</v>
      </c>
      <c r="HF77" s="2175">
        <f t="shared" ca="1" si="180"/>
        <v>0</v>
      </c>
      <c r="HG77" s="573">
        <f t="shared" ca="1" si="181"/>
        <v>0</v>
      </c>
      <c r="HH77" s="257"/>
    </row>
    <row r="78" spans="1:216" ht="15" hidden="1" customHeight="1" thickBot="1" x14ac:dyDescent="0.3">
      <c r="A78" s="22"/>
      <c r="B78" s="3212" t="s">
        <v>241</v>
      </c>
      <c r="C78" s="3224"/>
      <c r="D78" s="96">
        <f t="shared" ref="D78:J78" ca="1" si="261">SUM(D63:D77)</f>
        <v>16250</v>
      </c>
      <c r="E78" s="96">
        <f t="shared" ca="1" si="261"/>
        <v>0</v>
      </c>
      <c r="F78" s="96">
        <f t="shared" ca="1" si="261"/>
        <v>0</v>
      </c>
      <c r="G78" s="96">
        <f t="shared" ca="1" si="261"/>
        <v>0</v>
      </c>
      <c r="H78" s="96">
        <f t="shared" ca="1" si="261"/>
        <v>0</v>
      </c>
      <c r="I78" s="96">
        <f t="shared" ca="1" si="261"/>
        <v>0</v>
      </c>
      <c r="J78" s="96">
        <f t="shared" ca="1" si="261"/>
        <v>16250</v>
      </c>
      <c r="K78" s="2386"/>
      <c r="L78" s="4"/>
      <c r="M78" s="45"/>
      <c r="N78" s="2251">
        <f t="shared" ref="N78:T78" ca="1" si="262">SUM(N63:N77)</f>
        <v>0</v>
      </c>
      <c r="O78" s="2252">
        <f t="shared" ca="1" si="262"/>
        <v>0</v>
      </c>
      <c r="P78" s="2252">
        <f t="shared" ca="1" si="262"/>
        <v>0</v>
      </c>
      <c r="Q78" s="2252">
        <f t="shared" ca="1" si="262"/>
        <v>0</v>
      </c>
      <c r="R78" s="2253">
        <f t="shared" ca="1" si="262"/>
        <v>0</v>
      </c>
      <c r="S78" s="2253">
        <f t="shared" ca="1" si="262"/>
        <v>0</v>
      </c>
      <c r="T78" s="165">
        <f t="shared" ca="1" si="262"/>
        <v>0</v>
      </c>
      <c r="U78" s="1"/>
      <c r="V78" s="2255">
        <f t="shared" ref="V78:AB78" ca="1" si="263">SUM(V63:V77)</f>
        <v>0</v>
      </c>
      <c r="W78" s="2256">
        <f t="shared" ca="1" si="263"/>
        <v>0</v>
      </c>
      <c r="X78" s="2256">
        <f t="shared" ca="1" si="263"/>
        <v>0</v>
      </c>
      <c r="Y78" s="2256">
        <f t="shared" ca="1" si="263"/>
        <v>0</v>
      </c>
      <c r="Z78" s="2257">
        <f t="shared" ca="1" si="263"/>
        <v>0</v>
      </c>
      <c r="AA78" s="2257">
        <f t="shared" ca="1" si="263"/>
        <v>0</v>
      </c>
      <c r="AB78" s="139">
        <f t="shared" ca="1" si="263"/>
        <v>0</v>
      </c>
      <c r="AD78" s="2248">
        <f t="shared" ref="AD78:AJ78" ca="1" si="264">SUM(AD63:AD77)</f>
        <v>0</v>
      </c>
      <c r="AE78" s="2249">
        <f t="shared" ca="1" si="264"/>
        <v>0</v>
      </c>
      <c r="AF78" s="2249">
        <f t="shared" ca="1" si="264"/>
        <v>0</v>
      </c>
      <c r="AG78" s="2249">
        <f t="shared" ca="1" si="264"/>
        <v>0</v>
      </c>
      <c r="AH78" s="2250">
        <f t="shared" ca="1" si="264"/>
        <v>0</v>
      </c>
      <c r="AI78" s="2250">
        <f t="shared" ca="1" si="264"/>
        <v>0</v>
      </c>
      <c r="AJ78" s="207">
        <f t="shared" ca="1" si="264"/>
        <v>0</v>
      </c>
      <c r="AL78" s="2244">
        <f t="shared" ref="AL78:AR78" ca="1" si="265">SUM(AL63:AL77)</f>
        <v>0</v>
      </c>
      <c r="AM78" s="2245">
        <f t="shared" ca="1" si="265"/>
        <v>0</v>
      </c>
      <c r="AN78" s="2245">
        <f t="shared" ca="1" si="265"/>
        <v>0</v>
      </c>
      <c r="AO78" s="2245">
        <f t="shared" ca="1" si="265"/>
        <v>0</v>
      </c>
      <c r="AP78" s="2246">
        <f t="shared" ca="1" si="265"/>
        <v>0</v>
      </c>
      <c r="AQ78" s="2246">
        <f t="shared" ca="1" si="265"/>
        <v>0</v>
      </c>
      <c r="AR78" s="2247">
        <f t="shared" ca="1" si="265"/>
        <v>0</v>
      </c>
      <c r="AT78" s="2241">
        <f t="shared" ref="AT78:AZ78" ca="1" si="266">SUM(AT63:AT77)</f>
        <v>0</v>
      </c>
      <c r="AU78" s="2242">
        <f t="shared" ca="1" si="266"/>
        <v>0</v>
      </c>
      <c r="AV78" s="2242">
        <f t="shared" ca="1" si="266"/>
        <v>0</v>
      </c>
      <c r="AW78" s="2242">
        <f t="shared" ca="1" si="266"/>
        <v>0</v>
      </c>
      <c r="AX78" s="2243">
        <f t="shared" ca="1" si="266"/>
        <v>0</v>
      </c>
      <c r="AY78" s="2243">
        <f t="shared" ca="1" si="266"/>
        <v>0</v>
      </c>
      <c r="AZ78" s="151">
        <f t="shared" ca="1" si="266"/>
        <v>0</v>
      </c>
      <c r="BB78" s="2238">
        <f t="shared" ref="BB78:BH78" ca="1" si="267">SUM(BB63:BB77)</f>
        <v>0</v>
      </c>
      <c r="BC78" s="2239">
        <f t="shared" ca="1" si="267"/>
        <v>0</v>
      </c>
      <c r="BD78" s="2239">
        <f t="shared" ca="1" si="267"/>
        <v>0</v>
      </c>
      <c r="BE78" s="2239">
        <f t="shared" ca="1" si="267"/>
        <v>0</v>
      </c>
      <c r="BF78" s="2240">
        <f t="shared" ca="1" si="267"/>
        <v>0</v>
      </c>
      <c r="BG78" s="2240">
        <f t="shared" ca="1" si="267"/>
        <v>0</v>
      </c>
      <c r="BH78" s="193">
        <f t="shared" ca="1" si="267"/>
        <v>0</v>
      </c>
      <c r="BJ78" s="2264">
        <f t="shared" ref="BJ78:BO78" si="268">SUM(BJ63:BJ77)</f>
        <v>0</v>
      </c>
      <c r="BK78" s="2265">
        <f t="shared" si="268"/>
        <v>0</v>
      </c>
      <c r="BL78" s="2265">
        <f t="shared" si="268"/>
        <v>0</v>
      </c>
      <c r="BM78" s="2265">
        <f t="shared" si="268"/>
        <v>0</v>
      </c>
      <c r="BN78" s="2264">
        <f t="shared" si="268"/>
        <v>0</v>
      </c>
      <c r="BO78" s="2264">
        <f t="shared" si="268"/>
        <v>0</v>
      </c>
      <c r="BP78" s="1105">
        <f t="shared" si="115"/>
        <v>0</v>
      </c>
      <c r="BR78" s="1215">
        <f t="shared" ref="BR78:BW78" ca="1" si="269">SUM(BR63:BR77)</f>
        <v>0</v>
      </c>
      <c r="BS78" s="1216">
        <f t="shared" ca="1" si="269"/>
        <v>0</v>
      </c>
      <c r="BT78" s="1216">
        <f t="shared" ca="1" si="269"/>
        <v>0</v>
      </c>
      <c r="BU78" s="1216">
        <f t="shared" ca="1" si="269"/>
        <v>0</v>
      </c>
      <c r="BV78" s="1216">
        <f t="shared" ca="1" si="269"/>
        <v>0</v>
      </c>
      <c r="BW78" s="1216">
        <f t="shared" ca="1" si="269"/>
        <v>0</v>
      </c>
      <c r="BX78" s="2176">
        <f t="shared" ca="1" si="122"/>
        <v>0</v>
      </c>
      <c r="BY78" s="275">
        <f ca="1">SUM(J78,BX78)</f>
        <v>16250</v>
      </c>
      <c r="BZ78" s="257"/>
      <c r="CB78" s="1211">
        <f t="shared" ref="CB78:CO78" ca="1" si="270">SUM(CB63:CB77)</f>
        <v>16250</v>
      </c>
      <c r="CC78" s="95">
        <f t="shared" ca="1" si="270"/>
        <v>0</v>
      </c>
      <c r="CD78" s="96">
        <f t="shared" ca="1" si="270"/>
        <v>0</v>
      </c>
      <c r="CE78" s="96">
        <f t="shared" ca="1" si="270"/>
        <v>0</v>
      </c>
      <c r="CF78" s="96">
        <f t="shared" ca="1" si="270"/>
        <v>0</v>
      </c>
      <c r="CG78" s="97">
        <f t="shared" ca="1" si="270"/>
        <v>0</v>
      </c>
      <c r="CH78" s="95">
        <f t="shared" ca="1" si="270"/>
        <v>0</v>
      </c>
      <c r="CI78" s="96">
        <f t="shared" ca="1" si="270"/>
        <v>0</v>
      </c>
      <c r="CJ78" s="96">
        <f t="shared" ca="1" si="270"/>
        <v>0</v>
      </c>
      <c r="CK78" s="96">
        <f t="shared" ca="1" si="270"/>
        <v>0</v>
      </c>
      <c r="CL78" s="1212">
        <f t="shared" ca="1" si="270"/>
        <v>0</v>
      </c>
      <c r="CM78" s="95">
        <f t="shared" ca="1" si="270"/>
        <v>0</v>
      </c>
      <c r="CN78" s="96">
        <f t="shared" ca="1" si="270"/>
        <v>0</v>
      </c>
      <c r="CO78" s="97">
        <f t="shared" ca="1" si="270"/>
        <v>0</v>
      </c>
      <c r="CP78" s="1210">
        <f t="shared" ca="1" si="124"/>
        <v>16250</v>
      </c>
      <c r="CS78" s="575"/>
      <c r="CT78" s="5"/>
      <c r="CU78" s="1180"/>
      <c r="CV78" s="575"/>
      <c r="CW78" s="5"/>
      <c r="CX78" s="1180"/>
      <c r="CY78" s="575"/>
      <c r="CZ78" s="5"/>
      <c r="DA78" s="1180"/>
      <c r="DB78" s="575"/>
      <c r="DC78" s="5"/>
      <c r="DD78" s="1180"/>
      <c r="DE78" s="1181"/>
      <c r="DG78" s="575"/>
      <c r="DH78" s="5"/>
      <c r="DI78" s="1180"/>
      <c r="DJ78" s="575"/>
      <c r="DK78" s="5"/>
      <c r="DL78" s="1180"/>
      <c r="DM78" s="575"/>
      <c r="DN78" s="5"/>
      <c r="DO78" s="1180"/>
      <c r="DP78" s="575"/>
      <c r="DQ78" s="5"/>
      <c r="DR78" s="1180"/>
      <c r="DS78" s="1181"/>
      <c r="DU78" s="575"/>
      <c r="DV78" s="5"/>
      <c r="DW78" s="1180"/>
      <c r="DX78" s="575"/>
      <c r="DY78" s="5"/>
      <c r="DZ78" s="1180"/>
      <c r="EA78" s="575"/>
      <c r="EB78" s="5"/>
      <c r="EC78" s="1180"/>
      <c r="ED78" s="575"/>
      <c r="EE78" s="5"/>
      <c r="EF78" s="1180"/>
      <c r="EG78" s="1181"/>
      <c r="EI78" s="22"/>
      <c r="EJ78" s="3212" t="s">
        <v>241</v>
      </c>
      <c r="EK78" s="3224"/>
      <c r="EL78" s="96">
        <f t="shared" ref="EL78:ER78" ca="1" si="271">SUM(EL63:EL77)</f>
        <v>16250</v>
      </c>
      <c r="EM78" s="96">
        <f t="shared" ca="1" si="271"/>
        <v>0</v>
      </c>
      <c r="EN78" s="96">
        <f t="shared" ca="1" si="271"/>
        <v>0</v>
      </c>
      <c r="EO78" s="96">
        <f t="shared" ca="1" si="271"/>
        <v>0</v>
      </c>
      <c r="EP78" s="96">
        <f t="shared" ca="1" si="271"/>
        <v>0</v>
      </c>
      <c r="EQ78" s="96">
        <f t="shared" ca="1" si="271"/>
        <v>0</v>
      </c>
      <c r="ER78" s="96">
        <f t="shared" ca="1" si="271"/>
        <v>16250</v>
      </c>
      <c r="ES78" s="2386"/>
      <c r="ET78" s="4"/>
      <c r="EU78" s="45"/>
      <c r="EV78" s="2251">
        <f t="shared" ref="EV78:FB78" ca="1" si="272">SUM(EV63:EV77)</f>
        <v>0</v>
      </c>
      <c r="EW78" s="2252">
        <f t="shared" ca="1" si="272"/>
        <v>0</v>
      </c>
      <c r="EX78" s="2252">
        <f t="shared" ca="1" si="272"/>
        <v>0</v>
      </c>
      <c r="EY78" s="2252">
        <f t="shared" ca="1" si="272"/>
        <v>0</v>
      </c>
      <c r="EZ78" s="2253">
        <f t="shared" ca="1" si="272"/>
        <v>0</v>
      </c>
      <c r="FA78" s="2253">
        <f t="shared" ca="1" si="272"/>
        <v>0</v>
      </c>
      <c r="FB78" s="165">
        <f t="shared" ca="1" si="272"/>
        <v>0</v>
      </c>
      <c r="FC78" s="1"/>
      <c r="FD78" s="2255">
        <f t="shared" ref="FD78:FJ78" ca="1" si="273">SUM(FD63:FD77)</f>
        <v>0</v>
      </c>
      <c r="FE78" s="2256">
        <f t="shared" ca="1" si="273"/>
        <v>0</v>
      </c>
      <c r="FF78" s="2256">
        <f t="shared" ca="1" si="273"/>
        <v>0</v>
      </c>
      <c r="FG78" s="2256">
        <f t="shared" ca="1" si="273"/>
        <v>0</v>
      </c>
      <c r="FH78" s="2257">
        <f t="shared" ca="1" si="273"/>
        <v>0</v>
      </c>
      <c r="FI78" s="2257">
        <f t="shared" ca="1" si="273"/>
        <v>0</v>
      </c>
      <c r="FJ78" s="139">
        <f t="shared" ca="1" si="273"/>
        <v>0</v>
      </c>
      <c r="FL78" s="2248">
        <f t="shared" ref="FL78:FR78" ca="1" si="274">SUM(FL63:FL77)</f>
        <v>0</v>
      </c>
      <c r="FM78" s="2249">
        <f t="shared" ca="1" si="274"/>
        <v>0</v>
      </c>
      <c r="FN78" s="2249">
        <f t="shared" ca="1" si="274"/>
        <v>0</v>
      </c>
      <c r="FO78" s="2249">
        <f t="shared" ca="1" si="274"/>
        <v>0</v>
      </c>
      <c r="FP78" s="2250">
        <f t="shared" ca="1" si="274"/>
        <v>0</v>
      </c>
      <c r="FQ78" s="2250">
        <f t="shared" ca="1" si="274"/>
        <v>0</v>
      </c>
      <c r="FR78" s="207">
        <f t="shared" ca="1" si="274"/>
        <v>0</v>
      </c>
      <c r="FT78" s="2244">
        <f t="shared" ref="FT78:FZ78" ca="1" si="275">SUM(FT63:FT77)</f>
        <v>0</v>
      </c>
      <c r="FU78" s="2245">
        <f t="shared" ca="1" si="275"/>
        <v>0</v>
      </c>
      <c r="FV78" s="2245">
        <f t="shared" ca="1" si="275"/>
        <v>0</v>
      </c>
      <c r="FW78" s="2245">
        <f t="shared" ca="1" si="275"/>
        <v>0</v>
      </c>
      <c r="FX78" s="2246">
        <f t="shared" ca="1" si="275"/>
        <v>0</v>
      </c>
      <c r="FY78" s="2246">
        <f t="shared" ca="1" si="275"/>
        <v>0</v>
      </c>
      <c r="FZ78" s="2247">
        <f t="shared" ca="1" si="275"/>
        <v>0</v>
      </c>
      <c r="GB78" s="2241">
        <f t="shared" ref="GB78:GH78" ca="1" si="276">SUM(GB63:GB77)</f>
        <v>0</v>
      </c>
      <c r="GC78" s="2242">
        <f t="shared" ca="1" si="276"/>
        <v>0</v>
      </c>
      <c r="GD78" s="2242">
        <f t="shared" ca="1" si="276"/>
        <v>0</v>
      </c>
      <c r="GE78" s="2242">
        <f t="shared" ca="1" si="276"/>
        <v>0</v>
      </c>
      <c r="GF78" s="2243">
        <f t="shared" ca="1" si="276"/>
        <v>0</v>
      </c>
      <c r="GG78" s="2243">
        <f t="shared" ca="1" si="276"/>
        <v>0</v>
      </c>
      <c r="GH78" s="151">
        <f t="shared" ca="1" si="276"/>
        <v>0</v>
      </c>
      <c r="GJ78" s="2238">
        <f t="shared" ref="GJ78:GP78" ca="1" si="277">SUM(GJ63:GJ77)</f>
        <v>0</v>
      </c>
      <c r="GK78" s="2239">
        <f t="shared" ca="1" si="277"/>
        <v>0</v>
      </c>
      <c r="GL78" s="2239">
        <f t="shared" ca="1" si="277"/>
        <v>0</v>
      </c>
      <c r="GM78" s="2239">
        <f t="shared" ca="1" si="277"/>
        <v>0</v>
      </c>
      <c r="GN78" s="2240">
        <f t="shared" ca="1" si="277"/>
        <v>0</v>
      </c>
      <c r="GO78" s="2240">
        <f t="shared" ca="1" si="277"/>
        <v>0</v>
      </c>
      <c r="GP78" s="193">
        <f t="shared" ca="1" si="277"/>
        <v>0</v>
      </c>
      <c r="GR78" s="2264">
        <f t="shared" ref="GR78:GW78" si="278">SUM(GR63:GR77)</f>
        <v>0</v>
      </c>
      <c r="GS78" s="2265">
        <f t="shared" si="278"/>
        <v>0</v>
      </c>
      <c r="GT78" s="2265">
        <f t="shared" si="278"/>
        <v>0</v>
      </c>
      <c r="GU78" s="2265">
        <f t="shared" si="278"/>
        <v>0</v>
      </c>
      <c r="GV78" s="2264">
        <f t="shared" si="278"/>
        <v>0</v>
      </c>
      <c r="GW78" s="2264">
        <f t="shared" si="278"/>
        <v>0</v>
      </c>
      <c r="GX78" s="1105">
        <f t="shared" si="173"/>
        <v>0</v>
      </c>
      <c r="GZ78" s="1215">
        <f t="shared" ref="GZ78:HE78" ca="1" si="279">SUM(GZ63:GZ77)</f>
        <v>0</v>
      </c>
      <c r="HA78" s="1216">
        <f t="shared" ca="1" si="279"/>
        <v>0</v>
      </c>
      <c r="HB78" s="1216">
        <f t="shared" ca="1" si="279"/>
        <v>0</v>
      </c>
      <c r="HC78" s="1216">
        <f t="shared" ca="1" si="279"/>
        <v>0</v>
      </c>
      <c r="HD78" s="1216">
        <f t="shared" ca="1" si="279"/>
        <v>0</v>
      </c>
      <c r="HE78" s="1216">
        <f t="shared" ca="1" si="279"/>
        <v>0</v>
      </c>
      <c r="HF78" s="2176">
        <f t="shared" ca="1" si="180"/>
        <v>0</v>
      </c>
      <c r="HG78" s="275">
        <f ca="1">SUM(ER78,HF78)</f>
        <v>16250</v>
      </c>
      <c r="HH78" s="257"/>
    </row>
    <row r="79" spans="1:216" ht="15" hidden="1" customHeight="1" x14ac:dyDescent="0.25">
      <c r="A79" s="22"/>
      <c r="B79" s="3222" t="s">
        <v>574</v>
      </c>
      <c r="C79" s="425" t="str">
        <f>'Calc - OTHER PERS'!A219</f>
        <v>Hourly Student(s) #1</v>
      </c>
      <c r="D79" s="85">
        <f>'Calc - OTHER PERS'!H224</f>
        <v>0</v>
      </c>
      <c r="E79" s="86">
        <f>'Calc - OTHER PERS'!H225</f>
        <v>0</v>
      </c>
      <c r="F79" s="86">
        <f>'Calc - OTHER PERS'!H226</f>
        <v>0</v>
      </c>
      <c r="G79" s="86">
        <f>'Calc - OTHER PERS'!H227</f>
        <v>0</v>
      </c>
      <c r="H79" s="86">
        <f>'Calc - OTHER PERS'!H228</f>
        <v>0</v>
      </c>
      <c r="I79" s="86">
        <f>'Calc - OTHER PERS'!H229</f>
        <v>0</v>
      </c>
      <c r="J79" s="426">
        <f>SUM(D79:I79)</f>
        <v>0</v>
      </c>
      <c r="K79" s="4"/>
      <c r="L79" s="45"/>
      <c r="M79" s="4"/>
      <c r="N79" s="409"/>
      <c r="O79" s="41"/>
      <c r="P79" s="41"/>
      <c r="Q79" s="41"/>
      <c r="R79" s="41"/>
      <c r="S79" s="41"/>
      <c r="T79" s="381">
        <f>SUM(N79:S79)</f>
        <v>0</v>
      </c>
      <c r="V79" s="409"/>
      <c r="W79" s="41"/>
      <c r="X79" s="41"/>
      <c r="Y79" s="41"/>
      <c r="Z79" s="41"/>
      <c r="AA79" s="41"/>
      <c r="AB79" s="395">
        <f>SUM(V79:AA79)</f>
        <v>0</v>
      </c>
      <c r="AD79" s="409"/>
      <c r="AE79" s="41"/>
      <c r="AF79" s="41"/>
      <c r="AG79" s="41"/>
      <c r="AH79" s="41"/>
      <c r="AI79" s="41"/>
      <c r="AJ79" s="396">
        <f>SUM(AD79:AI79)</f>
        <v>0</v>
      </c>
      <c r="AL79" s="409"/>
      <c r="AM79" s="41"/>
      <c r="AN79" s="41"/>
      <c r="AO79" s="41"/>
      <c r="AP79" s="41"/>
      <c r="AQ79" s="41"/>
      <c r="AR79" s="397">
        <f>SUM(AL79:AQ79)</f>
        <v>0</v>
      </c>
      <c r="AT79" s="409"/>
      <c r="AU79" s="41"/>
      <c r="AV79" s="41"/>
      <c r="AW79" s="41"/>
      <c r="AX79" s="41"/>
      <c r="AY79" s="41"/>
      <c r="AZ79" s="398">
        <f>SUM(AT79:AY79)</f>
        <v>0</v>
      </c>
      <c r="BB79" s="409"/>
      <c r="BC79" s="41"/>
      <c r="BD79" s="41"/>
      <c r="BE79" s="41"/>
      <c r="BF79" s="41"/>
      <c r="BG79" s="41"/>
      <c r="BH79" s="399">
        <f>SUM(BB79:BG79)</f>
        <v>0</v>
      </c>
      <c r="BJ79" s="21"/>
      <c r="BK79" s="5"/>
      <c r="BL79" s="5"/>
      <c r="BM79" s="5"/>
      <c r="BN79" s="5"/>
      <c r="BO79" s="5"/>
      <c r="BP79" s="1105">
        <f t="shared" si="115"/>
        <v>0</v>
      </c>
      <c r="BR79" s="1244">
        <f t="shared" ref="BR79:BW81" si="280">SUM(N79,V79,AD79,AL79,AT79,BB79)</f>
        <v>0</v>
      </c>
      <c r="BS79" s="1244">
        <f t="shared" si="280"/>
        <v>0</v>
      </c>
      <c r="BT79" s="1244">
        <f t="shared" si="280"/>
        <v>0</v>
      </c>
      <c r="BU79" s="1244">
        <f t="shared" si="280"/>
        <v>0</v>
      </c>
      <c r="BV79" s="1244">
        <f t="shared" si="280"/>
        <v>0</v>
      </c>
      <c r="BW79" s="1244">
        <f t="shared" si="280"/>
        <v>0</v>
      </c>
      <c r="BX79" s="2232">
        <f t="shared" si="122"/>
        <v>0</v>
      </c>
      <c r="BY79" s="2184">
        <f>SUM(J79+BX79)</f>
        <v>0</v>
      </c>
      <c r="BZ79" s="257"/>
      <c r="CB79" s="1182">
        <f>D79</f>
        <v>0</v>
      </c>
      <c r="CC79" s="387">
        <f t="shared" ref="CC79:CD81" si="281">$E79/12*3</f>
        <v>0</v>
      </c>
      <c r="CD79" s="56">
        <f t="shared" si="281"/>
        <v>0</v>
      </c>
      <c r="CE79" s="56">
        <f>$E79/12*2</f>
        <v>0</v>
      </c>
      <c r="CF79" s="56">
        <f>$E79/12*1</f>
        <v>0</v>
      </c>
      <c r="CG79" s="1183">
        <f>$E79/12*3</f>
        <v>0</v>
      </c>
      <c r="CH79" s="1184">
        <f t="shared" ref="CH79:CI81" si="282">$F79/12*3</f>
        <v>0</v>
      </c>
      <c r="CI79" s="1193">
        <f t="shared" si="282"/>
        <v>0</v>
      </c>
      <c r="CJ79" s="1193">
        <f>$F79/12*2</f>
        <v>0</v>
      </c>
      <c r="CK79" s="1193">
        <f>$F79/12*1</f>
        <v>0</v>
      </c>
      <c r="CL79" s="1235">
        <f>$F79/12*3</f>
        <v>0</v>
      </c>
      <c r="CM79" s="1187">
        <f t="shared" ref="CM79:CN81" si="283">$G79/8*3</f>
        <v>0</v>
      </c>
      <c r="CN79" s="1188">
        <f t="shared" si="283"/>
        <v>0</v>
      </c>
      <c r="CO79" s="1189">
        <f>$G79/8*2</f>
        <v>0</v>
      </c>
      <c r="CP79" s="1234">
        <f t="shared" si="124"/>
        <v>0</v>
      </c>
      <c r="CS79" s="575"/>
      <c r="CT79" s="5"/>
      <c r="CU79" s="1180"/>
      <c r="CV79" s="575"/>
      <c r="CW79" s="5"/>
      <c r="CX79" s="1180"/>
      <c r="CY79" s="575"/>
      <c r="CZ79" s="5"/>
      <c r="DA79" s="1180"/>
      <c r="DB79" s="575"/>
      <c r="DC79" s="5"/>
      <c r="DD79" s="1180"/>
      <c r="DE79" s="1181">
        <f>SUM(CS79:DD79)</f>
        <v>0</v>
      </c>
      <c r="DG79" s="575"/>
      <c r="DH79" s="5"/>
      <c r="DI79" s="1180"/>
      <c r="DJ79" s="575"/>
      <c r="DK79" s="5"/>
      <c r="DL79" s="1180"/>
      <c r="DM79" s="575"/>
      <c r="DN79" s="5"/>
      <c r="DO79" s="1180"/>
      <c r="DP79" s="575"/>
      <c r="DQ79" s="5"/>
      <c r="DR79" s="1180"/>
      <c r="DS79" s="1181">
        <f>SUM(DG79:DR79)</f>
        <v>0</v>
      </c>
      <c r="DU79" s="575"/>
      <c r="DV79" s="5"/>
      <c r="DW79" s="1180"/>
      <c r="DX79" s="575"/>
      <c r="DY79" s="5"/>
      <c r="DZ79" s="1180"/>
      <c r="EA79" s="575"/>
      <c r="EB79" s="5"/>
      <c r="EC79" s="1180"/>
      <c r="ED79" s="575"/>
      <c r="EE79" s="5"/>
      <c r="EF79" s="1180"/>
      <c r="EG79" s="1181">
        <f>SUM(DU79:EF79)</f>
        <v>0</v>
      </c>
      <c r="EI79" s="22"/>
      <c r="EJ79" s="3222" t="s">
        <v>574</v>
      </c>
      <c r="EK79" s="425" t="str">
        <f>C79</f>
        <v>Hourly Student(s) #1</v>
      </c>
      <c r="EL79" s="85">
        <f t="shared" ref="EL79:EQ81" si="284">ROUND(D79,0)</f>
        <v>0</v>
      </c>
      <c r="EM79" s="85">
        <f t="shared" si="284"/>
        <v>0</v>
      </c>
      <c r="EN79" s="85">
        <f t="shared" si="284"/>
        <v>0</v>
      </c>
      <c r="EO79" s="85">
        <f t="shared" si="284"/>
        <v>0</v>
      </c>
      <c r="EP79" s="85">
        <f t="shared" si="284"/>
        <v>0</v>
      </c>
      <c r="EQ79" s="85">
        <f t="shared" si="284"/>
        <v>0</v>
      </c>
      <c r="ER79" s="426">
        <f>SUM(EL79:EQ79)</f>
        <v>0</v>
      </c>
      <c r="ES79" s="4"/>
      <c r="ET79" s="45"/>
      <c r="EU79" s="4"/>
      <c r="EV79" s="409">
        <f t="shared" ref="EV79:FA81" si="285">ROUND(N79,0)</f>
        <v>0</v>
      </c>
      <c r="EW79" s="41">
        <f t="shared" si="285"/>
        <v>0</v>
      </c>
      <c r="EX79" s="41">
        <f t="shared" si="285"/>
        <v>0</v>
      </c>
      <c r="EY79" s="41">
        <f t="shared" si="285"/>
        <v>0</v>
      </c>
      <c r="EZ79" s="41">
        <f t="shared" si="285"/>
        <v>0</v>
      </c>
      <c r="FA79" s="41">
        <f t="shared" si="285"/>
        <v>0</v>
      </c>
      <c r="FB79" s="381">
        <f>SUM(EV79:FA79)</f>
        <v>0</v>
      </c>
      <c r="FD79" s="409">
        <f t="shared" ref="FD79:FI81" si="286">ROUND(V79,0)</f>
        <v>0</v>
      </c>
      <c r="FE79" s="41">
        <f t="shared" si="286"/>
        <v>0</v>
      </c>
      <c r="FF79" s="41">
        <f t="shared" si="286"/>
        <v>0</v>
      </c>
      <c r="FG79" s="41">
        <f t="shared" si="286"/>
        <v>0</v>
      </c>
      <c r="FH79" s="41">
        <f t="shared" si="286"/>
        <v>0</v>
      </c>
      <c r="FI79" s="41">
        <f t="shared" si="286"/>
        <v>0</v>
      </c>
      <c r="FJ79" s="395">
        <f>SUM(FD79:FI79)</f>
        <v>0</v>
      </c>
      <c r="FL79" s="409">
        <f t="shared" ref="FL79:FQ81" si="287">ROUND(AD79,0)</f>
        <v>0</v>
      </c>
      <c r="FM79" s="41">
        <f t="shared" si="287"/>
        <v>0</v>
      </c>
      <c r="FN79" s="41">
        <f t="shared" si="287"/>
        <v>0</v>
      </c>
      <c r="FO79" s="41">
        <f t="shared" si="287"/>
        <v>0</v>
      </c>
      <c r="FP79" s="41">
        <f t="shared" si="287"/>
        <v>0</v>
      </c>
      <c r="FQ79" s="41">
        <f t="shared" si="287"/>
        <v>0</v>
      </c>
      <c r="FR79" s="396">
        <f>SUM(FL79:FQ79)</f>
        <v>0</v>
      </c>
      <c r="FT79" s="409">
        <f t="shared" ref="FT79:FY81" si="288">ROUND(AL79,0)</f>
        <v>0</v>
      </c>
      <c r="FU79" s="41">
        <f t="shared" si="288"/>
        <v>0</v>
      </c>
      <c r="FV79" s="41">
        <f t="shared" si="288"/>
        <v>0</v>
      </c>
      <c r="FW79" s="41">
        <f t="shared" si="288"/>
        <v>0</v>
      </c>
      <c r="FX79" s="41">
        <f t="shared" si="288"/>
        <v>0</v>
      </c>
      <c r="FY79" s="41">
        <f t="shared" si="288"/>
        <v>0</v>
      </c>
      <c r="FZ79" s="397">
        <f>SUM(FT79:FY79)</f>
        <v>0</v>
      </c>
      <c r="GB79" s="409">
        <f t="shared" ref="GB79:GG81" si="289">ROUND(AT79,0)</f>
        <v>0</v>
      </c>
      <c r="GC79" s="41">
        <f t="shared" si="289"/>
        <v>0</v>
      </c>
      <c r="GD79" s="41">
        <f t="shared" si="289"/>
        <v>0</v>
      </c>
      <c r="GE79" s="41">
        <f t="shared" si="289"/>
        <v>0</v>
      </c>
      <c r="GF79" s="41">
        <f t="shared" si="289"/>
        <v>0</v>
      </c>
      <c r="GG79" s="41">
        <f t="shared" si="289"/>
        <v>0</v>
      </c>
      <c r="GH79" s="398">
        <f>SUM(GB79:GG79)</f>
        <v>0</v>
      </c>
      <c r="GJ79" s="409">
        <f t="shared" ref="GJ79:GO81" si="290">ROUND(BB79,0)</f>
        <v>0</v>
      </c>
      <c r="GK79" s="41">
        <f t="shared" si="290"/>
        <v>0</v>
      </c>
      <c r="GL79" s="41">
        <f t="shared" si="290"/>
        <v>0</v>
      </c>
      <c r="GM79" s="41">
        <f t="shared" si="290"/>
        <v>0</v>
      </c>
      <c r="GN79" s="41">
        <f t="shared" si="290"/>
        <v>0</v>
      </c>
      <c r="GO79" s="41">
        <f t="shared" si="290"/>
        <v>0</v>
      </c>
      <c r="GP79" s="399">
        <f>SUM(GJ79:GO79)</f>
        <v>0</v>
      </c>
      <c r="GR79" s="21"/>
      <c r="GS79" s="5"/>
      <c r="GT79" s="5"/>
      <c r="GU79" s="5"/>
      <c r="GV79" s="5"/>
      <c r="GW79" s="5"/>
      <c r="GX79" s="1105">
        <f t="shared" si="173"/>
        <v>0</v>
      </c>
      <c r="GZ79" s="1244">
        <f t="shared" ref="GZ79:HE81" si="291">SUM(EV79,FD79,FL79,FT79,GB79,GJ79)</f>
        <v>0</v>
      </c>
      <c r="HA79" s="1244">
        <f t="shared" si="291"/>
        <v>0</v>
      </c>
      <c r="HB79" s="1244">
        <f t="shared" si="291"/>
        <v>0</v>
      </c>
      <c r="HC79" s="1244">
        <f t="shared" si="291"/>
        <v>0</v>
      </c>
      <c r="HD79" s="1244">
        <f t="shared" si="291"/>
        <v>0</v>
      </c>
      <c r="HE79" s="1244">
        <f t="shared" si="291"/>
        <v>0</v>
      </c>
      <c r="HF79" s="2232">
        <f t="shared" si="180"/>
        <v>0</v>
      </c>
      <c r="HG79" s="2184">
        <f>SUM(ER79+HF79)</f>
        <v>0</v>
      </c>
      <c r="HH79" s="257"/>
    </row>
    <row r="80" spans="1:216" ht="15" hidden="1" customHeight="1" x14ac:dyDescent="0.25">
      <c r="A80" s="22"/>
      <c r="B80" s="3211"/>
      <c r="C80" s="423" t="str">
        <f>'Calc - OTHER PERS'!A232</f>
        <v>Hourly Student(s) #2</v>
      </c>
      <c r="D80" s="21">
        <f>'Calc - OTHER PERS'!H237</f>
        <v>0</v>
      </c>
      <c r="E80" s="5">
        <f>'Calc - OTHER PERS'!H238</f>
        <v>0</v>
      </c>
      <c r="F80" s="5">
        <f>'Calc - OTHER PERS'!H239</f>
        <v>0</v>
      </c>
      <c r="G80" s="5">
        <f>'Calc - OTHER PERS'!H240</f>
        <v>0</v>
      </c>
      <c r="H80" s="21">
        <f>'Calc - OTHER PERS'!H241</f>
        <v>0</v>
      </c>
      <c r="I80" s="21">
        <f>'Calc - OTHER PERS'!H242</f>
        <v>0</v>
      </c>
      <c r="J80" s="12">
        <f>SUM(D80:I80)</f>
        <v>0</v>
      </c>
      <c r="K80" s="45"/>
      <c r="L80" s="4"/>
      <c r="M80" s="45"/>
      <c r="N80" s="21"/>
      <c r="O80" s="5"/>
      <c r="P80" s="5"/>
      <c r="Q80" s="5"/>
      <c r="R80" s="21"/>
      <c r="S80" s="21"/>
      <c r="T80" s="167">
        <f>SUM(N80:S80)</f>
        <v>0</v>
      </c>
      <c r="U80" s="1"/>
      <c r="V80" s="21"/>
      <c r="W80" s="5"/>
      <c r="X80" s="5"/>
      <c r="Y80" s="5"/>
      <c r="Z80" s="21"/>
      <c r="AA80" s="21"/>
      <c r="AB80" s="48">
        <f>SUM(V80:AA80)</f>
        <v>0</v>
      </c>
      <c r="AD80" s="21"/>
      <c r="AE80" s="5"/>
      <c r="AF80" s="5"/>
      <c r="AG80" s="5"/>
      <c r="AH80" s="21"/>
      <c r="AI80" s="21"/>
      <c r="AJ80" s="209">
        <f>SUM(AD80:AI80)</f>
        <v>0</v>
      </c>
      <c r="AL80" s="21"/>
      <c r="AM80" s="5"/>
      <c r="AN80" s="5"/>
      <c r="AO80" s="5"/>
      <c r="AP80" s="21"/>
      <c r="AQ80" s="21"/>
      <c r="AR80" s="181">
        <f>SUM(AL80:AQ80)</f>
        <v>0</v>
      </c>
      <c r="AT80" s="21"/>
      <c r="AU80" s="5"/>
      <c r="AV80" s="5"/>
      <c r="AW80" s="5"/>
      <c r="AX80" s="21"/>
      <c r="AY80" s="21"/>
      <c r="AZ80" s="153">
        <f>SUM(AT80:AY80)</f>
        <v>0</v>
      </c>
      <c r="BB80" s="21"/>
      <c r="BC80" s="5"/>
      <c r="BD80" s="5"/>
      <c r="BE80" s="5"/>
      <c r="BF80" s="21"/>
      <c r="BG80" s="21"/>
      <c r="BH80" s="195">
        <f>SUM(BB80:BG80)</f>
        <v>0</v>
      </c>
      <c r="BJ80" s="21"/>
      <c r="BK80" s="5"/>
      <c r="BL80" s="5"/>
      <c r="BM80" s="5"/>
      <c r="BN80" s="21"/>
      <c r="BO80" s="21"/>
      <c r="BP80" s="1105">
        <f t="shared" si="115"/>
        <v>0</v>
      </c>
      <c r="BR80" s="575">
        <f t="shared" si="280"/>
        <v>0</v>
      </c>
      <c r="BS80" s="575">
        <f t="shared" si="280"/>
        <v>0</v>
      </c>
      <c r="BT80" s="575">
        <f t="shared" si="280"/>
        <v>0</v>
      </c>
      <c r="BU80" s="575">
        <f t="shared" si="280"/>
        <v>0</v>
      </c>
      <c r="BV80" s="575">
        <f t="shared" si="280"/>
        <v>0</v>
      </c>
      <c r="BW80" s="575">
        <f t="shared" si="280"/>
        <v>0</v>
      </c>
      <c r="BX80" s="991">
        <f t="shared" si="122"/>
        <v>0</v>
      </c>
      <c r="BY80" s="573">
        <f>SUM(J80+BX80)</f>
        <v>0</v>
      </c>
      <c r="BZ80" s="257"/>
      <c r="CB80" s="1182">
        <f>D80</f>
        <v>0</v>
      </c>
      <c r="CC80" s="387">
        <f t="shared" si="281"/>
        <v>0</v>
      </c>
      <c r="CD80" s="56">
        <f t="shared" si="281"/>
        <v>0</v>
      </c>
      <c r="CE80" s="56">
        <f>$E80/12*2</f>
        <v>0</v>
      </c>
      <c r="CF80" s="56">
        <f>$E80/12*1</f>
        <v>0</v>
      </c>
      <c r="CG80" s="1192">
        <f>$E80/12*3</f>
        <v>0</v>
      </c>
      <c r="CH80" s="1184">
        <f t="shared" si="282"/>
        <v>0</v>
      </c>
      <c r="CI80" s="1185">
        <f t="shared" si="282"/>
        <v>0</v>
      </c>
      <c r="CJ80" s="1185">
        <f>$F80/12*2</f>
        <v>0</v>
      </c>
      <c r="CK80" s="1185">
        <f>$F80/12*1</f>
        <v>0</v>
      </c>
      <c r="CL80" s="1235">
        <f>$F80/12*3</f>
        <v>0</v>
      </c>
      <c r="CM80" s="1195">
        <f t="shared" si="283"/>
        <v>0</v>
      </c>
      <c r="CN80" s="1188">
        <f t="shared" si="283"/>
        <v>0</v>
      </c>
      <c r="CO80" s="1189">
        <f>$G80/8*2</f>
        <v>0</v>
      </c>
      <c r="CP80" s="1234">
        <f t="shared" si="124"/>
        <v>0</v>
      </c>
      <c r="CS80" s="575"/>
      <c r="CT80" s="5"/>
      <c r="CU80" s="1180"/>
      <c r="CV80" s="575"/>
      <c r="CW80" s="5"/>
      <c r="CX80" s="1180"/>
      <c r="CY80" s="575"/>
      <c r="CZ80" s="5"/>
      <c r="DA80" s="1180"/>
      <c r="DB80" s="575"/>
      <c r="DC80" s="5"/>
      <c r="DD80" s="1180"/>
      <c r="DE80" s="1181">
        <f>SUM(CS80:DD80)</f>
        <v>0</v>
      </c>
      <c r="DG80" s="575"/>
      <c r="DH80" s="5"/>
      <c r="DI80" s="1180"/>
      <c r="DJ80" s="575"/>
      <c r="DK80" s="5"/>
      <c r="DL80" s="1180"/>
      <c r="DM80" s="575"/>
      <c r="DN80" s="5"/>
      <c r="DO80" s="1180"/>
      <c r="DP80" s="575"/>
      <c r="DQ80" s="5"/>
      <c r="DR80" s="1180"/>
      <c r="DS80" s="1181">
        <f>SUM(DG80:DR80)</f>
        <v>0</v>
      </c>
      <c r="DU80" s="575"/>
      <c r="DV80" s="5"/>
      <c r="DW80" s="1180"/>
      <c r="DX80" s="575"/>
      <c r="DY80" s="5"/>
      <c r="DZ80" s="1180"/>
      <c r="EA80" s="575"/>
      <c r="EB80" s="5"/>
      <c r="EC80" s="1180"/>
      <c r="ED80" s="575"/>
      <c r="EE80" s="5"/>
      <c r="EF80" s="1180"/>
      <c r="EG80" s="1181">
        <f>SUM(DU80:EF80)</f>
        <v>0</v>
      </c>
      <c r="EI80" s="22"/>
      <c r="EJ80" s="3211"/>
      <c r="EK80" s="423" t="str">
        <f>C80</f>
        <v>Hourly Student(s) #2</v>
      </c>
      <c r="EL80" s="21">
        <f t="shared" si="284"/>
        <v>0</v>
      </c>
      <c r="EM80" s="21">
        <f t="shared" si="284"/>
        <v>0</v>
      </c>
      <c r="EN80" s="21">
        <f t="shared" si="284"/>
        <v>0</v>
      </c>
      <c r="EO80" s="21">
        <f t="shared" si="284"/>
        <v>0</v>
      </c>
      <c r="EP80" s="21">
        <f t="shared" si="284"/>
        <v>0</v>
      </c>
      <c r="EQ80" s="21">
        <f t="shared" si="284"/>
        <v>0</v>
      </c>
      <c r="ER80" s="12">
        <f>SUM(EL80:EQ80)</f>
        <v>0</v>
      </c>
      <c r="ES80" s="45"/>
      <c r="ET80" s="4"/>
      <c r="EU80" s="45"/>
      <c r="EV80" s="21">
        <f t="shared" si="285"/>
        <v>0</v>
      </c>
      <c r="EW80" s="5">
        <f t="shared" si="285"/>
        <v>0</v>
      </c>
      <c r="EX80" s="5">
        <f t="shared" si="285"/>
        <v>0</v>
      </c>
      <c r="EY80" s="5">
        <f t="shared" si="285"/>
        <v>0</v>
      </c>
      <c r="EZ80" s="21">
        <f t="shared" si="285"/>
        <v>0</v>
      </c>
      <c r="FA80" s="21">
        <f t="shared" si="285"/>
        <v>0</v>
      </c>
      <c r="FB80" s="167">
        <f>SUM(EV80:FA80)</f>
        <v>0</v>
      </c>
      <c r="FC80" s="1"/>
      <c r="FD80" s="21">
        <f t="shared" si="286"/>
        <v>0</v>
      </c>
      <c r="FE80" s="5">
        <f t="shared" si="286"/>
        <v>0</v>
      </c>
      <c r="FF80" s="5">
        <f t="shared" si="286"/>
        <v>0</v>
      </c>
      <c r="FG80" s="5">
        <f t="shared" si="286"/>
        <v>0</v>
      </c>
      <c r="FH80" s="21">
        <f t="shared" si="286"/>
        <v>0</v>
      </c>
      <c r="FI80" s="21">
        <f t="shared" si="286"/>
        <v>0</v>
      </c>
      <c r="FJ80" s="48">
        <f>SUM(FD80:FI80)</f>
        <v>0</v>
      </c>
      <c r="FL80" s="21">
        <f t="shared" si="287"/>
        <v>0</v>
      </c>
      <c r="FM80" s="5">
        <f t="shared" si="287"/>
        <v>0</v>
      </c>
      <c r="FN80" s="5">
        <f t="shared" si="287"/>
        <v>0</v>
      </c>
      <c r="FO80" s="5">
        <f t="shared" si="287"/>
        <v>0</v>
      </c>
      <c r="FP80" s="21">
        <f t="shared" si="287"/>
        <v>0</v>
      </c>
      <c r="FQ80" s="21">
        <f t="shared" si="287"/>
        <v>0</v>
      </c>
      <c r="FR80" s="209">
        <f>SUM(FL80:FQ80)</f>
        <v>0</v>
      </c>
      <c r="FT80" s="21">
        <f t="shared" si="288"/>
        <v>0</v>
      </c>
      <c r="FU80" s="5">
        <f t="shared" si="288"/>
        <v>0</v>
      </c>
      <c r="FV80" s="5">
        <f t="shared" si="288"/>
        <v>0</v>
      </c>
      <c r="FW80" s="5">
        <f t="shared" si="288"/>
        <v>0</v>
      </c>
      <c r="FX80" s="21">
        <f t="shared" si="288"/>
        <v>0</v>
      </c>
      <c r="FY80" s="21">
        <f t="shared" si="288"/>
        <v>0</v>
      </c>
      <c r="FZ80" s="181">
        <f>SUM(FT80:FY80)</f>
        <v>0</v>
      </c>
      <c r="GB80" s="21">
        <f t="shared" si="289"/>
        <v>0</v>
      </c>
      <c r="GC80" s="5">
        <f t="shared" si="289"/>
        <v>0</v>
      </c>
      <c r="GD80" s="5">
        <f t="shared" si="289"/>
        <v>0</v>
      </c>
      <c r="GE80" s="5">
        <f t="shared" si="289"/>
        <v>0</v>
      </c>
      <c r="GF80" s="21">
        <f t="shared" si="289"/>
        <v>0</v>
      </c>
      <c r="GG80" s="21">
        <f t="shared" si="289"/>
        <v>0</v>
      </c>
      <c r="GH80" s="153">
        <f>SUM(GB80:GG80)</f>
        <v>0</v>
      </c>
      <c r="GJ80" s="21">
        <f t="shared" si="290"/>
        <v>0</v>
      </c>
      <c r="GK80" s="5">
        <f t="shared" si="290"/>
        <v>0</v>
      </c>
      <c r="GL80" s="5">
        <f t="shared" si="290"/>
        <v>0</v>
      </c>
      <c r="GM80" s="5">
        <f t="shared" si="290"/>
        <v>0</v>
      </c>
      <c r="GN80" s="21">
        <f t="shared" si="290"/>
        <v>0</v>
      </c>
      <c r="GO80" s="21">
        <f t="shared" si="290"/>
        <v>0</v>
      </c>
      <c r="GP80" s="195">
        <f>SUM(GJ80:GO80)</f>
        <v>0</v>
      </c>
      <c r="GR80" s="21"/>
      <c r="GS80" s="5"/>
      <c r="GT80" s="5"/>
      <c r="GU80" s="5"/>
      <c r="GV80" s="21"/>
      <c r="GW80" s="21"/>
      <c r="GX80" s="1105">
        <f t="shared" si="173"/>
        <v>0</v>
      </c>
      <c r="GZ80" s="575">
        <f t="shared" si="291"/>
        <v>0</v>
      </c>
      <c r="HA80" s="575">
        <f t="shared" si="291"/>
        <v>0</v>
      </c>
      <c r="HB80" s="575">
        <f t="shared" si="291"/>
        <v>0</v>
      </c>
      <c r="HC80" s="575">
        <f t="shared" si="291"/>
        <v>0</v>
      </c>
      <c r="HD80" s="575">
        <f t="shared" si="291"/>
        <v>0</v>
      </c>
      <c r="HE80" s="575">
        <f t="shared" si="291"/>
        <v>0</v>
      </c>
      <c r="HF80" s="991">
        <f t="shared" si="180"/>
        <v>0</v>
      </c>
      <c r="HG80" s="573">
        <f>SUM(ER80+HF80)</f>
        <v>0</v>
      </c>
      <c r="HH80" s="257"/>
    </row>
    <row r="81" spans="1:216" ht="15" hidden="1" customHeight="1" thickBot="1" x14ac:dyDescent="0.3">
      <c r="A81" s="22"/>
      <c r="B81" s="3223"/>
      <c r="C81" s="427" t="str">
        <f>'Calc - OTHER PERS'!A245</f>
        <v>Hourly Student(s) #3</v>
      </c>
      <c r="D81" s="89">
        <f>'Calc - OTHER PERS'!H250</f>
        <v>0</v>
      </c>
      <c r="E81" s="42">
        <f>'Calc - OTHER PERS'!H251</f>
        <v>0</v>
      </c>
      <c r="F81" s="42">
        <f>'Calc - OTHER PERS'!H252</f>
        <v>0</v>
      </c>
      <c r="G81" s="42">
        <f>'Calc - OTHER PERS'!H253</f>
        <v>0</v>
      </c>
      <c r="H81" s="42">
        <f>'Calc - OTHER PERS'!H254</f>
        <v>0</v>
      </c>
      <c r="I81" s="42">
        <f>'Calc - OTHER PERS'!H255</f>
        <v>0</v>
      </c>
      <c r="J81" s="428">
        <f>SUM(D81:I81)</f>
        <v>0</v>
      </c>
      <c r="K81" s="4"/>
      <c r="L81" s="13"/>
      <c r="M81" s="4"/>
      <c r="N81" s="21"/>
      <c r="O81" s="5"/>
      <c r="P81" s="5"/>
      <c r="Q81" s="5"/>
      <c r="R81" s="5"/>
      <c r="S81" s="5"/>
      <c r="T81" s="167">
        <f>SUM(N81:S81)</f>
        <v>0</v>
      </c>
      <c r="V81" s="21"/>
      <c r="W81" s="5"/>
      <c r="X81" s="5"/>
      <c r="Y81" s="5"/>
      <c r="Z81" s="5"/>
      <c r="AA81" s="5"/>
      <c r="AB81" s="48">
        <f>SUM(V81:AA81)</f>
        <v>0</v>
      </c>
      <c r="AD81" s="21"/>
      <c r="AE81" s="5"/>
      <c r="AF81" s="5"/>
      <c r="AG81" s="5"/>
      <c r="AH81" s="5"/>
      <c r="AI81" s="5"/>
      <c r="AJ81" s="209">
        <f>SUM(AD81:AI81)</f>
        <v>0</v>
      </c>
      <c r="AL81" s="21"/>
      <c r="AM81" s="5"/>
      <c r="AN81" s="5"/>
      <c r="AO81" s="5"/>
      <c r="AP81" s="5"/>
      <c r="AQ81" s="5"/>
      <c r="AR81" s="181">
        <f>SUM(AL81:AQ81)</f>
        <v>0</v>
      </c>
      <c r="AT81" s="21"/>
      <c r="AU81" s="5"/>
      <c r="AV81" s="5"/>
      <c r="AW81" s="5"/>
      <c r="AX81" s="5"/>
      <c r="AY81" s="5"/>
      <c r="AZ81" s="153">
        <f>SUM(AT81:AY81)</f>
        <v>0</v>
      </c>
      <c r="BB81" s="21"/>
      <c r="BC81" s="5"/>
      <c r="BD81" s="5"/>
      <c r="BE81" s="5"/>
      <c r="BF81" s="5"/>
      <c r="BG81" s="5"/>
      <c r="BH81" s="195">
        <f>SUM(BB81:BG81)</f>
        <v>0</v>
      </c>
      <c r="BJ81" s="21"/>
      <c r="BK81" s="5"/>
      <c r="BL81" s="5"/>
      <c r="BM81" s="5"/>
      <c r="BN81" s="5"/>
      <c r="BO81" s="5"/>
      <c r="BP81" s="1105">
        <f t="shared" si="115"/>
        <v>0</v>
      </c>
      <c r="BR81" s="575">
        <f t="shared" si="280"/>
        <v>0</v>
      </c>
      <c r="BS81" s="575">
        <f t="shared" si="280"/>
        <v>0</v>
      </c>
      <c r="BT81" s="575">
        <f t="shared" si="280"/>
        <v>0</v>
      </c>
      <c r="BU81" s="575">
        <f t="shared" si="280"/>
        <v>0</v>
      </c>
      <c r="BV81" s="575">
        <f t="shared" si="280"/>
        <v>0</v>
      </c>
      <c r="BW81" s="575">
        <f t="shared" si="280"/>
        <v>0</v>
      </c>
      <c r="BX81" s="991">
        <f t="shared" si="122"/>
        <v>0</v>
      </c>
      <c r="BY81" s="573">
        <f>SUM(J81+BX81)</f>
        <v>0</v>
      </c>
      <c r="BZ81" s="257"/>
      <c r="CB81" s="2360">
        <f>D81</f>
        <v>0</v>
      </c>
      <c r="CC81" s="387">
        <f t="shared" si="281"/>
        <v>0</v>
      </c>
      <c r="CD81" s="1202">
        <f t="shared" si="281"/>
        <v>0</v>
      </c>
      <c r="CE81" s="56">
        <f>$E81/12*2</f>
        <v>0</v>
      </c>
      <c r="CF81" s="56">
        <f>$E81/12*1</f>
        <v>0</v>
      </c>
      <c r="CG81" s="1203">
        <f>$E81/12*3</f>
        <v>0</v>
      </c>
      <c r="CH81" s="1204">
        <f t="shared" si="282"/>
        <v>0</v>
      </c>
      <c r="CI81" s="1205">
        <f t="shared" si="282"/>
        <v>0</v>
      </c>
      <c r="CJ81" s="1205">
        <f>$F81/12*2</f>
        <v>0</v>
      </c>
      <c r="CK81" s="1205">
        <f>$F81/12*1</f>
        <v>0</v>
      </c>
      <c r="CL81" s="1236">
        <f>$F81/12*3</f>
        <v>0</v>
      </c>
      <c r="CM81" s="1207">
        <f t="shared" si="283"/>
        <v>0</v>
      </c>
      <c r="CN81" s="1208">
        <f t="shared" si="283"/>
        <v>0</v>
      </c>
      <c r="CO81" s="1209">
        <f>$G81/8*2</f>
        <v>0</v>
      </c>
      <c r="CP81" s="1237">
        <f t="shared" si="124"/>
        <v>0</v>
      </c>
      <c r="CS81" s="575"/>
      <c r="CT81" s="5"/>
      <c r="CU81" s="1180"/>
      <c r="CV81" s="575"/>
      <c r="CW81" s="5"/>
      <c r="CX81" s="1180"/>
      <c r="CY81" s="575"/>
      <c r="CZ81" s="5"/>
      <c r="DA81" s="1180"/>
      <c r="DB81" s="575"/>
      <c r="DC81" s="5"/>
      <c r="DD81" s="1180"/>
      <c r="DE81" s="1181">
        <f>SUM(CS81:DD81)</f>
        <v>0</v>
      </c>
      <c r="DG81" s="575"/>
      <c r="DH81" s="5"/>
      <c r="DI81" s="1180"/>
      <c r="DJ81" s="575"/>
      <c r="DK81" s="5"/>
      <c r="DL81" s="1180"/>
      <c r="DM81" s="575"/>
      <c r="DN81" s="5"/>
      <c r="DO81" s="1180"/>
      <c r="DP81" s="575"/>
      <c r="DQ81" s="5"/>
      <c r="DR81" s="1180"/>
      <c r="DS81" s="1181">
        <f>SUM(DG81:DR81)</f>
        <v>0</v>
      </c>
      <c r="DU81" s="575"/>
      <c r="DV81" s="5"/>
      <c r="DW81" s="1180"/>
      <c r="DX81" s="575"/>
      <c r="DY81" s="5"/>
      <c r="DZ81" s="1180"/>
      <c r="EA81" s="575"/>
      <c r="EB81" s="5"/>
      <c r="EC81" s="1180"/>
      <c r="ED81" s="575"/>
      <c r="EE81" s="5"/>
      <c r="EF81" s="1180"/>
      <c r="EG81" s="1181">
        <f>SUM(DU81:EF81)</f>
        <v>0</v>
      </c>
      <c r="EI81" s="22"/>
      <c r="EJ81" s="3223"/>
      <c r="EK81" s="427" t="str">
        <f>C81</f>
        <v>Hourly Student(s) #3</v>
      </c>
      <c r="EL81" s="21">
        <f t="shared" si="284"/>
        <v>0</v>
      </c>
      <c r="EM81" s="21">
        <f t="shared" si="284"/>
        <v>0</v>
      </c>
      <c r="EN81" s="21">
        <f t="shared" si="284"/>
        <v>0</v>
      </c>
      <c r="EO81" s="21">
        <f t="shared" si="284"/>
        <v>0</v>
      </c>
      <c r="EP81" s="21">
        <f t="shared" si="284"/>
        <v>0</v>
      </c>
      <c r="EQ81" s="21">
        <f t="shared" si="284"/>
        <v>0</v>
      </c>
      <c r="ER81" s="428">
        <f>SUM(EL81:EQ81)</f>
        <v>0</v>
      </c>
      <c r="ES81" s="4"/>
      <c r="ET81" s="13"/>
      <c r="EU81" s="4"/>
      <c r="EV81" s="21">
        <f t="shared" si="285"/>
        <v>0</v>
      </c>
      <c r="EW81" s="5">
        <f t="shared" si="285"/>
        <v>0</v>
      </c>
      <c r="EX81" s="5">
        <f t="shared" si="285"/>
        <v>0</v>
      </c>
      <c r="EY81" s="5">
        <f t="shared" si="285"/>
        <v>0</v>
      </c>
      <c r="EZ81" s="5">
        <f t="shared" si="285"/>
        <v>0</v>
      </c>
      <c r="FA81" s="5">
        <f t="shared" si="285"/>
        <v>0</v>
      </c>
      <c r="FB81" s="167">
        <f>SUM(EV81:FA81)</f>
        <v>0</v>
      </c>
      <c r="FD81" s="21">
        <f t="shared" si="286"/>
        <v>0</v>
      </c>
      <c r="FE81" s="5">
        <f t="shared" si="286"/>
        <v>0</v>
      </c>
      <c r="FF81" s="5">
        <f t="shared" si="286"/>
        <v>0</v>
      </c>
      <c r="FG81" s="5">
        <f t="shared" si="286"/>
        <v>0</v>
      </c>
      <c r="FH81" s="5">
        <f t="shared" si="286"/>
        <v>0</v>
      </c>
      <c r="FI81" s="5">
        <f t="shared" si="286"/>
        <v>0</v>
      </c>
      <c r="FJ81" s="48">
        <f>SUM(FD81:FI81)</f>
        <v>0</v>
      </c>
      <c r="FL81" s="21">
        <f t="shared" si="287"/>
        <v>0</v>
      </c>
      <c r="FM81" s="5">
        <f t="shared" si="287"/>
        <v>0</v>
      </c>
      <c r="FN81" s="5">
        <f t="shared" si="287"/>
        <v>0</v>
      </c>
      <c r="FO81" s="5">
        <f t="shared" si="287"/>
        <v>0</v>
      </c>
      <c r="FP81" s="5">
        <f t="shared" si="287"/>
        <v>0</v>
      </c>
      <c r="FQ81" s="5">
        <f t="shared" si="287"/>
        <v>0</v>
      </c>
      <c r="FR81" s="209">
        <f>SUM(FL81:FQ81)</f>
        <v>0</v>
      </c>
      <c r="FT81" s="21">
        <f t="shared" si="288"/>
        <v>0</v>
      </c>
      <c r="FU81" s="5">
        <f t="shared" si="288"/>
        <v>0</v>
      </c>
      <c r="FV81" s="5">
        <f t="shared" si="288"/>
        <v>0</v>
      </c>
      <c r="FW81" s="5">
        <f t="shared" si="288"/>
        <v>0</v>
      </c>
      <c r="FX81" s="5">
        <f t="shared" si="288"/>
        <v>0</v>
      </c>
      <c r="FY81" s="5">
        <f t="shared" si="288"/>
        <v>0</v>
      </c>
      <c r="FZ81" s="181">
        <f>SUM(FT81:FY81)</f>
        <v>0</v>
      </c>
      <c r="GB81" s="21">
        <f t="shared" si="289"/>
        <v>0</v>
      </c>
      <c r="GC81" s="5">
        <f t="shared" si="289"/>
        <v>0</v>
      </c>
      <c r="GD81" s="5">
        <f t="shared" si="289"/>
        <v>0</v>
      </c>
      <c r="GE81" s="5">
        <f t="shared" si="289"/>
        <v>0</v>
      </c>
      <c r="GF81" s="5">
        <f t="shared" si="289"/>
        <v>0</v>
      </c>
      <c r="GG81" s="5">
        <f t="shared" si="289"/>
        <v>0</v>
      </c>
      <c r="GH81" s="153">
        <f>SUM(GB81:GG81)</f>
        <v>0</v>
      </c>
      <c r="GJ81" s="21">
        <f t="shared" si="290"/>
        <v>0</v>
      </c>
      <c r="GK81" s="5">
        <f t="shared" si="290"/>
        <v>0</v>
      </c>
      <c r="GL81" s="5">
        <f t="shared" si="290"/>
        <v>0</v>
      </c>
      <c r="GM81" s="5">
        <f t="shared" si="290"/>
        <v>0</v>
      </c>
      <c r="GN81" s="5">
        <f t="shared" si="290"/>
        <v>0</v>
      </c>
      <c r="GO81" s="5">
        <f t="shared" si="290"/>
        <v>0</v>
      </c>
      <c r="GP81" s="195">
        <f>SUM(GJ81:GO81)</f>
        <v>0</v>
      </c>
      <c r="GR81" s="21"/>
      <c r="GS81" s="5"/>
      <c r="GT81" s="5"/>
      <c r="GU81" s="5"/>
      <c r="GV81" s="5"/>
      <c r="GW81" s="5"/>
      <c r="GX81" s="1105">
        <f t="shared" si="173"/>
        <v>0</v>
      </c>
      <c r="GZ81" s="575">
        <f t="shared" si="291"/>
        <v>0</v>
      </c>
      <c r="HA81" s="575">
        <f t="shared" si="291"/>
        <v>0</v>
      </c>
      <c r="HB81" s="575">
        <f t="shared" si="291"/>
        <v>0</v>
      </c>
      <c r="HC81" s="575">
        <f t="shared" si="291"/>
        <v>0</v>
      </c>
      <c r="HD81" s="575">
        <f t="shared" si="291"/>
        <v>0</v>
      </c>
      <c r="HE81" s="575">
        <f t="shared" si="291"/>
        <v>0</v>
      </c>
      <c r="HF81" s="991">
        <f t="shared" si="180"/>
        <v>0</v>
      </c>
      <c r="HG81" s="573">
        <f>SUM(ER81+HF81)</f>
        <v>0</v>
      </c>
      <c r="HH81" s="257"/>
    </row>
    <row r="82" spans="1:216" ht="15" hidden="1" customHeight="1" thickBot="1" x14ac:dyDescent="0.3">
      <c r="A82" s="25"/>
      <c r="B82" s="3212" t="s">
        <v>829</v>
      </c>
      <c r="C82" s="3224"/>
      <c r="D82" s="466">
        <f t="shared" ref="D82:J82" si="292">SUM(D79:D81)</f>
        <v>0</v>
      </c>
      <c r="E82" s="96">
        <f t="shared" si="292"/>
        <v>0</v>
      </c>
      <c r="F82" s="96">
        <f t="shared" si="292"/>
        <v>0</v>
      </c>
      <c r="G82" s="96">
        <f t="shared" si="292"/>
        <v>0</v>
      </c>
      <c r="H82" s="96">
        <f t="shared" si="292"/>
        <v>0</v>
      </c>
      <c r="I82" s="96">
        <f t="shared" si="292"/>
        <v>0</v>
      </c>
      <c r="J82" s="97">
        <f t="shared" si="292"/>
        <v>0</v>
      </c>
      <c r="K82" s="13">
        <f>SUM(D82:I82)</f>
        <v>0</v>
      </c>
      <c r="L82" s="13"/>
      <c r="M82" s="13"/>
      <c r="N82" s="168">
        <f t="shared" ref="N82:T82" si="293">SUM(N79:N81)</f>
        <v>0</v>
      </c>
      <c r="O82" s="168">
        <f t="shared" si="293"/>
        <v>0</v>
      </c>
      <c r="P82" s="168">
        <f t="shared" si="293"/>
        <v>0</v>
      </c>
      <c r="Q82" s="168">
        <f t="shared" si="293"/>
        <v>0</v>
      </c>
      <c r="R82" s="168">
        <f t="shared" si="293"/>
        <v>0</v>
      </c>
      <c r="S82" s="168">
        <f t="shared" si="293"/>
        <v>0</v>
      </c>
      <c r="T82" s="168">
        <f t="shared" si="293"/>
        <v>0</v>
      </c>
      <c r="U82" s="1"/>
      <c r="V82" s="141">
        <f t="shared" ref="V82:AB82" si="294">SUM(V79:V81)</f>
        <v>0</v>
      </c>
      <c r="W82" s="141">
        <f t="shared" si="294"/>
        <v>0</v>
      </c>
      <c r="X82" s="141">
        <f t="shared" si="294"/>
        <v>0</v>
      </c>
      <c r="Y82" s="141">
        <f t="shared" si="294"/>
        <v>0</v>
      </c>
      <c r="Z82" s="141">
        <f t="shared" si="294"/>
        <v>0</v>
      </c>
      <c r="AA82" s="141">
        <f t="shared" si="294"/>
        <v>0</v>
      </c>
      <c r="AB82" s="141">
        <f t="shared" si="294"/>
        <v>0</v>
      </c>
      <c r="AD82" s="210">
        <f t="shared" ref="AD82:AJ82" si="295">SUM(AD79:AD81)</f>
        <v>0</v>
      </c>
      <c r="AE82" s="210">
        <f t="shared" si="295"/>
        <v>0</v>
      </c>
      <c r="AF82" s="210">
        <f t="shared" si="295"/>
        <v>0</v>
      </c>
      <c r="AG82" s="210">
        <f t="shared" si="295"/>
        <v>0</v>
      </c>
      <c r="AH82" s="210">
        <f t="shared" si="295"/>
        <v>0</v>
      </c>
      <c r="AI82" s="210">
        <f t="shared" si="295"/>
        <v>0</v>
      </c>
      <c r="AJ82" s="210">
        <f t="shared" si="295"/>
        <v>0</v>
      </c>
      <c r="AL82" s="182">
        <f t="shared" ref="AL82:AR82" si="296">SUM(AL79:AL81)</f>
        <v>0</v>
      </c>
      <c r="AM82" s="182">
        <f t="shared" si="296"/>
        <v>0</v>
      </c>
      <c r="AN82" s="182">
        <f t="shared" si="296"/>
        <v>0</v>
      </c>
      <c r="AO82" s="182">
        <f t="shared" si="296"/>
        <v>0</v>
      </c>
      <c r="AP82" s="182">
        <f t="shared" si="296"/>
        <v>0</v>
      </c>
      <c r="AQ82" s="182">
        <f t="shared" si="296"/>
        <v>0</v>
      </c>
      <c r="AR82" s="182">
        <f t="shared" si="296"/>
        <v>0</v>
      </c>
      <c r="AT82" s="154">
        <f t="shared" ref="AT82:AZ82" si="297">SUM(AT79:AT81)</f>
        <v>0</v>
      </c>
      <c r="AU82" s="154">
        <f t="shared" si="297"/>
        <v>0</v>
      </c>
      <c r="AV82" s="154">
        <f t="shared" si="297"/>
        <v>0</v>
      </c>
      <c r="AW82" s="154">
        <f t="shared" si="297"/>
        <v>0</v>
      </c>
      <c r="AX82" s="154">
        <f t="shared" si="297"/>
        <v>0</v>
      </c>
      <c r="AY82" s="154">
        <f t="shared" si="297"/>
        <v>0</v>
      </c>
      <c r="AZ82" s="154">
        <f t="shared" si="297"/>
        <v>0</v>
      </c>
      <c r="BB82" s="196">
        <f t="shared" ref="BB82:BH82" si="298">SUM(BB79:BB81)</f>
        <v>0</v>
      </c>
      <c r="BC82" s="196">
        <f t="shared" si="298"/>
        <v>0</v>
      </c>
      <c r="BD82" s="196">
        <f t="shared" si="298"/>
        <v>0</v>
      </c>
      <c r="BE82" s="196">
        <f t="shared" si="298"/>
        <v>0</v>
      </c>
      <c r="BF82" s="196">
        <f t="shared" si="298"/>
        <v>0</v>
      </c>
      <c r="BG82" s="196">
        <f t="shared" si="298"/>
        <v>0</v>
      </c>
      <c r="BH82" s="196">
        <f t="shared" si="298"/>
        <v>0</v>
      </c>
      <c r="BJ82" s="1106">
        <f t="shared" ref="BJ82:BP82" si="299">SUM(BJ79:BJ81)</f>
        <v>0</v>
      </c>
      <c r="BK82" s="1106">
        <f t="shared" si="299"/>
        <v>0</v>
      </c>
      <c r="BL82" s="1106">
        <f t="shared" si="299"/>
        <v>0</v>
      </c>
      <c r="BM82" s="1106">
        <f t="shared" si="299"/>
        <v>0</v>
      </c>
      <c r="BN82" s="1106">
        <f t="shared" si="299"/>
        <v>0</v>
      </c>
      <c r="BO82" s="1106">
        <f t="shared" si="299"/>
        <v>0</v>
      </c>
      <c r="BP82" s="1126">
        <f t="shared" si="299"/>
        <v>0</v>
      </c>
      <c r="BR82" s="992">
        <f t="shared" ref="BR82:BX82" si="300">SUM(BR79:BR81)</f>
        <v>0</v>
      </c>
      <c r="BS82" s="992">
        <f t="shared" si="300"/>
        <v>0</v>
      </c>
      <c r="BT82" s="992">
        <f t="shared" si="300"/>
        <v>0</v>
      </c>
      <c r="BU82" s="992">
        <f t="shared" si="300"/>
        <v>0</v>
      </c>
      <c r="BV82" s="992">
        <f t="shared" si="300"/>
        <v>0</v>
      </c>
      <c r="BW82" s="992">
        <f t="shared" si="300"/>
        <v>0</v>
      </c>
      <c r="BX82" s="992">
        <f t="shared" si="300"/>
        <v>0</v>
      </c>
      <c r="BY82" s="268">
        <f>SUM(J82,BX82)</f>
        <v>0</v>
      </c>
      <c r="BZ82" s="129"/>
      <c r="CB82" s="1211">
        <f t="shared" ref="CB82:CO82" si="301">SUM(CB79:CB81)</f>
        <v>0</v>
      </c>
      <c r="CC82" s="95">
        <f t="shared" si="301"/>
        <v>0</v>
      </c>
      <c r="CD82" s="96">
        <f t="shared" si="301"/>
        <v>0</v>
      </c>
      <c r="CE82" s="96">
        <f t="shared" si="301"/>
        <v>0</v>
      </c>
      <c r="CF82" s="96">
        <f t="shared" si="301"/>
        <v>0</v>
      </c>
      <c r="CG82" s="97">
        <f t="shared" si="301"/>
        <v>0</v>
      </c>
      <c r="CH82" s="95">
        <f t="shared" si="301"/>
        <v>0</v>
      </c>
      <c r="CI82" s="96">
        <f t="shared" si="301"/>
        <v>0</v>
      </c>
      <c r="CJ82" s="96">
        <f t="shared" si="301"/>
        <v>0</v>
      </c>
      <c r="CK82" s="96">
        <f t="shared" si="301"/>
        <v>0</v>
      </c>
      <c r="CL82" s="1212">
        <f t="shared" si="301"/>
        <v>0</v>
      </c>
      <c r="CM82" s="95">
        <f t="shared" si="301"/>
        <v>0</v>
      </c>
      <c r="CN82" s="96">
        <f t="shared" si="301"/>
        <v>0</v>
      </c>
      <c r="CO82" s="97">
        <f t="shared" si="301"/>
        <v>0</v>
      </c>
      <c r="CP82" s="1210">
        <f t="shared" si="124"/>
        <v>0</v>
      </c>
      <c r="CS82" s="1231">
        <f t="shared" ref="CS82:DE82" si="302">SUM(CS63:CS81)</f>
        <v>0</v>
      </c>
      <c r="CT82" s="7">
        <f t="shared" si="302"/>
        <v>0</v>
      </c>
      <c r="CU82" s="573">
        <f t="shared" si="302"/>
        <v>0</v>
      </c>
      <c r="CV82" s="1231">
        <f t="shared" si="302"/>
        <v>0</v>
      </c>
      <c r="CW82" s="7">
        <f t="shared" si="302"/>
        <v>0</v>
      </c>
      <c r="CX82" s="573">
        <f t="shared" si="302"/>
        <v>0</v>
      </c>
      <c r="CY82" s="1231">
        <f t="shared" si="302"/>
        <v>0</v>
      </c>
      <c r="CZ82" s="7">
        <f t="shared" si="302"/>
        <v>0</v>
      </c>
      <c r="DA82" s="573">
        <f t="shared" si="302"/>
        <v>0</v>
      </c>
      <c r="DB82" s="1231">
        <f t="shared" si="302"/>
        <v>0</v>
      </c>
      <c r="DC82" s="7">
        <f t="shared" si="302"/>
        <v>0</v>
      </c>
      <c r="DD82" s="573">
        <f t="shared" si="302"/>
        <v>0</v>
      </c>
      <c r="DE82" s="1181">
        <f t="shared" si="302"/>
        <v>0</v>
      </c>
      <c r="DG82" s="1231">
        <f t="shared" ref="DG82:DS82" si="303">SUM(DG63:DG81)</f>
        <v>0</v>
      </c>
      <c r="DH82" s="7">
        <f t="shared" si="303"/>
        <v>0</v>
      </c>
      <c r="DI82" s="573">
        <f t="shared" si="303"/>
        <v>0</v>
      </c>
      <c r="DJ82" s="1231">
        <f t="shared" si="303"/>
        <v>0</v>
      </c>
      <c r="DK82" s="7">
        <f t="shared" si="303"/>
        <v>0</v>
      </c>
      <c r="DL82" s="573">
        <f t="shared" si="303"/>
        <v>0</v>
      </c>
      <c r="DM82" s="1231">
        <f t="shared" si="303"/>
        <v>0</v>
      </c>
      <c r="DN82" s="7">
        <f t="shared" si="303"/>
        <v>0</v>
      </c>
      <c r="DO82" s="573">
        <f t="shared" si="303"/>
        <v>0</v>
      </c>
      <c r="DP82" s="1231">
        <f t="shared" si="303"/>
        <v>0</v>
      </c>
      <c r="DQ82" s="7">
        <f t="shared" si="303"/>
        <v>0</v>
      </c>
      <c r="DR82" s="573">
        <f t="shared" si="303"/>
        <v>0</v>
      </c>
      <c r="DS82" s="1181">
        <f t="shared" si="303"/>
        <v>0</v>
      </c>
      <c r="DU82" s="1231">
        <f t="shared" ref="DU82:EG82" si="304">SUM(DU63:DU81)</f>
        <v>0</v>
      </c>
      <c r="DV82" s="7">
        <f t="shared" si="304"/>
        <v>0</v>
      </c>
      <c r="DW82" s="573">
        <f t="shared" si="304"/>
        <v>0</v>
      </c>
      <c r="DX82" s="1231">
        <f t="shared" si="304"/>
        <v>0</v>
      </c>
      <c r="DY82" s="7">
        <f t="shared" si="304"/>
        <v>0</v>
      </c>
      <c r="DZ82" s="573">
        <f t="shared" si="304"/>
        <v>0</v>
      </c>
      <c r="EA82" s="1231">
        <f t="shared" si="304"/>
        <v>0</v>
      </c>
      <c r="EB82" s="7">
        <f t="shared" si="304"/>
        <v>0</v>
      </c>
      <c r="EC82" s="573">
        <f t="shared" si="304"/>
        <v>0</v>
      </c>
      <c r="ED82" s="1231">
        <f t="shared" si="304"/>
        <v>0</v>
      </c>
      <c r="EE82" s="7">
        <f t="shared" si="304"/>
        <v>0</v>
      </c>
      <c r="EF82" s="573">
        <f t="shared" si="304"/>
        <v>0</v>
      </c>
      <c r="EG82" s="1181">
        <f t="shared" si="304"/>
        <v>0</v>
      </c>
      <c r="EI82" s="25"/>
      <c r="EJ82" s="3212" t="s">
        <v>829</v>
      </c>
      <c r="EK82" s="3224"/>
      <c r="EL82" s="466">
        <f t="shared" ref="EL82:ER82" si="305">SUM(EL79:EL81)</f>
        <v>0</v>
      </c>
      <c r="EM82" s="96">
        <f t="shared" si="305"/>
        <v>0</v>
      </c>
      <c r="EN82" s="96">
        <f t="shared" si="305"/>
        <v>0</v>
      </c>
      <c r="EO82" s="96">
        <f t="shared" si="305"/>
        <v>0</v>
      </c>
      <c r="EP82" s="96">
        <f t="shared" si="305"/>
        <v>0</v>
      </c>
      <c r="EQ82" s="96">
        <f t="shared" si="305"/>
        <v>0</v>
      </c>
      <c r="ER82" s="97">
        <f t="shared" si="305"/>
        <v>0</v>
      </c>
      <c r="ES82" s="13">
        <f>SUM(EL82:EQ82)</f>
        <v>0</v>
      </c>
      <c r="ET82" s="13"/>
      <c r="EU82" s="13"/>
      <c r="EV82" s="168">
        <f t="shared" ref="EV82:FB82" si="306">SUM(EV79:EV81)</f>
        <v>0</v>
      </c>
      <c r="EW82" s="168">
        <f t="shared" si="306"/>
        <v>0</v>
      </c>
      <c r="EX82" s="168">
        <f t="shared" si="306"/>
        <v>0</v>
      </c>
      <c r="EY82" s="168">
        <f t="shared" si="306"/>
        <v>0</v>
      </c>
      <c r="EZ82" s="168">
        <f t="shared" si="306"/>
        <v>0</v>
      </c>
      <c r="FA82" s="168">
        <f t="shared" si="306"/>
        <v>0</v>
      </c>
      <c r="FB82" s="168">
        <f t="shared" si="306"/>
        <v>0</v>
      </c>
      <c r="FC82" s="1"/>
      <c r="FD82" s="141">
        <f t="shared" ref="FD82:FJ82" si="307">SUM(FD79:FD81)</f>
        <v>0</v>
      </c>
      <c r="FE82" s="141">
        <f t="shared" si="307"/>
        <v>0</v>
      </c>
      <c r="FF82" s="141">
        <f t="shared" si="307"/>
        <v>0</v>
      </c>
      <c r="FG82" s="141">
        <f t="shared" si="307"/>
        <v>0</v>
      </c>
      <c r="FH82" s="141">
        <f t="shared" si="307"/>
        <v>0</v>
      </c>
      <c r="FI82" s="141">
        <f t="shared" si="307"/>
        <v>0</v>
      </c>
      <c r="FJ82" s="141">
        <f t="shared" si="307"/>
        <v>0</v>
      </c>
      <c r="FL82" s="210">
        <f t="shared" ref="FL82:FR82" si="308">SUM(FL79:FL81)</f>
        <v>0</v>
      </c>
      <c r="FM82" s="210">
        <f t="shared" si="308"/>
        <v>0</v>
      </c>
      <c r="FN82" s="210">
        <f t="shared" si="308"/>
        <v>0</v>
      </c>
      <c r="FO82" s="210">
        <f t="shared" si="308"/>
        <v>0</v>
      </c>
      <c r="FP82" s="210">
        <f t="shared" si="308"/>
        <v>0</v>
      </c>
      <c r="FQ82" s="210">
        <f t="shared" si="308"/>
        <v>0</v>
      </c>
      <c r="FR82" s="210">
        <f t="shared" si="308"/>
        <v>0</v>
      </c>
      <c r="FT82" s="182">
        <f t="shared" ref="FT82:FZ82" si="309">SUM(FT79:FT81)</f>
        <v>0</v>
      </c>
      <c r="FU82" s="182">
        <f t="shared" si="309"/>
        <v>0</v>
      </c>
      <c r="FV82" s="182">
        <f t="shared" si="309"/>
        <v>0</v>
      </c>
      <c r="FW82" s="182">
        <f t="shared" si="309"/>
        <v>0</v>
      </c>
      <c r="FX82" s="182">
        <f t="shared" si="309"/>
        <v>0</v>
      </c>
      <c r="FY82" s="182">
        <f t="shared" si="309"/>
        <v>0</v>
      </c>
      <c r="FZ82" s="182">
        <f t="shared" si="309"/>
        <v>0</v>
      </c>
      <c r="GB82" s="154">
        <f t="shared" ref="GB82:GH82" si="310">SUM(GB79:GB81)</f>
        <v>0</v>
      </c>
      <c r="GC82" s="154">
        <f t="shared" si="310"/>
        <v>0</v>
      </c>
      <c r="GD82" s="154">
        <f t="shared" si="310"/>
        <v>0</v>
      </c>
      <c r="GE82" s="154">
        <f t="shared" si="310"/>
        <v>0</v>
      </c>
      <c r="GF82" s="154">
        <f t="shared" si="310"/>
        <v>0</v>
      </c>
      <c r="GG82" s="154">
        <f t="shared" si="310"/>
        <v>0</v>
      </c>
      <c r="GH82" s="154">
        <f t="shared" si="310"/>
        <v>0</v>
      </c>
      <c r="GJ82" s="196">
        <f t="shared" ref="GJ82:GP82" si="311">SUM(GJ79:GJ81)</f>
        <v>0</v>
      </c>
      <c r="GK82" s="196">
        <f t="shared" si="311"/>
        <v>0</v>
      </c>
      <c r="GL82" s="196">
        <f t="shared" si="311"/>
        <v>0</v>
      </c>
      <c r="GM82" s="196">
        <f t="shared" si="311"/>
        <v>0</v>
      </c>
      <c r="GN82" s="196">
        <f t="shared" si="311"/>
        <v>0</v>
      </c>
      <c r="GO82" s="196">
        <f t="shared" si="311"/>
        <v>0</v>
      </c>
      <c r="GP82" s="196">
        <f t="shared" si="311"/>
        <v>0</v>
      </c>
      <c r="GR82" s="1106">
        <f t="shared" ref="GR82:GX82" si="312">SUM(GR79:GR81)</f>
        <v>0</v>
      </c>
      <c r="GS82" s="1106">
        <f t="shared" si="312"/>
        <v>0</v>
      </c>
      <c r="GT82" s="1106">
        <f t="shared" si="312"/>
        <v>0</v>
      </c>
      <c r="GU82" s="1106">
        <f t="shared" si="312"/>
        <v>0</v>
      </c>
      <c r="GV82" s="1106">
        <f t="shared" si="312"/>
        <v>0</v>
      </c>
      <c r="GW82" s="1106">
        <f t="shared" si="312"/>
        <v>0</v>
      </c>
      <c r="GX82" s="1126">
        <f t="shared" si="312"/>
        <v>0</v>
      </c>
      <c r="GZ82" s="992">
        <f t="shared" ref="GZ82:HF82" si="313">SUM(GZ79:GZ81)</f>
        <v>0</v>
      </c>
      <c r="HA82" s="992">
        <f t="shared" si="313"/>
        <v>0</v>
      </c>
      <c r="HB82" s="992">
        <f t="shared" si="313"/>
        <v>0</v>
      </c>
      <c r="HC82" s="992">
        <f t="shared" si="313"/>
        <v>0</v>
      </c>
      <c r="HD82" s="992">
        <f t="shared" si="313"/>
        <v>0</v>
      </c>
      <c r="HE82" s="992">
        <f t="shared" si="313"/>
        <v>0</v>
      </c>
      <c r="HF82" s="992">
        <f t="shared" si="313"/>
        <v>0</v>
      </c>
      <c r="HG82" s="268">
        <f>SUM(ER82,HF82)</f>
        <v>0</v>
      </c>
      <c r="HH82" s="129"/>
    </row>
    <row r="83" spans="1:216" ht="15" hidden="1" customHeight="1" thickBot="1" x14ac:dyDescent="0.3">
      <c r="A83" s="25"/>
      <c r="B83" s="2258"/>
      <c r="C83" s="472" t="s">
        <v>830</v>
      </c>
      <c r="D83" s="2259">
        <f t="shared" ref="D83:J83" ca="1" si="314">SUM(D78,D82)</f>
        <v>16250</v>
      </c>
      <c r="E83" s="412">
        <f t="shared" ca="1" si="314"/>
        <v>0</v>
      </c>
      <c r="F83" s="412">
        <f t="shared" ca="1" si="314"/>
        <v>0</v>
      </c>
      <c r="G83" s="412">
        <f t="shared" ca="1" si="314"/>
        <v>0</v>
      </c>
      <c r="H83" s="412">
        <f t="shared" ca="1" si="314"/>
        <v>0</v>
      </c>
      <c r="I83" s="412">
        <f t="shared" ca="1" si="314"/>
        <v>0</v>
      </c>
      <c r="J83" s="1239">
        <f t="shared" ca="1" si="314"/>
        <v>16250</v>
      </c>
      <c r="K83" s="13"/>
      <c r="L83" s="13"/>
      <c r="M83" s="13"/>
      <c r="N83" s="168">
        <f t="shared" ref="N83:T83" ca="1" si="315">SUM(N78,N82)</f>
        <v>0</v>
      </c>
      <c r="O83" s="168">
        <f t="shared" ca="1" si="315"/>
        <v>0</v>
      </c>
      <c r="P83" s="168">
        <f t="shared" ca="1" si="315"/>
        <v>0</v>
      </c>
      <c r="Q83" s="168">
        <f t="shared" ca="1" si="315"/>
        <v>0</v>
      </c>
      <c r="R83" s="168">
        <f t="shared" ca="1" si="315"/>
        <v>0</v>
      </c>
      <c r="S83" s="168">
        <f t="shared" ca="1" si="315"/>
        <v>0</v>
      </c>
      <c r="T83" s="168">
        <f t="shared" ca="1" si="315"/>
        <v>0</v>
      </c>
      <c r="U83" s="1"/>
      <c r="V83" s="141">
        <f t="shared" ref="V83:AB83" ca="1" si="316">SUM(V78,V82)</f>
        <v>0</v>
      </c>
      <c r="W83" s="141">
        <f t="shared" ca="1" si="316"/>
        <v>0</v>
      </c>
      <c r="X83" s="141">
        <f t="shared" ca="1" si="316"/>
        <v>0</v>
      </c>
      <c r="Y83" s="141">
        <f t="shared" ca="1" si="316"/>
        <v>0</v>
      </c>
      <c r="Z83" s="141">
        <f t="shared" ca="1" si="316"/>
        <v>0</v>
      </c>
      <c r="AA83" s="141">
        <f t="shared" ca="1" si="316"/>
        <v>0</v>
      </c>
      <c r="AB83" s="141">
        <f t="shared" ca="1" si="316"/>
        <v>0</v>
      </c>
      <c r="AD83" s="210">
        <f t="shared" ref="AD83:AJ83" ca="1" si="317">SUM(AD78,AD82)</f>
        <v>0</v>
      </c>
      <c r="AE83" s="210">
        <f t="shared" ca="1" si="317"/>
        <v>0</v>
      </c>
      <c r="AF83" s="210">
        <f t="shared" ca="1" si="317"/>
        <v>0</v>
      </c>
      <c r="AG83" s="210">
        <f t="shared" ca="1" si="317"/>
        <v>0</v>
      </c>
      <c r="AH83" s="210">
        <f t="shared" ca="1" si="317"/>
        <v>0</v>
      </c>
      <c r="AI83" s="210">
        <f t="shared" ca="1" si="317"/>
        <v>0</v>
      </c>
      <c r="AJ83" s="210">
        <f t="shared" ca="1" si="317"/>
        <v>0</v>
      </c>
      <c r="AL83" s="182">
        <f t="shared" ref="AL83:AR83" ca="1" si="318">SUM(AL78,AL82)</f>
        <v>0</v>
      </c>
      <c r="AM83" s="182">
        <f t="shared" ca="1" si="318"/>
        <v>0</v>
      </c>
      <c r="AN83" s="182">
        <f t="shared" ca="1" si="318"/>
        <v>0</v>
      </c>
      <c r="AO83" s="182">
        <f t="shared" ca="1" si="318"/>
        <v>0</v>
      </c>
      <c r="AP83" s="182">
        <f t="shared" ca="1" si="318"/>
        <v>0</v>
      </c>
      <c r="AQ83" s="182">
        <f t="shared" ca="1" si="318"/>
        <v>0</v>
      </c>
      <c r="AR83" s="182">
        <f t="shared" ca="1" si="318"/>
        <v>0</v>
      </c>
      <c r="AT83" s="154">
        <f t="shared" ref="AT83:AZ83" ca="1" si="319">SUM(AT78,AT82)</f>
        <v>0</v>
      </c>
      <c r="AU83" s="154">
        <f t="shared" ca="1" si="319"/>
        <v>0</v>
      </c>
      <c r="AV83" s="154">
        <f t="shared" ca="1" si="319"/>
        <v>0</v>
      </c>
      <c r="AW83" s="154">
        <f t="shared" ca="1" si="319"/>
        <v>0</v>
      </c>
      <c r="AX83" s="154">
        <f t="shared" ca="1" si="319"/>
        <v>0</v>
      </c>
      <c r="AY83" s="154">
        <f t="shared" ca="1" si="319"/>
        <v>0</v>
      </c>
      <c r="AZ83" s="154">
        <f t="shared" ca="1" si="319"/>
        <v>0</v>
      </c>
      <c r="BB83" s="196">
        <f t="shared" ref="BB83:BH83" ca="1" si="320">SUM(BB78,BB82)</f>
        <v>0</v>
      </c>
      <c r="BC83" s="196">
        <f t="shared" ca="1" si="320"/>
        <v>0</v>
      </c>
      <c r="BD83" s="196">
        <f t="shared" ca="1" si="320"/>
        <v>0</v>
      </c>
      <c r="BE83" s="196">
        <f t="shared" ca="1" si="320"/>
        <v>0</v>
      </c>
      <c r="BF83" s="196">
        <f t="shared" ca="1" si="320"/>
        <v>0</v>
      </c>
      <c r="BG83" s="196">
        <f t="shared" ca="1" si="320"/>
        <v>0</v>
      </c>
      <c r="BH83" s="196">
        <f t="shared" ca="1" si="320"/>
        <v>0</v>
      </c>
      <c r="BJ83" s="1106">
        <f t="shared" ref="BJ83:BP83" si="321">SUM(BJ78,BJ82)</f>
        <v>0</v>
      </c>
      <c r="BK83" s="1106">
        <f t="shared" si="321"/>
        <v>0</v>
      </c>
      <c r="BL83" s="1106">
        <f t="shared" si="321"/>
        <v>0</v>
      </c>
      <c r="BM83" s="1106">
        <f t="shared" si="321"/>
        <v>0</v>
      </c>
      <c r="BN83" s="1106">
        <f t="shared" si="321"/>
        <v>0</v>
      </c>
      <c r="BO83" s="1106">
        <f t="shared" si="321"/>
        <v>0</v>
      </c>
      <c r="BP83" s="1126">
        <f t="shared" si="321"/>
        <v>0</v>
      </c>
      <c r="BR83" s="2260">
        <f t="shared" ref="BR83:BX83" ca="1" si="322">SUM(BR78,BR82)</f>
        <v>0</v>
      </c>
      <c r="BS83" s="2260">
        <f t="shared" ca="1" si="322"/>
        <v>0</v>
      </c>
      <c r="BT83" s="2260">
        <f t="shared" ca="1" si="322"/>
        <v>0</v>
      </c>
      <c r="BU83" s="2260">
        <f t="shared" ca="1" si="322"/>
        <v>0</v>
      </c>
      <c r="BV83" s="2260">
        <f t="shared" ca="1" si="322"/>
        <v>0</v>
      </c>
      <c r="BW83" s="2260">
        <f t="shared" ca="1" si="322"/>
        <v>0</v>
      </c>
      <c r="BX83" s="2260">
        <f t="shared" ca="1" si="322"/>
        <v>0</v>
      </c>
      <c r="BY83" s="2261">
        <f ca="1">SUM(J83,BX83)</f>
        <v>16250</v>
      </c>
      <c r="BZ83" s="129"/>
      <c r="CB83" s="1229">
        <f t="shared" ref="CB83:CO83" ca="1" si="323">SUM(CB78,CB82)</f>
        <v>16250</v>
      </c>
      <c r="CC83" s="95">
        <f t="shared" ca="1" si="323"/>
        <v>0</v>
      </c>
      <c r="CD83" s="96">
        <f t="shared" ca="1" si="323"/>
        <v>0</v>
      </c>
      <c r="CE83" s="96">
        <f t="shared" ca="1" si="323"/>
        <v>0</v>
      </c>
      <c r="CF83" s="96">
        <f t="shared" ca="1" si="323"/>
        <v>0</v>
      </c>
      <c r="CG83" s="97">
        <f t="shared" ca="1" si="323"/>
        <v>0</v>
      </c>
      <c r="CH83" s="95">
        <f t="shared" ca="1" si="323"/>
        <v>0</v>
      </c>
      <c r="CI83" s="96">
        <f t="shared" ca="1" si="323"/>
        <v>0</v>
      </c>
      <c r="CJ83" s="96">
        <f t="shared" ca="1" si="323"/>
        <v>0</v>
      </c>
      <c r="CK83" s="96">
        <f t="shared" ca="1" si="323"/>
        <v>0</v>
      </c>
      <c r="CL83" s="1212">
        <f t="shared" ca="1" si="323"/>
        <v>0</v>
      </c>
      <c r="CM83" s="95">
        <f t="shared" ca="1" si="323"/>
        <v>0</v>
      </c>
      <c r="CN83" s="96">
        <f t="shared" ca="1" si="323"/>
        <v>0</v>
      </c>
      <c r="CO83" s="97">
        <f t="shared" ca="1" si="323"/>
        <v>0</v>
      </c>
      <c r="CP83" s="1210">
        <f t="shared" ca="1" si="124"/>
        <v>16250</v>
      </c>
      <c r="CS83" s="2262"/>
      <c r="CT83" s="2263"/>
      <c r="CU83" s="577"/>
      <c r="CV83" s="2262"/>
      <c r="CW83" s="2263"/>
      <c r="CX83" s="577"/>
      <c r="CY83" s="2262"/>
      <c r="CZ83" s="2263"/>
      <c r="DA83" s="577"/>
      <c r="DB83" s="2262"/>
      <c r="DC83" s="2263"/>
      <c r="DD83" s="577"/>
      <c r="DE83" s="1255"/>
      <c r="DG83" s="2262"/>
      <c r="DH83" s="2263"/>
      <c r="DI83" s="577"/>
      <c r="DJ83" s="2262"/>
      <c r="DK83" s="2263"/>
      <c r="DL83" s="577"/>
      <c r="DM83" s="2262"/>
      <c r="DN83" s="2263"/>
      <c r="DO83" s="577"/>
      <c r="DP83" s="2262"/>
      <c r="DQ83" s="2263"/>
      <c r="DR83" s="577"/>
      <c r="DS83" s="1255"/>
      <c r="DU83" s="2262"/>
      <c r="DV83" s="2263"/>
      <c r="DW83" s="577"/>
      <c r="DX83" s="2262"/>
      <c r="DY83" s="2263"/>
      <c r="DZ83" s="577"/>
      <c r="EA83" s="2262"/>
      <c r="EB83" s="2263"/>
      <c r="EC83" s="577"/>
      <c r="ED83" s="2262"/>
      <c r="EE83" s="2263"/>
      <c r="EF83" s="577"/>
      <c r="EG83" s="1255"/>
      <c r="EI83" s="25"/>
      <c r="EJ83" s="2258"/>
      <c r="EK83" s="472" t="s">
        <v>830</v>
      </c>
      <c r="EL83" s="2259">
        <f t="shared" ref="EL83:ER83" ca="1" si="324">SUM(EL78,EL82)</f>
        <v>16250</v>
      </c>
      <c r="EM83" s="412">
        <f t="shared" ca="1" si="324"/>
        <v>0</v>
      </c>
      <c r="EN83" s="412">
        <f t="shared" ca="1" si="324"/>
        <v>0</v>
      </c>
      <c r="EO83" s="412">
        <f t="shared" ca="1" si="324"/>
        <v>0</v>
      </c>
      <c r="EP83" s="412">
        <f t="shared" ca="1" si="324"/>
        <v>0</v>
      </c>
      <c r="EQ83" s="412">
        <f t="shared" ca="1" si="324"/>
        <v>0</v>
      </c>
      <c r="ER83" s="1239">
        <f t="shared" ca="1" si="324"/>
        <v>16250</v>
      </c>
      <c r="ES83" s="13"/>
      <c r="ET83" s="13"/>
      <c r="EU83" s="13"/>
      <c r="EV83" s="168">
        <f t="shared" ref="EV83:FB83" ca="1" si="325">SUM(EV78,EV82)</f>
        <v>0</v>
      </c>
      <c r="EW83" s="168">
        <f t="shared" ca="1" si="325"/>
        <v>0</v>
      </c>
      <c r="EX83" s="168">
        <f t="shared" ca="1" si="325"/>
        <v>0</v>
      </c>
      <c r="EY83" s="168">
        <f t="shared" ca="1" si="325"/>
        <v>0</v>
      </c>
      <c r="EZ83" s="168">
        <f t="shared" ca="1" si="325"/>
        <v>0</v>
      </c>
      <c r="FA83" s="168">
        <f t="shared" ca="1" si="325"/>
        <v>0</v>
      </c>
      <c r="FB83" s="168">
        <f t="shared" ca="1" si="325"/>
        <v>0</v>
      </c>
      <c r="FC83" s="1"/>
      <c r="FD83" s="141">
        <f t="shared" ref="FD83:FJ83" ca="1" si="326">SUM(FD78,FD82)</f>
        <v>0</v>
      </c>
      <c r="FE83" s="141">
        <f t="shared" ca="1" si="326"/>
        <v>0</v>
      </c>
      <c r="FF83" s="141">
        <f t="shared" ca="1" si="326"/>
        <v>0</v>
      </c>
      <c r="FG83" s="141">
        <f t="shared" ca="1" si="326"/>
        <v>0</v>
      </c>
      <c r="FH83" s="141">
        <f t="shared" ca="1" si="326"/>
        <v>0</v>
      </c>
      <c r="FI83" s="141">
        <f t="shared" ca="1" si="326"/>
        <v>0</v>
      </c>
      <c r="FJ83" s="141">
        <f t="shared" ca="1" si="326"/>
        <v>0</v>
      </c>
      <c r="FL83" s="210">
        <f t="shared" ref="FL83:FR83" ca="1" si="327">SUM(FL78,FL82)</f>
        <v>0</v>
      </c>
      <c r="FM83" s="210">
        <f t="shared" ca="1" si="327"/>
        <v>0</v>
      </c>
      <c r="FN83" s="210">
        <f t="shared" ca="1" si="327"/>
        <v>0</v>
      </c>
      <c r="FO83" s="210">
        <f t="shared" ca="1" si="327"/>
        <v>0</v>
      </c>
      <c r="FP83" s="210">
        <f t="shared" ca="1" si="327"/>
        <v>0</v>
      </c>
      <c r="FQ83" s="210">
        <f t="shared" ca="1" si="327"/>
        <v>0</v>
      </c>
      <c r="FR83" s="210">
        <f t="shared" ca="1" si="327"/>
        <v>0</v>
      </c>
      <c r="FT83" s="182">
        <f t="shared" ref="FT83:FZ83" ca="1" si="328">SUM(FT78,FT82)</f>
        <v>0</v>
      </c>
      <c r="FU83" s="182">
        <f t="shared" ca="1" si="328"/>
        <v>0</v>
      </c>
      <c r="FV83" s="182">
        <f t="shared" ca="1" si="328"/>
        <v>0</v>
      </c>
      <c r="FW83" s="182">
        <f t="shared" ca="1" si="328"/>
        <v>0</v>
      </c>
      <c r="FX83" s="182">
        <f t="shared" ca="1" si="328"/>
        <v>0</v>
      </c>
      <c r="FY83" s="182">
        <f t="shared" ca="1" si="328"/>
        <v>0</v>
      </c>
      <c r="FZ83" s="182">
        <f t="shared" ca="1" si="328"/>
        <v>0</v>
      </c>
      <c r="GB83" s="154">
        <f t="shared" ref="GB83:GH83" ca="1" si="329">SUM(GB78,GB82)</f>
        <v>0</v>
      </c>
      <c r="GC83" s="154">
        <f t="shared" ca="1" si="329"/>
        <v>0</v>
      </c>
      <c r="GD83" s="154">
        <f t="shared" ca="1" si="329"/>
        <v>0</v>
      </c>
      <c r="GE83" s="154">
        <f t="shared" ca="1" si="329"/>
        <v>0</v>
      </c>
      <c r="GF83" s="154">
        <f t="shared" ca="1" si="329"/>
        <v>0</v>
      </c>
      <c r="GG83" s="154">
        <f t="shared" ca="1" si="329"/>
        <v>0</v>
      </c>
      <c r="GH83" s="154">
        <f t="shared" ca="1" si="329"/>
        <v>0</v>
      </c>
      <c r="GJ83" s="196">
        <f t="shared" ref="GJ83:GP83" ca="1" si="330">SUM(GJ78,GJ82)</f>
        <v>0</v>
      </c>
      <c r="GK83" s="196">
        <f t="shared" ca="1" si="330"/>
        <v>0</v>
      </c>
      <c r="GL83" s="196">
        <f t="shared" ca="1" si="330"/>
        <v>0</v>
      </c>
      <c r="GM83" s="196">
        <f t="shared" ca="1" si="330"/>
        <v>0</v>
      </c>
      <c r="GN83" s="196">
        <f t="shared" ca="1" si="330"/>
        <v>0</v>
      </c>
      <c r="GO83" s="196">
        <f t="shared" ca="1" si="330"/>
        <v>0</v>
      </c>
      <c r="GP83" s="196">
        <f t="shared" ca="1" si="330"/>
        <v>0</v>
      </c>
      <c r="GR83" s="1106">
        <f t="shared" ref="GR83:GX83" si="331">SUM(GR78,GR82)</f>
        <v>0</v>
      </c>
      <c r="GS83" s="1106">
        <f t="shared" si="331"/>
        <v>0</v>
      </c>
      <c r="GT83" s="1106">
        <f t="shared" si="331"/>
        <v>0</v>
      </c>
      <c r="GU83" s="1106">
        <f t="shared" si="331"/>
        <v>0</v>
      </c>
      <c r="GV83" s="1106">
        <f t="shared" si="331"/>
        <v>0</v>
      </c>
      <c r="GW83" s="1106">
        <f t="shared" si="331"/>
        <v>0</v>
      </c>
      <c r="GX83" s="1126">
        <f t="shared" si="331"/>
        <v>0</v>
      </c>
      <c r="GZ83" s="2260">
        <f t="shared" ref="GZ83:HF83" ca="1" si="332">SUM(GZ78,GZ82)</f>
        <v>0</v>
      </c>
      <c r="HA83" s="2260">
        <f t="shared" ca="1" si="332"/>
        <v>0</v>
      </c>
      <c r="HB83" s="2260">
        <f t="shared" ca="1" si="332"/>
        <v>0</v>
      </c>
      <c r="HC83" s="2260">
        <f t="shared" ca="1" si="332"/>
        <v>0</v>
      </c>
      <c r="HD83" s="2260">
        <f t="shared" ca="1" si="332"/>
        <v>0</v>
      </c>
      <c r="HE83" s="2260">
        <f t="shared" ca="1" si="332"/>
        <v>0</v>
      </c>
      <c r="HF83" s="2260">
        <f t="shared" ca="1" si="332"/>
        <v>0</v>
      </c>
      <c r="HG83" s="2261">
        <f ca="1">SUM(ER83,HF83)</f>
        <v>16250</v>
      </c>
      <c r="HH83" s="129"/>
    </row>
    <row r="84" spans="1:216" ht="15" customHeight="1" thickBot="1" x14ac:dyDescent="0.3">
      <c r="A84" s="25"/>
      <c r="B84" s="411"/>
      <c r="C84" s="472" t="s">
        <v>44</v>
      </c>
      <c r="D84" s="412">
        <f t="shared" ref="D84:J84" ca="1" si="333">SUM(D44,D62,D83)</f>
        <v>33031.995999999999</v>
      </c>
      <c r="E84" s="412">
        <f t="shared" ca="1" si="333"/>
        <v>0</v>
      </c>
      <c r="F84" s="412">
        <f t="shared" ca="1" si="333"/>
        <v>0</v>
      </c>
      <c r="G84" s="412">
        <f t="shared" ca="1" si="333"/>
        <v>0</v>
      </c>
      <c r="H84" s="412">
        <f t="shared" ca="1" si="333"/>
        <v>0</v>
      </c>
      <c r="I84" s="412">
        <f t="shared" ca="1" si="333"/>
        <v>0</v>
      </c>
      <c r="J84" s="413">
        <f t="shared" ca="1" si="333"/>
        <v>33031.995999999999</v>
      </c>
      <c r="K84" s="13">
        <f ca="1">SUM(D84:I84)</f>
        <v>33031.995999999999</v>
      </c>
      <c r="L84" s="13"/>
      <c r="M84" s="13"/>
      <c r="N84" s="168">
        <f t="shared" ref="N84:T84" ca="1" si="334">SUM(N44,N62,N83)</f>
        <v>0</v>
      </c>
      <c r="O84" s="168">
        <f t="shared" ca="1" si="334"/>
        <v>0</v>
      </c>
      <c r="P84" s="168">
        <f t="shared" ca="1" si="334"/>
        <v>0</v>
      </c>
      <c r="Q84" s="168">
        <f t="shared" ca="1" si="334"/>
        <v>0</v>
      </c>
      <c r="R84" s="168">
        <f t="shared" ca="1" si="334"/>
        <v>0</v>
      </c>
      <c r="S84" s="168">
        <f t="shared" ca="1" si="334"/>
        <v>0</v>
      </c>
      <c r="T84" s="167">
        <f t="shared" ca="1" si="334"/>
        <v>0</v>
      </c>
      <c r="U84" s="1"/>
      <c r="V84" s="141">
        <f t="shared" ref="V84:AB84" ca="1" si="335">SUM(V44,V62,V83)</f>
        <v>0</v>
      </c>
      <c r="W84" s="141">
        <f t="shared" ca="1" si="335"/>
        <v>0</v>
      </c>
      <c r="X84" s="141">
        <f t="shared" ca="1" si="335"/>
        <v>0</v>
      </c>
      <c r="Y84" s="141">
        <f t="shared" ca="1" si="335"/>
        <v>0</v>
      </c>
      <c r="Z84" s="141">
        <f t="shared" ca="1" si="335"/>
        <v>0</v>
      </c>
      <c r="AA84" s="141">
        <f t="shared" ca="1" si="335"/>
        <v>0</v>
      </c>
      <c r="AB84" s="48">
        <f t="shared" ca="1" si="335"/>
        <v>0</v>
      </c>
      <c r="AD84" s="210">
        <f t="shared" ref="AD84:AJ84" ca="1" si="336">SUM(AD44,AD62,AD83)</f>
        <v>0</v>
      </c>
      <c r="AE84" s="210">
        <f t="shared" ca="1" si="336"/>
        <v>0</v>
      </c>
      <c r="AF84" s="210">
        <f t="shared" ca="1" si="336"/>
        <v>0</v>
      </c>
      <c r="AG84" s="210">
        <f t="shared" ca="1" si="336"/>
        <v>0</v>
      </c>
      <c r="AH84" s="210">
        <f t="shared" ca="1" si="336"/>
        <v>0</v>
      </c>
      <c r="AI84" s="210">
        <f t="shared" ca="1" si="336"/>
        <v>0</v>
      </c>
      <c r="AJ84" s="209">
        <f t="shared" ca="1" si="336"/>
        <v>0</v>
      </c>
      <c r="AL84" s="182">
        <f t="shared" ref="AL84:AR84" ca="1" si="337">SUM(AL44,AL62,AL83)</f>
        <v>0</v>
      </c>
      <c r="AM84" s="182">
        <f t="shared" ca="1" si="337"/>
        <v>0</v>
      </c>
      <c r="AN84" s="182">
        <f t="shared" ca="1" si="337"/>
        <v>0</v>
      </c>
      <c r="AO84" s="182">
        <f t="shared" ca="1" si="337"/>
        <v>0</v>
      </c>
      <c r="AP84" s="182">
        <f t="shared" ca="1" si="337"/>
        <v>0</v>
      </c>
      <c r="AQ84" s="182">
        <f t="shared" ca="1" si="337"/>
        <v>0</v>
      </c>
      <c r="AR84" s="181">
        <f t="shared" ca="1" si="337"/>
        <v>0</v>
      </c>
      <c r="AT84" s="154">
        <f t="shared" ref="AT84:AZ84" ca="1" si="338">SUM(AT44,AT62,AT83)</f>
        <v>0</v>
      </c>
      <c r="AU84" s="154">
        <f t="shared" ca="1" si="338"/>
        <v>0</v>
      </c>
      <c r="AV84" s="154">
        <f t="shared" ca="1" si="338"/>
        <v>0</v>
      </c>
      <c r="AW84" s="154">
        <f t="shared" ca="1" si="338"/>
        <v>0</v>
      </c>
      <c r="AX84" s="154">
        <f t="shared" ca="1" si="338"/>
        <v>0</v>
      </c>
      <c r="AY84" s="154">
        <f t="shared" ca="1" si="338"/>
        <v>0</v>
      </c>
      <c r="AZ84" s="153">
        <f t="shared" ca="1" si="338"/>
        <v>0</v>
      </c>
      <c r="BB84" s="196">
        <f t="shared" ref="BB84:BH84" ca="1" si="339">SUM(BB44,BB62,BB83)</f>
        <v>0</v>
      </c>
      <c r="BC84" s="196">
        <f t="shared" ca="1" si="339"/>
        <v>0</v>
      </c>
      <c r="BD84" s="196">
        <f t="shared" ca="1" si="339"/>
        <v>0</v>
      </c>
      <c r="BE84" s="196">
        <f t="shared" ca="1" si="339"/>
        <v>0</v>
      </c>
      <c r="BF84" s="196">
        <f t="shared" ca="1" si="339"/>
        <v>0</v>
      </c>
      <c r="BG84" s="196">
        <f t="shared" ca="1" si="339"/>
        <v>0</v>
      </c>
      <c r="BH84" s="195">
        <f t="shared" ca="1" si="339"/>
        <v>0</v>
      </c>
      <c r="BJ84" s="1106">
        <f t="shared" ref="BJ84:BP84" si="340">SUM(BJ44,BJ62,BJ83)</f>
        <v>0</v>
      </c>
      <c r="BK84" s="1106">
        <f t="shared" si="340"/>
        <v>0</v>
      </c>
      <c r="BL84" s="1106">
        <f t="shared" si="340"/>
        <v>0</v>
      </c>
      <c r="BM84" s="1106">
        <f t="shared" si="340"/>
        <v>0</v>
      </c>
      <c r="BN84" s="1106">
        <f t="shared" si="340"/>
        <v>0</v>
      </c>
      <c r="BO84" s="1106">
        <f t="shared" si="340"/>
        <v>0</v>
      </c>
      <c r="BP84" s="1105">
        <f t="shared" si="340"/>
        <v>0</v>
      </c>
      <c r="BR84" s="993">
        <f t="shared" ref="BR84:BX84" ca="1" si="341">SUM(BR44,BR62,BR83)</f>
        <v>0</v>
      </c>
      <c r="BS84" s="993">
        <f t="shared" ca="1" si="341"/>
        <v>0</v>
      </c>
      <c r="BT84" s="993">
        <f t="shared" ca="1" si="341"/>
        <v>0</v>
      </c>
      <c r="BU84" s="993">
        <f t="shared" ca="1" si="341"/>
        <v>0</v>
      </c>
      <c r="BV84" s="993">
        <f t="shared" ca="1" si="341"/>
        <v>0</v>
      </c>
      <c r="BW84" s="993">
        <f t="shared" ca="1" si="341"/>
        <v>0</v>
      </c>
      <c r="BX84" s="993">
        <f t="shared" ca="1" si="341"/>
        <v>0</v>
      </c>
      <c r="BY84" s="275">
        <f ca="1">SUM(J84,BX84)</f>
        <v>33031.995999999999</v>
      </c>
      <c r="BZ84" s="257"/>
      <c r="CB84" s="412">
        <f t="shared" ref="CB84:CO84" ca="1" si="342">SUM(CB44,CB62,CB83)</f>
        <v>16250</v>
      </c>
      <c r="CC84" s="1238">
        <f t="shared" ca="1" si="342"/>
        <v>0</v>
      </c>
      <c r="CD84" s="412">
        <f t="shared" ca="1" si="342"/>
        <v>0</v>
      </c>
      <c r="CE84" s="412">
        <f t="shared" ca="1" si="342"/>
        <v>0</v>
      </c>
      <c r="CF84" s="412">
        <f t="shared" ca="1" si="342"/>
        <v>0</v>
      </c>
      <c r="CG84" s="1239">
        <f t="shared" ca="1" si="342"/>
        <v>0</v>
      </c>
      <c r="CH84" s="1238">
        <f t="shared" ca="1" si="342"/>
        <v>0</v>
      </c>
      <c r="CI84" s="412">
        <f t="shared" ca="1" si="342"/>
        <v>0</v>
      </c>
      <c r="CJ84" s="412">
        <f t="shared" ca="1" si="342"/>
        <v>0</v>
      </c>
      <c r="CK84" s="412">
        <f t="shared" ca="1" si="342"/>
        <v>0</v>
      </c>
      <c r="CL84" s="1240">
        <f t="shared" ca="1" si="342"/>
        <v>0</v>
      </c>
      <c r="CM84" s="1238">
        <f t="shared" ca="1" si="342"/>
        <v>0</v>
      </c>
      <c r="CN84" s="412">
        <f t="shared" ca="1" si="342"/>
        <v>0</v>
      </c>
      <c r="CO84" s="1239">
        <f t="shared" ca="1" si="342"/>
        <v>0</v>
      </c>
      <c r="CP84" s="1210">
        <f t="shared" ca="1" si="124"/>
        <v>16250</v>
      </c>
      <c r="CS84" s="1215">
        <f t="shared" ref="CS84:DE84" si="343">SUM(CS44,CS62,CS82)</f>
        <v>0</v>
      </c>
      <c r="CT84" s="1216">
        <f t="shared" si="343"/>
        <v>0</v>
      </c>
      <c r="CU84" s="275">
        <f t="shared" si="343"/>
        <v>0</v>
      </c>
      <c r="CV84" s="1215">
        <f t="shared" si="343"/>
        <v>0</v>
      </c>
      <c r="CW84" s="1216">
        <f t="shared" si="343"/>
        <v>0</v>
      </c>
      <c r="CX84" s="275">
        <f t="shared" si="343"/>
        <v>0</v>
      </c>
      <c r="CY84" s="1215">
        <f t="shared" si="343"/>
        <v>0</v>
      </c>
      <c r="CZ84" s="1216">
        <f t="shared" si="343"/>
        <v>0</v>
      </c>
      <c r="DA84" s="275">
        <f t="shared" si="343"/>
        <v>0</v>
      </c>
      <c r="DB84" s="1215">
        <f t="shared" si="343"/>
        <v>0</v>
      </c>
      <c r="DC84" s="1216">
        <f t="shared" si="343"/>
        <v>0</v>
      </c>
      <c r="DD84" s="275">
        <f t="shared" si="343"/>
        <v>0</v>
      </c>
      <c r="DE84" s="1062">
        <f t="shared" si="343"/>
        <v>0</v>
      </c>
      <c r="DG84" s="1215">
        <f t="shared" ref="DG84:DS84" si="344">SUM(DG44,DG62,DG82)</f>
        <v>0</v>
      </c>
      <c r="DH84" s="1216">
        <f t="shared" si="344"/>
        <v>0</v>
      </c>
      <c r="DI84" s="275">
        <f t="shared" si="344"/>
        <v>0</v>
      </c>
      <c r="DJ84" s="1215">
        <f t="shared" si="344"/>
        <v>0</v>
      </c>
      <c r="DK84" s="1216">
        <f t="shared" si="344"/>
        <v>0</v>
      </c>
      <c r="DL84" s="275">
        <f t="shared" si="344"/>
        <v>0</v>
      </c>
      <c r="DM84" s="1215">
        <f t="shared" si="344"/>
        <v>0</v>
      </c>
      <c r="DN84" s="1216">
        <f t="shared" si="344"/>
        <v>0</v>
      </c>
      <c r="DO84" s="275">
        <f t="shared" si="344"/>
        <v>0</v>
      </c>
      <c r="DP84" s="1215">
        <f t="shared" si="344"/>
        <v>0</v>
      </c>
      <c r="DQ84" s="1216">
        <f t="shared" si="344"/>
        <v>0</v>
      </c>
      <c r="DR84" s="275">
        <f t="shared" si="344"/>
        <v>0</v>
      </c>
      <c r="DS84" s="1062">
        <f t="shared" si="344"/>
        <v>0</v>
      </c>
      <c r="DU84" s="1215">
        <f t="shared" ref="DU84:EG84" si="345">SUM(DU44,DU62,DU82)</f>
        <v>0</v>
      </c>
      <c r="DV84" s="1216">
        <f t="shared" si="345"/>
        <v>0</v>
      </c>
      <c r="DW84" s="275">
        <f t="shared" si="345"/>
        <v>0</v>
      </c>
      <c r="DX84" s="1215">
        <f t="shared" si="345"/>
        <v>0</v>
      </c>
      <c r="DY84" s="1216">
        <f t="shared" si="345"/>
        <v>0</v>
      </c>
      <c r="DZ84" s="275">
        <f t="shared" si="345"/>
        <v>0</v>
      </c>
      <c r="EA84" s="1215">
        <f t="shared" si="345"/>
        <v>0</v>
      </c>
      <c r="EB84" s="1216">
        <f t="shared" si="345"/>
        <v>0</v>
      </c>
      <c r="EC84" s="275">
        <f t="shared" si="345"/>
        <v>0</v>
      </c>
      <c r="ED84" s="1215">
        <f t="shared" si="345"/>
        <v>0</v>
      </c>
      <c r="EE84" s="1216">
        <f t="shared" si="345"/>
        <v>0</v>
      </c>
      <c r="EF84" s="275">
        <f t="shared" si="345"/>
        <v>0</v>
      </c>
      <c r="EG84" s="1062">
        <f t="shared" si="345"/>
        <v>0</v>
      </c>
      <c r="EI84" s="25"/>
      <c r="EJ84" s="411"/>
      <c r="EK84" s="472" t="s">
        <v>44</v>
      </c>
      <c r="EL84" s="412">
        <f t="shared" ref="EL84:ER84" ca="1" si="346">SUM(EL44,EL62,EL83)</f>
        <v>33032</v>
      </c>
      <c r="EM84" s="412">
        <f t="shared" ca="1" si="346"/>
        <v>0</v>
      </c>
      <c r="EN84" s="412">
        <f t="shared" ca="1" si="346"/>
        <v>0</v>
      </c>
      <c r="EO84" s="412">
        <f t="shared" ca="1" si="346"/>
        <v>0</v>
      </c>
      <c r="EP84" s="412">
        <f t="shared" ca="1" si="346"/>
        <v>0</v>
      </c>
      <c r="EQ84" s="412">
        <f t="shared" ca="1" si="346"/>
        <v>0</v>
      </c>
      <c r="ER84" s="413">
        <f t="shared" ca="1" si="346"/>
        <v>33032</v>
      </c>
      <c r="ES84" s="13">
        <f ca="1">SUM(EL84:EQ84)</f>
        <v>33032</v>
      </c>
      <c r="ET84" s="13"/>
      <c r="EU84" s="13"/>
      <c r="EV84" s="168">
        <f t="shared" ref="EV84:FB84" ca="1" si="347">SUM(EV44,EV62,EV83)</f>
        <v>0</v>
      </c>
      <c r="EW84" s="168">
        <f t="shared" ca="1" si="347"/>
        <v>0</v>
      </c>
      <c r="EX84" s="168">
        <f t="shared" ca="1" si="347"/>
        <v>0</v>
      </c>
      <c r="EY84" s="168">
        <f t="shared" ca="1" si="347"/>
        <v>0</v>
      </c>
      <c r="EZ84" s="168">
        <f t="shared" ca="1" si="347"/>
        <v>0</v>
      </c>
      <c r="FA84" s="168">
        <f t="shared" ca="1" si="347"/>
        <v>0</v>
      </c>
      <c r="FB84" s="167">
        <f t="shared" ca="1" si="347"/>
        <v>0</v>
      </c>
      <c r="FC84" s="1"/>
      <c r="FD84" s="141">
        <f t="shared" ref="FD84:FJ84" ca="1" si="348">SUM(FD44,FD62,FD83)</f>
        <v>0</v>
      </c>
      <c r="FE84" s="141">
        <f t="shared" ca="1" si="348"/>
        <v>0</v>
      </c>
      <c r="FF84" s="141">
        <f t="shared" ca="1" si="348"/>
        <v>0</v>
      </c>
      <c r="FG84" s="141">
        <f t="shared" ca="1" si="348"/>
        <v>0</v>
      </c>
      <c r="FH84" s="141">
        <f t="shared" ca="1" si="348"/>
        <v>0</v>
      </c>
      <c r="FI84" s="141">
        <f t="shared" ca="1" si="348"/>
        <v>0</v>
      </c>
      <c r="FJ84" s="48">
        <f t="shared" ca="1" si="348"/>
        <v>0</v>
      </c>
      <c r="FL84" s="210">
        <f t="shared" ref="FL84:FR84" ca="1" si="349">SUM(FL44,FL62,FL83)</f>
        <v>0</v>
      </c>
      <c r="FM84" s="210">
        <f t="shared" ca="1" si="349"/>
        <v>0</v>
      </c>
      <c r="FN84" s="210">
        <f t="shared" ca="1" si="349"/>
        <v>0</v>
      </c>
      <c r="FO84" s="210">
        <f t="shared" ca="1" si="349"/>
        <v>0</v>
      </c>
      <c r="FP84" s="210">
        <f t="shared" ca="1" si="349"/>
        <v>0</v>
      </c>
      <c r="FQ84" s="210">
        <f t="shared" ca="1" si="349"/>
        <v>0</v>
      </c>
      <c r="FR84" s="209">
        <f t="shared" ca="1" si="349"/>
        <v>0</v>
      </c>
      <c r="FT84" s="182">
        <f t="shared" ref="FT84:FZ84" ca="1" si="350">SUM(FT44,FT62,FT83)</f>
        <v>0</v>
      </c>
      <c r="FU84" s="182">
        <f t="shared" ca="1" si="350"/>
        <v>0</v>
      </c>
      <c r="FV84" s="182">
        <f t="shared" ca="1" si="350"/>
        <v>0</v>
      </c>
      <c r="FW84" s="182">
        <f t="shared" ca="1" si="350"/>
        <v>0</v>
      </c>
      <c r="FX84" s="182">
        <f t="shared" ca="1" si="350"/>
        <v>0</v>
      </c>
      <c r="FY84" s="182">
        <f t="shared" ca="1" si="350"/>
        <v>0</v>
      </c>
      <c r="FZ84" s="181">
        <f t="shared" ca="1" si="350"/>
        <v>0</v>
      </c>
      <c r="GB84" s="154">
        <f t="shared" ref="GB84:GH84" ca="1" si="351">SUM(GB44,GB62,GB83)</f>
        <v>0</v>
      </c>
      <c r="GC84" s="154">
        <f t="shared" ca="1" si="351"/>
        <v>0</v>
      </c>
      <c r="GD84" s="154">
        <f t="shared" ca="1" si="351"/>
        <v>0</v>
      </c>
      <c r="GE84" s="154">
        <f t="shared" ca="1" si="351"/>
        <v>0</v>
      </c>
      <c r="GF84" s="154">
        <f t="shared" ca="1" si="351"/>
        <v>0</v>
      </c>
      <c r="GG84" s="154">
        <f t="shared" ca="1" si="351"/>
        <v>0</v>
      </c>
      <c r="GH84" s="153">
        <f t="shared" ca="1" si="351"/>
        <v>0</v>
      </c>
      <c r="GJ84" s="196">
        <f t="shared" ref="GJ84:GP84" ca="1" si="352">SUM(GJ44,GJ62,GJ83)</f>
        <v>0</v>
      </c>
      <c r="GK84" s="196">
        <f t="shared" ca="1" si="352"/>
        <v>0</v>
      </c>
      <c r="GL84" s="196">
        <f t="shared" ca="1" si="352"/>
        <v>0</v>
      </c>
      <c r="GM84" s="196">
        <f t="shared" ca="1" si="352"/>
        <v>0</v>
      </c>
      <c r="GN84" s="196">
        <f t="shared" ca="1" si="352"/>
        <v>0</v>
      </c>
      <c r="GO84" s="196">
        <f t="shared" ca="1" si="352"/>
        <v>0</v>
      </c>
      <c r="GP84" s="195">
        <f t="shared" ca="1" si="352"/>
        <v>0</v>
      </c>
      <c r="GR84" s="1106">
        <f t="shared" ref="GR84:GX84" si="353">SUM(GR44,GR62,GR83)</f>
        <v>0</v>
      </c>
      <c r="GS84" s="1106">
        <f t="shared" si="353"/>
        <v>0</v>
      </c>
      <c r="GT84" s="1106">
        <f t="shared" si="353"/>
        <v>0</v>
      </c>
      <c r="GU84" s="1106">
        <f t="shared" si="353"/>
        <v>0</v>
      </c>
      <c r="GV84" s="1106">
        <f t="shared" si="353"/>
        <v>0</v>
      </c>
      <c r="GW84" s="1106">
        <f t="shared" si="353"/>
        <v>0</v>
      </c>
      <c r="GX84" s="1105">
        <f t="shared" si="353"/>
        <v>0</v>
      </c>
      <c r="GZ84" s="993">
        <f t="shared" ref="GZ84:HF84" ca="1" si="354">SUM(GZ44,GZ62,GZ83)</f>
        <v>0</v>
      </c>
      <c r="HA84" s="993">
        <f t="shared" ca="1" si="354"/>
        <v>0</v>
      </c>
      <c r="HB84" s="993">
        <f t="shared" ca="1" si="354"/>
        <v>0</v>
      </c>
      <c r="HC84" s="993">
        <f t="shared" ca="1" si="354"/>
        <v>0</v>
      </c>
      <c r="HD84" s="993">
        <f t="shared" ca="1" si="354"/>
        <v>0</v>
      </c>
      <c r="HE84" s="993">
        <f t="shared" ca="1" si="354"/>
        <v>0</v>
      </c>
      <c r="HF84" s="993">
        <f t="shared" ca="1" si="354"/>
        <v>0</v>
      </c>
      <c r="HG84" s="275">
        <f ca="1">SUM(ER84,HF84)</f>
        <v>33032</v>
      </c>
      <c r="HH84" s="257"/>
    </row>
    <row r="85" spans="1:216" ht="15" customHeight="1" thickBot="1" x14ac:dyDescent="0.3">
      <c r="A85" s="25"/>
      <c r="C85" s="430"/>
      <c r="D85" s="129"/>
      <c r="E85" s="129"/>
      <c r="F85" s="129"/>
      <c r="G85" s="129"/>
      <c r="H85" s="129"/>
      <c r="I85" s="129"/>
      <c r="J85" s="431"/>
      <c r="K85" s="13"/>
      <c r="L85" s="6"/>
      <c r="M85" s="13"/>
      <c r="N85" s="36"/>
      <c r="O85" s="36"/>
      <c r="P85" s="36"/>
      <c r="Q85" s="36"/>
      <c r="R85" s="36"/>
      <c r="S85" s="36"/>
      <c r="T85" s="37"/>
      <c r="U85" s="1"/>
      <c r="V85" s="36"/>
      <c r="W85" s="36"/>
      <c r="X85" s="36"/>
      <c r="Y85" s="36"/>
      <c r="Z85" s="36"/>
      <c r="AA85" s="36"/>
      <c r="AB85" s="37"/>
      <c r="AD85" s="36"/>
      <c r="AE85" s="36"/>
      <c r="AF85" s="36"/>
      <c r="AG85" s="36"/>
      <c r="AH85" s="36"/>
      <c r="AI85" s="36"/>
      <c r="AJ85" s="37"/>
      <c r="AL85" s="36"/>
      <c r="AM85" s="36"/>
      <c r="AN85" s="36"/>
      <c r="AO85" s="36"/>
      <c r="AP85" s="36"/>
      <c r="AQ85" s="36"/>
      <c r="AR85" s="37"/>
      <c r="AT85" s="36"/>
      <c r="AU85" s="36"/>
      <c r="AV85" s="36"/>
      <c r="AW85" s="36"/>
      <c r="AX85" s="36"/>
      <c r="AY85" s="36"/>
      <c r="AZ85" s="37"/>
      <c r="BB85" s="36"/>
      <c r="BC85" s="36"/>
      <c r="BD85" s="36"/>
      <c r="BE85" s="36"/>
      <c r="BF85" s="36"/>
      <c r="BG85" s="36"/>
      <c r="BH85" s="37"/>
      <c r="BJ85" s="36"/>
      <c r="BK85" s="36"/>
      <c r="BL85" s="36"/>
      <c r="BM85" s="36"/>
      <c r="BN85" s="36"/>
      <c r="BO85" s="36"/>
      <c r="BP85" s="37"/>
      <c r="BR85" s="130"/>
      <c r="BS85" s="130"/>
      <c r="BT85" s="130"/>
      <c r="BU85" s="130"/>
      <c r="BV85" s="130"/>
      <c r="BW85" s="130"/>
      <c r="BX85" s="130"/>
      <c r="BY85" s="130"/>
      <c r="BZ85" s="130"/>
      <c r="CB85" s="1217"/>
      <c r="CC85" s="1217"/>
      <c r="CD85" s="1217"/>
      <c r="CE85" s="1217"/>
      <c r="CF85" s="1217"/>
      <c r="CG85" s="1217"/>
      <c r="CH85" s="1217"/>
      <c r="CI85" s="1217"/>
      <c r="CJ85" s="1217"/>
      <c r="CK85" s="1217"/>
      <c r="CL85" s="1217"/>
      <c r="CM85" s="1217"/>
      <c r="CN85" s="1217"/>
      <c r="CO85" s="1217"/>
      <c r="CP85" s="1217"/>
      <c r="EI85" s="25"/>
      <c r="EK85" s="430"/>
      <c r="EL85" s="129"/>
      <c r="EM85" s="129"/>
      <c r="EN85" s="129"/>
      <c r="EO85" s="129"/>
      <c r="EP85" s="129"/>
      <c r="EQ85" s="129"/>
      <c r="ER85" s="431"/>
      <c r="ES85" s="13"/>
      <c r="ET85" s="6"/>
      <c r="EU85" s="13"/>
      <c r="EV85" s="36"/>
      <c r="EW85" s="36"/>
      <c r="EX85" s="36"/>
      <c r="EY85" s="36"/>
      <c r="EZ85" s="36"/>
      <c r="FA85" s="36"/>
      <c r="FB85" s="37"/>
      <c r="FC85" s="1"/>
      <c r="FD85" s="36"/>
      <c r="FE85" s="36"/>
      <c r="FF85" s="36"/>
      <c r="FG85" s="36"/>
      <c r="FH85" s="36"/>
      <c r="FI85" s="36"/>
      <c r="FJ85" s="37"/>
      <c r="FL85" s="36"/>
      <c r="FM85" s="36"/>
      <c r="FN85" s="36"/>
      <c r="FO85" s="36"/>
      <c r="FP85" s="36"/>
      <c r="FQ85" s="36"/>
      <c r="FR85" s="37"/>
      <c r="FT85" s="36"/>
      <c r="FU85" s="36"/>
      <c r="FV85" s="36"/>
      <c r="FW85" s="36"/>
      <c r="FX85" s="36"/>
      <c r="FY85" s="36"/>
      <c r="FZ85" s="37"/>
      <c r="GB85" s="36"/>
      <c r="GC85" s="36"/>
      <c r="GD85" s="36"/>
      <c r="GE85" s="36"/>
      <c r="GF85" s="36"/>
      <c r="GG85" s="36"/>
      <c r="GH85" s="37"/>
      <c r="GJ85" s="36"/>
      <c r="GK85" s="36"/>
      <c r="GL85" s="36"/>
      <c r="GM85" s="36"/>
      <c r="GN85" s="36"/>
      <c r="GO85" s="36"/>
      <c r="GP85" s="37"/>
      <c r="GR85" s="36"/>
      <c r="GS85" s="36"/>
      <c r="GT85" s="36"/>
      <c r="GU85" s="36"/>
      <c r="GV85" s="36"/>
      <c r="GW85" s="36"/>
      <c r="GX85" s="37"/>
      <c r="GZ85" s="130"/>
      <c r="HA85" s="130"/>
      <c r="HB85" s="130"/>
      <c r="HC85" s="130"/>
      <c r="HD85" s="130"/>
      <c r="HE85" s="130"/>
      <c r="HF85" s="130"/>
      <c r="HG85" s="130"/>
      <c r="HH85" s="130"/>
    </row>
    <row r="86" spans="1:216" ht="15" customHeight="1" thickBot="1" x14ac:dyDescent="0.3">
      <c r="A86" s="429" t="s">
        <v>26</v>
      </c>
      <c r="B86" s="2699" t="s">
        <v>108</v>
      </c>
      <c r="C86" s="2700"/>
      <c r="D86" s="2700"/>
      <c r="E86" s="2700"/>
      <c r="F86" s="2700"/>
      <c r="G86" s="2700"/>
      <c r="H86" s="2700"/>
      <c r="I86" s="2700"/>
      <c r="J86" s="2701"/>
      <c r="K86" s="6"/>
      <c r="L86" s="4"/>
      <c r="M86" s="6"/>
      <c r="N86" s="2144" t="s">
        <v>136</v>
      </c>
      <c r="O86" s="2145"/>
      <c r="P86" s="2145"/>
      <c r="Q86" s="2145"/>
      <c r="R86" s="2145"/>
      <c r="S86" s="2145"/>
      <c r="T86" s="2146"/>
      <c r="U86" s="24"/>
      <c r="V86" s="2144" t="s">
        <v>136</v>
      </c>
      <c r="W86" s="2145"/>
      <c r="X86" s="2145"/>
      <c r="Y86" s="2145"/>
      <c r="Z86" s="2145"/>
      <c r="AA86" s="2145"/>
      <c r="AB86" s="2146"/>
      <c r="AC86" s="24"/>
      <c r="AD86" s="2144" t="s">
        <v>136</v>
      </c>
      <c r="AE86" s="2145"/>
      <c r="AF86" s="2145"/>
      <c r="AG86" s="2145"/>
      <c r="AH86" s="2145"/>
      <c r="AI86" s="2145"/>
      <c r="AJ86" s="2146"/>
      <c r="AK86" s="24"/>
      <c r="AL86" s="2144" t="s">
        <v>136</v>
      </c>
      <c r="AM86" s="2145"/>
      <c r="AN86" s="2145"/>
      <c r="AO86" s="2145"/>
      <c r="AP86" s="2145"/>
      <c r="AQ86" s="2145"/>
      <c r="AR86" s="2146"/>
      <c r="AS86" s="24"/>
      <c r="AT86" s="2144" t="s">
        <v>136</v>
      </c>
      <c r="AU86" s="2145"/>
      <c r="AV86" s="2145"/>
      <c r="AW86" s="2145"/>
      <c r="AX86" s="2145"/>
      <c r="AY86" s="2145"/>
      <c r="AZ86" s="2146"/>
      <c r="BA86" s="24"/>
      <c r="BB86" s="2144" t="s">
        <v>136</v>
      </c>
      <c r="BC86" s="2145"/>
      <c r="BD86" s="2145"/>
      <c r="BE86" s="2145"/>
      <c r="BF86" s="2145"/>
      <c r="BG86" s="2145"/>
      <c r="BH86" s="2146"/>
      <c r="BJ86" s="870" t="s">
        <v>136</v>
      </c>
      <c r="BK86" s="861"/>
      <c r="BL86" s="861"/>
      <c r="BM86" s="861"/>
      <c r="BN86" s="861"/>
      <c r="BO86" s="861"/>
      <c r="BP86" s="1125"/>
      <c r="BR86" s="2178" t="s">
        <v>136</v>
      </c>
      <c r="BS86" s="2179"/>
      <c r="BT86" s="2179"/>
      <c r="BU86" s="2179"/>
      <c r="BV86" s="2179"/>
      <c r="BW86" s="2179"/>
      <c r="BX86" s="2179"/>
      <c r="BY86" s="2180"/>
      <c r="BZ86" s="1"/>
      <c r="CB86" s="2721" t="s">
        <v>136</v>
      </c>
      <c r="CC86" s="2722"/>
      <c r="CD86" s="2722"/>
      <c r="CE86" s="2722"/>
      <c r="CF86" s="2722"/>
      <c r="CG86" s="2722"/>
      <c r="CH86" s="2722"/>
      <c r="CI86" s="2722"/>
      <c r="CJ86" s="2722"/>
      <c r="CK86" s="2722"/>
      <c r="CL86" s="2722"/>
      <c r="CM86" s="2722"/>
      <c r="CN86" s="2722"/>
      <c r="CO86" s="2722"/>
      <c r="CP86" s="2723"/>
      <c r="CS86" s="328" t="s">
        <v>144</v>
      </c>
      <c r="CT86" s="2732"/>
      <c r="CU86" s="2732"/>
      <c r="CV86" s="2732"/>
      <c r="CW86" s="2732"/>
      <c r="CX86" s="2732"/>
      <c r="CY86" s="2732"/>
      <c r="CZ86" s="2732"/>
      <c r="DA86" s="2732"/>
      <c r="DB86" s="2732"/>
      <c r="DC86" s="2732"/>
      <c r="DD86" s="2732"/>
      <c r="DE86" s="2733"/>
      <c r="DG86" s="328" t="s">
        <v>144</v>
      </c>
      <c r="DH86" s="2732"/>
      <c r="DI86" s="2732"/>
      <c r="DJ86" s="2732"/>
      <c r="DK86" s="2732"/>
      <c r="DL86" s="2732"/>
      <c r="DM86" s="2732"/>
      <c r="DN86" s="2732"/>
      <c r="DO86" s="2732"/>
      <c r="DP86" s="2732"/>
      <c r="DQ86" s="2732"/>
      <c r="DR86" s="2732"/>
      <c r="DS86" s="2733"/>
      <c r="DU86" s="328" t="s">
        <v>144</v>
      </c>
      <c r="DV86" s="2732"/>
      <c r="DW86" s="2732"/>
      <c r="DX86" s="2732"/>
      <c r="DY86" s="2732"/>
      <c r="DZ86" s="2732"/>
      <c r="EA86" s="2732"/>
      <c r="EB86" s="2732"/>
      <c r="EC86" s="2732"/>
      <c r="ED86" s="2732"/>
      <c r="EE86" s="2732"/>
      <c r="EF86" s="2732"/>
      <c r="EG86" s="2733"/>
      <c r="EI86" s="429" t="s">
        <v>26</v>
      </c>
      <c r="EJ86" s="2699" t="s">
        <v>108</v>
      </c>
      <c r="EK86" s="2700"/>
      <c r="EL86" s="2700"/>
      <c r="EM86" s="2700"/>
      <c r="EN86" s="2700"/>
      <c r="EO86" s="2700"/>
      <c r="EP86" s="2700"/>
      <c r="EQ86" s="2700"/>
      <c r="ER86" s="2701"/>
      <c r="ES86" s="6"/>
      <c r="ET86" s="4"/>
      <c r="EU86" s="6"/>
      <c r="EV86" s="2144" t="s">
        <v>136</v>
      </c>
      <c r="EW86" s="2145"/>
      <c r="EX86" s="2145"/>
      <c r="EY86" s="2145"/>
      <c r="EZ86" s="2145"/>
      <c r="FA86" s="2145"/>
      <c r="FB86" s="2146"/>
      <c r="FC86" s="24"/>
      <c r="FD86" s="2144" t="s">
        <v>136</v>
      </c>
      <c r="FE86" s="2145"/>
      <c r="FF86" s="2145"/>
      <c r="FG86" s="2145"/>
      <c r="FH86" s="2145"/>
      <c r="FI86" s="2145"/>
      <c r="FJ86" s="2146"/>
      <c r="FK86" s="24"/>
      <c r="FL86" s="2144" t="s">
        <v>136</v>
      </c>
      <c r="FM86" s="2145"/>
      <c r="FN86" s="2145"/>
      <c r="FO86" s="2145"/>
      <c r="FP86" s="2145"/>
      <c r="FQ86" s="2145"/>
      <c r="FR86" s="2146"/>
      <c r="FS86" s="24"/>
      <c r="FT86" s="2144" t="s">
        <v>136</v>
      </c>
      <c r="FU86" s="2145"/>
      <c r="FV86" s="2145"/>
      <c r="FW86" s="2145"/>
      <c r="FX86" s="2145"/>
      <c r="FY86" s="2145"/>
      <c r="FZ86" s="2146"/>
      <c r="GA86" s="24"/>
      <c r="GB86" s="2144" t="s">
        <v>136</v>
      </c>
      <c r="GC86" s="2145"/>
      <c r="GD86" s="2145"/>
      <c r="GE86" s="2145"/>
      <c r="GF86" s="2145"/>
      <c r="GG86" s="2145"/>
      <c r="GH86" s="2146"/>
      <c r="GI86" s="24"/>
      <c r="GJ86" s="2144" t="s">
        <v>136</v>
      </c>
      <c r="GK86" s="2145"/>
      <c r="GL86" s="2145"/>
      <c r="GM86" s="2145"/>
      <c r="GN86" s="2145"/>
      <c r="GO86" s="2145"/>
      <c r="GP86" s="2146"/>
      <c r="GR86" s="870" t="s">
        <v>136</v>
      </c>
      <c r="GS86" s="861"/>
      <c r="GT86" s="861"/>
      <c r="GU86" s="861"/>
      <c r="GV86" s="861"/>
      <c r="GW86" s="861"/>
      <c r="GX86" s="1125"/>
      <c r="GZ86" s="2178" t="s">
        <v>136</v>
      </c>
      <c r="HA86" s="2179"/>
      <c r="HB86" s="2179"/>
      <c r="HC86" s="2179"/>
      <c r="HD86" s="2179"/>
      <c r="HE86" s="2179"/>
      <c r="HF86" s="2179"/>
      <c r="HG86" s="2180"/>
      <c r="HH86" s="1"/>
    </row>
    <row r="87" spans="1:216" ht="15" hidden="1" customHeight="1" x14ac:dyDescent="0.25">
      <c r="A87" s="25"/>
      <c r="B87" s="3219" t="str">
        <f>B14</f>
        <v>Academic/Cal. Year and/or Cost Share</v>
      </c>
      <c r="C87" s="418" t="str">
        <f ca="1">'Calc - SENIOR PERS'!$B$6</f>
        <v>Virag Mishra</v>
      </c>
      <c r="D87" s="41">
        <f ca="1">'Calc - SENIOR PERS'!$S$11</f>
        <v>8508.4719719999994</v>
      </c>
      <c r="E87" s="41">
        <f ca="1">'Calc - SENIOR PERS'!$S$12</f>
        <v>0</v>
      </c>
      <c r="F87" s="41">
        <f ca="1">'Calc - SENIOR PERS'!$S$13</f>
        <v>0</v>
      </c>
      <c r="G87" s="41">
        <f ca="1">'Calc - SENIOR PERS'!$S$14</f>
        <v>0</v>
      </c>
      <c r="H87" s="41">
        <f ca="1">'Calc - SENIOR PERS'!$S$15</f>
        <v>0</v>
      </c>
      <c r="I87" s="41">
        <f ca="1">'Calc - SENIOR PERS'!$S$16</f>
        <v>0</v>
      </c>
      <c r="J87" s="94">
        <f t="shared" ref="J87:J116" ca="1" si="355">SUM(D87:I87)</f>
        <v>8508.4719719999994</v>
      </c>
      <c r="K87" s="4"/>
      <c r="L87" s="4"/>
      <c r="M87" s="4"/>
      <c r="N87" s="574">
        <f ca="1">IF(AND((OFFSET('DATA INPUT'!$C$11, ROW()-ROW($N$87),0)=$N$10),
 OR(OFFSET('DATA INPUT'!$H$11,ROW()-ROW($N$87),0)=3,
OFFSET('DATA INPUT'!$V$11, ROW()-ROW($N$87),0)=3,
OFFSET('DATA INPUT'!$AD$11, ROW()-ROW($N$87),0)=3)),
OFFSET('Calc - SENIOR PERS'!$AA$11,COLUMN()-COLUMN($N$87) + (ROW()-ROW($N$87))*14,0),0)</f>
        <v>0</v>
      </c>
      <c r="O87" s="86">
        <f ca="1">IF(AND((OFFSET('DATA INPUT'!$C$11, ROW()-ROW($N$87),0)=$N$10),
 OR(OFFSET('DATA INPUT'!$H$11,ROW()-ROW($N$87),0)=3,
OFFSET('DATA INPUT'!$V$11, ROW()-ROW($N$87),0)=3,
OFFSET('DATA INPUT'!$AD$11, ROW()-ROW($N$87),0)=3)),
OFFSET('Calc - SENIOR PERS'!$AA$11,COLUMN()-COLUMN($N$87) + (ROW()-ROW($N$87))*14,0),0)</f>
        <v>0</v>
      </c>
      <c r="P87" s="86">
        <f ca="1">IF(AND((OFFSET('DATA INPUT'!$C$11, ROW()-ROW($N$87),0)=$N$10),
 OR(OFFSET('DATA INPUT'!$H$11,ROW()-ROW($N$87),0)=3,
OFFSET('DATA INPUT'!$V$11, ROW()-ROW($N$87),0)=3,
OFFSET('DATA INPUT'!$AD$11, ROW()-ROW($N$87),0)=3)),
OFFSET('Calc - SENIOR PERS'!$AA$11,COLUMN()-COLUMN($N$87) + (ROW()-ROW($N$87))*14,0),0)</f>
        <v>0</v>
      </c>
      <c r="Q87" s="86">
        <f ca="1">IF(AND((OFFSET('DATA INPUT'!$C$11, ROW()-ROW($N$87),0)=$N$10),
 OR(OFFSET('DATA INPUT'!$H$11,ROW()-ROW($N$87),0)=3,
OFFSET('DATA INPUT'!$V$11, ROW()-ROW($N$87),0)=3,
OFFSET('DATA INPUT'!$AD$11, ROW()-ROW($N$87),0)=3)),
OFFSET('Calc - SENIOR PERS'!$AA$11,COLUMN()-COLUMN($N$87) + (ROW()-ROW($N$87))*14,0),0)</f>
        <v>0</v>
      </c>
      <c r="R87" s="86">
        <f ca="1">IF(AND((OFFSET('DATA INPUT'!$C$11, ROW()-ROW($N$87),0)=$N$10),
 OR(OFFSET('DATA INPUT'!$H$11,ROW()-ROW($N$87),0)=3,
OFFSET('DATA INPUT'!$V$11, ROW()-ROW($N$87),0)=3,
OFFSET('DATA INPUT'!$AD$11, ROW()-ROW($N$87),0)=3)),
OFFSET('Calc - SENIOR PERS'!$AA$11,COLUMN()-COLUMN($N$87) + (ROW()-ROW($N$87))*14,0),0)</f>
        <v>0</v>
      </c>
      <c r="S87" s="86">
        <f ca="1">IF(AND((OFFSET('DATA INPUT'!$C$11, ROW()-ROW($N$87),0)=$N$10),
 OR(OFFSET('DATA INPUT'!$H$11,ROW()-ROW($N$87),0)=3,
OFFSET('DATA INPUT'!$V$11, ROW()-ROW($N$87),0)=3,
OFFSET('DATA INPUT'!$AD$11, ROW()-ROW($N$87),0)=3)),
OFFSET('Calc - SENIOR PERS'!$AA$11,COLUMN()-COLUMN($N$87) + (ROW()-ROW($N$87))*14,0),0)</f>
        <v>0</v>
      </c>
      <c r="T87" s="166">
        <f t="shared" ref="T87:T116" ca="1" si="356">SUM(N87:S87)</f>
        <v>0</v>
      </c>
      <c r="U87" s="1"/>
      <c r="V87" s="574">
        <f ca="1">IF(AND((OFFSET('DATA INPUT'!$C$11, ROW()-ROW($V$87),0)=$V$10),
 OR(OFFSET('DATA INPUT'!$H$11,ROW()-ROW($V$87),0)=3,
OFFSET('DATA INPUT'!$V$11, ROW()-ROW($V$87),0)=3,
OFFSET('DATA INPUT'!$AD$11, ROW()-ROW($V$87),0)=3)),
OFFSET('Calc - SENIOR PERS'!$AA$11,COLUMN()-COLUMN($V$87) + (ROW()-ROW($V$87))*14,0),0)</f>
        <v>0</v>
      </c>
      <c r="W87" s="86">
        <f ca="1">IF(AND((OFFSET('DATA INPUT'!$C$11, ROW()-ROW($V$87),0)=$V$10),
 OR(OFFSET('DATA INPUT'!$H$11,ROW()-ROW($V$87),0)=3,
OFFSET('DATA INPUT'!$V$11, ROW()-ROW($V$87),0)=3,
OFFSET('DATA INPUT'!$AD$11, ROW()-ROW($V$87),0)=3)),
OFFSET('Calc - SENIOR PERS'!$AA$11,COLUMN()-COLUMN($V$87) + (ROW()-ROW($V$87))*14,0),0)</f>
        <v>0</v>
      </c>
      <c r="X87" s="86">
        <f ca="1">IF(AND((OFFSET('DATA INPUT'!$C$11, ROW()-ROW($V$87),0)=$V$10),
 OR(OFFSET('DATA INPUT'!$H$11,ROW()-ROW($V$87),0)=3,
OFFSET('DATA INPUT'!$V$11, ROW()-ROW($V$87),0)=3,
OFFSET('DATA INPUT'!$AD$11, ROW()-ROW($V$87),0)=3)),
OFFSET('Calc - SENIOR PERS'!$AA$11,COLUMN()-COLUMN($V$87) + (ROW()-ROW($V$87))*14,0),0)</f>
        <v>0</v>
      </c>
      <c r="Y87" s="86">
        <f ca="1">IF(AND((OFFSET('DATA INPUT'!$C$11, ROW()-ROW($V$87),0)=$V$10),
 OR(OFFSET('DATA INPUT'!$H$11,ROW()-ROW($V$87),0)=3,
OFFSET('DATA INPUT'!$V$11, ROW()-ROW($V$87),0)=3,
OFFSET('DATA INPUT'!$AD$11, ROW()-ROW($V$87),0)=3)),
OFFSET('Calc - SENIOR PERS'!$AA$11,COLUMN()-COLUMN($V$87) + (ROW()-ROW($V$87))*14,0),0)</f>
        <v>0</v>
      </c>
      <c r="Z87" s="86">
        <f ca="1">IF(AND((OFFSET('DATA INPUT'!$C$11, ROW()-ROW($V$87),0)=$V$10),
 OR(OFFSET('DATA INPUT'!$H$11,ROW()-ROW($V$87),0)=3,
OFFSET('DATA INPUT'!$V$11, ROW()-ROW($V$87),0)=3,
OFFSET('DATA INPUT'!$AD$11, ROW()-ROW($V$87),0)=3)),
OFFSET('Calc - SENIOR PERS'!$AA$11,COLUMN()-COLUMN($V$87) + (ROW()-ROW($V$87))*14,0),0)</f>
        <v>0</v>
      </c>
      <c r="AA87" s="86">
        <f ca="1">IF(AND((OFFSET('DATA INPUT'!$C$11, ROW()-ROW($V$87),0)=$V$10),
 OR(OFFSET('DATA INPUT'!$H$11,ROW()-ROW($V$87),0)=3,
OFFSET('DATA INPUT'!$V$11, ROW()-ROW($V$87),0)=3,
OFFSET('DATA INPUT'!$AD$11, ROW()-ROW($V$87),0)=3)),
OFFSET('Calc - SENIOR PERS'!$AA$11,COLUMN()-COLUMN($V$87) + (ROW()-ROW($V$87))*14,0),0)</f>
        <v>0</v>
      </c>
      <c r="AB87" s="140">
        <f t="shared" ref="AB87:AB116" ca="1" si="357">SUM(V87:AA87)</f>
        <v>0</v>
      </c>
      <c r="AD87" s="574">
        <f ca="1">IF(AND((OFFSET('DATA INPUT'!$C$11, ROW()-ROW($AD$87),0)=$AD$10),
 OR(OFFSET('DATA INPUT'!$H$11,ROW()-ROW($AD$87),0)=3,
OFFSET('DATA INPUT'!$V$11, ROW()-ROW($AD$87),0)=3,
OFFSET('DATA INPUT'!$AD$11, ROW()-ROW($AD$87),0)=3)),
OFFSET('Calc - SENIOR PERS'!$AA$11,COLUMN()-COLUMN($AD$87) + (ROW()-ROW($AD$87))*14,0),0)</f>
        <v>0</v>
      </c>
      <c r="AE87" s="86">
        <f ca="1">IF(AND((OFFSET('DATA INPUT'!$C$11, ROW()-ROW($AD$87),0)=$AD$10),
 OR(OFFSET('DATA INPUT'!$H$11,ROW()-ROW($AD$87),0)=3,
OFFSET('DATA INPUT'!$V$11, ROW()-ROW($AD$87),0)=3,
OFFSET('DATA INPUT'!$AD$11, ROW()-ROW($AD$87),0)=3)),
OFFSET('Calc - SENIOR PERS'!$AA$11,COLUMN()-COLUMN($AD$87) + (ROW()-ROW($AD$87))*14,0),0)</f>
        <v>0</v>
      </c>
      <c r="AF87" s="86">
        <f ca="1">IF(AND((OFFSET('DATA INPUT'!$C$11, ROW()-ROW($AD$87),0)=$AD$10),
 OR(OFFSET('DATA INPUT'!$H$11,ROW()-ROW($AD$87),0)=3,
OFFSET('DATA INPUT'!$V$11, ROW()-ROW($AD$87),0)=3,
OFFSET('DATA INPUT'!$AD$11, ROW()-ROW($AD$87),0)=3)),
OFFSET('Calc - SENIOR PERS'!$AA$11,COLUMN()-COLUMN($AD$87) + (ROW()-ROW($AD$87))*14,0),0)</f>
        <v>0</v>
      </c>
      <c r="AG87" s="86">
        <f ca="1">IF(AND((OFFSET('DATA INPUT'!$C$11, ROW()-ROW($AD$87),0)=$AD$10),
 OR(OFFSET('DATA INPUT'!$H$11,ROW()-ROW($AD$87),0)=3,
OFFSET('DATA INPUT'!$V$11, ROW()-ROW($AD$87),0)=3,
OFFSET('DATA INPUT'!$AD$11, ROW()-ROW($AD$87),0)=3)),
OFFSET('Calc - SENIOR PERS'!$AA$11,COLUMN()-COLUMN($AD$87) + (ROW()-ROW($AD$87))*14,0),0)</f>
        <v>0</v>
      </c>
      <c r="AH87" s="86">
        <f ca="1">IF(AND((OFFSET('DATA INPUT'!$C$11, ROW()-ROW($AD$87),0)=$AD$10),
 OR(OFFSET('DATA INPUT'!$H$11,ROW()-ROW($AD$87),0)=3,
OFFSET('DATA INPUT'!$V$11, ROW()-ROW($AD$87),0)=3,
OFFSET('DATA INPUT'!$AD$11, ROW()-ROW($AD$87),0)=3)),
OFFSET('Calc - SENIOR PERS'!$AA$11,COLUMN()-COLUMN($AD$87) + (ROW()-ROW($AD$87))*14,0),0)</f>
        <v>0</v>
      </c>
      <c r="AI87" s="86">
        <f ca="1">IF(AND((OFFSET('DATA INPUT'!$C$11, ROW()-ROW($AD$87),0)=$AD$10),
 OR(OFFSET('DATA INPUT'!$H$11,ROW()-ROW($AD$87),0)=3,
OFFSET('DATA INPUT'!$V$11, ROW()-ROW($AD$87),0)=3,
OFFSET('DATA INPUT'!$AD$11, ROW()-ROW($AD$87),0)=3)),
OFFSET('Calc - SENIOR PERS'!$AA$11,COLUMN()-COLUMN($AD$87) + (ROW()-ROW($AD$87))*14,0),0)</f>
        <v>0</v>
      </c>
      <c r="AJ87" s="208">
        <f t="shared" ref="AJ87:AJ116" ca="1" si="358">SUM(AD87:AI87)</f>
        <v>0</v>
      </c>
      <c r="AL87" s="574">
        <f ca="1">IF(AND((OFFSET('DATA INPUT'!$C$11, ROW()-ROW($AL$87),0)=$AL$10),
 OR(OFFSET('DATA INPUT'!$H$11,ROW()-ROW($AL$87),0)=3,
OFFSET('DATA INPUT'!$V$11, ROW()-ROW($AL$87),0)=3,
OFFSET('DATA INPUT'!$AD$11, ROW()-ROW($AL$87),0)=3)),
OFFSET('Calc - SENIOR PERS'!$AA$11,COLUMN()-COLUMN($AL$87) + (ROW()-ROW($AL$87))*14,0),0)</f>
        <v>0</v>
      </c>
      <c r="AM87" s="86">
        <f ca="1">IF(AND((OFFSET('DATA INPUT'!$C$11, ROW()-ROW($AL$87),0)=$AL$10),
 OR(OFFSET('DATA INPUT'!$H$11,ROW()-ROW($AL$87),0)=3,
OFFSET('DATA INPUT'!$V$11, ROW()-ROW($AL$87),0)=3,
OFFSET('DATA INPUT'!$AD$11, ROW()-ROW($AL$87),0)=3)),
OFFSET('Calc - SENIOR PERS'!$AA$11,COLUMN()-COLUMN($AL$87) + (ROW()-ROW($AL$87))*14,0),0)</f>
        <v>0</v>
      </c>
      <c r="AN87" s="86">
        <f ca="1">IF(AND((OFFSET('DATA INPUT'!$C$11, ROW()-ROW($AL$87),0)=$AL$10),
 OR(OFFSET('DATA INPUT'!$H$11,ROW()-ROW($AL$87),0)=3,
OFFSET('DATA INPUT'!$V$11, ROW()-ROW($AL$87),0)=3,
OFFSET('DATA INPUT'!$AD$11, ROW()-ROW($AL$87),0)=3)),
OFFSET('Calc - SENIOR PERS'!$AA$11,COLUMN()-COLUMN($AL$87) + (ROW()-ROW($AL$87))*14,0),0)</f>
        <v>0</v>
      </c>
      <c r="AO87" s="86">
        <f ca="1">IF(AND((OFFSET('DATA INPUT'!$C$11, ROW()-ROW($AL$87),0)=$AL$10),
 OR(OFFSET('DATA INPUT'!$H$11,ROW()-ROW($AL$87),0)=3,
OFFSET('DATA INPUT'!$V$11, ROW()-ROW($AL$87),0)=3,
OFFSET('DATA INPUT'!$AD$11, ROW()-ROW($AL$87),0)=3)),
OFFSET('Calc - SENIOR PERS'!$AA$11,COLUMN()-COLUMN($AL$87) + (ROW()-ROW($AL$87))*14,0),0)</f>
        <v>0</v>
      </c>
      <c r="AP87" s="86">
        <f ca="1">IF(AND((OFFSET('DATA INPUT'!$C$11, ROW()-ROW($AL$87),0)=$AL$10),
 OR(OFFSET('DATA INPUT'!$H$11,ROW()-ROW($AL$87),0)=3,
OFFSET('DATA INPUT'!$V$11, ROW()-ROW($AL$87),0)=3,
OFFSET('DATA INPUT'!$AD$11, ROW()-ROW($AL$87),0)=3)),
OFFSET('Calc - SENIOR PERS'!$AA$11,COLUMN()-COLUMN($AL$87) + (ROW()-ROW($AL$87))*14,0),0)</f>
        <v>0</v>
      </c>
      <c r="AQ87" s="86">
        <f ca="1">IF(AND((OFFSET('DATA INPUT'!$C$11, ROW()-ROW($AL$87),0)=$AL$10),
 OR(OFFSET('DATA INPUT'!$H$11,ROW()-ROW($AL$87),0)=3,
OFFSET('DATA INPUT'!$V$11, ROW()-ROW($AL$87),0)=3,
OFFSET('DATA INPUT'!$AD$11, ROW()-ROW($AL$87),0)=3)),
OFFSET('Calc - SENIOR PERS'!$AA$11,COLUMN()-COLUMN($AL$87) + (ROW()-ROW($AL$87))*14,0),0)</f>
        <v>0</v>
      </c>
      <c r="AR87" s="180">
        <f t="shared" ref="AR87:AR116" ca="1" si="359">SUM(AL87:AQ87)</f>
        <v>0</v>
      </c>
      <c r="AT87" s="574">
        <f ca="1">IF(AND((OFFSET('DATA INPUT'!$C$11, ROW()-ROW($AT$87),0)=$AT$10),
 OR(OFFSET('DATA INPUT'!$H$11,ROW()-ROW($AT$87),0)=3,
OFFSET('DATA INPUT'!$V$11, ROW()-ROW($AT$87),0)=3,
OFFSET('DATA INPUT'!$AD$11, ROW()-ROW($AT$87),0)=3)),
OFFSET('Calc - SENIOR PERS'!$AA$11,COLUMN()-COLUMN($AT$87) + (ROW()-ROW($AT$87))*14,0),0)</f>
        <v>0</v>
      </c>
      <c r="AU87" s="86">
        <f ca="1">IF(AND((OFFSET('DATA INPUT'!$C$11, ROW()-ROW($AT$87),0)=$AT$10),
 OR(OFFSET('DATA INPUT'!$H$11,ROW()-ROW($AT$87),0)=3,
OFFSET('DATA INPUT'!$V$11, ROW()-ROW($AT$87),0)=3,
OFFSET('DATA INPUT'!$AD$11, ROW()-ROW($AT$87),0)=3)),
OFFSET('Calc - SENIOR PERS'!$AA$11,COLUMN()-COLUMN($AT$87) + (ROW()-ROW($AT$87))*14,0),0)</f>
        <v>0</v>
      </c>
      <c r="AV87" s="86">
        <f ca="1">IF(AND((OFFSET('DATA INPUT'!$C$11, ROW()-ROW($AT$87),0)=$AT$10),
 OR(OFFSET('DATA INPUT'!$H$11,ROW()-ROW($AT$87),0)=3,
OFFSET('DATA INPUT'!$V$11, ROW()-ROW($AT$87),0)=3,
OFFSET('DATA INPUT'!$AD$11, ROW()-ROW($AT$87),0)=3)),
OFFSET('Calc - SENIOR PERS'!$AA$11,COLUMN()-COLUMN($AT$87) + (ROW()-ROW($AT$87))*14,0),0)</f>
        <v>0</v>
      </c>
      <c r="AW87" s="86">
        <f ca="1">IF(AND((OFFSET('DATA INPUT'!$C$11, ROW()-ROW($AT$87),0)=$AT$10),
 OR(OFFSET('DATA INPUT'!$H$11,ROW()-ROW($AT$87),0)=3,
OFFSET('DATA INPUT'!$V$11, ROW()-ROW($AT$87),0)=3,
OFFSET('DATA INPUT'!$AD$11, ROW()-ROW($AT$87),0)=3)),
OFFSET('Calc - SENIOR PERS'!$AA$11,COLUMN()-COLUMN($AT$87) + (ROW()-ROW($AT$87))*14,0),0)</f>
        <v>0</v>
      </c>
      <c r="AX87" s="86">
        <f ca="1">IF(AND((OFFSET('DATA INPUT'!$C$11, ROW()-ROW($AT$87),0)=$AT$10),
 OR(OFFSET('DATA INPUT'!$H$11,ROW()-ROW($AT$87),0)=3,
OFFSET('DATA INPUT'!$V$11, ROW()-ROW($AT$87),0)=3,
OFFSET('DATA INPUT'!$AD$11, ROW()-ROW($AT$87),0)=3)),
OFFSET('Calc - SENIOR PERS'!$AA$11,COLUMN()-COLUMN($AT$87) + (ROW()-ROW($AT$87))*14,0),0)</f>
        <v>0</v>
      </c>
      <c r="AY87" s="86">
        <f ca="1">IF(AND((OFFSET('DATA INPUT'!$C$11, ROW()-ROW($AT$87),0)=$AT$10),
 OR(OFFSET('DATA INPUT'!$H$11,ROW()-ROW($AT$87),0)=3,
OFFSET('DATA INPUT'!$V$11, ROW()-ROW($AT$87),0)=3,
OFFSET('DATA INPUT'!$AD$11, ROW()-ROW($AT$87),0)=3)),
OFFSET('Calc - SENIOR PERS'!$AA$11,COLUMN()-COLUMN($AT$87) + (ROW()-ROW($AT$87))*14,0),0)</f>
        <v>0</v>
      </c>
      <c r="AZ87" s="152">
        <f t="shared" ref="AZ87:AZ116" ca="1" si="360">SUM(AT87:AY87)</f>
        <v>0</v>
      </c>
      <c r="BB87" s="574">
        <f ca="1">IF(AND((OFFSET('DATA INPUT'!$C$11, ROW()-ROW($BB$87),0)=$BB$10),
 OR(OFFSET('DATA INPUT'!$H$11,ROW()-ROW($BB$87),0)=3,
OFFSET('DATA INPUT'!$V$11, ROW()-ROW($BB$87),0)=3,
OFFSET('DATA INPUT'!$AD$11, ROW()-ROW($BB$87),0)=3)),
OFFSET('Calc - SENIOR PERS'!$AA$11,COLUMN()-COLUMN($BB$87) + (ROW()-ROW($BB$87))*14,0),0)</f>
        <v>0</v>
      </c>
      <c r="BC87" s="86">
        <f ca="1">IF(AND((OFFSET('DATA INPUT'!$C$11, ROW()-ROW($BB$87),0)=$BB$10),
 OR(OFFSET('DATA INPUT'!$H$11,ROW()-ROW($BB$87),0)=3,
OFFSET('DATA INPUT'!$V$11, ROW()-ROW($BB$87),0)=3,
OFFSET('DATA INPUT'!$AD$11, ROW()-ROW($BB$87),0)=3)),
OFFSET('Calc - SENIOR PERS'!$AA$11,COLUMN()-COLUMN($BB$87) + (ROW()-ROW($BB$87))*14,0),0)</f>
        <v>0</v>
      </c>
      <c r="BD87" s="86">
        <f ca="1">IF(AND((OFFSET('DATA INPUT'!$C$11, ROW()-ROW($BB$87),0)=$BB$10),
 OR(OFFSET('DATA INPUT'!$H$11,ROW()-ROW($BB$87),0)=3,
OFFSET('DATA INPUT'!$V$11, ROW()-ROW($BB$87),0)=3,
OFFSET('DATA INPUT'!$AD$11, ROW()-ROW($BB$87),0)=3)),
OFFSET('Calc - SENIOR PERS'!$AA$11,COLUMN()-COLUMN($BB$87) + (ROW()-ROW($BB$87))*14,0),0)</f>
        <v>0</v>
      </c>
      <c r="BE87" s="86">
        <f ca="1">IF(AND((OFFSET('DATA INPUT'!$C$11, ROW()-ROW($BB$87),0)=$BB$10),
 OR(OFFSET('DATA INPUT'!$H$11,ROW()-ROW($BB$87),0)=3,
OFFSET('DATA INPUT'!$V$11, ROW()-ROW($BB$87),0)=3,
OFFSET('DATA INPUT'!$AD$11, ROW()-ROW($BB$87),0)=3)),
OFFSET('Calc - SENIOR PERS'!$AA$11,COLUMN()-COLUMN($BB$87) + (ROW()-ROW($BB$87))*14,0),0)</f>
        <v>0</v>
      </c>
      <c r="BF87" s="86">
        <f ca="1">IF(AND((OFFSET('DATA INPUT'!$C$11, ROW()-ROW($BB$87),0)=$BB$10),
 OR(OFFSET('DATA INPUT'!$H$11,ROW()-ROW($BB$87),0)=3,
OFFSET('DATA INPUT'!$V$11, ROW()-ROW($BB$87),0)=3,
OFFSET('DATA INPUT'!$AD$11, ROW()-ROW($BB$87),0)=3)),
OFFSET('Calc - SENIOR PERS'!$AA$11,COLUMN()-COLUMN($BB$87) + (ROW()-ROW($BB$87))*14,0),0)</f>
        <v>0</v>
      </c>
      <c r="BG87" s="86">
        <f ca="1">IF(AND((OFFSET('DATA INPUT'!$C$11, ROW()-ROW($BB$87),0)=$BB$10),
 OR(OFFSET('DATA INPUT'!$H$11,ROW()-ROW($BB$87),0)=3,
OFFSET('DATA INPUT'!$V$11, ROW()-ROW($BB$87),0)=3,
OFFSET('DATA INPUT'!$AD$11, ROW()-ROW($BB$87),0)=3)),
OFFSET('Calc - SENIOR PERS'!$AA$11,COLUMN()-COLUMN($BB$87) + (ROW()-ROW($BB$87))*14,0),0)</f>
        <v>0</v>
      </c>
      <c r="BH87" s="194">
        <f t="shared" ref="BH87:BH116" ca="1" si="361">SUM(BB87:BG87)</f>
        <v>0</v>
      </c>
      <c r="BJ87" s="574"/>
      <c r="BK87" s="86"/>
      <c r="BL87" s="86"/>
      <c r="BM87" s="86"/>
      <c r="BN87" s="86"/>
      <c r="BO87" s="86"/>
      <c r="BP87" s="1104">
        <f t="shared" ref="BP87:BP116" si="362">SUM(BJ87:BO87)</f>
        <v>0</v>
      </c>
      <c r="BR87" s="575">
        <f t="shared" ref="BR87:BR116" ca="1" si="363">SUM(N87,V87,AD87,AL87,AT87,BB87)</f>
        <v>0</v>
      </c>
      <c r="BS87" s="5">
        <f t="shared" ref="BS87:BS116" ca="1" si="364">SUM(O87,W87,AE87,AM87,AU87,BC87)</f>
        <v>0</v>
      </c>
      <c r="BT87" s="5">
        <f t="shared" ref="BT87:BT116" ca="1" si="365">SUM(P87,X87,AF87,AN87,AV87,BD87)</f>
        <v>0</v>
      </c>
      <c r="BU87" s="5">
        <f t="shared" ref="BU87:BU116" ca="1" si="366">SUM(Q87,Y87,AG87,AO87,AW87,BE87)</f>
        <v>0</v>
      </c>
      <c r="BV87" s="5">
        <f t="shared" ref="BV87:BV116" ca="1" si="367">SUM(R87,Z87,AH87,AP87,AX87,BF87)</f>
        <v>0</v>
      </c>
      <c r="BW87" s="5">
        <f t="shared" ref="BW87:BW116" ca="1" si="368">SUM(S87,AA87,AI87,AQ87,AY87,BG87)</f>
        <v>0</v>
      </c>
      <c r="BX87" s="2175">
        <f t="shared" ref="BX87:BX116" ca="1" si="369">SUM(BR87:BW87)</f>
        <v>0</v>
      </c>
      <c r="BY87" s="573">
        <f t="shared" ref="BY87:BY116" ca="1" si="370">SUM(J87+BX87)</f>
        <v>8508.4719719999994</v>
      </c>
      <c r="BZ87" s="257"/>
      <c r="CB87" s="1160"/>
      <c r="CC87" s="386">
        <f ca="1">'Calc - SENIOR PERS'!$S$12/9*3</f>
        <v>0</v>
      </c>
      <c r="CD87" s="360">
        <f ca="1">'Calc - SENIOR PERS'!$S$12/9*3</f>
        <v>0</v>
      </c>
      <c r="CE87" s="360">
        <f ca="1">'Calc - SENIOR PERS'!$S$12/9*2</f>
        <v>0</v>
      </c>
      <c r="CF87" s="360">
        <f ca="1">'Calc - SENIOR PERS'!$S$12/9*0.5</f>
        <v>0</v>
      </c>
      <c r="CG87" s="1161">
        <f ca="1">'Calc - SENIOR PERS'!$S$12/9*0.5</f>
        <v>0</v>
      </c>
      <c r="CH87" s="1162">
        <f ca="1">'Calc - SENIOR PERS'!$S$13/9*3</f>
        <v>0</v>
      </c>
      <c r="CI87" s="1163">
        <f ca="1">'Calc - SENIOR PERS'!$S$13/9*3</f>
        <v>0</v>
      </c>
      <c r="CJ87" s="1163">
        <f ca="1">'Calc - SENIOR PERS'!$S$13/9*2</f>
        <v>0</v>
      </c>
      <c r="CK87" s="1163">
        <f ca="1">'Calc - SENIOR PERS'!$S$13/9*0.5</f>
        <v>0</v>
      </c>
      <c r="CL87" s="1164">
        <f ca="1">'Calc - SENIOR PERS'!$S$13/9*0.5</f>
        <v>0</v>
      </c>
      <c r="CM87" s="1165">
        <f ca="1">'Calc - SENIOR PERS'!$S$14/8*3</f>
        <v>0</v>
      </c>
      <c r="CN87" s="1166">
        <f ca="1">'Calc - SENIOR PERS'!$S$14/8*3</f>
        <v>0</v>
      </c>
      <c r="CO87" s="1167">
        <f ca="1">'Calc - SENIOR PERS'!$S$14/8*2</f>
        <v>0</v>
      </c>
      <c r="CP87" s="1243">
        <f t="shared" ref="CP87:CP118" ca="1" si="371">SUM(CB87:CO87)</f>
        <v>0</v>
      </c>
      <c r="CS87" s="1244"/>
      <c r="CT87" s="41"/>
      <c r="CU87" s="1245"/>
      <c r="CV87" s="1244"/>
      <c r="CW87" s="41"/>
      <c r="CX87" s="1246"/>
      <c r="CY87" s="574"/>
      <c r="CZ87" s="86"/>
      <c r="DA87" s="1169"/>
      <c r="DB87" s="574"/>
      <c r="DC87" s="86"/>
      <c r="DD87" s="1169"/>
      <c r="DE87" s="1065">
        <f t="shared" ref="DE87:DE116" si="372">SUM(CS87:DD87)</f>
        <v>0</v>
      </c>
      <c r="DG87" s="1244"/>
      <c r="DH87" s="41"/>
      <c r="DI87" s="1245"/>
      <c r="DJ87" s="1244"/>
      <c r="DK87" s="41"/>
      <c r="DL87" s="1246"/>
      <c r="DM87" s="574"/>
      <c r="DN87" s="86"/>
      <c r="DO87" s="1169"/>
      <c r="DP87" s="574"/>
      <c r="DQ87" s="86"/>
      <c r="DR87" s="1169"/>
      <c r="DS87" s="1065">
        <f t="shared" ref="DS87:DS116" si="373">SUM(DG87:DR87)</f>
        <v>0</v>
      </c>
      <c r="DU87" s="1244"/>
      <c r="DV87" s="41"/>
      <c r="DW87" s="1245"/>
      <c r="DX87" s="1244"/>
      <c r="DY87" s="41"/>
      <c r="DZ87" s="1246"/>
      <c r="EA87" s="574"/>
      <c r="EB87" s="86"/>
      <c r="EC87" s="1169"/>
      <c r="ED87" s="574"/>
      <c r="EE87" s="86"/>
      <c r="EF87" s="1169"/>
      <c r="EG87" s="1065">
        <f t="shared" ref="EG87:EG116" si="374">SUM(DU87:EF87)</f>
        <v>0</v>
      </c>
      <c r="EI87" s="25"/>
      <c r="EJ87" s="3219" t="str">
        <f>EJ14</f>
        <v>Academic/Cal. Year and/or Cost Share</v>
      </c>
      <c r="EK87" s="418" t="str">
        <f t="shared" ref="EK87:EK116" ca="1" si="375">C87</f>
        <v>Virag Mishra</v>
      </c>
      <c r="EL87" s="41">
        <f t="shared" ref="EL87:EL116" ca="1" si="376">ROUND(D87,0)</f>
        <v>8508</v>
      </c>
      <c r="EM87" s="41">
        <f t="shared" ref="EM87:EM116" ca="1" si="377">ROUND(E87,0)</f>
        <v>0</v>
      </c>
      <c r="EN87" s="41">
        <f t="shared" ref="EN87:EN116" ca="1" si="378">ROUND(F87,0)</f>
        <v>0</v>
      </c>
      <c r="EO87" s="41">
        <f t="shared" ref="EO87:EO116" ca="1" si="379">ROUND(G87,0)</f>
        <v>0</v>
      </c>
      <c r="EP87" s="41">
        <f t="shared" ref="EP87:EP116" ca="1" si="380">ROUND(H87,0)</f>
        <v>0</v>
      </c>
      <c r="EQ87" s="41">
        <f t="shared" ref="EQ87:EQ116" ca="1" si="381">ROUND(I87,0)</f>
        <v>0</v>
      </c>
      <c r="ER87" s="94">
        <f t="shared" ref="ER87:ER116" ca="1" si="382">SUM(EL87:EQ87)</f>
        <v>8508</v>
      </c>
      <c r="ES87" s="4"/>
      <c r="ET87" s="4"/>
      <c r="EU87" s="4"/>
      <c r="EV87" s="574">
        <f t="shared" ref="EV87:EV116" ca="1" si="383">ROUND(N87,0)</f>
        <v>0</v>
      </c>
      <c r="EW87" s="86">
        <f t="shared" ref="EW87:EW116" ca="1" si="384">ROUND(O87,0)</f>
        <v>0</v>
      </c>
      <c r="EX87" s="86">
        <f t="shared" ref="EX87:EX116" ca="1" si="385">ROUND(P87,0)</f>
        <v>0</v>
      </c>
      <c r="EY87" s="86">
        <f t="shared" ref="EY87:EY116" ca="1" si="386">ROUND(Q87,0)</f>
        <v>0</v>
      </c>
      <c r="EZ87" s="86">
        <f t="shared" ref="EZ87:EZ116" ca="1" si="387">ROUND(R87,0)</f>
        <v>0</v>
      </c>
      <c r="FA87" s="86">
        <f t="shared" ref="FA87:FA116" ca="1" si="388">ROUND(S87,0)</f>
        <v>0</v>
      </c>
      <c r="FB87" s="166">
        <f t="shared" ref="FB87:FB116" ca="1" si="389">SUM(EV87:FA87)</f>
        <v>0</v>
      </c>
      <c r="FC87" s="1"/>
      <c r="FD87" s="574">
        <f t="shared" ref="FD87:FD116" ca="1" si="390">ROUND(V87,0)</f>
        <v>0</v>
      </c>
      <c r="FE87" s="86">
        <f t="shared" ref="FE87:FE116" ca="1" si="391">ROUND(W87,0)</f>
        <v>0</v>
      </c>
      <c r="FF87" s="86">
        <f t="shared" ref="FF87:FF116" ca="1" si="392">ROUND(X87,0)</f>
        <v>0</v>
      </c>
      <c r="FG87" s="86">
        <f t="shared" ref="FG87:FG116" ca="1" si="393">ROUND(Y87,0)</f>
        <v>0</v>
      </c>
      <c r="FH87" s="86">
        <f t="shared" ref="FH87:FH116" ca="1" si="394">ROUND(Z87,0)</f>
        <v>0</v>
      </c>
      <c r="FI87" s="86">
        <f t="shared" ref="FI87:FI116" ca="1" si="395">ROUND(AA87,0)</f>
        <v>0</v>
      </c>
      <c r="FJ87" s="140">
        <f t="shared" ref="FJ87:FJ116" ca="1" si="396">SUM(FD87:FI87)</f>
        <v>0</v>
      </c>
      <c r="FL87" s="574">
        <f t="shared" ref="FL87:FL116" ca="1" si="397">ROUND(AD87,0)</f>
        <v>0</v>
      </c>
      <c r="FM87" s="86">
        <f t="shared" ref="FM87:FM116" ca="1" si="398">ROUND(AE87,0)</f>
        <v>0</v>
      </c>
      <c r="FN87" s="86">
        <f t="shared" ref="FN87:FN116" ca="1" si="399">ROUND(AF87,0)</f>
        <v>0</v>
      </c>
      <c r="FO87" s="86">
        <f t="shared" ref="FO87:FO116" ca="1" si="400">ROUND(AG87,0)</f>
        <v>0</v>
      </c>
      <c r="FP87" s="86">
        <f t="shared" ref="FP87:FP116" ca="1" si="401">ROUND(AH87,0)</f>
        <v>0</v>
      </c>
      <c r="FQ87" s="86">
        <f t="shared" ref="FQ87:FQ116" ca="1" si="402">ROUND(AI87,0)</f>
        <v>0</v>
      </c>
      <c r="FR87" s="208">
        <f t="shared" ref="FR87:FR116" ca="1" si="403">SUM(FL87:FQ87)</f>
        <v>0</v>
      </c>
      <c r="FT87" s="574">
        <f t="shared" ref="FT87:FT116" ca="1" si="404">ROUND(AL87,0)</f>
        <v>0</v>
      </c>
      <c r="FU87" s="86">
        <f t="shared" ref="FU87:FU116" ca="1" si="405">ROUND(AM87,0)</f>
        <v>0</v>
      </c>
      <c r="FV87" s="86">
        <f t="shared" ref="FV87:FV116" ca="1" si="406">ROUND(AN87,0)</f>
        <v>0</v>
      </c>
      <c r="FW87" s="86">
        <f t="shared" ref="FW87:FW116" ca="1" si="407">ROUND(AO87,0)</f>
        <v>0</v>
      </c>
      <c r="FX87" s="86">
        <f t="shared" ref="FX87:FX116" ca="1" si="408">ROUND(AP87,0)</f>
        <v>0</v>
      </c>
      <c r="FY87" s="86">
        <f t="shared" ref="FY87:FY116" ca="1" si="409">ROUND(AQ87,0)</f>
        <v>0</v>
      </c>
      <c r="FZ87" s="180">
        <f t="shared" ref="FZ87:FZ116" ca="1" si="410">SUM(FT87:FY87)</f>
        <v>0</v>
      </c>
      <c r="GB87" s="574">
        <f t="shared" ref="GB87:GB116" ca="1" si="411">ROUND(AT87,0)</f>
        <v>0</v>
      </c>
      <c r="GC87" s="86">
        <f t="shared" ref="GC87:GC116" ca="1" si="412">ROUND(AU87,0)</f>
        <v>0</v>
      </c>
      <c r="GD87" s="86">
        <f t="shared" ref="GD87:GD116" ca="1" si="413">ROUND(AV87,0)</f>
        <v>0</v>
      </c>
      <c r="GE87" s="86">
        <f t="shared" ref="GE87:GE116" ca="1" si="414">ROUND(AW87,0)</f>
        <v>0</v>
      </c>
      <c r="GF87" s="86">
        <f t="shared" ref="GF87:GF116" ca="1" si="415">ROUND(AX87,0)</f>
        <v>0</v>
      </c>
      <c r="GG87" s="86">
        <f t="shared" ref="GG87:GG116" ca="1" si="416">ROUND(AY87,0)</f>
        <v>0</v>
      </c>
      <c r="GH87" s="152">
        <f t="shared" ref="GH87:GH116" ca="1" si="417">SUM(GB87:GG87)</f>
        <v>0</v>
      </c>
      <c r="GJ87" s="574">
        <f t="shared" ref="GJ87:GJ116" ca="1" si="418">ROUND(BB87,0)</f>
        <v>0</v>
      </c>
      <c r="GK87" s="86">
        <f t="shared" ref="GK87:GK116" ca="1" si="419">ROUND(BC87,0)</f>
        <v>0</v>
      </c>
      <c r="GL87" s="86">
        <f t="shared" ref="GL87:GL116" ca="1" si="420">ROUND(BD87,0)</f>
        <v>0</v>
      </c>
      <c r="GM87" s="86">
        <f t="shared" ref="GM87:GM116" ca="1" si="421">ROUND(BE87,0)</f>
        <v>0</v>
      </c>
      <c r="GN87" s="86">
        <f t="shared" ref="GN87:GN116" ca="1" si="422">ROUND(BF87,0)</f>
        <v>0</v>
      </c>
      <c r="GO87" s="86">
        <f t="shared" ref="GO87:GO116" ca="1" si="423">ROUND(BG87,0)</f>
        <v>0</v>
      </c>
      <c r="GP87" s="194">
        <f t="shared" ref="GP87:GP116" ca="1" si="424">SUM(GJ87:GO87)</f>
        <v>0</v>
      </c>
      <c r="GR87" s="574"/>
      <c r="GS87" s="86"/>
      <c r="GT87" s="86"/>
      <c r="GU87" s="86"/>
      <c r="GV87" s="86"/>
      <c r="GW87" s="86"/>
      <c r="GX87" s="1104">
        <f t="shared" ref="GX87:GX116" si="425">SUM(GR87:GW87)</f>
        <v>0</v>
      </c>
      <c r="GZ87" s="575">
        <f t="shared" ref="GZ87:GZ116" ca="1" si="426">SUM(EV87,FD87,FL87,FT87,GB87,GJ87)</f>
        <v>0</v>
      </c>
      <c r="HA87" s="5">
        <f t="shared" ref="HA87:HA116" ca="1" si="427">SUM(EW87,FE87,FM87,FU87,GC87,GK87)</f>
        <v>0</v>
      </c>
      <c r="HB87" s="5">
        <f t="shared" ref="HB87:HB116" ca="1" si="428">SUM(EX87,FF87,FN87,FV87,GD87,GL87)</f>
        <v>0</v>
      </c>
      <c r="HC87" s="5">
        <f t="shared" ref="HC87:HC116" ca="1" si="429">SUM(EY87,FG87,FO87,FW87,GE87,GM87)</f>
        <v>0</v>
      </c>
      <c r="HD87" s="5">
        <f t="shared" ref="HD87:HD116" ca="1" si="430">SUM(EZ87,FH87,FP87,FX87,GF87,GN87)</f>
        <v>0</v>
      </c>
      <c r="HE87" s="5">
        <f t="shared" ref="HE87:HE116" ca="1" si="431">SUM(FA87,FI87,FQ87,FY87,GG87,GO87)</f>
        <v>0</v>
      </c>
      <c r="HF87" s="2175">
        <f t="shared" ref="HF87:HF116" ca="1" si="432">SUM(GZ87:HE87)</f>
        <v>0</v>
      </c>
      <c r="HG87" s="573">
        <f t="shared" ref="HG87:HG116" ca="1" si="433">SUM(ER87+HF87)</f>
        <v>8508</v>
      </c>
      <c r="HH87" s="257"/>
    </row>
    <row r="88" spans="1:216" ht="15" hidden="1" customHeight="1" x14ac:dyDescent="0.25">
      <c r="A88" s="403"/>
      <c r="B88" s="3220"/>
      <c r="C88" s="57">
        <f ca="1">'Calc - SENIOR PERS'!$B$20</f>
        <v>0</v>
      </c>
      <c r="D88" s="5">
        <f ca="1">'Calc - SENIOR PERS'!$S$25</f>
        <v>0</v>
      </c>
      <c r="E88" s="5">
        <f ca="1">'Calc - SENIOR PERS'!$S$26</f>
        <v>0</v>
      </c>
      <c r="F88" s="5">
        <f ca="1">'Calc - SENIOR PERS'!$S$27</f>
        <v>0</v>
      </c>
      <c r="G88" s="5">
        <f ca="1">'Calc - SENIOR PERS'!$S$28</f>
        <v>0</v>
      </c>
      <c r="H88" s="5">
        <f ca="1">'Calc - SENIOR PERS'!$S$29</f>
        <v>0</v>
      </c>
      <c r="I88" s="5">
        <f ca="1">'Calc - SENIOR PERS'!$S$30</f>
        <v>0</v>
      </c>
      <c r="J88" s="88">
        <f t="shared" ca="1" si="355"/>
        <v>0</v>
      </c>
      <c r="K88" s="4"/>
      <c r="L88" s="4"/>
      <c r="M88" s="4"/>
      <c r="N88" s="575">
        <f ca="1">IF(AND((OFFSET('DATA INPUT'!$C$11, ROW()-ROW($N$87),0)=$N$10),
 OR(OFFSET('DATA INPUT'!$H$11,ROW()-ROW($N$87),0)=3,
OFFSET('DATA INPUT'!$V$11, ROW()-ROW($N$87),0)=3,
OFFSET('DATA INPUT'!$AD$11, ROW()-ROW($N$87),0)=3)),
OFFSET('Calc - SENIOR PERS'!$AA$11,COLUMN()-COLUMN($N$87) + (ROW()-ROW($N$87))*14,0),0)</f>
        <v>0</v>
      </c>
      <c r="O88" s="5">
        <f ca="1">IF(AND((OFFSET('DATA INPUT'!$C$11, ROW()-ROW($N$87),0)=$N$10),
 OR(OFFSET('DATA INPUT'!$H$11,ROW()-ROW($N$87),0)=3,
OFFSET('DATA INPUT'!$V$11, ROW()-ROW($N$87),0)=3,
OFFSET('DATA INPUT'!$AD$11, ROW()-ROW($N$87),0)=3)),
OFFSET('Calc - SENIOR PERS'!$AA$11,COLUMN()-COLUMN($N$87) + (ROW()-ROW($N$87))*14,0),0)</f>
        <v>0</v>
      </c>
      <c r="P88" s="5">
        <f ca="1">IF(AND((OFFSET('DATA INPUT'!$C$11, ROW()-ROW($N$87),0)=$N$10),
 OR(OFFSET('DATA INPUT'!$H$11,ROW()-ROW($N$87),0)=3,
OFFSET('DATA INPUT'!$V$11, ROW()-ROW($N$87),0)=3,
OFFSET('DATA INPUT'!$AD$11, ROW()-ROW($N$87),0)=3)),
OFFSET('Calc - SENIOR PERS'!$AA$11,COLUMN()-COLUMN($N$87) + (ROW()-ROW($N$87))*14,0),0)</f>
        <v>0</v>
      </c>
      <c r="Q88" s="5">
        <f ca="1">IF(AND((OFFSET('DATA INPUT'!$C$11, ROW()-ROW($N$87),0)=$N$10),
 OR(OFFSET('DATA INPUT'!$H$11,ROW()-ROW($N$87),0)=3,
OFFSET('DATA INPUT'!$V$11, ROW()-ROW($N$87),0)=3,
OFFSET('DATA INPUT'!$AD$11, ROW()-ROW($N$87),0)=3)),
OFFSET('Calc - SENIOR PERS'!$AA$11,COLUMN()-COLUMN($N$87) + (ROW()-ROW($N$87))*14,0),0)</f>
        <v>0</v>
      </c>
      <c r="R88" s="5">
        <f ca="1">IF(AND((OFFSET('DATA INPUT'!$C$11, ROW()-ROW($N$87),0)=$N$10),
 OR(OFFSET('DATA INPUT'!$H$11,ROW()-ROW($N$87),0)=3,
OFFSET('DATA INPUT'!$V$11, ROW()-ROW($N$87),0)=3,
OFFSET('DATA INPUT'!$AD$11, ROW()-ROW($N$87),0)=3)),
OFFSET('Calc - SENIOR PERS'!$AA$11,COLUMN()-COLUMN($N$87) + (ROW()-ROW($N$87))*14,0),0)</f>
        <v>0</v>
      </c>
      <c r="S88" s="5">
        <f ca="1">IF(AND((OFFSET('DATA INPUT'!$C$11, ROW()-ROW($N$87),0)=$N$10),
 OR(OFFSET('DATA INPUT'!$H$11,ROW()-ROW($N$87),0)=3,
OFFSET('DATA INPUT'!$V$11, ROW()-ROW($N$87),0)=3,
OFFSET('DATA INPUT'!$AD$11, ROW()-ROW($N$87),0)=3)),
OFFSET('Calc - SENIOR PERS'!$AA$11,COLUMN()-COLUMN($N$87) + (ROW()-ROW($N$87))*14,0),0)</f>
        <v>0</v>
      </c>
      <c r="T88" s="164">
        <f t="shared" ca="1" si="356"/>
        <v>0</v>
      </c>
      <c r="U88" s="1"/>
      <c r="V88" s="575">
        <f ca="1">IF(AND((OFFSET('DATA INPUT'!$C$11, ROW()-ROW($V$87),0)=$V$10),
 OR(OFFSET('DATA INPUT'!$H$11,ROW()-ROW($V$87),0)=3,
OFFSET('DATA INPUT'!$V$11, ROW()-ROW($V$87),0)=3,
OFFSET('DATA INPUT'!$AD$11, ROW()-ROW($V$87),0)=3)),
OFFSET('Calc - SENIOR PERS'!$AA$11,COLUMN()-COLUMN($V$87) + (ROW()-ROW($V$87))*14,0),0)</f>
        <v>0</v>
      </c>
      <c r="W88" s="5">
        <f ca="1">IF(AND((OFFSET('DATA INPUT'!$C$11, ROW()-ROW($V$87),0)=$V$10),
 OR(OFFSET('DATA INPUT'!$H$11,ROW()-ROW($V$87),0)=3,
OFFSET('DATA INPUT'!$V$11, ROW()-ROW($V$87),0)=3,
OFFSET('DATA INPUT'!$AD$11, ROW()-ROW($V$87),0)=3)),
OFFSET('Calc - SENIOR PERS'!$AA$11,COLUMN()-COLUMN($V$87) + (ROW()-ROW($V$87))*14,0),0)</f>
        <v>0</v>
      </c>
      <c r="X88" s="5">
        <f ca="1">IF(AND((OFFSET('DATA INPUT'!$C$11, ROW()-ROW($V$87),0)=$V$10),
 OR(OFFSET('DATA INPUT'!$H$11,ROW()-ROW($V$87),0)=3,
OFFSET('DATA INPUT'!$V$11, ROW()-ROW($V$87),0)=3,
OFFSET('DATA INPUT'!$AD$11, ROW()-ROW($V$87),0)=3)),
OFFSET('Calc - SENIOR PERS'!$AA$11,COLUMN()-COLUMN($V$87) + (ROW()-ROW($V$87))*14,0),0)</f>
        <v>0</v>
      </c>
      <c r="Y88" s="5">
        <f ca="1">IF(AND((OFFSET('DATA INPUT'!$C$11, ROW()-ROW($V$87),0)=$V$10),
 OR(OFFSET('DATA INPUT'!$H$11,ROW()-ROW($V$87),0)=3,
OFFSET('DATA INPUT'!$V$11, ROW()-ROW($V$87),0)=3,
OFFSET('DATA INPUT'!$AD$11, ROW()-ROW($V$87),0)=3)),
OFFSET('Calc - SENIOR PERS'!$AA$11,COLUMN()-COLUMN($V$87) + (ROW()-ROW($V$87))*14,0),0)</f>
        <v>0</v>
      </c>
      <c r="Z88" s="5">
        <f ca="1">IF(AND((OFFSET('DATA INPUT'!$C$11, ROW()-ROW($V$87),0)=$V$10),
 OR(OFFSET('DATA INPUT'!$H$11,ROW()-ROW($V$87),0)=3,
OFFSET('DATA INPUT'!$V$11, ROW()-ROW($V$87),0)=3,
OFFSET('DATA INPUT'!$AD$11, ROW()-ROW($V$87),0)=3)),
OFFSET('Calc - SENIOR PERS'!$AA$11,COLUMN()-COLUMN($V$87) + (ROW()-ROW($V$87))*14,0),0)</f>
        <v>0</v>
      </c>
      <c r="AA88" s="5">
        <f ca="1">IF(AND((OFFSET('DATA INPUT'!$C$11, ROW()-ROW($V$87),0)=$V$10),
 OR(OFFSET('DATA INPUT'!$H$11,ROW()-ROW($V$87),0)=3,
OFFSET('DATA INPUT'!$V$11, ROW()-ROW($V$87),0)=3,
OFFSET('DATA INPUT'!$AD$11, ROW()-ROW($V$87),0)=3)),
OFFSET('Calc - SENIOR PERS'!$AA$11,COLUMN()-COLUMN($V$87) + (ROW()-ROW($V$87))*14,0),0)</f>
        <v>0</v>
      </c>
      <c r="AB88" s="138">
        <f t="shared" ca="1" si="357"/>
        <v>0</v>
      </c>
      <c r="AD88" s="575">
        <f ca="1">IF(AND((OFFSET('DATA INPUT'!$C$11, ROW()-ROW($AD$87),0)=$AD$10),
 OR(OFFSET('DATA INPUT'!$H$11,ROW()-ROW($AD$87),0)=3,
OFFSET('DATA INPUT'!$V$11, ROW()-ROW($AD$87),0)=3,
OFFSET('DATA INPUT'!$AD$11, ROW()-ROW($AD$87),0)=3)),
OFFSET('Calc - SENIOR PERS'!$AA$11,COLUMN()-COLUMN($AD$87) + (ROW()-ROW($AD$87))*14,0),0)</f>
        <v>0</v>
      </c>
      <c r="AE88" s="5">
        <f ca="1">IF(AND((OFFSET('DATA INPUT'!$C$11, ROW()-ROW($AD$87),0)=$AD$10),
 OR(OFFSET('DATA INPUT'!$H$11,ROW()-ROW($AD$87),0)=3,
OFFSET('DATA INPUT'!$V$11, ROW()-ROW($AD$87),0)=3,
OFFSET('DATA INPUT'!$AD$11, ROW()-ROW($AD$87),0)=3)),
OFFSET('Calc - SENIOR PERS'!$AA$11,COLUMN()-COLUMN($AD$87) + (ROW()-ROW($AD$87))*14,0),0)</f>
        <v>0</v>
      </c>
      <c r="AF88" s="5">
        <f ca="1">IF(AND((OFFSET('DATA INPUT'!$C$11, ROW()-ROW($AD$87),0)=$AD$10),
 OR(OFFSET('DATA INPUT'!$H$11,ROW()-ROW($AD$87),0)=3,
OFFSET('DATA INPUT'!$V$11, ROW()-ROW($AD$87),0)=3,
OFFSET('DATA INPUT'!$AD$11, ROW()-ROW($AD$87),0)=3)),
OFFSET('Calc - SENIOR PERS'!$AA$11,COLUMN()-COLUMN($AD$87) + (ROW()-ROW($AD$87))*14,0),0)</f>
        <v>0</v>
      </c>
      <c r="AG88" s="5">
        <f ca="1">IF(AND((OFFSET('DATA INPUT'!$C$11, ROW()-ROW($AD$87),0)=$AD$10),
 OR(OFFSET('DATA INPUT'!$H$11,ROW()-ROW($AD$87),0)=3,
OFFSET('DATA INPUT'!$V$11, ROW()-ROW($AD$87),0)=3,
OFFSET('DATA INPUT'!$AD$11, ROW()-ROW($AD$87),0)=3)),
OFFSET('Calc - SENIOR PERS'!$AA$11,COLUMN()-COLUMN($AD$87) + (ROW()-ROW($AD$87))*14,0),0)</f>
        <v>0</v>
      </c>
      <c r="AH88" s="5">
        <f ca="1">IF(AND((OFFSET('DATA INPUT'!$C$11, ROW()-ROW($AD$87),0)=$AD$10),
 OR(OFFSET('DATA INPUT'!$H$11,ROW()-ROW($AD$87),0)=3,
OFFSET('DATA INPUT'!$V$11, ROW()-ROW($AD$87),0)=3,
OFFSET('DATA INPUT'!$AD$11, ROW()-ROW($AD$87),0)=3)),
OFFSET('Calc - SENIOR PERS'!$AA$11,COLUMN()-COLUMN($AD$87) + (ROW()-ROW($AD$87))*14,0),0)</f>
        <v>0</v>
      </c>
      <c r="AI88" s="5">
        <f ca="1">IF(AND((OFFSET('DATA INPUT'!$C$11, ROW()-ROW($AD$87),0)=$AD$10),
 OR(OFFSET('DATA INPUT'!$H$11,ROW()-ROW($AD$87),0)=3,
OFFSET('DATA INPUT'!$V$11, ROW()-ROW($AD$87),0)=3,
OFFSET('DATA INPUT'!$AD$11, ROW()-ROW($AD$87),0)=3)),
OFFSET('Calc - SENIOR PERS'!$AA$11,COLUMN()-COLUMN($AD$87) + (ROW()-ROW($AD$87))*14,0),0)</f>
        <v>0</v>
      </c>
      <c r="AJ88" s="206">
        <f t="shared" ca="1" si="358"/>
        <v>0</v>
      </c>
      <c r="AL88" s="575">
        <f ca="1">IF(AND((OFFSET('DATA INPUT'!$C$11, ROW()-ROW($AL$87),0)=$AL$10),
 OR(OFFSET('DATA INPUT'!$H$11,ROW()-ROW($AL$87),0)=3,
OFFSET('DATA INPUT'!$V$11, ROW()-ROW($AL$87),0)=3,
OFFSET('DATA INPUT'!$AD$11, ROW()-ROW($AL$87),0)=3)),
OFFSET('Calc - SENIOR PERS'!$AA$11,COLUMN()-COLUMN($AL$87) + (ROW()-ROW($AL$87))*14,0),0)</f>
        <v>0</v>
      </c>
      <c r="AM88" s="5">
        <f ca="1">IF(AND((OFFSET('DATA INPUT'!$C$11, ROW()-ROW($AL$87),0)=$AL$10),
 OR(OFFSET('DATA INPUT'!$H$11,ROW()-ROW($AL$87),0)=3,
OFFSET('DATA INPUT'!$V$11, ROW()-ROW($AL$87),0)=3,
OFFSET('DATA INPUT'!$AD$11, ROW()-ROW($AL$87),0)=3)),
OFFSET('Calc - SENIOR PERS'!$AA$11,COLUMN()-COLUMN($AL$87) + (ROW()-ROW($AL$87))*14,0),0)</f>
        <v>0</v>
      </c>
      <c r="AN88" s="5">
        <f ca="1">IF(AND((OFFSET('DATA INPUT'!$C$11, ROW()-ROW($AL$87),0)=$AL$10),
 OR(OFFSET('DATA INPUT'!$H$11,ROW()-ROW($AL$87),0)=3,
OFFSET('DATA INPUT'!$V$11, ROW()-ROW($AL$87),0)=3,
OFFSET('DATA INPUT'!$AD$11, ROW()-ROW($AL$87),0)=3)),
OFFSET('Calc - SENIOR PERS'!$AA$11,COLUMN()-COLUMN($AL$87) + (ROW()-ROW($AL$87))*14,0),0)</f>
        <v>0</v>
      </c>
      <c r="AO88" s="5">
        <f ca="1">IF(AND((OFFSET('DATA INPUT'!$C$11, ROW()-ROW($AL$87),0)=$AL$10),
 OR(OFFSET('DATA INPUT'!$H$11,ROW()-ROW($AL$87),0)=3,
OFFSET('DATA INPUT'!$V$11, ROW()-ROW($AL$87),0)=3,
OFFSET('DATA INPUT'!$AD$11, ROW()-ROW($AL$87),0)=3)),
OFFSET('Calc - SENIOR PERS'!$AA$11,COLUMN()-COLUMN($AL$87) + (ROW()-ROW($AL$87))*14,0),0)</f>
        <v>0</v>
      </c>
      <c r="AP88" s="5">
        <f ca="1">IF(AND((OFFSET('DATA INPUT'!$C$11, ROW()-ROW($AL$87),0)=$AL$10),
 OR(OFFSET('DATA INPUT'!$H$11,ROW()-ROW($AL$87),0)=3,
OFFSET('DATA INPUT'!$V$11, ROW()-ROW($AL$87),0)=3,
OFFSET('DATA INPUT'!$AD$11, ROW()-ROW($AL$87),0)=3)),
OFFSET('Calc - SENIOR PERS'!$AA$11,COLUMN()-COLUMN($AL$87) + (ROW()-ROW($AL$87))*14,0),0)</f>
        <v>0</v>
      </c>
      <c r="AQ88" s="5">
        <f ca="1">IF(AND((OFFSET('DATA INPUT'!$C$11, ROW()-ROW($AL$87),0)=$AL$10),
 OR(OFFSET('DATA INPUT'!$H$11,ROW()-ROW($AL$87),0)=3,
OFFSET('DATA INPUT'!$V$11, ROW()-ROW($AL$87),0)=3,
OFFSET('DATA INPUT'!$AD$11, ROW()-ROW($AL$87),0)=3)),
OFFSET('Calc - SENIOR PERS'!$AA$11,COLUMN()-COLUMN($AL$87) + (ROW()-ROW($AL$87))*14,0),0)</f>
        <v>0</v>
      </c>
      <c r="AR88" s="178">
        <f t="shared" ca="1" si="359"/>
        <v>0</v>
      </c>
      <c r="AT88" s="575">
        <f ca="1">IF(AND((OFFSET('DATA INPUT'!$C$11, ROW()-ROW($AT$87),0)=$AT$10),
 OR(OFFSET('DATA INPUT'!$H$11,ROW()-ROW($AT$87),0)=3,
OFFSET('DATA INPUT'!$V$11, ROW()-ROW($AT$87),0)=3,
OFFSET('DATA INPUT'!$AD$11, ROW()-ROW($AT$87),0)=3)),
OFFSET('Calc - SENIOR PERS'!$AA$11,COLUMN()-COLUMN($AT$87) + (ROW()-ROW($AT$87))*14,0),0)</f>
        <v>0</v>
      </c>
      <c r="AU88" s="5">
        <f ca="1">IF(AND((OFFSET('DATA INPUT'!$C$11, ROW()-ROW($AT$87),0)=$AT$10),
 OR(OFFSET('DATA INPUT'!$H$11,ROW()-ROW($AT$87),0)=3,
OFFSET('DATA INPUT'!$V$11, ROW()-ROW($AT$87),0)=3,
OFFSET('DATA INPUT'!$AD$11, ROW()-ROW($AT$87),0)=3)),
OFFSET('Calc - SENIOR PERS'!$AA$11,COLUMN()-COLUMN($AT$87) + (ROW()-ROW($AT$87))*14,0),0)</f>
        <v>0</v>
      </c>
      <c r="AV88" s="5">
        <f ca="1">IF(AND((OFFSET('DATA INPUT'!$C$11, ROW()-ROW($AT$87),0)=$AT$10),
 OR(OFFSET('DATA INPUT'!$H$11,ROW()-ROW($AT$87),0)=3,
OFFSET('DATA INPUT'!$V$11, ROW()-ROW($AT$87),0)=3,
OFFSET('DATA INPUT'!$AD$11, ROW()-ROW($AT$87),0)=3)),
OFFSET('Calc - SENIOR PERS'!$AA$11,COLUMN()-COLUMN($AT$87) + (ROW()-ROW($AT$87))*14,0),0)</f>
        <v>0</v>
      </c>
      <c r="AW88" s="5">
        <f ca="1">IF(AND((OFFSET('DATA INPUT'!$C$11, ROW()-ROW($AT$87),0)=$AT$10),
 OR(OFFSET('DATA INPUT'!$H$11,ROW()-ROW($AT$87),0)=3,
OFFSET('DATA INPUT'!$V$11, ROW()-ROW($AT$87),0)=3,
OFFSET('DATA INPUT'!$AD$11, ROW()-ROW($AT$87),0)=3)),
OFFSET('Calc - SENIOR PERS'!$AA$11,COLUMN()-COLUMN($AT$87) + (ROW()-ROW($AT$87))*14,0),0)</f>
        <v>0</v>
      </c>
      <c r="AX88" s="5">
        <f ca="1">IF(AND((OFFSET('DATA INPUT'!$C$11, ROW()-ROW($AT$87),0)=$AT$10),
 OR(OFFSET('DATA INPUT'!$H$11,ROW()-ROW($AT$87),0)=3,
OFFSET('DATA INPUT'!$V$11, ROW()-ROW($AT$87),0)=3,
OFFSET('DATA INPUT'!$AD$11, ROW()-ROW($AT$87),0)=3)),
OFFSET('Calc - SENIOR PERS'!$AA$11,COLUMN()-COLUMN($AT$87) + (ROW()-ROW($AT$87))*14,0),0)</f>
        <v>0</v>
      </c>
      <c r="AY88" s="5">
        <f ca="1">IF(AND((OFFSET('DATA INPUT'!$C$11, ROW()-ROW($AT$87),0)=$AT$10),
 OR(OFFSET('DATA INPUT'!$H$11,ROW()-ROW($AT$87),0)=3,
OFFSET('DATA INPUT'!$V$11, ROW()-ROW($AT$87),0)=3,
OFFSET('DATA INPUT'!$AD$11, ROW()-ROW($AT$87),0)=3)),
OFFSET('Calc - SENIOR PERS'!$AA$11,COLUMN()-COLUMN($AT$87) + (ROW()-ROW($AT$87))*14,0),0)</f>
        <v>0</v>
      </c>
      <c r="AZ88" s="150">
        <f t="shared" ca="1" si="360"/>
        <v>0</v>
      </c>
      <c r="BB88" s="575">
        <f ca="1">IF(AND((OFFSET('DATA INPUT'!$C$11, ROW()-ROW($BB$87),0)=$BB$10),
 OR(OFFSET('DATA INPUT'!$H$11,ROW()-ROW($BB$87),0)=3,
OFFSET('DATA INPUT'!$V$11, ROW()-ROW($BB$87),0)=3,
OFFSET('DATA INPUT'!$AD$11, ROW()-ROW($BB$87),0)=3)),
OFFSET('Calc - SENIOR PERS'!$AA$11,COLUMN()-COLUMN($BB$87) + (ROW()-ROW($BB$87))*14,0),0)</f>
        <v>0</v>
      </c>
      <c r="BC88" s="5">
        <f ca="1">IF(AND((OFFSET('DATA INPUT'!$C$11, ROW()-ROW($BB$87),0)=$BB$10),
 OR(OFFSET('DATA INPUT'!$H$11,ROW()-ROW($BB$87),0)=3,
OFFSET('DATA INPUT'!$V$11, ROW()-ROW($BB$87),0)=3,
OFFSET('DATA INPUT'!$AD$11, ROW()-ROW($BB$87),0)=3)),
OFFSET('Calc - SENIOR PERS'!$AA$11,COLUMN()-COLUMN($BB$87) + (ROW()-ROW($BB$87))*14,0),0)</f>
        <v>0</v>
      </c>
      <c r="BD88" s="5">
        <f ca="1">IF(AND((OFFSET('DATA INPUT'!$C$11, ROW()-ROW($BB$87),0)=$BB$10),
 OR(OFFSET('DATA INPUT'!$H$11,ROW()-ROW($BB$87),0)=3,
OFFSET('DATA INPUT'!$V$11, ROW()-ROW($BB$87),0)=3,
OFFSET('DATA INPUT'!$AD$11, ROW()-ROW($BB$87),0)=3)),
OFFSET('Calc - SENIOR PERS'!$AA$11,COLUMN()-COLUMN($BB$87) + (ROW()-ROW($BB$87))*14,0),0)</f>
        <v>0</v>
      </c>
      <c r="BE88" s="5">
        <f ca="1">IF(AND((OFFSET('DATA INPUT'!$C$11, ROW()-ROW($BB$87),0)=$BB$10),
 OR(OFFSET('DATA INPUT'!$H$11,ROW()-ROW($BB$87),0)=3,
OFFSET('DATA INPUT'!$V$11, ROW()-ROW($BB$87),0)=3,
OFFSET('DATA INPUT'!$AD$11, ROW()-ROW($BB$87),0)=3)),
OFFSET('Calc - SENIOR PERS'!$AA$11,COLUMN()-COLUMN($BB$87) + (ROW()-ROW($BB$87))*14,0),0)</f>
        <v>0</v>
      </c>
      <c r="BF88" s="5">
        <f ca="1">IF(AND((OFFSET('DATA INPUT'!$C$11, ROW()-ROW($BB$87),0)=$BB$10),
 OR(OFFSET('DATA INPUT'!$H$11,ROW()-ROW($BB$87),0)=3,
OFFSET('DATA INPUT'!$V$11, ROW()-ROW($BB$87),0)=3,
OFFSET('DATA INPUT'!$AD$11, ROW()-ROW($BB$87),0)=3)),
OFFSET('Calc - SENIOR PERS'!$AA$11,COLUMN()-COLUMN($BB$87) + (ROW()-ROW($BB$87))*14,0),0)</f>
        <v>0</v>
      </c>
      <c r="BG88" s="5">
        <f ca="1">IF(AND((OFFSET('DATA INPUT'!$C$11, ROW()-ROW($BB$87),0)=$BB$10),
 OR(OFFSET('DATA INPUT'!$H$11,ROW()-ROW($BB$87),0)=3,
OFFSET('DATA INPUT'!$V$11, ROW()-ROW($BB$87),0)=3,
OFFSET('DATA INPUT'!$AD$11, ROW()-ROW($BB$87),0)=3)),
OFFSET('Calc - SENIOR PERS'!$AA$11,COLUMN()-COLUMN($BB$87) + (ROW()-ROW($BB$87))*14,0),0)</f>
        <v>0</v>
      </c>
      <c r="BH88" s="192">
        <f t="shared" ca="1" si="361"/>
        <v>0</v>
      </c>
      <c r="BJ88" s="575"/>
      <c r="BK88" s="5"/>
      <c r="BL88" s="5"/>
      <c r="BM88" s="5"/>
      <c r="BN88" s="5"/>
      <c r="BO88" s="5"/>
      <c r="BP88" s="1102">
        <f t="shared" si="362"/>
        <v>0</v>
      </c>
      <c r="BR88" s="575">
        <f t="shared" ca="1" si="363"/>
        <v>0</v>
      </c>
      <c r="BS88" s="5">
        <f t="shared" ca="1" si="364"/>
        <v>0</v>
      </c>
      <c r="BT88" s="5">
        <f t="shared" ca="1" si="365"/>
        <v>0</v>
      </c>
      <c r="BU88" s="5">
        <f t="shared" ca="1" si="366"/>
        <v>0</v>
      </c>
      <c r="BV88" s="5">
        <f t="shared" ca="1" si="367"/>
        <v>0</v>
      </c>
      <c r="BW88" s="5">
        <f t="shared" ca="1" si="368"/>
        <v>0</v>
      </c>
      <c r="BX88" s="2175">
        <f t="shared" ca="1" si="369"/>
        <v>0</v>
      </c>
      <c r="BY88" s="573">
        <f t="shared" ca="1" si="370"/>
        <v>0</v>
      </c>
      <c r="BZ88" s="257"/>
      <c r="CB88" s="1182"/>
      <c r="CC88" s="1170">
        <f ca="1">'Calc - SENIOR PERS'!$S$26/9*3</f>
        <v>0</v>
      </c>
      <c r="CD88" s="1171">
        <f ca="1">'Calc - SENIOR PERS'!$S$26/9*3</f>
        <v>0</v>
      </c>
      <c r="CE88" s="1171">
        <f ca="1">'Calc - SENIOR PERS'!$S$26/9*2</f>
        <v>0</v>
      </c>
      <c r="CF88" s="1171">
        <f ca="1">'Calc - SENIOR PERS'!$S$26/9*0.5</f>
        <v>0</v>
      </c>
      <c r="CG88" s="1172">
        <f ca="1">'Calc - SENIOR PERS'!$S$26/9*0.5</f>
        <v>0</v>
      </c>
      <c r="CH88" s="1173">
        <f ca="1">'Calc - SENIOR PERS'!$S$27/9*3</f>
        <v>0</v>
      </c>
      <c r="CI88" s="1174">
        <f ca="1">'Calc - SENIOR PERS'!$S$27/9*3</f>
        <v>0</v>
      </c>
      <c r="CJ88" s="1174">
        <f ca="1">'Calc - SENIOR PERS'!$S$27/9*2</f>
        <v>0</v>
      </c>
      <c r="CK88" s="1174">
        <f ca="1">'Calc - SENIOR PERS'!$S$27/9*0.5</f>
        <v>0</v>
      </c>
      <c r="CL88" s="1175">
        <f ca="1">'Calc - SENIOR PERS'!$S$27/9*0.5</f>
        <v>0</v>
      </c>
      <c r="CM88" s="1176">
        <f>'Calc - SENIOR PERS'!$S90/8*3</f>
        <v>0</v>
      </c>
      <c r="CN88" s="1177">
        <f>'Calc - SENIOR PERS'!$S90/8*3</f>
        <v>0</v>
      </c>
      <c r="CO88" s="1178">
        <f>'Calc - SENIOR PERS'!$S90/8*2</f>
        <v>0</v>
      </c>
      <c r="CP88" s="1234">
        <f t="shared" ca="1" si="371"/>
        <v>0</v>
      </c>
      <c r="CS88" s="575"/>
      <c r="CT88" s="5"/>
      <c r="CU88" s="1180"/>
      <c r="CV88" s="575"/>
      <c r="CW88" s="5"/>
      <c r="CX88" s="1249"/>
      <c r="CY88" s="575"/>
      <c r="CZ88" s="5"/>
      <c r="DA88" s="1180"/>
      <c r="DB88" s="575"/>
      <c r="DC88" s="5"/>
      <c r="DD88" s="1180"/>
      <c r="DE88" s="1181">
        <f t="shared" si="372"/>
        <v>0</v>
      </c>
      <c r="DG88" s="575"/>
      <c r="DH88" s="5"/>
      <c r="DI88" s="1180"/>
      <c r="DJ88" s="575"/>
      <c r="DK88" s="5"/>
      <c r="DL88" s="1249"/>
      <c r="DM88" s="575"/>
      <c r="DN88" s="5"/>
      <c r="DO88" s="1180"/>
      <c r="DP88" s="575"/>
      <c r="DQ88" s="5"/>
      <c r="DR88" s="1180"/>
      <c r="DS88" s="1181">
        <f t="shared" si="373"/>
        <v>0</v>
      </c>
      <c r="DU88" s="575"/>
      <c r="DV88" s="5"/>
      <c r="DW88" s="1180"/>
      <c r="DX88" s="575"/>
      <c r="DY88" s="5"/>
      <c r="DZ88" s="1249"/>
      <c r="EA88" s="575"/>
      <c r="EB88" s="5"/>
      <c r="EC88" s="1180"/>
      <c r="ED88" s="575"/>
      <c r="EE88" s="5"/>
      <c r="EF88" s="1180"/>
      <c r="EG88" s="1181">
        <f t="shared" si="374"/>
        <v>0</v>
      </c>
      <c r="EI88" s="403"/>
      <c r="EJ88" s="3220"/>
      <c r="EK88" s="57">
        <f t="shared" ca="1" si="375"/>
        <v>0</v>
      </c>
      <c r="EL88" s="5">
        <f t="shared" ca="1" si="376"/>
        <v>0</v>
      </c>
      <c r="EM88" s="5">
        <f t="shared" ca="1" si="377"/>
        <v>0</v>
      </c>
      <c r="EN88" s="5">
        <f t="shared" ca="1" si="378"/>
        <v>0</v>
      </c>
      <c r="EO88" s="5">
        <f t="shared" ca="1" si="379"/>
        <v>0</v>
      </c>
      <c r="EP88" s="5">
        <f t="shared" ca="1" si="380"/>
        <v>0</v>
      </c>
      <c r="EQ88" s="5">
        <f t="shared" ca="1" si="381"/>
        <v>0</v>
      </c>
      <c r="ER88" s="88">
        <f t="shared" ca="1" si="382"/>
        <v>0</v>
      </c>
      <c r="ES88" s="4"/>
      <c r="ET88" s="4"/>
      <c r="EU88" s="4"/>
      <c r="EV88" s="575">
        <f t="shared" ca="1" si="383"/>
        <v>0</v>
      </c>
      <c r="EW88" s="5">
        <f t="shared" ca="1" si="384"/>
        <v>0</v>
      </c>
      <c r="EX88" s="5">
        <f t="shared" ca="1" si="385"/>
        <v>0</v>
      </c>
      <c r="EY88" s="5">
        <f t="shared" ca="1" si="386"/>
        <v>0</v>
      </c>
      <c r="EZ88" s="5">
        <f t="shared" ca="1" si="387"/>
        <v>0</v>
      </c>
      <c r="FA88" s="5">
        <f t="shared" ca="1" si="388"/>
        <v>0</v>
      </c>
      <c r="FB88" s="164">
        <f t="shared" ca="1" si="389"/>
        <v>0</v>
      </c>
      <c r="FC88" s="1"/>
      <c r="FD88" s="575">
        <f t="shared" ca="1" si="390"/>
        <v>0</v>
      </c>
      <c r="FE88" s="5">
        <f t="shared" ca="1" si="391"/>
        <v>0</v>
      </c>
      <c r="FF88" s="5">
        <f t="shared" ca="1" si="392"/>
        <v>0</v>
      </c>
      <c r="FG88" s="5">
        <f t="shared" ca="1" si="393"/>
        <v>0</v>
      </c>
      <c r="FH88" s="5">
        <f t="shared" ca="1" si="394"/>
        <v>0</v>
      </c>
      <c r="FI88" s="5">
        <f t="shared" ca="1" si="395"/>
        <v>0</v>
      </c>
      <c r="FJ88" s="138">
        <f t="shared" ca="1" si="396"/>
        <v>0</v>
      </c>
      <c r="FL88" s="575">
        <f t="shared" ca="1" si="397"/>
        <v>0</v>
      </c>
      <c r="FM88" s="5">
        <f t="shared" ca="1" si="398"/>
        <v>0</v>
      </c>
      <c r="FN88" s="5">
        <f t="shared" ca="1" si="399"/>
        <v>0</v>
      </c>
      <c r="FO88" s="5">
        <f t="shared" ca="1" si="400"/>
        <v>0</v>
      </c>
      <c r="FP88" s="5">
        <f t="shared" ca="1" si="401"/>
        <v>0</v>
      </c>
      <c r="FQ88" s="5">
        <f t="shared" ca="1" si="402"/>
        <v>0</v>
      </c>
      <c r="FR88" s="206">
        <f t="shared" ca="1" si="403"/>
        <v>0</v>
      </c>
      <c r="FT88" s="575">
        <f t="shared" ca="1" si="404"/>
        <v>0</v>
      </c>
      <c r="FU88" s="5">
        <f t="shared" ca="1" si="405"/>
        <v>0</v>
      </c>
      <c r="FV88" s="5">
        <f t="shared" ca="1" si="406"/>
        <v>0</v>
      </c>
      <c r="FW88" s="5">
        <f t="shared" ca="1" si="407"/>
        <v>0</v>
      </c>
      <c r="FX88" s="5">
        <f t="shared" ca="1" si="408"/>
        <v>0</v>
      </c>
      <c r="FY88" s="5">
        <f t="shared" ca="1" si="409"/>
        <v>0</v>
      </c>
      <c r="FZ88" s="178">
        <f t="shared" ca="1" si="410"/>
        <v>0</v>
      </c>
      <c r="GB88" s="575">
        <f t="shared" ca="1" si="411"/>
        <v>0</v>
      </c>
      <c r="GC88" s="5">
        <f t="shared" ca="1" si="412"/>
        <v>0</v>
      </c>
      <c r="GD88" s="5">
        <f t="shared" ca="1" si="413"/>
        <v>0</v>
      </c>
      <c r="GE88" s="5">
        <f t="shared" ca="1" si="414"/>
        <v>0</v>
      </c>
      <c r="GF88" s="5">
        <f t="shared" ca="1" si="415"/>
        <v>0</v>
      </c>
      <c r="GG88" s="5">
        <f t="shared" ca="1" si="416"/>
        <v>0</v>
      </c>
      <c r="GH88" s="150">
        <f t="shared" ca="1" si="417"/>
        <v>0</v>
      </c>
      <c r="GJ88" s="575">
        <f t="shared" ca="1" si="418"/>
        <v>0</v>
      </c>
      <c r="GK88" s="5">
        <f t="shared" ca="1" si="419"/>
        <v>0</v>
      </c>
      <c r="GL88" s="5">
        <f t="shared" ca="1" si="420"/>
        <v>0</v>
      </c>
      <c r="GM88" s="5">
        <f t="shared" ca="1" si="421"/>
        <v>0</v>
      </c>
      <c r="GN88" s="5">
        <f t="shared" ca="1" si="422"/>
        <v>0</v>
      </c>
      <c r="GO88" s="5">
        <f t="shared" ca="1" si="423"/>
        <v>0</v>
      </c>
      <c r="GP88" s="192">
        <f t="shared" ca="1" si="424"/>
        <v>0</v>
      </c>
      <c r="GR88" s="575"/>
      <c r="GS88" s="5"/>
      <c r="GT88" s="5"/>
      <c r="GU88" s="5"/>
      <c r="GV88" s="5"/>
      <c r="GW88" s="5"/>
      <c r="GX88" s="1102">
        <f t="shared" si="425"/>
        <v>0</v>
      </c>
      <c r="GZ88" s="575">
        <f t="shared" ca="1" si="426"/>
        <v>0</v>
      </c>
      <c r="HA88" s="5">
        <f t="shared" ca="1" si="427"/>
        <v>0</v>
      </c>
      <c r="HB88" s="5">
        <f t="shared" ca="1" si="428"/>
        <v>0</v>
      </c>
      <c r="HC88" s="5">
        <f t="shared" ca="1" si="429"/>
        <v>0</v>
      </c>
      <c r="HD88" s="5">
        <f t="shared" ca="1" si="430"/>
        <v>0</v>
      </c>
      <c r="HE88" s="5">
        <f t="shared" ca="1" si="431"/>
        <v>0</v>
      </c>
      <c r="HF88" s="2175">
        <f t="shared" ca="1" si="432"/>
        <v>0</v>
      </c>
      <c r="HG88" s="573">
        <f t="shared" ca="1" si="433"/>
        <v>0</v>
      </c>
      <c r="HH88" s="257"/>
    </row>
    <row r="89" spans="1:216" ht="15" hidden="1" customHeight="1" x14ac:dyDescent="0.25">
      <c r="A89" s="403"/>
      <c r="B89" s="3220"/>
      <c r="C89" s="57">
        <f ca="1">'Calc - SENIOR PERS'!$B$34</f>
        <v>0</v>
      </c>
      <c r="D89" s="5">
        <f ca="1">'Calc - SENIOR PERS'!$S$39</f>
        <v>0</v>
      </c>
      <c r="E89" s="5">
        <f ca="1">'Calc - SENIOR PERS'!$S$40</f>
        <v>0</v>
      </c>
      <c r="F89" s="5">
        <f ca="1">'Calc - SENIOR PERS'!$S$41</f>
        <v>0</v>
      </c>
      <c r="G89" s="5">
        <f ca="1">'Calc - SENIOR PERS'!$S$42</f>
        <v>0</v>
      </c>
      <c r="H89" s="5">
        <f ca="1">'Calc - SENIOR PERS'!$S$43</f>
        <v>0</v>
      </c>
      <c r="I89" s="5">
        <f ca="1">'Calc - SENIOR PERS'!$S$44</f>
        <v>0</v>
      </c>
      <c r="J89" s="88">
        <f t="shared" ca="1" si="355"/>
        <v>0</v>
      </c>
      <c r="K89" s="4"/>
      <c r="L89" s="4"/>
      <c r="M89" s="4"/>
      <c r="N89" s="575">
        <f ca="1">IF(AND((OFFSET('DATA INPUT'!$C$11, ROW()-ROW($N$87),0)=$N$10),
 OR(OFFSET('DATA INPUT'!$H$11,ROW()-ROW($N$87),0)=3,
OFFSET('DATA INPUT'!$V$11, ROW()-ROW($N$87),0)=3,
OFFSET('DATA INPUT'!$AD$11, ROW()-ROW($N$87),0)=3)),
OFFSET('Calc - SENIOR PERS'!$AA$11,COLUMN()-COLUMN($N$87) + (ROW()-ROW($N$87))*14,0),0)</f>
        <v>0</v>
      </c>
      <c r="O89" s="5">
        <f ca="1">IF(AND((OFFSET('DATA INPUT'!$C$11, ROW()-ROW($N$87),0)=$N$10),
 OR(OFFSET('DATA INPUT'!$H$11,ROW()-ROW($N$87),0)=3,
OFFSET('DATA INPUT'!$V$11, ROW()-ROW($N$87),0)=3,
OFFSET('DATA INPUT'!$AD$11, ROW()-ROW($N$87),0)=3)),
OFFSET('Calc - SENIOR PERS'!$AA$11,COLUMN()-COLUMN($N$87) + (ROW()-ROW($N$87))*14,0),0)</f>
        <v>0</v>
      </c>
      <c r="P89" s="5">
        <f ca="1">IF(AND((OFFSET('DATA INPUT'!$C$11, ROW()-ROW($N$87),0)=$N$10),
 OR(OFFSET('DATA INPUT'!$H$11,ROW()-ROW($N$87),0)=3,
OFFSET('DATA INPUT'!$V$11, ROW()-ROW($N$87),0)=3,
OFFSET('DATA INPUT'!$AD$11, ROW()-ROW($N$87),0)=3)),
OFFSET('Calc - SENIOR PERS'!$AA$11,COLUMN()-COLUMN($N$87) + (ROW()-ROW($N$87))*14,0),0)</f>
        <v>0</v>
      </c>
      <c r="Q89" s="5">
        <f ca="1">IF(AND((OFFSET('DATA INPUT'!$C$11, ROW()-ROW($N$87),0)=$N$10),
 OR(OFFSET('DATA INPUT'!$H$11,ROW()-ROW($N$87),0)=3,
OFFSET('DATA INPUT'!$V$11, ROW()-ROW($N$87),0)=3,
OFFSET('DATA INPUT'!$AD$11, ROW()-ROW($N$87),0)=3)),
OFFSET('Calc - SENIOR PERS'!$AA$11,COLUMN()-COLUMN($N$87) + (ROW()-ROW($N$87))*14,0),0)</f>
        <v>0</v>
      </c>
      <c r="R89" s="5">
        <f ca="1">IF(AND((OFFSET('DATA INPUT'!$C$11, ROW()-ROW($N$87),0)=$N$10),
 OR(OFFSET('DATA INPUT'!$H$11,ROW()-ROW($N$87),0)=3,
OFFSET('DATA INPUT'!$V$11, ROW()-ROW($N$87),0)=3,
OFFSET('DATA INPUT'!$AD$11, ROW()-ROW($N$87),0)=3)),
OFFSET('Calc - SENIOR PERS'!$AA$11,COLUMN()-COLUMN($N$87) + (ROW()-ROW($N$87))*14,0),0)</f>
        <v>0</v>
      </c>
      <c r="S89" s="5">
        <f ca="1">IF(AND((OFFSET('DATA INPUT'!$C$11, ROW()-ROW($N$87),0)=$N$10),
 OR(OFFSET('DATA INPUT'!$H$11,ROW()-ROW($N$87),0)=3,
OFFSET('DATA INPUT'!$V$11, ROW()-ROW($N$87),0)=3,
OFFSET('DATA INPUT'!$AD$11, ROW()-ROW($N$87),0)=3)),
OFFSET('Calc - SENIOR PERS'!$AA$11,COLUMN()-COLUMN($N$87) + (ROW()-ROW($N$87))*14,0),0)</f>
        <v>0</v>
      </c>
      <c r="T89" s="164">
        <f t="shared" ca="1" si="356"/>
        <v>0</v>
      </c>
      <c r="U89" s="1"/>
      <c r="V89" s="575">
        <f ca="1">IF(AND((OFFSET('DATA INPUT'!$C$11, ROW()-ROW($V$87),0)=$V$10),
 OR(OFFSET('DATA INPUT'!$H$11,ROW()-ROW($V$87),0)=3,
OFFSET('DATA INPUT'!$V$11, ROW()-ROW($V$87),0)=3,
OFFSET('DATA INPUT'!$AD$11, ROW()-ROW($V$87),0)=3)),
OFFSET('Calc - SENIOR PERS'!$AA$11,COLUMN()-COLUMN($V$87) + (ROW()-ROW($V$87))*14,0),0)</f>
        <v>0</v>
      </c>
      <c r="W89" s="5">
        <f ca="1">IF(AND((OFFSET('DATA INPUT'!$C$11, ROW()-ROW($V$87),0)=$V$10),
 OR(OFFSET('DATA INPUT'!$H$11,ROW()-ROW($V$87),0)=3,
OFFSET('DATA INPUT'!$V$11, ROW()-ROW($V$87),0)=3,
OFFSET('DATA INPUT'!$AD$11, ROW()-ROW($V$87),0)=3)),
OFFSET('Calc - SENIOR PERS'!$AA$11,COLUMN()-COLUMN($V$87) + (ROW()-ROW($V$87))*14,0),0)</f>
        <v>0</v>
      </c>
      <c r="X89" s="5">
        <f ca="1">IF(AND((OFFSET('DATA INPUT'!$C$11, ROW()-ROW($V$87),0)=$V$10),
 OR(OFFSET('DATA INPUT'!$H$11,ROW()-ROW($V$87),0)=3,
OFFSET('DATA INPUT'!$V$11, ROW()-ROW($V$87),0)=3,
OFFSET('DATA INPUT'!$AD$11, ROW()-ROW($V$87),0)=3)),
OFFSET('Calc - SENIOR PERS'!$AA$11,COLUMN()-COLUMN($V$87) + (ROW()-ROW($V$87))*14,0),0)</f>
        <v>0</v>
      </c>
      <c r="Y89" s="5">
        <f ca="1">IF(AND((OFFSET('DATA INPUT'!$C$11, ROW()-ROW($V$87),0)=$V$10),
 OR(OFFSET('DATA INPUT'!$H$11,ROW()-ROW($V$87),0)=3,
OFFSET('DATA INPUT'!$V$11, ROW()-ROW($V$87),0)=3,
OFFSET('DATA INPUT'!$AD$11, ROW()-ROW($V$87),0)=3)),
OFFSET('Calc - SENIOR PERS'!$AA$11,COLUMN()-COLUMN($V$87) + (ROW()-ROW($V$87))*14,0),0)</f>
        <v>0</v>
      </c>
      <c r="Z89" s="5">
        <f ca="1">IF(AND((OFFSET('DATA INPUT'!$C$11, ROW()-ROW($V$87),0)=$V$10),
 OR(OFFSET('DATA INPUT'!$H$11,ROW()-ROW($V$87),0)=3,
OFFSET('DATA INPUT'!$V$11, ROW()-ROW($V$87),0)=3,
OFFSET('DATA INPUT'!$AD$11, ROW()-ROW($V$87),0)=3)),
OFFSET('Calc - SENIOR PERS'!$AA$11,COLUMN()-COLUMN($V$87) + (ROW()-ROW($V$87))*14,0),0)</f>
        <v>0</v>
      </c>
      <c r="AA89" s="5">
        <f ca="1">IF(AND((OFFSET('DATA INPUT'!$C$11, ROW()-ROW($V$87),0)=$V$10),
 OR(OFFSET('DATA INPUT'!$H$11,ROW()-ROW($V$87),0)=3,
OFFSET('DATA INPUT'!$V$11, ROW()-ROW($V$87),0)=3,
OFFSET('DATA INPUT'!$AD$11, ROW()-ROW($V$87),0)=3)),
OFFSET('Calc - SENIOR PERS'!$AA$11,COLUMN()-COLUMN($V$87) + (ROW()-ROW($V$87))*14,0),0)</f>
        <v>0</v>
      </c>
      <c r="AB89" s="138">
        <f t="shared" ca="1" si="357"/>
        <v>0</v>
      </c>
      <c r="AD89" s="575">
        <f ca="1">IF(AND((OFFSET('DATA INPUT'!$C$11, ROW()-ROW($AD$87),0)=$AD$10),
 OR(OFFSET('DATA INPUT'!$H$11,ROW()-ROW($AD$87),0)=3,
OFFSET('DATA INPUT'!$V$11, ROW()-ROW($AD$87),0)=3,
OFFSET('DATA INPUT'!$AD$11, ROW()-ROW($AD$87),0)=3)),
OFFSET('Calc - SENIOR PERS'!$AA$11,COLUMN()-COLUMN($AD$87) + (ROW()-ROW($AD$87))*14,0),0)</f>
        <v>0</v>
      </c>
      <c r="AE89" s="5">
        <f ca="1">IF(AND((OFFSET('DATA INPUT'!$C$11, ROW()-ROW($AD$87),0)=$AD$10),
 OR(OFFSET('DATA INPUT'!$H$11,ROW()-ROW($AD$87),0)=3,
OFFSET('DATA INPUT'!$V$11, ROW()-ROW($AD$87),0)=3,
OFFSET('DATA INPUT'!$AD$11, ROW()-ROW($AD$87),0)=3)),
OFFSET('Calc - SENIOR PERS'!$AA$11,COLUMN()-COLUMN($AD$87) + (ROW()-ROW($AD$87))*14,0),0)</f>
        <v>0</v>
      </c>
      <c r="AF89" s="5">
        <f ca="1">IF(AND((OFFSET('DATA INPUT'!$C$11, ROW()-ROW($AD$87),0)=$AD$10),
 OR(OFFSET('DATA INPUT'!$H$11,ROW()-ROW($AD$87),0)=3,
OFFSET('DATA INPUT'!$V$11, ROW()-ROW($AD$87),0)=3,
OFFSET('DATA INPUT'!$AD$11, ROW()-ROW($AD$87),0)=3)),
OFFSET('Calc - SENIOR PERS'!$AA$11,COLUMN()-COLUMN($AD$87) + (ROW()-ROW($AD$87))*14,0),0)</f>
        <v>0</v>
      </c>
      <c r="AG89" s="5">
        <f ca="1">IF(AND((OFFSET('DATA INPUT'!$C$11, ROW()-ROW($AD$87),0)=$AD$10),
 OR(OFFSET('DATA INPUT'!$H$11,ROW()-ROW($AD$87),0)=3,
OFFSET('DATA INPUT'!$V$11, ROW()-ROW($AD$87),0)=3,
OFFSET('DATA INPUT'!$AD$11, ROW()-ROW($AD$87),0)=3)),
OFFSET('Calc - SENIOR PERS'!$AA$11,COLUMN()-COLUMN($AD$87) + (ROW()-ROW($AD$87))*14,0),0)</f>
        <v>0</v>
      </c>
      <c r="AH89" s="5">
        <f ca="1">IF(AND((OFFSET('DATA INPUT'!$C$11, ROW()-ROW($AD$87),0)=$AD$10),
 OR(OFFSET('DATA INPUT'!$H$11,ROW()-ROW($AD$87),0)=3,
OFFSET('DATA INPUT'!$V$11, ROW()-ROW($AD$87),0)=3,
OFFSET('DATA INPUT'!$AD$11, ROW()-ROW($AD$87),0)=3)),
OFFSET('Calc - SENIOR PERS'!$AA$11,COLUMN()-COLUMN($AD$87) + (ROW()-ROW($AD$87))*14,0),0)</f>
        <v>0</v>
      </c>
      <c r="AI89" s="5">
        <f ca="1">IF(AND((OFFSET('DATA INPUT'!$C$11, ROW()-ROW($AD$87),0)=$AD$10),
 OR(OFFSET('DATA INPUT'!$H$11,ROW()-ROW($AD$87),0)=3,
OFFSET('DATA INPUT'!$V$11, ROW()-ROW($AD$87),0)=3,
OFFSET('DATA INPUT'!$AD$11, ROW()-ROW($AD$87),0)=3)),
OFFSET('Calc - SENIOR PERS'!$AA$11,COLUMN()-COLUMN($AD$87) + (ROW()-ROW($AD$87))*14,0),0)</f>
        <v>0</v>
      </c>
      <c r="AJ89" s="206">
        <f t="shared" ca="1" si="358"/>
        <v>0</v>
      </c>
      <c r="AL89" s="575">
        <f ca="1">IF(AND((OFFSET('DATA INPUT'!$C$11, ROW()-ROW($AL$87),0)=$AL$10),
 OR(OFFSET('DATA INPUT'!$H$11,ROW()-ROW($AL$87),0)=3,
OFFSET('DATA INPUT'!$V$11, ROW()-ROW($AL$87),0)=3,
OFFSET('DATA INPUT'!$AD$11, ROW()-ROW($AL$87),0)=3)),
OFFSET('Calc - SENIOR PERS'!$AA$11,COLUMN()-COLUMN($AL$87) + (ROW()-ROW($AL$87))*14,0),0)</f>
        <v>0</v>
      </c>
      <c r="AM89" s="5">
        <f ca="1">IF(AND((OFFSET('DATA INPUT'!$C$11, ROW()-ROW($AL$87),0)=$AL$10),
 OR(OFFSET('DATA INPUT'!$H$11,ROW()-ROW($AL$87),0)=3,
OFFSET('DATA INPUT'!$V$11, ROW()-ROW($AL$87),0)=3,
OFFSET('DATA INPUT'!$AD$11, ROW()-ROW($AL$87),0)=3)),
OFFSET('Calc - SENIOR PERS'!$AA$11,COLUMN()-COLUMN($AL$87) + (ROW()-ROW($AL$87))*14,0),0)</f>
        <v>0</v>
      </c>
      <c r="AN89" s="5">
        <f ca="1">IF(AND((OFFSET('DATA INPUT'!$C$11, ROW()-ROW($AL$87),0)=$AL$10),
 OR(OFFSET('DATA INPUT'!$H$11,ROW()-ROW($AL$87),0)=3,
OFFSET('DATA INPUT'!$V$11, ROW()-ROW($AL$87),0)=3,
OFFSET('DATA INPUT'!$AD$11, ROW()-ROW($AL$87),0)=3)),
OFFSET('Calc - SENIOR PERS'!$AA$11,COLUMN()-COLUMN($AL$87) + (ROW()-ROW($AL$87))*14,0),0)</f>
        <v>0</v>
      </c>
      <c r="AO89" s="5">
        <f ca="1">IF(AND((OFFSET('DATA INPUT'!$C$11, ROW()-ROW($AL$87),0)=$AL$10),
 OR(OFFSET('DATA INPUT'!$H$11,ROW()-ROW($AL$87),0)=3,
OFFSET('DATA INPUT'!$V$11, ROW()-ROW($AL$87),0)=3,
OFFSET('DATA INPUT'!$AD$11, ROW()-ROW($AL$87),0)=3)),
OFFSET('Calc - SENIOR PERS'!$AA$11,COLUMN()-COLUMN($AL$87) + (ROW()-ROW($AL$87))*14,0),0)</f>
        <v>0</v>
      </c>
      <c r="AP89" s="5">
        <f ca="1">IF(AND((OFFSET('DATA INPUT'!$C$11, ROW()-ROW($AL$87),0)=$AL$10),
 OR(OFFSET('DATA INPUT'!$H$11,ROW()-ROW($AL$87),0)=3,
OFFSET('DATA INPUT'!$V$11, ROW()-ROW($AL$87),0)=3,
OFFSET('DATA INPUT'!$AD$11, ROW()-ROW($AL$87),0)=3)),
OFFSET('Calc - SENIOR PERS'!$AA$11,COLUMN()-COLUMN($AL$87) + (ROW()-ROW($AL$87))*14,0),0)</f>
        <v>0</v>
      </c>
      <c r="AQ89" s="5">
        <f ca="1">IF(AND((OFFSET('DATA INPUT'!$C$11, ROW()-ROW($AL$87),0)=$AL$10),
 OR(OFFSET('DATA INPUT'!$H$11,ROW()-ROW($AL$87),0)=3,
OFFSET('DATA INPUT'!$V$11, ROW()-ROW($AL$87),0)=3,
OFFSET('DATA INPUT'!$AD$11, ROW()-ROW($AL$87),0)=3)),
OFFSET('Calc - SENIOR PERS'!$AA$11,COLUMN()-COLUMN($AL$87) + (ROW()-ROW($AL$87))*14,0),0)</f>
        <v>0</v>
      </c>
      <c r="AR89" s="178">
        <f t="shared" ca="1" si="359"/>
        <v>0</v>
      </c>
      <c r="AT89" s="575">
        <f ca="1">IF(AND((OFFSET('DATA INPUT'!$C$11, ROW()-ROW($AT$87),0)=$AT$10),
 OR(OFFSET('DATA INPUT'!$H$11,ROW()-ROW($AT$87),0)=3,
OFFSET('DATA INPUT'!$V$11, ROW()-ROW($AT$87),0)=3,
OFFSET('DATA INPUT'!$AD$11, ROW()-ROW($AT$87),0)=3)),
OFFSET('Calc - SENIOR PERS'!$AA$11,COLUMN()-COLUMN($AT$87) + (ROW()-ROW($AT$87))*14,0),0)</f>
        <v>0</v>
      </c>
      <c r="AU89" s="5">
        <f ca="1">IF(AND((OFFSET('DATA INPUT'!$C$11, ROW()-ROW($AT$87),0)=$AT$10),
 OR(OFFSET('DATA INPUT'!$H$11,ROW()-ROW($AT$87),0)=3,
OFFSET('DATA INPUT'!$V$11, ROW()-ROW($AT$87),0)=3,
OFFSET('DATA INPUT'!$AD$11, ROW()-ROW($AT$87),0)=3)),
OFFSET('Calc - SENIOR PERS'!$AA$11,COLUMN()-COLUMN($AT$87) + (ROW()-ROW($AT$87))*14,0),0)</f>
        <v>0</v>
      </c>
      <c r="AV89" s="5">
        <f ca="1">IF(AND((OFFSET('DATA INPUT'!$C$11, ROW()-ROW($AT$87),0)=$AT$10),
 OR(OFFSET('DATA INPUT'!$H$11,ROW()-ROW($AT$87),0)=3,
OFFSET('DATA INPUT'!$V$11, ROW()-ROW($AT$87),0)=3,
OFFSET('DATA INPUT'!$AD$11, ROW()-ROW($AT$87),0)=3)),
OFFSET('Calc - SENIOR PERS'!$AA$11,COLUMN()-COLUMN($AT$87) + (ROW()-ROW($AT$87))*14,0),0)</f>
        <v>0</v>
      </c>
      <c r="AW89" s="5">
        <f ca="1">IF(AND((OFFSET('DATA INPUT'!$C$11, ROW()-ROW($AT$87),0)=$AT$10),
 OR(OFFSET('DATA INPUT'!$H$11,ROW()-ROW($AT$87),0)=3,
OFFSET('DATA INPUT'!$V$11, ROW()-ROW($AT$87),0)=3,
OFFSET('DATA INPUT'!$AD$11, ROW()-ROW($AT$87),0)=3)),
OFFSET('Calc - SENIOR PERS'!$AA$11,COLUMN()-COLUMN($AT$87) + (ROW()-ROW($AT$87))*14,0),0)</f>
        <v>0</v>
      </c>
      <c r="AX89" s="5">
        <f ca="1">IF(AND((OFFSET('DATA INPUT'!$C$11, ROW()-ROW($AT$87),0)=$AT$10),
 OR(OFFSET('DATA INPUT'!$H$11,ROW()-ROW($AT$87),0)=3,
OFFSET('DATA INPUT'!$V$11, ROW()-ROW($AT$87),0)=3,
OFFSET('DATA INPUT'!$AD$11, ROW()-ROW($AT$87),0)=3)),
OFFSET('Calc - SENIOR PERS'!$AA$11,COLUMN()-COLUMN($AT$87) + (ROW()-ROW($AT$87))*14,0),0)</f>
        <v>0</v>
      </c>
      <c r="AY89" s="5">
        <f ca="1">IF(AND((OFFSET('DATA INPUT'!$C$11, ROW()-ROW($AT$87),0)=$AT$10),
 OR(OFFSET('DATA INPUT'!$H$11,ROW()-ROW($AT$87),0)=3,
OFFSET('DATA INPUT'!$V$11, ROW()-ROW($AT$87),0)=3,
OFFSET('DATA INPUT'!$AD$11, ROW()-ROW($AT$87),0)=3)),
OFFSET('Calc - SENIOR PERS'!$AA$11,COLUMN()-COLUMN($AT$87) + (ROW()-ROW($AT$87))*14,0),0)</f>
        <v>0</v>
      </c>
      <c r="AZ89" s="150">
        <f t="shared" ca="1" si="360"/>
        <v>0</v>
      </c>
      <c r="BB89" s="575">
        <f ca="1">IF(AND((OFFSET('DATA INPUT'!$C$11, ROW()-ROW($BB$87),0)=$BB$10),
 OR(OFFSET('DATA INPUT'!$H$11,ROW()-ROW($BB$87),0)=3,
OFFSET('DATA INPUT'!$V$11, ROW()-ROW($BB$87),0)=3,
OFFSET('DATA INPUT'!$AD$11, ROW()-ROW($BB$87),0)=3)),
OFFSET('Calc - SENIOR PERS'!$AA$11,COLUMN()-COLUMN($BB$87) + (ROW()-ROW($BB$87))*14,0),0)</f>
        <v>0</v>
      </c>
      <c r="BC89" s="5">
        <f ca="1">IF(AND((OFFSET('DATA INPUT'!$C$11, ROW()-ROW($BB$87),0)=$BB$10),
 OR(OFFSET('DATA INPUT'!$H$11,ROW()-ROW($BB$87),0)=3,
OFFSET('DATA INPUT'!$V$11, ROW()-ROW($BB$87),0)=3,
OFFSET('DATA INPUT'!$AD$11, ROW()-ROW($BB$87),0)=3)),
OFFSET('Calc - SENIOR PERS'!$AA$11,COLUMN()-COLUMN($BB$87) + (ROW()-ROW($BB$87))*14,0),0)</f>
        <v>0</v>
      </c>
      <c r="BD89" s="5">
        <f ca="1">IF(AND((OFFSET('DATA INPUT'!$C$11, ROW()-ROW($BB$87),0)=$BB$10),
 OR(OFFSET('DATA INPUT'!$H$11,ROW()-ROW($BB$87),0)=3,
OFFSET('DATA INPUT'!$V$11, ROW()-ROW($BB$87),0)=3,
OFFSET('DATA INPUT'!$AD$11, ROW()-ROW($BB$87),0)=3)),
OFFSET('Calc - SENIOR PERS'!$AA$11,COLUMN()-COLUMN($BB$87) + (ROW()-ROW($BB$87))*14,0),0)</f>
        <v>0</v>
      </c>
      <c r="BE89" s="5">
        <f ca="1">IF(AND((OFFSET('DATA INPUT'!$C$11, ROW()-ROW($BB$87),0)=$BB$10),
 OR(OFFSET('DATA INPUT'!$H$11,ROW()-ROW($BB$87),0)=3,
OFFSET('DATA INPUT'!$V$11, ROW()-ROW($BB$87),0)=3,
OFFSET('DATA INPUT'!$AD$11, ROW()-ROW($BB$87),0)=3)),
OFFSET('Calc - SENIOR PERS'!$AA$11,COLUMN()-COLUMN($BB$87) + (ROW()-ROW($BB$87))*14,0),0)</f>
        <v>0</v>
      </c>
      <c r="BF89" s="5">
        <f ca="1">IF(AND((OFFSET('DATA INPUT'!$C$11, ROW()-ROW($BB$87),0)=$BB$10),
 OR(OFFSET('DATA INPUT'!$H$11,ROW()-ROW($BB$87),0)=3,
OFFSET('DATA INPUT'!$V$11, ROW()-ROW($BB$87),0)=3,
OFFSET('DATA INPUT'!$AD$11, ROW()-ROW($BB$87),0)=3)),
OFFSET('Calc - SENIOR PERS'!$AA$11,COLUMN()-COLUMN($BB$87) + (ROW()-ROW($BB$87))*14,0),0)</f>
        <v>0</v>
      </c>
      <c r="BG89" s="5">
        <f ca="1">IF(AND((OFFSET('DATA INPUT'!$C$11, ROW()-ROW($BB$87),0)=$BB$10),
 OR(OFFSET('DATA INPUT'!$H$11,ROW()-ROW($BB$87),0)=3,
OFFSET('DATA INPUT'!$V$11, ROW()-ROW($BB$87),0)=3,
OFFSET('DATA INPUT'!$AD$11, ROW()-ROW($BB$87),0)=3)),
OFFSET('Calc - SENIOR PERS'!$AA$11,COLUMN()-COLUMN($BB$87) + (ROW()-ROW($BB$87))*14,0),0)</f>
        <v>0</v>
      </c>
      <c r="BH89" s="192">
        <f t="shared" ca="1" si="361"/>
        <v>0</v>
      </c>
      <c r="BJ89" s="575"/>
      <c r="BK89" s="5"/>
      <c r="BL89" s="5"/>
      <c r="BM89" s="5"/>
      <c r="BN89" s="5"/>
      <c r="BO89" s="5"/>
      <c r="BP89" s="1102">
        <f t="shared" si="362"/>
        <v>0</v>
      </c>
      <c r="BR89" s="575">
        <f t="shared" ca="1" si="363"/>
        <v>0</v>
      </c>
      <c r="BS89" s="5">
        <f t="shared" ca="1" si="364"/>
        <v>0</v>
      </c>
      <c r="BT89" s="5">
        <f t="shared" ca="1" si="365"/>
        <v>0</v>
      </c>
      <c r="BU89" s="5">
        <f t="shared" ca="1" si="366"/>
        <v>0</v>
      </c>
      <c r="BV89" s="5">
        <f t="shared" ca="1" si="367"/>
        <v>0</v>
      </c>
      <c r="BW89" s="5">
        <f t="shared" ca="1" si="368"/>
        <v>0</v>
      </c>
      <c r="BX89" s="2175">
        <f t="shared" ca="1" si="369"/>
        <v>0</v>
      </c>
      <c r="BY89" s="573">
        <f t="shared" ca="1" si="370"/>
        <v>0</v>
      </c>
      <c r="BZ89" s="257"/>
      <c r="CB89" s="1182"/>
      <c r="CC89" s="387">
        <f ca="1">'Calc - SENIOR PERS'!$S$40/9*3</f>
        <v>0</v>
      </c>
      <c r="CD89" s="56">
        <f ca="1">'Calc - SENIOR PERS'!$S$40/9*3</f>
        <v>0</v>
      </c>
      <c r="CE89" s="56">
        <f ca="1">'Calc - SENIOR PERS'!$S$40/9*2</f>
        <v>0</v>
      </c>
      <c r="CF89" s="56">
        <f ca="1">'Calc - SENIOR PERS'!$S$40/9*0.5</f>
        <v>0</v>
      </c>
      <c r="CG89" s="1183">
        <f ca="1">'Calc - SENIOR PERS'!$S$40/9*0.5</f>
        <v>0</v>
      </c>
      <c r="CH89" s="1184">
        <f ca="1">'Calc - SENIOR PERS'!$S$41/9*3</f>
        <v>0</v>
      </c>
      <c r="CI89" s="1185">
        <f ca="1">'Calc - SENIOR PERS'!$S$41/9*3</f>
        <v>0</v>
      </c>
      <c r="CJ89" s="1185">
        <f ca="1">'Calc - SENIOR PERS'!$S$41/9*2</f>
        <v>0</v>
      </c>
      <c r="CK89" s="1185">
        <f ca="1">'Calc - SENIOR PERS'!$S$41/9*0.5</f>
        <v>0</v>
      </c>
      <c r="CL89" s="1186">
        <f ca="1">'Calc - SENIOR PERS'!$S$41/9*0.5</f>
        <v>0</v>
      </c>
      <c r="CM89" s="1187">
        <f ca="1">'Calc - SENIOR PERS'!$S$42/8*3</f>
        <v>0</v>
      </c>
      <c r="CN89" s="1188">
        <f ca="1">'Calc - SENIOR PERS'!$S$42/8*3</f>
        <v>0</v>
      </c>
      <c r="CO89" s="1189">
        <f ca="1">'Calc - SENIOR PERS'!$S$42/8*2</f>
        <v>0</v>
      </c>
      <c r="CP89" s="1234">
        <f t="shared" ca="1" si="371"/>
        <v>0</v>
      </c>
      <c r="CS89" s="575"/>
      <c r="CT89" s="5"/>
      <c r="CU89" s="1180"/>
      <c r="CV89" s="575"/>
      <c r="CW89" s="5"/>
      <c r="CX89" s="1249"/>
      <c r="CY89" s="575"/>
      <c r="CZ89" s="5"/>
      <c r="DA89" s="1180"/>
      <c r="DB89" s="575"/>
      <c r="DC89" s="5"/>
      <c r="DD89" s="1180"/>
      <c r="DE89" s="1181">
        <f t="shared" si="372"/>
        <v>0</v>
      </c>
      <c r="DG89" s="575"/>
      <c r="DH89" s="5"/>
      <c r="DI89" s="1180"/>
      <c r="DJ89" s="575"/>
      <c r="DK89" s="5"/>
      <c r="DL89" s="1249"/>
      <c r="DM89" s="575"/>
      <c r="DN89" s="5"/>
      <c r="DO89" s="1180"/>
      <c r="DP89" s="575"/>
      <c r="DQ89" s="5"/>
      <c r="DR89" s="1180"/>
      <c r="DS89" s="1181">
        <f t="shared" si="373"/>
        <v>0</v>
      </c>
      <c r="DU89" s="575"/>
      <c r="DV89" s="5"/>
      <c r="DW89" s="1180"/>
      <c r="DX89" s="575"/>
      <c r="DY89" s="5"/>
      <c r="DZ89" s="1249"/>
      <c r="EA89" s="575"/>
      <c r="EB89" s="5"/>
      <c r="EC89" s="1180"/>
      <c r="ED89" s="575"/>
      <c r="EE89" s="5"/>
      <c r="EF89" s="1180"/>
      <c r="EG89" s="1181">
        <f t="shared" si="374"/>
        <v>0</v>
      </c>
      <c r="EI89" s="403"/>
      <c r="EJ89" s="3220"/>
      <c r="EK89" s="57">
        <f t="shared" ca="1" si="375"/>
        <v>0</v>
      </c>
      <c r="EL89" s="5">
        <f t="shared" ca="1" si="376"/>
        <v>0</v>
      </c>
      <c r="EM89" s="5">
        <f t="shared" ca="1" si="377"/>
        <v>0</v>
      </c>
      <c r="EN89" s="5">
        <f t="shared" ca="1" si="378"/>
        <v>0</v>
      </c>
      <c r="EO89" s="5">
        <f t="shared" ca="1" si="379"/>
        <v>0</v>
      </c>
      <c r="EP89" s="5">
        <f t="shared" ca="1" si="380"/>
        <v>0</v>
      </c>
      <c r="EQ89" s="5">
        <f t="shared" ca="1" si="381"/>
        <v>0</v>
      </c>
      <c r="ER89" s="88">
        <f t="shared" ca="1" si="382"/>
        <v>0</v>
      </c>
      <c r="ES89" s="4"/>
      <c r="ET89" s="4"/>
      <c r="EU89" s="4"/>
      <c r="EV89" s="575">
        <f t="shared" ca="1" si="383"/>
        <v>0</v>
      </c>
      <c r="EW89" s="5">
        <f t="shared" ca="1" si="384"/>
        <v>0</v>
      </c>
      <c r="EX89" s="5">
        <f t="shared" ca="1" si="385"/>
        <v>0</v>
      </c>
      <c r="EY89" s="5">
        <f t="shared" ca="1" si="386"/>
        <v>0</v>
      </c>
      <c r="EZ89" s="5">
        <f t="shared" ca="1" si="387"/>
        <v>0</v>
      </c>
      <c r="FA89" s="5">
        <f t="shared" ca="1" si="388"/>
        <v>0</v>
      </c>
      <c r="FB89" s="164">
        <f t="shared" ca="1" si="389"/>
        <v>0</v>
      </c>
      <c r="FC89" s="1"/>
      <c r="FD89" s="575">
        <f t="shared" ca="1" si="390"/>
        <v>0</v>
      </c>
      <c r="FE89" s="5">
        <f t="shared" ca="1" si="391"/>
        <v>0</v>
      </c>
      <c r="FF89" s="5">
        <f t="shared" ca="1" si="392"/>
        <v>0</v>
      </c>
      <c r="FG89" s="5">
        <f t="shared" ca="1" si="393"/>
        <v>0</v>
      </c>
      <c r="FH89" s="5">
        <f t="shared" ca="1" si="394"/>
        <v>0</v>
      </c>
      <c r="FI89" s="5">
        <f t="shared" ca="1" si="395"/>
        <v>0</v>
      </c>
      <c r="FJ89" s="138">
        <f t="shared" ca="1" si="396"/>
        <v>0</v>
      </c>
      <c r="FL89" s="575">
        <f t="shared" ca="1" si="397"/>
        <v>0</v>
      </c>
      <c r="FM89" s="5">
        <f t="shared" ca="1" si="398"/>
        <v>0</v>
      </c>
      <c r="FN89" s="5">
        <f t="shared" ca="1" si="399"/>
        <v>0</v>
      </c>
      <c r="FO89" s="5">
        <f t="shared" ca="1" si="400"/>
        <v>0</v>
      </c>
      <c r="FP89" s="5">
        <f t="shared" ca="1" si="401"/>
        <v>0</v>
      </c>
      <c r="FQ89" s="5">
        <f t="shared" ca="1" si="402"/>
        <v>0</v>
      </c>
      <c r="FR89" s="206">
        <f t="shared" ca="1" si="403"/>
        <v>0</v>
      </c>
      <c r="FT89" s="575">
        <f t="shared" ca="1" si="404"/>
        <v>0</v>
      </c>
      <c r="FU89" s="5">
        <f t="shared" ca="1" si="405"/>
        <v>0</v>
      </c>
      <c r="FV89" s="5">
        <f t="shared" ca="1" si="406"/>
        <v>0</v>
      </c>
      <c r="FW89" s="5">
        <f t="shared" ca="1" si="407"/>
        <v>0</v>
      </c>
      <c r="FX89" s="5">
        <f t="shared" ca="1" si="408"/>
        <v>0</v>
      </c>
      <c r="FY89" s="5">
        <f t="shared" ca="1" si="409"/>
        <v>0</v>
      </c>
      <c r="FZ89" s="178">
        <f t="shared" ca="1" si="410"/>
        <v>0</v>
      </c>
      <c r="GB89" s="575">
        <f t="shared" ca="1" si="411"/>
        <v>0</v>
      </c>
      <c r="GC89" s="5">
        <f t="shared" ca="1" si="412"/>
        <v>0</v>
      </c>
      <c r="GD89" s="5">
        <f t="shared" ca="1" si="413"/>
        <v>0</v>
      </c>
      <c r="GE89" s="5">
        <f t="shared" ca="1" si="414"/>
        <v>0</v>
      </c>
      <c r="GF89" s="5">
        <f t="shared" ca="1" si="415"/>
        <v>0</v>
      </c>
      <c r="GG89" s="5">
        <f t="shared" ca="1" si="416"/>
        <v>0</v>
      </c>
      <c r="GH89" s="150">
        <f t="shared" ca="1" si="417"/>
        <v>0</v>
      </c>
      <c r="GJ89" s="575">
        <f t="shared" ca="1" si="418"/>
        <v>0</v>
      </c>
      <c r="GK89" s="5">
        <f t="shared" ca="1" si="419"/>
        <v>0</v>
      </c>
      <c r="GL89" s="5">
        <f t="shared" ca="1" si="420"/>
        <v>0</v>
      </c>
      <c r="GM89" s="5">
        <f t="shared" ca="1" si="421"/>
        <v>0</v>
      </c>
      <c r="GN89" s="5">
        <f t="shared" ca="1" si="422"/>
        <v>0</v>
      </c>
      <c r="GO89" s="5">
        <f t="shared" ca="1" si="423"/>
        <v>0</v>
      </c>
      <c r="GP89" s="192">
        <f t="shared" ca="1" si="424"/>
        <v>0</v>
      </c>
      <c r="GR89" s="575"/>
      <c r="GS89" s="5"/>
      <c r="GT89" s="5"/>
      <c r="GU89" s="5"/>
      <c r="GV89" s="5"/>
      <c r="GW89" s="5"/>
      <c r="GX89" s="1102">
        <f t="shared" si="425"/>
        <v>0</v>
      </c>
      <c r="GZ89" s="575">
        <f t="shared" ca="1" si="426"/>
        <v>0</v>
      </c>
      <c r="HA89" s="5">
        <f t="shared" ca="1" si="427"/>
        <v>0</v>
      </c>
      <c r="HB89" s="5">
        <f t="shared" ca="1" si="428"/>
        <v>0</v>
      </c>
      <c r="HC89" s="5">
        <f t="shared" ca="1" si="429"/>
        <v>0</v>
      </c>
      <c r="HD89" s="5">
        <f t="shared" ca="1" si="430"/>
        <v>0</v>
      </c>
      <c r="HE89" s="5">
        <f t="shared" ca="1" si="431"/>
        <v>0</v>
      </c>
      <c r="HF89" s="2175">
        <f t="shared" ca="1" si="432"/>
        <v>0</v>
      </c>
      <c r="HG89" s="573">
        <f t="shared" ca="1" si="433"/>
        <v>0</v>
      </c>
      <c r="HH89" s="257"/>
    </row>
    <row r="90" spans="1:216" ht="15" hidden="1" customHeight="1" x14ac:dyDescent="0.25">
      <c r="A90" s="403"/>
      <c r="B90" s="3220"/>
      <c r="C90" s="57">
        <f ca="1">'Calc - SENIOR PERS'!$B$48</f>
        <v>0</v>
      </c>
      <c r="D90" s="5">
        <f ca="1">'Calc - SENIOR PERS'!$S$53</f>
        <v>0</v>
      </c>
      <c r="E90" s="5">
        <f ca="1">'Calc - SENIOR PERS'!$S$54</f>
        <v>0</v>
      </c>
      <c r="F90" s="5">
        <f ca="1">'Calc - SENIOR PERS'!$S$55</f>
        <v>0</v>
      </c>
      <c r="G90" s="5">
        <f ca="1">'Calc - SENIOR PERS'!$S$56</f>
        <v>0</v>
      </c>
      <c r="H90" s="5">
        <f ca="1">'Calc - SENIOR PERS'!$S$57</f>
        <v>0</v>
      </c>
      <c r="I90" s="5">
        <f ca="1">'Calc - SENIOR PERS'!$S$58</f>
        <v>0</v>
      </c>
      <c r="J90" s="88">
        <f t="shared" ca="1" si="355"/>
        <v>0</v>
      </c>
      <c r="K90" s="4"/>
      <c r="L90" s="4"/>
      <c r="M90" s="4"/>
      <c r="N90" s="575">
        <f ca="1">IF(AND((OFFSET('DATA INPUT'!$C$11, ROW()-ROW($N$87),0)=$N$10),
 OR(OFFSET('DATA INPUT'!$H$11,ROW()-ROW($N$87),0)=3,
OFFSET('DATA INPUT'!$V$11, ROW()-ROW($N$87),0)=3,
OFFSET('DATA INPUT'!$AD$11, ROW()-ROW($N$87),0)=3)),
OFFSET('Calc - SENIOR PERS'!$AA$11,COLUMN()-COLUMN($N$87) + (ROW()-ROW($N$87))*14,0),0)</f>
        <v>0</v>
      </c>
      <c r="O90" s="5">
        <f ca="1">IF(AND((OFFSET('DATA INPUT'!$C$11, ROW()-ROW($N$87),0)=$N$10),
 OR(OFFSET('DATA INPUT'!$H$11,ROW()-ROW($N$87),0)=3,
OFFSET('DATA INPUT'!$V$11, ROW()-ROW($N$87),0)=3,
OFFSET('DATA INPUT'!$AD$11, ROW()-ROW($N$87),0)=3)),
OFFSET('Calc - SENIOR PERS'!$AA$11,COLUMN()-COLUMN($N$87) + (ROW()-ROW($N$87))*14,0),0)</f>
        <v>0</v>
      </c>
      <c r="P90" s="5">
        <f ca="1">IF(AND((OFFSET('DATA INPUT'!$C$11, ROW()-ROW($N$87),0)=$N$10),
 OR(OFFSET('DATA INPUT'!$H$11,ROW()-ROW($N$87),0)=3,
OFFSET('DATA INPUT'!$V$11, ROW()-ROW($N$87),0)=3,
OFFSET('DATA INPUT'!$AD$11, ROW()-ROW($N$87),0)=3)),
OFFSET('Calc - SENIOR PERS'!$AA$11,COLUMN()-COLUMN($N$87) + (ROW()-ROW($N$87))*14,0),0)</f>
        <v>0</v>
      </c>
      <c r="Q90" s="5">
        <f ca="1">IF(AND((OFFSET('DATA INPUT'!$C$11, ROW()-ROW($N$87),0)=$N$10),
 OR(OFFSET('DATA INPUT'!$H$11,ROW()-ROW($N$87),0)=3,
OFFSET('DATA INPUT'!$V$11, ROW()-ROW($N$87),0)=3,
OFFSET('DATA INPUT'!$AD$11, ROW()-ROW($N$87),0)=3)),
OFFSET('Calc - SENIOR PERS'!$AA$11,COLUMN()-COLUMN($N$87) + (ROW()-ROW($N$87))*14,0),0)</f>
        <v>0</v>
      </c>
      <c r="R90" s="5">
        <f ca="1">IF(AND((OFFSET('DATA INPUT'!$C$11, ROW()-ROW($N$87),0)=$N$10),
 OR(OFFSET('DATA INPUT'!$H$11,ROW()-ROW($N$87),0)=3,
OFFSET('DATA INPUT'!$V$11, ROW()-ROW($N$87),0)=3,
OFFSET('DATA INPUT'!$AD$11, ROW()-ROW($N$87),0)=3)),
OFFSET('Calc - SENIOR PERS'!$AA$11,COLUMN()-COLUMN($N$87) + (ROW()-ROW($N$87))*14,0),0)</f>
        <v>0</v>
      </c>
      <c r="S90" s="5">
        <f ca="1">IF(AND((OFFSET('DATA INPUT'!$C$11, ROW()-ROW($N$87),0)=$N$10),
 OR(OFFSET('DATA INPUT'!$H$11,ROW()-ROW($N$87),0)=3,
OFFSET('DATA INPUT'!$V$11, ROW()-ROW($N$87),0)=3,
OFFSET('DATA INPUT'!$AD$11, ROW()-ROW($N$87),0)=3)),
OFFSET('Calc - SENIOR PERS'!$AA$11,COLUMN()-COLUMN($N$87) + (ROW()-ROW($N$87))*14,0),0)</f>
        <v>0</v>
      </c>
      <c r="T90" s="164">
        <f t="shared" ca="1" si="356"/>
        <v>0</v>
      </c>
      <c r="U90" s="1"/>
      <c r="V90" s="575">
        <f ca="1">IF(AND((OFFSET('DATA INPUT'!$C$11, ROW()-ROW($V$87),0)=$V$10),
 OR(OFFSET('DATA INPUT'!$H$11,ROW()-ROW($V$87),0)=3,
OFFSET('DATA INPUT'!$V$11, ROW()-ROW($V$87),0)=3,
OFFSET('DATA INPUT'!$AD$11, ROW()-ROW($V$87),0)=3)),
OFFSET('Calc - SENIOR PERS'!$AA$11,COLUMN()-COLUMN($V$87) + (ROW()-ROW($V$87))*14,0),0)</f>
        <v>0</v>
      </c>
      <c r="W90" s="5">
        <f ca="1">IF(AND((OFFSET('DATA INPUT'!$C$11, ROW()-ROW($V$87),0)=$V$10),
 OR(OFFSET('DATA INPUT'!$H$11,ROW()-ROW($V$87),0)=3,
OFFSET('DATA INPUT'!$V$11, ROW()-ROW($V$87),0)=3,
OFFSET('DATA INPUT'!$AD$11, ROW()-ROW($V$87),0)=3)),
OFFSET('Calc - SENIOR PERS'!$AA$11,COLUMN()-COLUMN($V$87) + (ROW()-ROW($V$87))*14,0),0)</f>
        <v>0</v>
      </c>
      <c r="X90" s="5">
        <f ca="1">IF(AND((OFFSET('DATA INPUT'!$C$11, ROW()-ROW($V$87),0)=$V$10),
 OR(OFFSET('DATA INPUT'!$H$11,ROW()-ROW($V$87),0)=3,
OFFSET('DATA INPUT'!$V$11, ROW()-ROW($V$87),0)=3,
OFFSET('DATA INPUT'!$AD$11, ROW()-ROW($V$87),0)=3)),
OFFSET('Calc - SENIOR PERS'!$AA$11,COLUMN()-COLUMN($V$87) + (ROW()-ROW($V$87))*14,0),0)</f>
        <v>0</v>
      </c>
      <c r="Y90" s="5">
        <f ca="1">IF(AND((OFFSET('DATA INPUT'!$C$11, ROW()-ROW($V$87),0)=$V$10),
 OR(OFFSET('DATA INPUT'!$H$11,ROW()-ROW($V$87),0)=3,
OFFSET('DATA INPUT'!$V$11, ROW()-ROW($V$87),0)=3,
OFFSET('DATA INPUT'!$AD$11, ROW()-ROW($V$87),0)=3)),
OFFSET('Calc - SENIOR PERS'!$AA$11,COLUMN()-COLUMN($V$87) + (ROW()-ROW($V$87))*14,0),0)</f>
        <v>0</v>
      </c>
      <c r="Z90" s="5">
        <f ca="1">IF(AND((OFFSET('DATA INPUT'!$C$11, ROW()-ROW($V$87),0)=$V$10),
 OR(OFFSET('DATA INPUT'!$H$11,ROW()-ROW($V$87),0)=3,
OFFSET('DATA INPUT'!$V$11, ROW()-ROW($V$87),0)=3,
OFFSET('DATA INPUT'!$AD$11, ROW()-ROW($V$87),0)=3)),
OFFSET('Calc - SENIOR PERS'!$AA$11,COLUMN()-COLUMN($V$87) + (ROW()-ROW($V$87))*14,0),0)</f>
        <v>0</v>
      </c>
      <c r="AA90" s="5">
        <f ca="1">IF(AND((OFFSET('DATA INPUT'!$C$11, ROW()-ROW($V$87),0)=$V$10),
 OR(OFFSET('DATA INPUT'!$H$11,ROW()-ROW($V$87),0)=3,
OFFSET('DATA INPUT'!$V$11, ROW()-ROW($V$87),0)=3,
OFFSET('DATA INPUT'!$AD$11, ROW()-ROW($V$87),0)=3)),
OFFSET('Calc - SENIOR PERS'!$AA$11,COLUMN()-COLUMN($V$87) + (ROW()-ROW($V$87))*14,0),0)</f>
        <v>0</v>
      </c>
      <c r="AB90" s="138">
        <f t="shared" ca="1" si="357"/>
        <v>0</v>
      </c>
      <c r="AD90" s="575">
        <f ca="1">IF(AND((OFFSET('DATA INPUT'!$C$11, ROW()-ROW($AD$87),0)=$AD$10),
 OR(OFFSET('DATA INPUT'!$H$11,ROW()-ROW($AD$87),0)=3,
OFFSET('DATA INPUT'!$V$11, ROW()-ROW($AD$87),0)=3,
OFFSET('DATA INPUT'!$AD$11, ROW()-ROW($AD$87),0)=3)),
OFFSET('Calc - SENIOR PERS'!$AA$11,COLUMN()-COLUMN($AD$87) + (ROW()-ROW($AD$87))*14,0),0)</f>
        <v>0</v>
      </c>
      <c r="AE90" s="5">
        <f ca="1">IF(AND((OFFSET('DATA INPUT'!$C$11, ROW()-ROW($AD$87),0)=$AD$10),
 OR(OFFSET('DATA INPUT'!$H$11,ROW()-ROW($AD$87),0)=3,
OFFSET('DATA INPUT'!$V$11, ROW()-ROW($AD$87),0)=3,
OFFSET('DATA INPUT'!$AD$11, ROW()-ROW($AD$87),0)=3)),
OFFSET('Calc - SENIOR PERS'!$AA$11,COLUMN()-COLUMN($AD$87) + (ROW()-ROW($AD$87))*14,0),0)</f>
        <v>0</v>
      </c>
      <c r="AF90" s="5">
        <f ca="1">IF(AND((OFFSET('DATA INPUT'!$C$11, ROW()-ROW($AD$87),0)=$AD$10),
 OR(OFFSET('DATA INPUT'!$H$11,ROW()-ROW($AD$87),0)=3,
OFFSET('DATA INPUT'!$V$11, ROW()-ROW($AD$87),0)=3,
OFFSET('DATA INPUT'!$AD$11, ROW()-ROW($AD$87),0)=3)),
OFFSET('Calc - SENIOR PERS'!$AA$11,COLUMN()-COLUMN($AD$87) + (ROW()-ROW($AD$87))*14,0),0)</f>
        <v>0</v>
      </c>
      <c r="AG90" s="5">
        <f ca="1">IF(AND((OFFSET('DATA INPUT'!$C$11, ROW()-ROW($AD$87),0)=$AD$10),
 OR(OFFSET('DATA INPUT'!$H$11,ROW()-ROW($AD$87),0)=3,
OFFSET('DATA INPUT'!$V$11, ROW()-ROW($AD$87),0)=3,
OFFSET('DATA INPUT'!$AD$11, ROW()-ROW($AD$87),0)=3)),
OFFSET('Calc - SENIOR PERS'!$AA$11,COLUMN()-COLUMN($AD$87) + (ROW()-ROW($AD$87))*14,0),0)</f>
        <v>0</v>
      </c>
      <c r="AH90" s="5">
        <f ca="1">IF(AND((OFFSET('DATA INPUT'!$C$11, ROW()-ROW($AD$87),0)=$AD$10),
 OR(OFFSET('DATA INPUT'!$H$11,ROW()-ROW($AD$87),0)=3,
OFFSET('DATA INPUT'!$V$11, ROW()-ROW($AD$87),0)=3,
OFFSET('DATA INPUT'!$AD$11, ROW()-ROW($AD$87),0)=3)),
OFFSET('Calc - SENIOR PERS'!$AA$11,COLUMN()-COLUMN($AD$87) + (ROW()-ROW($AD$87))*14,0),0)</f>
        <v>0</v>
      </c>
      <c r="AI90" s="5">
        <f ca="1">IF(AND((OFFSET('DATA INPUT'!$C$11, ROW()-ROW($AD$87),0)=$AD$10),
 OR(OFFSET('DATA INPUT'!$H$11,ROW()-ROW($AD$87),0)=3,
OFFSET('DATA INPUT'!$V$11, ROW()-ROW($AD$87),0)=3,
OFFSET('DATA INPUT'!$AD$11, ROW()-ROW($AD$87),0)=3)),
OFFSET('Calc - SENIOR PERS'!$AA$11,COLUMN()-COLUMN($AD$87) + (ROW()-ROW($AD$87))*14,0),0)</f>
        <v>0</v>
      </c>
      <c r="AJ90" s="206">
        <f t="shared" ca="1" si="358"/>
        <v>0</v>
      </c>
      <c r="AL90" s="575">
        <f ca="1">IF(AND((OFFSET('DATA INPUT'!$C$11, ROW()-ROW($AL$87),0)=$AL$10),
 OR(OFFSET('DATA INPUT'!$H$11,ROW()-ROW($AL$87),0)=3,
OFFSET('DATA INPUT'!$V$11, ROW()-ROW($AL$87),0)=3,
OFFSET('DATA INPUT'!$AD$11, ROW()-ROW($AL$87),0)=3)),
OFFSET('Calc - SENIOR PERS'!$AA$11,COLUMN()-COLUMN($AL$87) + (ROW()-ROW($AL$87))*14,0),0)</f>
        <v>0</v>
      </c>
      <c r="AM90" s="5">
        <f ca="1">IF(AND((OFFSET('DATA INPUT'!$C$11, ROW()-ROW($AL$87),0)=$AL$10),
 OR(OFFSET('DATA INPUT'!$H$11,ROW()-ROW($AL$87),0)=3,
OFFSET('DATA INPUT'!$V$11, ROW()-ROW($AL$87),0)=3,
OFFSET('DATA INPUT'!$AD$11, ROW()-ROW($AL$87),0)=3)),
OFFSET('Calc - SENIOR PERS'!$AA$11,COLUMN()-COLUMN($AL$87) + (ROW()-ROW($AL$87))*14,0),0)</f>
        <v>0</v>
      </c>
      <c r="AN90" s="5">
        <f ca="1">IF(AND((OFFSET('DATA INPUT'!$C$11, ROW()-ROW($AL$87),0)=$AL$10),
 OR(OFFSET('DATA INPUT'!$H$11,ROW()-ROW($AL$87),0)=3,
OFFSET('DATA INPUT'!$V$11, ROW()-ROW($AL$87),0)=3,
OFFSET('DATA INPUT'!$AD$11, ROW()-ROW($AL$87),0)=3)),
OFFSET('Calc - SENIOR PERS'!$AA$11,COLUMN()-COLUMN($AL$87) + (ROW()-ROW($AL$87))*14,0),0)</f>
        <v>0</v>
      </c>
      <c r="AO90" s="5">
        <f ca="1">IF(AND((OFFSET('DATA INPUT'!$C$11, ROW()-ROW($AL$87),0)=$AL$10),
 OR(OFFSET('DATA INPUT'!$H$11,ROW()-ROW($AL$87),0)=3,
OFFSET('DATA INPUT'!$V$11, ROW()-ROW($AL$87),0)=3,
OFFSET('DATA INPUT'!$AD$11, ROW()-ROW($AL$87),0)=3)),
OFFSET('Calc - SENIOR PERS'!$AA$11,COLUMN()-COLUMN($AL$87) + (ROW()-ROW($AL$87))*14,0),0)</f>
        <v>0</v>
      </c>
      <c r="AP90" s="5">
        <f ca="1">IF(AND((OFFSET('DATA INPUT'!$C$11, ROW()-ROW($AL$87),0)=$AL$10),
 OR(OFFSET('DATA INPUT'!$H$11,ROW()-ROW($AL$87),0)=3,
OFFSET('DATA INPUT'!$V$11, ROW()-ROW($AL$87),0)=3,
OFFSET('DATA INPUT'!$AD$11, ROW()-ROW($AL$87),0)=3)),
OFFSET('Calc - SENIOR PERS'!$AA$11,COLUMN()-COLUMN($AL$87) + (ROW()-ROW($AL$87))*14,0),0)</f>
        <v>0</v>
      </c>
      <c r="AQ90" s="5">
        <f ca="1">IF(AND((OFFSET('DATA INPUT'!$C$11, ROW()-ROW($AL$87),0)=$AL$10),
 OR(OFFSET('DATA INPUT'!$H$11,ROW()-ROW($AL$87),0)=3,
OFFSET('DATA INPUT'!$V$11, ROW()-ROW($AL$87),0)=3,
OFFSET('DATA INPUT'!$AD$11, ROW()-ROW($AL$87),0)=3)),
OFFSET('Calc - SENIOR PERS'!$AA$11,COLUMN()-COLUMN($AL$87) + (ROW()-ROW($AL$87))*14,0),0)</f>
        <v>0</v>
      </c>
      <c r="AR90" s="178">
        <f t="shared" ca="1" si="359"/>
        <v>0</v>
      </c>
      <c r="AT90" s="575">
        <f ca="1">IF(AND((OFFSET('DATA INPUT'!$C$11, ROW()-ROW($AT$87),0)=$AT$10),
 OR(OFFSET('DATA INPUT'!$H$11,ROW()-ROW($AT$87),0)=3,
OFFSET('DATA INPUT'!$V$11, ROW()-ROW($AT$87),0)=3,
OFFSET('DATA INPUT'!$AD$11, ROW()-ROW($AT$87),0)=3)),
OFFSET('Calc - SENIOR PERS'!$AA$11,COLUMN()-COLUMN($AT$87) + (ROW()-ROW($AT$87))*14,0),0)</f>
        <v>0</v>
      </c>
      <c r="AU90" s="5">
        <f ca="1">IF(AND((OFFSET('DATA INPUT'!$C$11, ROW()-ROW($AT$87),0)=$AT$10),
 OR(OFFSET('DATA INPUT'!$H$11,ROW()-ROW($AT$87),0)=3,
OFFSET('DATA INPUT'!$V$11, ROW()-ROW($AT$87),0)=3,
OFFSET('DATA INPUT'!$AD$11, ROW()-ROW($AT$87),0)=3)),
OFFSET('Calc - SENIOR PERS'!$AA$11,COLUMN()-COLUMN($AT$87) + (ROW()-ROW($AT$87))*14,0),0)</f>
        <v>0</v>
      </c>
      <c r="AV90" s="5">
        <f ca="1">IF(AND((OFFSET('DATA INPUT'!$C$11, ROW()-ROW($AT$87),0)=$AT$10),
 OR(OFFSET('DATA INPUT'!$H$11,ROW()-ROW($AT$87),0)=3,
OFFSET('DATA INPUT'!$V$11, ROW()-ROW($AT$87),0)=3,
OFFSET('DATA INPUT'!$AD$11, ROW()-ROW($AT$87),0)=3)),
OFFSET('Calc - SENIOR PERS'!$AA$11,COLUMN()-COLUMN($AT$87) + (ROW()-ROW($AT$87))*14,0),0)</f>
        <v>0</v>
      </c>
      <c r="AW90" s="5">
        <f ca="1">IF(AND((OFFSET('DATA INPUT'!$C$11, ROW()-ROW($AT$87),0)=$AT$10),
 OR(OFFSET('DATA INPUT'!$H$11,ROW()-ROW($AT$87),0)=3,
OFFSET('DATA INPUT'!$V$11, ROW()-ROW($AT$87),0)=3,
OFFSET('DATA INPUT'!$AD$11, ROW()-ROW($AT$87),0)=3)),
OFFSET('Calc - SENIOR PERS'!$AA$11,COLUMN()-COLUMN($AT$87) + (ROW()-ROW($AT$87))*14,0),0)</f>
        <v>0</v>
      </c>
      <c r="AX90" s="5">
        <f ca="1">IF(AND((OFFSET('DATA INPUT'!$C$11, ROW()-ROW($AT$87),0)=$AT$10),
 OR(OFFSET('DATA INPUT'!$H$11,ROW()-ROW($AT$87),0)=3,
OFFSET('DATA INPUT'!$V$11, ROW()-ROW($AT$87),0)=3,
OFFSET('DATA INPUT'!$AD$11, ROW()-ROW($AT$87),0)=3)),
OFFSET('Calc - SENIOR PERS'!$AA$11,COLUMN()-COLUMN($AT$87) + (ROW()-ROW($AT$87))*14,0),0)</f>
        <v>0</v>
      </c>
      <c r="AY90" s="5">
        <f ca="1">IF(AND((OFFSET('DATA INPUT'!$C$11, ROW()-ROW($AT$87),0)=$AT$10),
 OR(OFFSET('DATA INPUT'!$H$11,ROW()-ROW($AT$87),0)=3,
OFFSET('DATA INPUT'!$V$11, ROW()-ROW($AT$87),0)=3,
OFFSET('DATA INPUT'!$AD$11, ROW()-ROW($AT$87),0)=3)),
OFFSET('Calc - SENIOR PERS'!$AA$11,COLUMN()-COLUMN($AT$87) + (ROW()-ROW($AT$87))*14,0),0)</f>
        <v>0</v>
      </c>
      <c r="AZ90" s="150">
        <f t="shared" ca="1" si="360"/>
        <v>0</v>
      </c>
      <c r="BB90" s="575">
        <f ca="1">IF(AND((OFFSET('DATA INPUT'!$C$11, ROW()-ROW($BB$87),0)=$BB$10),
 OR(OFFSET('DATA INPUT'!$H$11,ROW()-ROW($BB$87),0)=3,
OFFSET('DATA INPUT'!$V$11, ROW()-ROW($BB$87),0)=3,
OFFSET('DATA INPUT'!$AD$11, ROW()-ROW($BB$87),0)=3)),
OFFSET('Calc - SENIOR PERS'!$AA$11,COLUMN()-COLUMN($BB$87) + (ROW()-ROW($BB$87))*14,0),0)</f>
        <v>0</v>
      </c>
      <c r="BC90" s="5">
        <f ca="1">IF(AND((OFFSET('DATA INPUT'!$C$11, ROW()-ROW($BB$87),0)=$BB$10),
 OR(OFFSET('DATA INPUT'!$H$11,ROW()-ROW($BB$87),0)=3,
OFFSET('DATA INPUT'!$V$11, ROW()-ROW($BB$87),0)=3,
OFFSET('DATA INPUT'!$AD$11, ROW()-ROW($BB$87),0)=3)),
OFFSET('Calc - SENIOR PERS'!$AA$11,COLUMN()-COLUMN($BB$87) + (ROW()-ROW($BB$87))*14,0),0)</f>
        <v>0</v>
      </c>
      <c r="BD90" s="5">
        <f ca="1">IF(AND((OFFSET('DATA INPUT'!$C$11, ROW()-ROW($BB$87),0)=$BB$10),
 OR(OFFSET('DATA INPUT'!$H$11,ROW()-ROW($BB$87),0)=3,
OFFSET('DATA INPUT'!$V$11, ROW()-ROW($BB$87),0)=3,
OFFSET('DATA INPUT'!$AD$11, ROW()-ROW($BB$87),0)=3)),
OFFSET('Calc - SENIOR PERS'!$AA$11,COLUMN()-COLUMN($BB$87) + (ROW()-ROW($BB$87))*14,0),0)</f>
        <v>0</v>
      </c>
      <c r="BE90" s="5">
        <f ca="1">IF(AND((OFFSET('DATA INPUT'!$C$11, ROW()-ROW($BB$87),0)=$BB$10),
 OR(OFFSET('DATA INPUT'!$H$11,ROW()-ROW($BB$87),0)=3,
OFFSET('DATA INPUT'!$V$11, ROW()-ROW($BB$87),0)=3,
OFFSET('DATA INPUT'!$AD$11, ROW()-ROW($BB$87),0)=3)),
OFFSET('Calc - SENIOR PERS'!$AA$11,COLUMN()-COLUMN($BB$87) + (ROW()-ROW($BB$87))*14,0),0)</f>
        <v>0</v>
      </c>
      <c r="BF90" s="5">
        <f ca="1">IF(AND((OFFSET('DATA INPUT'!$C$11, ROW()-ROW($BB$87),0)=$BB$10),
 OR(OFFSET('DATA INPUT'!$H$11,ROW()-ROW($BB$87),0)=3,
OFFSET('DATA INPUT'!$V$11, ROW()-ROW($BB$87),0)=3,
OFFSET('DATA INPUT'!$AD$11, ROW()-ROW($BB$87),0)=3)),
OFFSET('Calc - SENIOR PERS'!$AA$11,COLUMN()-COLUMN($BB$87) + (ROW()-ROW($BB$87))*14,0),0)</f>
        <v>0</v>
      </c>
      <c r="BG90" s="5">
        <f ca="1">IF(AND((OFFSET('DATA INPUT'!$C$11, ROW()-ROW($BB$87),0)=$BB$10),
 OR(OFFSET('DATA INPUT'!$H$11,ROW()-ROW($BB$87),0)=3,
OFFSET('DATA INPUT'!$V$11, ROW()-ROW($BB$87),0)=3,
OFFSET('DATA INPUT'!$AD$11, ROW()-ROW($BB$87),0)=3)),
OFFSET('Calc - SENIOR PERS'!$AA$11,COLUMN()-COLUMN($BB$87) + (ROW()-ROW($BB$87))*14,0),0)</f>
        <v>0</v>
      </c>
      <c r="BH90" s="192">
        <f t="shared" ca="1" si="361"/>
        <v>0</v>
      </c>
      <c r="BJ90" s="575"/>
      <c r="BK90" s="5"/>
      <c r="BL90" s="5"/>
      <c r="BM90" s="5"/>
      <c r="BN90" s="5"/>
      <c r="BO90" s="5"/>
      <c r="BP90" s="1102">
        <f t="shared" si="362"/>
        <v>0</v>
      </c>
      <c r="BR90" s="575">
        <f t="shared" ca="1" si="363"/>
        <v>0</v>
      </c>
      <c r="BS90" s="5">
        <f t="shared" ca="1" si="364"/>
        <v>0</v>
      </c>
      <c r="BT90" s="5">
        <f t="shared" ca="1" si="365"/>
        <v>0</v>
      </c>
      <c r="BU90" s="5">
        <f t="shared" ca="1" si="366"/>
        <v>0</v>
      </c>
      <c r="BV90" s="5">
        <f t="shared" ca="1" si="367"/>
        <v>0</v>
      </c>
      <c r="BW90" s="5">
        <f t="shared" ca="1" si="368"/>
        <v>0</v>
      </c>
      <c r="BX90" s="2175">
        <f t="shared" ca="1" si="369"/>
        <v>0</v>
      </c>
      <c r="BY90" s="573">
        <f t="shared" ca="1" si="370"/>
        <v>0</v>
      </c>
      <c r="BZ90" s="257"/>
      <c r="CB90" s="1182"/>
      <c r="CC90" s="387">
        <f ca="1">'Calc - SENIOR PERS'!$S$54/9*3</f>
        <v>0</v>
      </c>
      <c r="CD90" s="56">
        <f ca="1">'Calc - SENIOR PERS'!$S$54/9*3</f>
        <v>0</v>
      </c>
      <c r="CE90" s="56">
        <f ca="1">'Calc - SENIOR PERS'!$S$54/9*2</f>
        <v>0</v>
      </c>
      <c r="CF90" s="56">
        <f ca="1">'Calc - SENIOR PERS'!$S$54/9*0.5</f>
        <v>0</v>
      </c>
      <c r="CG90" s="1183">
        <f ca="1">'Calc - SENIOR PERS'!$S$54/9*0.5</f>
        <v>0</v>
      </c>
      <c r="CH90" s="1184">
        <f ca="1">'Calc - SENIOR PERS'!$S$55/9*3</f>
        <v>0</v>
      </c>
      <c r="CI90" s="1185">
        <f ca="1">'Calc - SENIOR PERS'!$S$55/9*3</f>
        <v>0</v>
      </c>
      <c r="CJ90" s="1185">
        <f ca="1">'Calc - SENIOR PERS'!$S$55/9*2</f>
        <v>0</v>
      </c>
      <c r="CK90" s="1185">
        <f ca="1">'Calc - SENIOR PERS'!$S$55/9*0.5</f>
        <v>0</v>
      </c>
      <c r="CL90" s="1186">
        <f ca="1">'Calc - SENIOR PERS'!$S$55/9*0.5</f>
        <v>0</v>
      </c>
      <c r="CM90" s="1187">
        <f ca="1">'Calc - SENIOR PERS'!$S$56/8*3</f>
        <v>0</v>
      </c>
      <c r="CN90" s="1188">
        <f ca="1">'Calc - SENIOR PERS'!$S$56/8*3</f>
        <v>0</v>
      </c>
      <c r="CO90" s="1189">
        <f ca="1">'Calc - SENIOR PERS'!$S$56/8*2</f>
        <v>0</v>
      </c>
      <c r="CP90" s="1234">
        <f t="shared" ca="1" si="371"/>
        <v>0</v>
      </c>
      <c r="CS90" s="575"/>
      <c r="CT90" s="5"/>
      <c r="CU90" s="1180"/>
      <c r="CV90" s="575"/>
      <c r="CW90" s="5"/>
      <c r="CX90" s="1249"/>
      <c r="CY90" s="575"/>
      <c r="CZ90" s="5"/>
      <c r="DA90" s="1180"/>
      <c r="DB90" s="575"/>
      <c r="DC90" s="5"/>
      <c r="DD90" s="1180"/>
      <c r="DE90" s="1181">
        <f t="shared" si="372"/>
        <v>0</v>
      </c>
      <c r="DG90" s="575"/>
      <c r="DH90" s="5"/>
      <c r="DI90" s="1180"/>
      <c r="DJ90" s="575"/>
      <c r="DK90" s="5"/>
      <c r="DL90" s="1249"/>
      <c r="DM90" s="575"/>
      <c r="DN90" s="5"/>
      <c r="DO90" s="1180"/>
      <c r="DP90" s="575"/>
      <c r="DQ90" s="5"/>
      <c r="DR90" s="1180"/>
      <c r="DS90" s="1181">
        <f t="shared" si="373"/>
        <v>0</v>
      </c>
      <c r="DU90" s="575"/>
      <c r="DV90" s="5"/>
      <c r="DW90" s="1180"/>
      <c r="DX90" s="575"/>
      <c r="DY90" s="5"/>
      <c r="DZ90" s="1249"/>
      <c r="EA90" s="575"/>
      <c r="EB90" s="5"/>
      <c r="EC90" s="1180"/>
      <c r="ED90" s="575"/>
      <c r="EE90" s="5"/>
      <c r="EF90" s="1180"/>
      <c r="EG90" s="1181">
        <f t="shared" si="374"/>
        <v>0</v>
      </c>
      <c r="EI90" s="403"/>
      <c r="EJ90" s="3220"/>
      <c r="EK90" s="57">
        <f t="shared" ca="1" si="375"/>
        <v>0</v>
      </c>
      <c r="EL90" s="5">
        <f t="shared" ca="1" si="376"/>
        <v>0</v>
      </c>
      <c r="EM90" s="5">
        <f t="shared" ca="1" si="377"/>
        <v>0</v>
      </c>
      <c r="EN90" s="5">
        <f t="shared" ca="1" si="378"/>
        <v>0</v>
      </c>
      <c r="EO90" s="5">
        <f t="shared" ca="1" si="379"/>
        <v>0</v>
      </c>
      <c r="EP90" s="5">
        <f t="shared" ca="1" si="380"/>
        <v>0</v>
      </c>
      <c r="EQ90" s="5">
        <f t="shared" ca="1" si="381"/>
        <v>0</v>
      </c>
      <c r="ER90" s="88">
        <f t="shared" ca="1" si="382"/>
        <v>0</v>
      </c>
      <c r="ES90" s="4"/>
      <c r="ET90" s="4"/>
      <c r="EU90" s="4"/>
      <c r="EV90" s="575">
        <f t="shared" ca="1" si="383"/>
        <v>0</v>
      </c>
      <c r="EW90" s="5">
        <f t="shared" ca="1" si="384"/>
        <v>0</v>
      </c>
      <c r="EX90" s="5">
        <f t="shared" ca="1" si="385"/>
        <v>0</v>
      </c>
      <c r="EY90" s="5">
        <f t="shared" ca="1" si="386"/>
        <v>0</v>
      </c>
      <c r="EZ90" s="5">
        <f t="shared" ca="1" si="387"/>
        <v>0</v>
      </c>
      <c r="FA90" s="5">
        <f t="shared" ca="1" si="388"/>
        <v>0</v>
      </c>
      <c r="FB90" s="164">
        <f t="shared" ca="1" si="389"/>
        <v>0</v>
      </c>
      <c r="FC90" s="1"/>
      <c r="FD90" s="575">
        <f t="shared" ca="1" si="390"/>
        <v>0</v>
      </c>
      <c r="FE90" s="5">
        <f t="shared" ca="1" si="391"/>
        <v>0</v>
      </c>
      <c r="FF90" s="5">
        <f t="shared" ca="1" si="392"/>
        <v>0</v>
      </c>
      <c r="FG90" s="5">
        <f t="shared" ca="1" si="393"/>
        <v>0</v>
      </c>
      <c r="FH90" s="5">
        <f t="shared" ca="1" si="394"/>
        <v>0</v>
      </c>
      <c r="FI90" s="5">
        <f t="shared" ca="1" si="395"/>
        <v>0</v>
      </c>
      <c r="FJ90" s="138">
        <f t="shared" ca="1" si="396"/>
        <v>0</v>
      </c>
      <c r="FL90" s="575">
        <f t="shared" ca="1" si="397"/>
        <v>0</v>
      </c>
      <c r="FM90" s="5">
        <f t="shared" ca="1" si="398"/>
        <v>0</v>
      </c>
      <c r="FN90" s="5">
        <f t="shared" ca="1" si="399"/>
        <v>0</v>
      </c>
      <c r="FO90" s="5">
        <f t="shared" ca="1" si="400"/>
        <v>0</v>
      </c>
      <c r="FP90" s="5">
        <f t="shared" ca="1" si="401"/>
        <v>0</v>
      </c>
      <c r="FQ90" s="5">
        <f t="shared" ca="1" si="402"/>
        <v>0</v>
      </c>
      <c r="FR90" s="206">
        <f t="shared" ca="1" si="403"/>
        <v>0</v>
      </c>
      <c r="FT90" s="575">
        <f t="shared" ca="1" si="404"/>
        <v>0</v>
      </c>
      <c r="FU90" s="5">
        <f t="shared" ca="1" si="405"/>
        <v>0</v>
      </c>
      <c r="FV90" s="5">
        <f t="shared" ca="1" si="406"/>
        <v>0</v>
      </c>
      <c r="FW90" s="5">
        <f t="shared" ca="1" si="407"/>
        <v>0</v>
      </c>
      <c r="FX90" s="5">
        <f t="shared" ca="1" si="408"/>
        <v>0</v>
      </c>
      <c r="FY90" s="5">
        <f t="shared" ca="1" si="409"/>
        <v>0</v>
      </c>
      <c r="FZ90" s="178">
        <f t="shared" ca="1" si="410"/>
        <v>0</v>
      </c>
      <c r="GB90" s="575">
        <f t="shared" ca="1" si="411"/>
        <v>0</v>
      </c>
      <c r="GC90" s="5">
        <f t="shared" ca="1" si="412"/>
        <v>0</v>
      </c>
      <c r="GD90" s="5">
        <f t="shared" ca="1" si="413"/>
        <v>0</v>
      </c>
      <c r="GE90" s="5">
        <f t="shared" ca="1" si="414"/>
        <v>0</v>
      </c>
      <c r="GF90" s="5">
        <f t="shared" ca="1" si="415"/>
        <v>0</v>
      </c>
      <c r="GG90" s="5">
        <f t="shared" ca="1" si="416"/>
        <v>0</v>
      </c>
      <c r="GH90" s="150">
        <f t="shared" ca="1" si="417"/>
        <v>0</v>
      </c>
      <c r="GJ90" s="575">
        <f t="shared" ca="1" si="418"/>
        <v>0</v>
      </c>
      <c r="GK90" s="5">
        <f t="shared" ca="1" si="419"/>
        <v>0</v>
      </c>
      <c r="GL90" s="5">
        <f t="shared" ca="1" si="420"/>
        <v>0</v>
      </c>
      <c r="GM90" s="5">
        <f t="shared" ca="1" si="421"/>
        <v>0</v>
      </c>
      <c r="GN90" s="5">
        <f t="shared" ca="1" si="422"/>
        <v>0</v>
      </c>
      <c r="GO90" s="5">
        <f t="shared" ca="1" si="423"/>
        <v>0</v>
      </c>
      <c r="GP90" s="192">
        <f t="shared" ca="1" si="424"/>
        <v>0</v>
      </c>
      <c r="GR90" s="575"/>
      <c r="GS90" s="5"/>
      <c r="GT90" s="5"/>
      <c r="GU90" s="5"/>
      <c r="GV90" s="5"/>
      <c r="GW90" s="5"/>
      <c r="GX90" s="1102">
        <f t="shared" si="425"/>
        <v>0</v>
      </c>
      <c r="GZ90" s="575">
        <f t="shared" ca="1" si="426"/>
        <v>0</v>
      </c>
      <c r="HA90" s="5">
        <f t="shared" ca="1" si="427"/>
        <v>0</v>
      </c>
      <c r="HB90" s="5">
        <f t="shared" ca="1" si="428"/>
        <v>0</v>
      </c>
      <c r="HC90" s="5">
        <f t="shared" ca="1" si="429"/>
        <v>0</v>
      </c>
      <c r="HD90" s="5">
        <f t="shared" ca="1" si="430"/>
        <v>0</v>
      </c>
      <c r="HE90" s="5">
        <f t="shared" ca="1" si="431"/>
        <v>0</v>
      </c>
      <c r="HF90" s="2175">
        <f t="shared" ca="1" si="432"/>
        <v>0</v>
      </c>
      <c r="HG90" s="573">
        <f t="shared" ca="1" si="433"/>
        <v>0</v>
      </c>
      <c r="HH90" s="257"/>
    </row>
    <row r="91" spans="1:216" ht="15" hidden="1" customHeight="1" x14ac:dyDescent="0.25">
      <c r="A91" s="403"/>
      <c r="B91" s="3220"/>
      <c r="C91" s="57">
        <f ca="1">'Calc - SENIOR PERS'!$B$62</f>
        <v>0</v>
      </c>
      <c r="D91" s="5">
        <f ca="1">'Calc - SENIOR PERS'!$S$67</f>
        <v>0</v>
      </c>
      <c r="E91" s="5">
        <f ca="1">'Calc - SENIOR PERS'!$S$68</f>
        <v>0</v>
      </c>
      <c r="F91" s="5">
        <f ca="1">'Calc - SENIOR PERS'!$S$69</f>
        <v>0</v>
      </c>
      <c r="G91" s="5">
        <f ca="1">'Calc - SENIOR PERS'!$S$70</f>
        <v>0</v>
      </c>
      <c r="H91" s="5">
        <f ca="1">'Calc - SENIOR PERS'!$S$71</f>
        <v>0</v>
      </c>
      <c r="I91" s="5">
        <f ca="1">'Calc - SENIOR PERS'!$S$72</f>
        <v>0</v>
      </c>
      <c r="J91" s="88">
        <f t="shared" ca="1" si="355"/>
        <v>0</v>
      </c>
      <c r="K91" s="4"/>
      <c r="L91" s="4"/>
      <c r="M91" s="4"/>
      <c r="N91" s="575">
        <f ca="1">IF(AND((OFFSET('DATA INPUT'!$C$11, ROW()-ROW($N$87),0)=$N$10),
 OR(OFFSET('DATA INPUT'!$H$11,ROW()-ROW($N$87),0)=3,
OFFSET('DATA INPUT'!$V$11, ROW()-ROW($N$87),0)=3,
OFFSET('DATA INPUT'!$AD$11, ROW()-ROW($N$87),0)=3)),
OFFSET('Calc - SENIOR PERS'!$AA$11,COLUMN()-COLUMN($N$87) + (ROW()-ROW($N$87))*14,0),0)</f>
        <v>0</v>
      </c>
      <c r="O91" s="5">
        <f ca="1">IF(AND((OFFSET('DATA INPUT'!$C$11, ROW()-ROW($N$87),0)=$N$10),
 OR(OFFSET('DATA INPUT'!$H$11,ROW()-ROW($N$87),0)=3,
OFFSET('DATA INPUT'!$V$11, ROW()-ROW($N$87),0)=3,
OFFSET('DATA INPUT'!$AD$11, ROW()-ROW($N$87),0)=3)),
OFFSET('Calc - SENIOR PERS'!$AA$11,COLUMN()-COLUMN($N$87) + (ROW()-ROW($N$87))*14,0),0)</f>
        <v>0</v>
      </c>
      <c r="P91" s="5">
        <f ca="1">IF(AND((OFFSET('DATA INPUT'!$C$11, ROW()-ROW($N$87),0)=$N$10),
 OR(OFFSET('DATA INPUT'!$H$11,ROW()-ROW($N$87),0)=3,
OFFSET('DATA INPUT'!$V$11, ROW()-ROW($N$87),0)=3,
OFFSET('DATA INPUT'!$AD$11, ROW()-ROW($N$87),0)=3)),
OFFSET('Calc - SENIOR PERS'!$AA$11,COLUMN()-COLUMN($N$87) + (ROW()-ROW($N$87))*14,0),0)</f>
        <v>0</v>
      </c>
      <c r="Q91" s="5">
        <f ca="1">IF(AND((OFFSET('DATA INPUT'!$C$11, ROW()-ROW($N$87),0)=$N$10),
 OR(OFFSET('DATA INPUT'!$H$11,ROW()-ROW($N$87),0)=3,
OFFSET('DATA INPUT'!$V$11, ROW()-ROW($N$87),0)=3,
OFFSET('DATA INPUT'!$AD$11, ROW()-ROW($N$87),0)=3)),
OFFSET('Calc - SENIOR PERS'!$AA$11,COLUMN()-COLUMN($N$87) + (ROW()-ROW($N$87))*14,0),0)</f>
        <v>0</v>
      </c>
      <c r="R91" s="5">
        <f ca="1">IF(AND((OFFSET('DATA INPUT'!$C$11, ROW()-ROW($N$87),0)=$N$10),
 OR(OFFSET('DATA INPUT'!$H$11,ROW()-ROW($N$87),0)=3,
OFFSET('DATA INPUT'!$V$11, ROW()-ROW($N$87),0)=3,
OFFSET('DATA INPUT'!$AD$11, ROW()-ROW($N$87),0)=3)),
OFFSET('Calc - SENIOR PERS'!$AA$11,COLUMN()-COLUMN($N$87) + (ROW()-ROW($N$87))*14,0),0)</f>
        <v>0</v>
      </c>
      <c r="S91" s="5">
        <f ca="1">IF(AND((OFFSET('DATA INPUT'!$C$11, ROW()-ROW($N$87),0)=$N$10),
 OR(OFFSET('DATA INPUT'!$H$11,ROW()-ROW($N$87),0)=3,
OFFSET('DATA INPUT'!$V$11, ROW()-ROW($N$87),0)=3,
OFFSET('DATA INPUT'!$AD$11, ROW()-ROW($N$87),0)=3)),
OFFSET('Calc - SENIOR PERS'!$AA$11,COLUMN()-COLUMN($N$87) + (ROW()-ROW($N$87))*14,0),0)</f>
        <v>0</v>
      </c>
      <c r="T91" s="164">
        <f t="shared" ca="1" si="356"/>
        <v>0</v>
      </c>
      <c r="U91" s="1"/>
      <c r="V91" s="575">
        <f ca="1">IF(AND((OFFSET('DATA INPUT'!$C$11, ROW()-ROW($V$87),0)=$V$10),
 OR(OFFSET('DATA INPUT'!$H$11,ROW()-ROW($V$87),0)=3,
OFFSET('DATA INPUT'!$V$11, ROW()-ROW($V$87),0)=3,
OFFSET('DATA INPUT'!$AD$11, ROW()-ROW($V$87),0)=3)),
OFFSET('Calc - SENIOR PERS'!$AA$11,COLUMN()-COLUMN($V$87) + (ROW()-ROW($V$87))*14,0),0)</f>
        <v>0</v>
      </c>
      <c r="W91" s="5">
        <f ca="1">IF(AND((OFFSET('DATA INPUT'!$C$11, ROW()-ROW($V$87),0)=$V$10),
 OR(OFFSET('DATA INPUT'!$H$11,ROW()-ROW($V$87),0)=3,
OFFSET('DATA INPUT'!$V$11, ROW()-ROW($V$87),0)=3,
OFFSET('DATA INPUT'!$AD$11, ROW()-ROW($V$87),0)=3)),
OFFSET('Calc - SENIOR PERS'!$AA$11,COLUMN()-COLUMN($V$87) + (ROW()-ROW($V$87))*14,0),0)</f>
        <v>0</v>
      </c>
      <c r="X91" s="5">
        <f ca="1">IF(AND((OFFSET('DATA INPUT'!$C$11, ROW()-ROW($V$87),0)=$V$10),
 OR(OFFSET('DATA INPUT'!$H$11,ROW()-ROW($V$87),0)=3,
OFFSET('DATA INPUT'!$V$11, ROW()-ROW($V$87),0)=3,
OFFSET('DATA INPUT'!$AD$11, ROW()-ROW($V$87),0)=3)),
OFFSET('Calc - SENIOR PERS'!$AA$11,COLUMN()-COLUMN($V$87) + (ROW()-ROW($V$87))*14,0),0)</f>
        <v>0</v>
      </c>
      <c r="Y91" s="5">
        <f ca="1">IF(AND((OFFSET('DATA INPUT'!$C$11, ROW()-ROW($V$87),0)=$V$10),
 OR(OFFSET('DATA INPUT'!$H$11,ROW()-ROW($V$87),0)=3,
OFFSET('DATA INPUT'!$V$11, ROW()-ROW($V$87),0)=3,
OFFSET('DATA INPUT'!$AD$11, ROW()-ROW($V$87),0)=3)),
OFFSET('Calc - SENIOR PERS'!$AA$11,COLUMN()-COLUMN($V$87) + (ROW()-ROW($V$87))*14,0),0)</f>
        <v>0</v>
      </c>
      <c r="Z91" s="5">
        <f ca="1">IF(AND((OFFSET('DATA INPUT'!$C$11, ROW()-ROW($V$87),0)=$V$10),
 OR(OFFSET('DATA INPUT'!$H$11,ROW()-ROW($V$87),0)=3,
OFFSET('DATA INPUT'!$V$11, ROW()-ROW($V$87),0)=3,
OFFSET('DATA INPUT'!$AD$11, ROW()-ROW($V$87),0)=3)),
OFFSET('Calc - SENIOR PERS'!$AA$11,COLUMN()-COLUMN($V$87) + (ROW()-ROW($V$87))*14,0),0)</f>
        <v>0</v>
      </c>
      <c r="AA91" s="5">
        <f ca="1">IF(AND((OFFSET('DATA INPUT'!$C$11, ROW()-ROW($V$87),0)=$V$10),
 OR(OFFSET('DATA INPUT'!$H$11,ROW()-ROW($V$87),0)=3,
OFFSET('DATA INPUT'!$V$11, ROW()-ROW($V$87),0)=3,
OFFSET('DATA INPUT'!$AD$11, ROW()-ROW($V$87),0)=3)),
OFFSET('Calc - SENIOR PERS'!$AA$11,COLUMN()-COLUMN($V$87) + (ROW()-ROW($V$87))*14,0),0)</f>
        <v>0</v>
      </c>
      <c r="AB91" s="138">
        <f t="shared" ca="1" si="357"/>
        <v>0</v>
      </c>
      <c r="AD91" s="575">
        <f ca="1">IF(AND((OFFSET('DATA INPUT'!$C$11, ROW()-ROW($AD$87),0)=$AD$10),
 OR(OFFSET('DATA INPUT'!$H$11,ROW()-ROW($AD$87),0)=3,
OFFSET('DATA INPUT'!$V$11, ROW()-ROW($AD$87),0)=3,
OFFSET('DATA INPUT'!$AD$11, ROW()-ROW($AD$87),0)=3)),
OFFSET('Calc - SENIOR PERS'!$AA$11,COLUMN()-COLUMN($AD$87) + (ROW()-ROW($AD$87))*14,0),0)</f>
        <v>0</v>
      </c>
      <c r="AE91" s="5">
        <f ca="1">IF(AND((OFFSET('DATA INPUT'!$C$11, ROW()-ROW($AD$87),0)=$AD$10),
 OR(OFFSET('DATA INPUT'!$H$11,ROW()-ROW($AD$87),0)=3,
OFFSET('DATA INPUT'!$V$11, ROW()-ROW($AD$87),0)=3,
OFFSET('DATA INPUT'!$AD$11, ROW()-ROW($AD$87),0)=3)),
OFFSET('Calc - SENIOR PERS'!$AA$11,COLUMN()-COLUMN($AD$87) + (ROW()-ROW($AD$87))*14,0),0)</f>
        <v>0</v>
      </c>
      <c r="AF91" s="5">
        <f ca="1">IF(AND((OFFSET('DATA INPUT'!$C$11, ROW()-ROW($AD$87),0)=$AD$10),
 OR(OFFSET('DATA INPUT'!$H$11,ROW()-ROW($AD$87),0)=3,
OFFSET('DATA INPUT'!$V$11, ROW()-ROW($AD$87),0)=3,
OFFSET('DATA INPUT'!$AD$11, ROW()-ROW($AD$87),0)=3)),
OFFSET('Calc - SENIOR PERS'!$AA$11,COLUMN()-COLUMN($AD$87) + (ROW()-ROW($AD$87))*14,0),0)</f>
        <v>0</v>
      </c>
      <c r="AG91" s="5">
        <f ca="1">IF(AND((OFFSET('DATA INPUT'!$C$11, ROW()-ROW($AD$87),0)=$AD$10),
 OR(OFFSET('DATA INPUT'!$H$11,ROW()-ROW($AD$87),0)=3,
OFFSET('DATA INPUT'!$V$11, ROW()-ROW($AD$87),0)=3,
OFFSET('DATA INPUT'!$AD$11, ROW()-ROW($AD$87),0)=3)),
OFFSET('Calc - SENIOR PERS'!$AA$11,COLUMN()-COLUMN($AD$87) + (ROW()-ROW($AD$87))*14,0),0)</f>
        <v>0</v>
      </c>
      <c r="AH91" s="5">
        <f ca="1">IF(AND((OFFSET('DATA INPUT'!$C$11, ROW()-ROW($AD$87),0)=$AD$10),
 OR(OFFSET('DATA INPUT'!$H$11,ROW()-ROW($AD$87),0)=3,
OFFSET('DATA INPUT'!$V$11, ROW()-ROW($AD$87),0)=3,
OFFSET('DATA INPUT'!$AD$11, ROW()-ROW($AD$87),0)=3)),
OFFSET('Calc - SENIOR PERS'!$AA$11,COLUMN()-COLUMN($AD$87) + (ROW()-ROW($AD$87))*14,0),0)</f>
        <v>0</v>
      </c>
      <c r="AI91" s="5">
        <f ca="1">IF(AND((OFFSET('DATA INPUT'!$C$11, ROW()-ROW($AD$87),0)=$AD$10),
 OR(OFFSET('DATA INPUT'!$H$11,ROW()-ROW($AD$87),0)=3,
OFFSET('DATA INPUT'!$V$11, ROW()-ROW($AD$87),0)=3,
OFFSET('DATA INPUT'!$AD$11, ROW()-ROW($AD$87),0)=3)),
OFFSET('Calc - SENIOR PERS'!$AA$11,COLUMN()-COLUMN($AD$87) + (ROW()-ROW($AD$87))*14,0),0)</f>
        <v>0</v>
      </c>
      <c r="AJ91" s="206">
        <f t="shared" ca="1" si="358"/>
        <v>0</v>
      </c>
      <c r="AL91" s="575">
        <f ca="1">IF(AND((OFFSET('DATA INPUT'!$C$11, ROW()-ROW($AL$87),0)=$AL$10),
 OR(OFFSET('DATA INPUT'!$H$11,ROW()-ROW($AL$87),0)=3,
OFFSET('DATA INPUT'!$V$11, ROW()-ROW($AL$87),0)=3,
OFFSET('DATA INPUT'!$AD$11, ROW()-ROW($AL$87),0)=3)),
OFFSET('Calc - SENIOR PERS'!$AA$11,COLUMN()-COLUMN($AL$87) + (ROW()-ROW($AL$87))*14,0),0)</f>
        <v>0</v>
      </c>
      <c r="AM91" s="5">
        <f ca="1">IF(AND((OFFSET('DATA INPUT'!$C$11, ROW()-ROW($AL$87),0)=$AL$10),
 OR(OFFSET('DATA INPUT'!$H$11,ROW()-ROW($AL$87),0)=3,
OFFSET('DATA INPUT'!$V$11, ROW()-ROW($AL$87),0)=3,
OFFSET('DATA INPUT'!$AD$11, ROW()-ROW($AL$87),0)=3)),
OFFSET('Calc - SENIOR PERS'!$AA$11,COLUMN()-COLUMN($AL$87) + (ROW()-ROW($AL$87))*14,0),0)</f>
        <v>0</v>
      </c>
      <c r="AN91" s="5">
        <f ca="1">IF(AND((OFFSET('DATA INPUT'!$C$11, ROW()-ROW($AL$87),0)=$AL$10),
 OR(OFFSET('DATA INPUT'!$H$11,ROW()-ROW($AL$87),0)=3,
OFFSET('DATA INPUT'!$V$11, ROW()-ROW($AL$87),0)=3,
OFFSET('DATA INPUT'!$AD$11, ROW()-ROW($AL$87),0)=3)),
OFFSET('Calc - SENIOR PERS'!$AA$11,COLUMN()-COLUMN($AL$87) + (ROW()-ROW($AL$87))*14,0),0)</f>
        <v>0</v>
      </c>
      <c r="AO91" s="5">
        <f ca="1">IF(AND((OFFSET('DATA INPUT'!$C$11, ROW()-ROW($AL$87),0)=$AL$10),
 OR(OFFSET('DATA INPUT'!$H$11,ROW()-ROW($AL$87),0)=3,
OFFSET('DATA INPUT'!$V$11, ROW()-ROW($AL$87),0)=3,
OFFSET('DATA INPUT'!$AD$11, ROW()-ROW($AL$87),0)=3)),
OFFSET('Calc - SENIOR PERS'!$AA$11,COLUMN()-COLUMN($AL$87) + (ROW()-ROW($AL$87))*14,0),0)</f>
        <v>0</v>
      </c>
      <c r="AP91" s="5">
        <f ca="1">IF(AND((OFFSET('DATA INPUT'!$C$11, ROW()-ROW($AL$87),0)=$AL$10),
 OR(OFFSET('DATA INPUT'!$H$11,ROW()-ROW($AL$87),0)=3,
OFFSET('DATA INPUT'!$V$11, ROW()-ROW($AL$87),0)=3,
OFFSET('DATA INPUT'!$AD$11, ROW()-ROW($AL$87),0)=3)),
OFFSET('Calc - SENIOR PERS'!$AA$11,COLUMN()-COLUMN($AL$87) + (ROW()-ROW($AL$87))*14,0),0)</f>
        <v>0</v>
      </c>
      <c r="AQ91" s="5">
        <f ca="1">IF(AND((OFFSET('DATA INPUT'!$C$11, ROW()-ROW($AL$87),0)=$AL$10),
 OR(OFFSET('DATA INPUT'!$H$11,ROW()-ROW($AL$87),0)=3,
OFFSET('DATA INPUT'!$V$11, ROW()-ROW($AL$87),0)=3,
OFFSET('DATA INPUT'!$AD$11, ROW()-ROW($AL$87),0)=3)),
OFFSET('Calc - SENIOR PERS'!$AA$11,COLUMN()-COLUMN($AL$87) + (ROW()-ROW($AL$87))*14,0),0)</f>
        <v>0</v>
      </c>
      <c r="AR91" s="178">
        <f t="shared" ca="1" si="359"/>
        <v>0</v>
      </c>
      <c r="AT91" s="575">
        <f ca="1">IF(AND((OFFSET('DATA INPUT'!$C$11, ROW()-ROW($AT$87),0)=$AT$10),
 OR(OFFSET('DATA INPUT'!$H$11,ROW()-ROW($AT$87),0)=3,
OFFSET('DATA INPUT'!$V$11, ROW()-ROW($AT$87),0)=3,
OFFSET('DATA INPUT'!$AD$11, ROW()-ROW($AT$87),0)=3)),
OFFSET('Calc - SENIOR PERS'!$AA$11,COLUMN()-COLUMN($AT$87) + (ROW()-ROW($AT$87))*14,0),0)</f>
        <v>0</v>
      </c>
      <c r="AU91" s="5">
        <f ca="1">IF(AND((OFFSET('DATA INPUT'!$C$11, ROW()-ROW($AT$87),0)=$AT$10),
 OR(OFFSET('DATA INPUT'!$H$11,ROW()-ROW($AT$87),0)=3,
OFFSET('DATA INPUT'!$V$11, ROW()-ROW($AT$87),0)=3,
OFFSET('DATA INPUT'!$AD$11, ROW()-ROW($AT$87),0)=3)),
OFFSET('Calc - SENIOR PERS'!$AA$11,COLUMN()-COLUMN($AT$87) + (ROW()-ROW($AT$87))*14,0),0)</f>
        <v>0</v>
      </c>
      <c r="AV91" s="5">
        <f ca="1">IF(AND((OFFSET('DATA INPUT'!$C$11, ROW()-ROW($AT$87),0)=$AT$10),
 OR(OFFSET('DATA INPUT'!$H$11,ROW()-ROW($AT$87),0)=3,
OFFSET('DATA INPUT'!$V$11, ROW()-ROW($AT$87),0)=3,
OFFSET('DATA INPUT'!$AD$11, ROW()-ROW($AT$87),0)=3)),
OFFSET('Calc - SENIOR PERS'!$AA$11,COLUMN()-COLUMN($AT$87) + (ROW()-ROW($AT$87))*14,0),0)</f>
        <v>0</v>
      </c>
      <c r="AW91" s="5">
        <f ca="1">IF(AND((OFFSET('DATA INPUT'!$C$11, ROW()-ROW($AT$87),0)=$AT$10),
 OR(OFFSET('DATA INPUT'!$H$11,ROW()-ROW($AT$87),0)=3,
OFFSET('DATA INPUT'!$V$11, ROW()-ROW($AT$87),0)=3,
OFFSET('DATA INPUT'!$AD$11, ROW()-ROW($AT$87),0)=3)),
OFFSET('Calc - SENIOR PERS'!$AA$11,COLUMN()-COLUMN($AT$87) + (ROW()-ROW($AT$87))*14,0),0)</f>
        <v>0</v>
      </c>
      <c r="AX91" s="5">
        <f ca="1">IF(AND((OFFSET('DATA INPUT'!$C$11, ROW()-ROW($AT$87),0)=$AT$10),
 OR(OFFSET('DATA INPUT'!$H$11,ROW()-ROW($AT$87),0)=3,
OFFSET('DATA INPUT'!$V$11, ROW()-ROW($AT$87),0)=3,
OFFSET('DATA INPUT'!$AD$11, ROW()-ROW($AT$87),0)=3)),
OFFSET('Calc - SENIOR PERS'!$AA$11,COLUMN()-COLUMN($AT$87) + (ROW()-ROW($AT$87))*14,0),0)</f>
        <v>0</v>
      </c>
      <c r="AY91" s="5">
        <f ca="1">IF(AND((OFFSET('DATA INPUT'!$C$11, ROW()-ROW($AT$87),0)=$AT$10),
 OR(OFFSET('DATA INPUT'!$H$11,ROW()-ROW($AT$87),0)=3,
OFFSET('DATA INPUT'!$V$11, ROW()-ROW($AT$87),0)=3,
OFFSET('DATA INPUT'!$AD$11, ROW()-ROW($AT$87),0)=3)),
OFFSET('Calc - SENIOR PERS'!$AA$11,COLUMN()-COLUMN($AT$87) + (ROW()-ROW($AT$87))*14,0),0)</f>
        <v>0</v>
      </c>
      <c r="AZ91" s="150">
        <f t="shared" ca="1" si="360"/>
        <v>0</v>
      </c>
      <c r="BB91" s="575">
        <f ca="1">IF(AND((OFFSET('DATA INPUT'!$C$11, ROW()-ROW($BB$87),0)=$BB$10),
 OR(OFFSET('DATA INPUT'!$H$11,ROW()-ROW($BB$87),0)=3,
OFFSET('DATA INPUT'!$V$11, ROW()-ROW($BB$87),0)=3,
OFFSET('DATA INPUT'!$AD$11, ROW()-ROW($BB$87),0)=3)),
OFFSET('Calc - SENIOR PERS'!$AA$11,COLUMN()-COLUMN($BB$87) + (ROW()-ROW($BB$87))*14,0),0)</f>
        <v>0</v>
      </c>
      <c r="BC91" s="5">
        <f ca="1">IF(AND((OFFSET('DATA INPUT'!$C$11, ROW()-ROW($BB$87),0)=$BB$10),
 OR(OFFSET('DATA INPUT'!$H$11,ROW()-ROW($BB$87),0)=3,
OFFSET('DATA INPUT'!$V$11, ROW()-ROW($BB$87),0)=3,
OFFSET('DATA INPUT'!$AD$11, ROW()-ROW($BB$87),0)=3)),
OFFSET('Calc - SENIOR PERS'!$AA$11,COLUMN()-COLUMN($BB$87) + (ROW()-ROW($BB$87))*14,0),0)</f>
        <v>0</v>
      </c>
      <c r="BD91" s="5">
        <f ca="1">IF(AND((OFFSET('DATA INPUT'!$C$11, ROW()-ROW($BB$87),0)=$BB$10),
 OR(OFFSET('DATA INPUT'!$H$11,ROW()-ROW($BB$87),0)=3,
OFFSET('DATA INPUT'!$V$11, ROW()-ROW($BB$87),0)=3,
OFFSET('DATA INPUT'!$AD$11, ROW()-ROW($BB$87),0)=3)),
OFFSET('Calc - SENIOR PERS'!$AA$11,COLUMN()-COLUMN($BB$87) + (ROW()-ROW($BB$87))*14,0),0)</f>
        <v>0</v>
      </c>
      <c r="BE91" s="5">
        <f ca="1">IF(AND((OFFSET('DATA INPUT'!$C$11, ROW()-ROW($BB$87),0)=$BB$10),
 OR(OFFSET('DATA INPUT'!$H$11,ROW()-ROW($BB$87),0)=3,
OFFSET('DATA INPUT'!$V$11, ROW()-ROW($BB$87),0)=3,
OFFSET('DATA INPUT'!$AD$11, ROW()-ROW($BB$87),0)=3)),
OFFSET('Calc - SENIOR PERS'!$AA$11,COLUMN()-COLUMN($BB$87) + (ROW()-ROW($BB$87))*14,0),0)</f>
        <v>0</v>
      </c>
      <c r="BF91" s="5">
        <f ca="1">IF(AND((OFFSET('DATA INPUT'!$C$11, ROW()-ROW($BB$87),0)=$BB$10),
 OR(OFFSET('DATA INPUT'!$H$11,ROW()-ROW($BB$87),0)=3,
OFFSET('DATA INPUT'!$V$11, ROW()-ROW($BB$87),0)=3,
OFFSET('DATA INPUT'!$AD$11, ROW()-ROW($BB$87),0)=3)),
OFFSET('Calc - SENIOR PERS'!$AA$11,COLUMN()-COLUMN($BB$87) + (ROW()-ROW($BB$87))*14,0),0)</f>
        <v>0</v>
      </c>
      <c r="BG91" s="5">
        <f ca="1">IF(AND((OFFSET('DATA INPUT'!$C$11, ROW()-ROW($BB$87),0)=$BB$10),
 OR(OFFSET('DATA INPUT'!$H$11,ROW()-ROW($BB$87),0)=3,
OFFSET('DATA INPUT'!$V$11, ROW()-ROW($BB$87),0)=3,
OFFSET('DATA INPUT'!$AD$11, ROW()-ROW($BB$87),0)=3)),
OFFSET('Calc - SENIOR PERS'!$AA$11,COLUMN()-COLUMN($BB$87) + (ROW()-ROW($BB$87))*14,0),0)</f>
        <v>0</v>
      </c>
      <c r="BH91" s="192">
        <f t="shared" ca="1" si="361"/>
        <v>0</v>
      </c>
      <c r="BJ91" s="575"/>
      <c r="BK91" s="5"/>
      <c r="BL91" s="5"/>
      <c r="BM91" s="5"/>
      <c r="BN91" s="5"/>
      <c r="BO91" s="5"/>
      <c r="BP91" s="1102">
        <f t="shared" si="362"/>
        <v>0</v>
      </c>
      <c r="BR91" s="575">
        <f t="shared" ca="1" si="363"/>
        <v>0</v>
      </c>
      <c r="BS91" s="5">
        <f t="shared" ca="1" si="364"/>
        <v>0</v>
      </c>
      <c r="BT91" s="5">
        <f t="shared" ca="1" si="365"/>
        <v>0</v>
      </c>
      <c r="BU91" s="5">
        <f t="shared" ca="1" si="366"/>
        <v>0</v>
      </c>
      <c r="BV91" s="5">
        <f t="shared" ca="1" si="367"/>
        <v>0</v>
      </c>
      <c r="BW91" s="5">
        <f t="shared" ca="1" si="368"/>
        <v>0</v>
      </c>
      <c r="BX91" s="2175">
        <f t="shared" ca="1" si="369"/>
        <v>0</v>
      </c>
      <c r="BY91" s="573">
        <f t="shared" ca="1" si="370"/>
        <v>0</v>
      </c>
      <c r="BZ91" s="257"/>
      <c r="CB91" s="1182"/>
      <c r="CC91" s="1190">
        <f ca="1">'Calc - SENIOR PERS'!$S$68/9*3</f>
        <v>0</v>
      </c>
      <c r="CD91" s="1191">
        <f ca="1">'Calc - SENIOR PERS'!$S$68/9*3</f>
        <v>0</v>
      </c>
      <c r="CE91" s="1191">
        <f ca="1">'Calc - SENIOR PERS'!$S$68/9*2</f>
        <v>0</v>
      </c>
      <c r="CF91" s="1191">
        <f ca="1">'Calc - SENIOR PERS'!$S$68/9*0.5</f>
        <v>0</v>
      </c>
      <c r="CG91" s="1192">
        <f ca="1">'Calc - SENIOR PERS'!$S$68/9*0.5</f>
        <v>0</v>
      </c>
      <c r="CH91" s="1184">
        <f ca="1">'Calc - SENIOR PERS'!$S$69/9*3</f>
        <v>0</v>
      </c>
      <c r="CI91" s="1193">
        <f ca="1">'Calc - SENIOR PERS'!$S$69/9*3</f>
        <v>0</v>
      </c>
      <c r="CJ91" s="1193">
        <f ca="1">'Calc - SENIOR PERS'!$S$69/9*2</f>
        <v>0</v>
      </c>
      <c r="CK91" s="1193">
        <f ca="1">'Calc - SENIOR PERS'!$S$69/9*0.5</f>
        <v>0</v>
      </c>
      <c r="CL91" s="1194">
        <f ca="1">'Calc - SENIOR PERS'!$S$69/9*0.5</f>
        <v>0</v>
      </c>
      <c r="CM91" s="1195">
        <f ca="1">'Calc - SENIOR PERS'!$S$70/8*3</f>
        <v>0</v>
      </c>
      <c r="CN91" s="1188">
        <f ca="1">'Calc - SENIOR PERS'!$S$70/8*3</f>
        <v>0</v>
      </c>
      <c r="CO91" s="1196">
        <f ca="1">'Calc - SENIOR PERS'!$S$70/8*2</f>
        <v>0</v>
      </c>
      <c r="CP91" s="1234">
        <f t="shared" ca="1" si="371"/>
        <v>0</v>
      </c>
      <c r="CS91" s="575"/>
      <c r="CT91" s="5"/>
      <c r="CU91" s="1180"/>
      <c r="CV91" s="575"/>
      <c r="CW91" s="5"/>
      <c r="CX91" s="1249"/>
      <c r="CY91" s="575"/>
      <c r="CZ91" s="5"/>
      <c r="DA91" s="1180"/>
      <c r="DB91" s="575"/>
      <c r="DC91" s="5"/>
      <c r="DD91" s="1180"/>
      <c r="DE91" s="1181">
        <f t="shared" si="372"/>
        <v>0</v>
      </c>
      <c r="DG91" s="575"/>
      <c r="DH91" s="5"/>
      <c r="DI91" s="1180"/>
      <c r="DJ91" s="575"/>
      <c r="DK91" s="5"/>
      <c r="DL91" s="1249"/>
      <c r="DM91" s="575"/>
      <c r="DN91" s="5"/>
      <c r="DO91" s="1180"/>
      <c r="DP91" s="575"/>
      <c r="DQ91" s="5"/>
      <c r="DR91" s="1180"/>
      <c r="DS91" s="1181">
        <f t="shared" si="373"/>
        <v>0</v>
      </c>
      <c r="DU91" s="575"/>
      <c r="DV91" s="5"/>
      <c r="DW91" s="1180"/>
      <c r="DX91" s="575"/>
      <c r="DY91" s="5"/>
      <c r="DZ91" s="1249"/>
      <c r="EA91" s="575"/>
      <c r="EB91" s="5"/>
      <c r="EC91" s="1180"/>
      <c r="ED91" s="575"/>
      <c r="EE91" s="5"/>
      <c r="EF91" s="1180"/>
      <c r="EG91" s="1181">
        <f t="shared" si="374"/>
        <v>0</v>
      </c>
      <c r="EI91" s="403"/>
      <c r="EJ91" s="3220"/>
      <c r="EK91" s="57">
        <f t="shared" ca="1" si="375"/>
        <v>0</v>
      </c>
      <c r="EL91" s="5">
        <f t="shared" ca="1" si="376"/>
        <v>0</v>
      </c>
      <c r="EM91" s="5">
        <f t="shared" ca="1" si="377"/>
        <v>0</v>
      </c>
      <c r="EN91" s="5">
        <f t="shared" ca="1" si="378"/>
        <v>0</v>
      </c>
      <c r="EO91" s="5">
        <f t="shared" ca="1" si="379"/>
        <v>0</v>
      </c>
      <c r="EP91" s="5">
        <f t="shared" ca="1" si="380"/>
        <v>0</v>
      </c>
      <c r="EQ91" s="5">
        <f t="shared" ca="1" si="381"/>
        <v>0</v>
      </c>
      <c r="ER91" s="88">
        <f t="shared" ca="1" si="382"/>
        <v>0</v>
      </c>
      <c r="ES91" s="4"/>
      <c r="ET91" s="4"/>
      <c r="EU91" s="4"/>
      <c r="EV91" s="575">
        <f t="shared" ca="1" si="383"/>
        <v>0</v>
      </c>
      <c r="EW91" s="5">
        <f t="shared" ca="1" si="384"/>
        <v>0</v>
      </c>
      <c r="EX91" s="5">
        <f t="shared" ca="1" si="385"/>
        <v>0</v>
      </c>
      <c r="EY91" s="5">
        <f t="shared" ca="1" si="386"/>
        <v>0</v>
      </c>
      <c r="EZ91" s="5">
        <f t="shared" ca="1" si="387"/>
        <v>0</v>
      </c>
      <c r="FA91" s="5">
        <f t="shared" ca="1" si="388"/>
        <v>0</v>
      </c>
      <c r="FB91" s="164">
        <f t="shared" ca="1" si="389"/>
        <v>0</v>
      </c>
      <c r="FC91" s="1"/>
      <c r="FD91" s="575">
        <f t="shared" ca="1" si="390"/>
        <v>0</v>
      </c>
      <c r="FE91" s="5">
        <f t="shared" ca="1" si="391"/>
        <v>0</v>
      </c>
      <c r="FF91" s="5">
        <f t="shared" ca="1" si="392"/>
        <v>0</v>
      </c>
      <c r="FG91" s="5">
        <f t="shared" ca="1" si="393"/>
        <v>0</v>
      </c>
      <c r="FH91" s="5">
        <f t="shared" ca="1" si="394"/>
        <v>0</v>
      </c>
      <c r="FI91" s="5">
        <f t="shared" ca="1" si="395"/>
        <v>0</v>
      </c>
      <c r="FJ91" s="138">
        <f t="shared" ca="1" si="396"/>
        <v>0</v>
      </c>
      <c r="FL91" s="575">
        <f t="shared" ca="1" si="397"/>
        <v>0</v>
      </c>
      <c r="FM91" s="5">
        <f t="shared" ca="1" si="398"/>
        <v>0</v>
      </c>
      <c r="FN91" s="5">
        <f t="shared" ca="1" si="399"/>
        <v>0</v>
      </c>
      <c r="FO91" s="5">
        <f t="shared" ca="1" si="400"/>
        <v>0</v>
      </c>
      <c r="FP91" s="5">
        <f t="shared" ca="1" si="401"/>
        <v>0</v>
      </c>
      <c r="FQ91" s="5">
        <f t="shared" ca="1" si="402"/>
        <v>0</v>
      </c>
      <c r="FR91" s="206">
        <f t="shared" ca="1" si="403"/>
        <v>0</v>
      </c>
      <c r="FT91" s="575">
        <f t="shared" ca="1" si="404"/>
        <v>0</v>
      </c>
      <c r="FU91" s="5">
        <f t="shared" ca="1" si="405"/>
        <v>0</v>
      </c>
      <c r="FV91" s="5">
        <f t="shared" ca="1" si="406"/>
        <v>0</v>
      </c>
      <c r="FW91" s="5">
        <f t="shared" ca="1" si="407"/>
        <v>0</v>
      </c>
      <c r="FX91" s="5">
        <f t="shared" ca="1" si="408"/>
        <v>0</v>
      </c>
      <c r="FY91" s="5">
        <f t="shared" ca="1" si="409"/>
        <v>0</v>
      </c>
      <c r="FZ91" s="178">
        <f t="shared" ca="1" si="410"/>
        <v>0</v>
      </c>
      <c r="GB91" s="575">
        <f t="shared" ca="1" si="411"/>
        <v>0</v>
      </c>
      <c r="GC91" s="5">
        <f t="shared" ca="1" si="412"/>
        <v>0</v>
      </c>
      <c r="GD91" s="5">
        <f t="shared" ca="1" si="413"/>
        <v>0</v>
      </c>
      <c r="GE91" s="5">
        <f t="shared" ca="1" si="414"/>
        <v>0</v>
      </c>
      <c r="GF91" s="5">
        <f t="shared" ca="1" si="415"/>
        <v>0</v>
      </c>
      <c r="GG91" s="5">
        <f t="shared" ca="1" si="416"/>
        <v>0</v>
      </c>
      <c r="GH91" s="150">
        <f t="shared" ca="1" si="417"/>
        <v>0</v>
      </c>
      <c r="GJ91" s="575">
        <f t="shared" ca="1" si="418"/>
        <v>0</v>
      </c>
      <c r="GK91" s="5">
        <f t="shared" ca="1" si="419"/>
        <v>0</v>
      </c>
      <c r="GL91" s="5">
        <f t="shared" ca="1" si="420"/>
        <v>0</v>
      </c>
      <c r="GM91" s="5">
        <f t="shared" ca="1" si="421"/>
        <v>0</v>
      </c>
      <c r="GN91" s="5">
        <f t="shared" ca="1" si="422"/>
        <v>0</v>
      </c>
      <c r="GO91" s="5">
        <f t="shared" ca="1" si="423"/>
        <v>0</v>
      </c>
      <c r="GP91" s="192">
        <f t="shared" ca="1" si="424"/>
        <v>0</v>
      </c>
      <c r="GR91" s="575"/>
      <c r="GS91" s="5"/>
      <c r="GT91" s="5"/>
      <c r="GU91" s="5"/>
      <c r="GV91" s="5"/>
      <c r="GW91" s="5"/>
      <c r="GX91" s="1102">
        <f t="shared" si="425"/>
        <v>0</v>
      </c>
      <c r="GZ91" s="575">
        <f t="shared" ca="1" si="426"/>
        <v>0</v>
      </c>
      <c r="HA91" s="5">
        <f t="shared" ca="1" si="427"/>
        <v>0</v>
      </c>
      <c r="HB91" s="5">
        <f t="shared" ca="1" si="428"/>
        <v>0</v>
      </c>
      <c r="HC91" s="5">
        <f t="shared" ca="1" si="429"/>
        <v>0</v>
      </c>
      <c r="HD91" s="5">
        <f t="shared" ca="1" si="430"/>
        <v>0</v>
      </c>
      <c r="HE91" s="5">
        <f t="shared" ca="1" si="431"/>
        <v>0</v>
      </c>
      <c r="HF91" s="2175">
        <f t="shared" ca="1" si="432"/>
        <v>0</v>
      </c>
      <c r="HG91" s="573">
        <f t="shared" ca="1" si="433"/>
        <v>0</v>
      </c>
      <c r="HH91" s="257"/>
    </row>
    <row r="92" spans="1:216" ht="15" hidden="1" customHeight="1" x14ac:dyDescent="0.25">
      <c r="A92" s="403"/>
      <c r="B92" s="3220"/>
      <c r="C92" s="57">
        <f ca="1">'Calc - SENIOR PERS'!$B$76</f>
        <v>0</v>
      </c>
      <c r="D92" s="5">
        <f ca="1">'Calc - SENIOR PERS'!$S$81</f>
        <v>0</v>
      </c>
      <c r="E92" s="5">
        <f ca="1">'Calc - SENIOR PERS'!$S$82</f>
        <v>0</v>
      </c>
      <c r="F92" s="5">
        <f ca="1">'Calc - SENIOR PERS'!$S$83</f>
        <v>0</v>
      </c>
      <c r="G92" s="5">
        <f ca="1">'Calc - SENIOR PERS'!$S$84</f>
        <v>0</v>
      </c>
      <c r="H92" s="5">
        <f ca="1">'Calc - SENIOR PERS'!$S$85</f>
        <v>0</v>
      </c>
      <c r="I92" s="5">
        <f ca="1">'Calc - SENIOR PERS'!$S$86</f>
        <v>0</v>
      </c>
      <c r="J92" s="88">
        <f t="shared" ca="1" si="355"/>
        <v>0</v>
      </c>
      <c r="K92" s="4"/>
      <c r="L92" s="4"/>
      <c r="M92" s="4"/>
      <c r="N92" s="575">
        <f ca="1">IF(AND((OFFSET('DATA INPUT'!$C$11, ROW()-ROW($N$87),0)=$N$10),
 OR(OFFSET('DATA INPUT'!$H$11,ROW()-ROW($N$87),0)=3,
OFFSET('DATA INPUT'!$V$11, ROW()-ROW($N$87),0)=3,
OFFSET('DATA INPUT'!$AD$11, ROW()-ROW($N$87),0)=3)),
OFFSET('Calc - SENIOR PERS'!$AA$11,COLUMN()-COLUMN($N$87) + (ROW()-ROW($N$87))*14,0),0)</f>
        <v>0</v>
      </c>
      <c r="O92" s="5">
        <f ca="1">IF(AND((OFFSET('DATA INPUT'!$C$11, ROW()-ROW($N$87),0)=$N$10),
 OR(OFFSET('DATA INPUT'!$H$11,ROW()-ROW($N$87),0)=3,
OFFSET('DATA INPUT'!$V$11, ROW()-ROW($N$87),0)=3,
OFFSET('DATA INPUT'!$AD$11, ROW()-ROW($N$87),0)=3)),
OFFSET('Calc - SENIOR PERS'!$AA$11,COLUMN()-COLUMN($N$87) + (ROW()-ROW($N$87))*14,0),0)</f>
        <v>0</v>
      </c>
      <c r="P92" s="5">
        <f ca="1">IF(AND((OFFSET('DATA INPUT'!$C$11, ROW()-ROW($N$87),0)=$N$10),
 OR(OFFSET('DATA INPUT'!$H$11,ROW()-ROW($N$87),0)=3,
OFFSET('DATA INPUT'!$V$11, ROW()-ROW($N$87),0)=3,
OFFSET('DATA INPUT'!$AD$11, ROW()-ROW($N$87),0)=3)),
OFFSET('Calc - SENIOR PERS'!$AA$11,COLUMN()-COLUMN($N$87) + (ROW()-ROW($N$87))*14,0),0)</f>
        <v>0</v>
      </c>
      <c r="Q92" s="5">
        <f ca="1">IF(AND((OFFSET('DATA INPUT'!$C$11, ROW()-ROW($N$87),0)=$N$10),
 OR(OFFSET('DATA INPUT'!$H$11,ROW()-ROW($N$87),0)=3,
OFFSET('DATA INPUT'!$V$11, ROW()-ROW($N$87),0)=3,
OFFSET('DATA INPUT'!$AD$11, ROW()-ROW($N$87),0)=3)),
OFFSET('Calc - SENIOR PERS'!$AA$11,COLUMN()-COLUMN($N$87) + (ROW()-ROW($N$87))*14,0),0)</f>
        <v>0</v>
      </c>
      <c r="R92" s="5">
        <f ca="1">IF(AND((OFFSET('DATA INPUT'!$C$11, ROW()-ROW($N$87),0)=$N$10),
 OR(OFFSET('DATA INPUT'!$H$11,ROW()-ROW($N$87),0)=3,
OFFSET('DATA INPUT'!$V$11, ROW()-ROW($N$87),0)=3,
OFFSET('DATA INPUT'!$AD$11, ROW()-ROW($N$87),0)=3)),
OFFSET('Calc - SENIOR PERS'!$AA$11,COLUMN()-COLUMN($N$87) + (ROW()-ROW($N$87))*14,0),0)</f>
        <v>0</v>
      </c>
      <c r="S92" s="5">
        <f ca="1">IF(AND((OFFSET('DATA INPUT'!$C$11, ROW()-ROW($N$87),0)=$N$10),
 OR(OFFSET('DATA INPUT'!$H$11,ROW()-ROW($N$87),0)=3,
OFFSET('DATA INPUT'!$V$11, ROW()-ROW($N$87),0)=3,
OFFSET('DATA INPUT'!$AD$11, ROW()-ROW($N$87),0)=3)),
OFFSET('Calc - SENIOR PERS'!$AA$11,COLUMN()-COLUMN($N$87) + (ROW()-ROW($N$87))*14,0),0)</f>
        <v>0</v>
      </c>
      <c r="T92" s="164">
        <f t="shared" ca="1" si="356"/>
        <v>0</v>
      </c>
      <c r="U92" s="1"/>
      <c r="V92" s="575">
        <f ca="1">IF(AND((OFFSET('DATA INPUT'!$C$11, ROW()-ROW($V$87),0)=$V$10),
 OR(OFFSET('DATA INPUT'!$H$11,ROW()-ROW($V$87),0)=3,
OFFSET('DATA INPUT'!$V$11, ROW()-ROW($V$87),0)=3,
OFFSET('DATA INPUT'!$AD$11, ROW()-ROW($V$87),0)=3)),
OFFSET('Calc - SENIOR PERS'!$AA$11,COLUMN()-COLUMN($V$87) + (ROW()-ROW($V$87))*14,0),0)</f>
        <v>0</v>
      </c>
      <c r="W92" s="5">
        <f ca="1">IF(AND((OFFSET('DATA INPUT'!$C$11, ROW()-ROW($V$87),0)=$V$10),
 OR(OFFSET('DATA INPUT'!$H$11,ROW()-ROW($V$87),0)=3,
OFFSET('DATA INPUT'!$V$11, ROW()-ROW($V$87),0)=3,
OFFSET('DATA INPUT'!$AD$11, ROW()-ROW($V$87),0)=3)),
OFFSET('Calc - SENIOR PERS'!$AA$11,COLUMN()-COLUMN($V$87) + (ROW()-ROW($V$87))*14,0),0)</f>
        <v>0</v>
      </c>
      <c r="X92" s="5">
        <f ca="1">IF(AND((OFFSET('DATA INPUT'!$C$11, ROW()-ROW($V$87),0)=$V$10),
 OR(OFFSET('DATA INPUT'!$H$11,ROW()-ROW($V$87),0)=3,
OFFSET('DATA INPUT'!$V$11, ROW()-ROW($V$87),0)=3,
OFFSET('DATA INPUT'!$AD$11, ROW()-ROW($V$87),0)=3)),
OFFSET('Calc - SENIOR PERS'!$AA$11,COLUMN()-COLUMN($V$87) + (ROW()-ROW($V$87))*14,0),0)</f>
        <v>0</v>
      </c>
      <c r="Y92" s="5">
        <f ca="1">IF(AND((OFFSET('DATA INPUT'!$C$11, ROW()-ROW($V$87),0)=$V$10),
 OR(OFFSET('DATA INPUT'!$H$11,ROW()-ROW($V$87),0)=3,
OFFSET('DATA INPUT'!$V$11, ROW()-ROW($V$87),0)=3,
OFFSET('DATA INPUT'!$AD$11, ROW()-ROW($V$87),0)=3)),
OFFSET('Calc - SENIOR PERS'!$AA$11,COLUMN()-COLUMN($V$87) + (ROW()-ROW($V$87))*14,0),0)</f>
        <v>0</v>
      </c>
      <c r="Z92" s="5">
        <f ca="1">IF(AND((OFFSET('DATA INPUT'!$C$11, ROW()-ROW($V$87),0)=$V$10),
 OR(OFFSET('DATA INPUT'!$H$11,ROW()-ROW($V$87),0)=3,
OFFSET('DATA INPUT'!$V$11, ROW()-ROW($V$87),0)=3,
OFFSET('DATA INPUT'!$AD$11, ROW()-ROW($V$87),0)=3)),
OFFSET('Calc - SENIOR PERS'!$AA$11,COLUMN()-COLUMN($V$87) + (ROW()-ROW($V$87))*14,0),0)</f>
        <v>0</v>
      </c>
      <c r="AA92" s="5">
        <f ca="1">IF(AND((OFFSET('DATA INPUT'!$C$11, ROW()-ROW($V$87),0)=$V$10),
 OR(OFFSET('DATA INPUT'!$H$11,ROW()-ROW($V$87),0)=3,
OFFSET('DATA INPUT'!$V$11, ROW()-ROW($V$87),0)=3,
OFFSET('DATA INPUT'!$AD$11, ROW()-ROW($V$87),0)=3)),
OFFSET('Calc - SENIOR PERS'!$AA$11,COLUMN()-COLUMN($V$87) + (ROW()-ROW($V$87))*14,0),0)</f>
        <v>0</v>
      </c>
      <c r="AB92" s="138">
        <f t="shared" ca="1" si="357"/>
        <v>0</v>
      </c>
      <c r="AD92" s="575">
        <f ca="1">IF(AND((OFFSET('DATA INPUT'!$C$11, ROW()-ROW($AD$87),0)=$AD$10),
 OR(OFFSET('DATA INPUT'!$H$11,ROW()-ROW($AD$87),0)=3,
OFFSET('DATA INPUT'!$V$11, ROW()-ROW($AD$87),0)=3,
OFFSET('DATA INPUT'!$AD$11, ROW()-ROW($AD$87),0)=3)),
OFFSET('Calc - SENIOR PERS'!$AA$11,COLUMN()-COLUMN($AD$87) + (ROW()-ROW($AD$87))*14,0),0)</f>
        <v>0</v>
      </c>
      <c r="AE92" s="5">
        <f ca="1">IF(AND((OFFSET('DATA INPUT'!$C$11, ROW()-ROW($AD$87),0)=$AD$10),
 OR(OFFSET('DATA INPUT'!$H$11,ROW()-ROW($AD$87),0)=3,
OFFSET('DATA INPUT'!$V$11, ROW()-ROW($AD$87),0)=3,
OFFSET('DATA INPUT'!$AD$11, ROW()-ROW($AD$87),0)=3)),
OFFSET('Calc - SENIOR PERS'!$AA$11,COLUMN()-COLUMN($AD$87) + (ROW()-ROW($AD$87))*14,0),0)</f>
        <v>0</v>
      </c>
      <c r="AF92" s="5">
        <f ca="1">IF(AND((OFFSET('DATA INPUT'!$C$11, ROW()-ROW($AD$87),0)=$AD$10),
 OR(OFFSET('DATA INPUT'!$H$11,ROW()-ROW($AD$87),0)=3,
OFFSET('DATA INPUT'!$V$11, ROW()-ROW($AD$87),0)=3,
OFFSET('DATA INPUT'!$AD$11, ROW()-ROW($AD$87),0)=3)),
OFFSET('Calc - SENIOR PERS'!$AA$11,COLUMN()-COLUMN($AD$87) + (ROW()-ROW($AD$87))*14,0),0)</f>
        <v>0</v>
      </c>
      <c r="AG92" s="5">
        <f ca="1">IF(AND((OFFSET('DATA INPUT'!$C$11, ROW()-ROW($AD$87),0)=$AD$10),
 OR(OFFSET('DATA INPUT'!$H$11,ROW()-ROW($AD$87),0)=3,
OFFSET('DATA INPUT'!$V$11, ROW()-ROW($AD$87),0)=3,
OFFSET('DATA INPUT'!$AD$11, ROW()-ROW($AD$87),0)=3)),
OFFSET('Calc - SENIOR PERS'!$AA$11,COLUMN()-COLUMN($AD$87) + (ROW()-ROW($AD$87))*14,0),0)</f>
        <v>0</v>
      </c>
      <c r="AH92" s="5">
        <f ca="1">IF(AND((OFFSET('DATA INPUT'!$C$11, ROW()-ROW($AD$87),0)=$AD$10),
 OR(OFFSET('DATA INPUT'!$H$11,ROW()-ROW($AD$87),0)=3,
OFFSET('DATA INPUT'!$V$11, ROW()-ROW($AD$87),0)=3,
OFFSET('DATA INPUT'!$AD$11, ROW()-ROW($AD$87),0)=3)),
OFFSET('Calc - SENIOR PERS'!$AA$11,COLUMN()-COLUMN($AD$87) + (ROW()-ROW($AD$87))*14,0),0)</f>
        <v>0</v>
      </c>
      <c r="AI92" s="5">
        <f ca="1">IF(AND((OFFSET('DATA INPUT'!$C$11, ROW()-ROW($AD$87),0)=$AD$10),
 OR(OFFSET('DATA INPUT'!$H$11,ROW()-ROW($AD$87),0)=3,
OFFSET('DATA INPUT'!$V$11, ROW()-ROW($AD$87),0)=3,
OFFSET('DATA INPUT'!$AD$11, ROW()-ROW($AD$87),0)=3)),
OFFSET('Calc - SENIOR PERS'!$AA$11,COLUMN()-COLUMN($AD$87) + (ROW()-ROW($AD$87))*14,0),0)</f>
        <v>0</v>
      </c>
      <c r="AJ92" s="206">
        <f t="shared" ca="1" si="358"/>
        <v>0</v>
      </c>
      <c r="AL92" s="575">
        <f ca="1">IF(AND((OFFSET('DATA INPUT'!$C$11, ROW()-ROW($AL$87),0)=$AL$10),
 OR(OFFSET('DATA INPUT'!$H$11,ROW()-ROW($AL$87),0)=3,
OFFSET('DATA INPUT'!$V$11, ROW()-ROW($AL$87),0)=3,
OFFSET('DATA INPUT'!$AD$11, ROW()-ROW($AL$87),0)=3)),
OFFSET('Calc - SENIOR PERS'!$AA$11,COLUMN()-COLUMN($AL$87) + (ROW()-ROW($AL$87))*14,0),0)</f>
        <v>0</v>
      </c>
      <c r="AM92" s="5">
        <f ca="1">IF(AND((OFFSET('DATA INPUT'!$C$11, ROW()-ROW($AL$87),0)=$AL$10),
 OR(OFFSET('DATA INPUT'!$H$11,ROW()-ROW($AL$87),0)=3,
OFFSET('DATA INPUT'!$V$11, ROW()-ROW($AL$87),0)=3,
OFFSET('DATA INPUT'!$AD$11, ROW()-ROW($AL$87),0)=3)),
OFFSET('Calc - SENIOR PERS'!$AA$11,COLUMN()-COLUMN($AL$87) + (ROW()-ROW($AL$87))*14,0),0)</f>
        <v>0</v>
      </c>
      <c r="AN92" s="5">
        <f ca="1">IF(AND((OFFSET('DATA INPUT'!$C$11, ROW()-ROW($AL$87),0)=$AL$10),
 OR(OFFSET('DATA INPUT'!$H$11,ROW()-ROW($AL$87),0)=3,
OFFSET('DATA INPUT'!$V$11, ROW()-ROW($AL$87),0)=3,
OFFSET('DATA INPUT'!$AD$11, ROW()-ROW($AL$87),0)=3)),
OFFSET('Calc - SENIOR PERS'!$AA$11,COLUMN()-COLUMN($AL$87) + (ROW()-ROW($AL$87))*14,0),0)</f>
        <v>0</v>
      </c>
      <c r="AO92" s="5">
        <f ca="1">IF(AND((OFFSET('DATA INPUT'!$C$11, ROW()-ROW($AL$87),0)=$AL$10),
 OR(OFFSET('DATA INPUT'!$H$11,ROW()-ROW($AL$87),0)=3,
OFFSET('DATA INPUT'!$V$11, ROW()-ROW($AL$87),0)=3,
OFFSET('DATA INPUT'!$AD$11, ROW()-ROW($AL$87),0)=3)),
OFFSET('Calc - SENIOR PERS'!$AA$11,COLUMN()-COLUMN($AL$87) + (ROW()-ROW($AL$87))*14,0),0)</f>
        <v>0</v>
      </c>
      <c r="AP92" s="5">
        <f ca="1">IF(AND((OFFSET('DATA INPUT'!$C$11, ROW()-ROW($AL$87),0)=$AL$10),
 OR(OFFSET('DATA INPUT'!$H$11,ROW()-ROW($AL$87),0)=3,
OFFSET('DATA INPUT'!$V$11, ROW()-ROW($AL$87),0)=3,
OFFSET('DATA INPUT'!$AD$11, ROW()-ROW($AL$87),0)=3)),
OFFSET('Calc - SENIOR PERS'!$AA$11,COLUMN()-COLUMN($AL$87) + (ROW()-ROW($AL$87))*14,0),0)</f>
        <v>0</v>
      </c>
      <c r="AQ92" s="5">
        <f ca="1">IF(AND((OFFSET('DATA INPUT'!$C$11, ROW()-ROW($AL$87),0)=$AL$10),
 OR(OFFSET('DATA INPUT'!$H$11,ROW()-ROW($AL$87),0)=3,
OFFSET('DATA INPUT'!$V$11, ROW()-ROW($AL$87),0)=3,
OFFSET('DATA INPUT'!$AD$11, ROW()-ROW($AL$87),0)=3)),
OFFSET('Calc - SENIOR PERS'!$AA$11,COLUMN()-COLUMN($AL$87) + (ROW()-ROW($AL$87))*14,0),0)</f>
        <v>0</v>
      </c>
      <c r="AR92" s="178">
        <f t="shared" ca="1" si="359"/>
        <v>0</v>
      </c>
      <c r="AT92" s="575">
        <f ca="1">IF(AND((OFFSET('DATA INPUT'!$C$11, ROW()-ROW($AT$87),0)=$AT$10),
 OR(OFFSET('DATA INPUT'!$H$11,ROW()-ROW($AT$87),0)=3,
OFFSET('DATA INPUT'!$V$11, ROW()-ROW($AT$87),0)=3,
OFFSET('DATA INPUT'!$AD$11, ROW()-ROW($AT$87),0)=3)),
OFFSET('Calc - SENIOR PERS'!$AA$11,COLUMN()-COLUMN($AT$87) + (ROW()-ROW($AT$87))*14,0),0)</f>
        <v>0</v>
      </c>
      <c r="AU92" s="5">
        <f ca="1">IF(AND((OFFSET('DATA INPUT'!$C$11, ROW()-ROW($AT$87),0)=$AT$10),
 OR(OFFSET('DATA INPUT'!$H$11,ROW()-ROW($AT$87),0)=3,
OFFSET('DATA INPUT'!$V$11, ROW()-ROW($AT$87),0)=3,
OFFSET('DATA INPUT'!$AD$11, ROW()-ROW($AT$87),0)=3)),
OFFSET('Calc - SENIOR PERS'!$AA$11,COLUMN()-COLUMN($AT$87) + (ROW()-ROW($AT$87))*14,0),0)</f>
        <v>0</v>
      </c>
      <c r="AV92" s="5">
        <f ca="1">IF(AND((OFFSET('DATA INPUT'!$C$11, ROW()-ROW($AT$87),0)=$AT$10),
 OR(OFFSET('DATA INPUT'!$H$11,ROW()-ROW($AT$87),0)=3,
OFFSET('DATA INPUT'!$V$11, ROW()-ROW($AT$87),0)=3,
OFFSET('DATA INPUT'!$AD$11, ROW()-ROW($AT$87),0)=3)),
OFFSET('Calc - SENIOR PERS'!$AA$11,COLUMN()-COLUMN($AT$87) + (ROW()-ROW($AT$87))*14,0),0)</f>
        <v>0</v>
      </c>
      <c r="AW92" s="5">
        <f ca="1">IF(AND((OFFSET('DATA INPUT'!$C$11, ROW()-ROW($AT$87),0)=$AT$10),
 OR(OFFSET('DATA INPUT'!$H$11,ROW()-ROW($AT$87),0)=3,
OFFSET('DATA INPUT'!$V$11, ROW()-ROW($AT$87),0)=3,
OFFSET('DATA INPUT'!$AD$11, ROW()-ROW($AT$87),0)=3)),
OFFSET('Calc - SENIOR PERS'!$AA$11,COLUMN()-COLUMN($AT$87) + (ROW()-ROW($AT$87))*14,0),0)</f>
        <v>0</v>
      </c>
      <c r="AX92" s="5">
        <f ca="1">IF(AND((OFFSET('DATA INPUT'!$C$11, ROW()-ROW($AT$87),0)=$AT$10),
 OR(OFFSET('DATA INPUT'!$H$11,ROW()-ROW($AT$87),0)=3,
OFFSET('DATA INPUT'!$V$11, ROW()-ROW($AT$87),0)=3,
OFFSET('DATA INPUT'!$AD$11, ROW()-ROW($AT$87),0)=3)),
OFFSET('Calc - SENIOR PERS'!$AA$11,COLUMN()-COLUMN($AT$87) + (ROW()-ROW($AT$87))*14,0),0)</f>
        <v>0</v>
      </c>
      <c r="AY92" s="5">
        <f ca="1">IF(AND((OFFSET('DATA INPUT'!$C$11, ROW()-ROW($AT$87),0)=$AT$10),
 OR(OFFSET('DATA INPUT'!$H$11,ROW()-ROW($AT$87),0)=3,
OFFSET('DATA INPUT'!$V$11, ROW()-ROW($AT$87),0)=3,
OFFSET('DATA INPUT'!$AD$11, ROW()-ROW($AT$87),0)=3)),
OFFSET('Calc - SENIOR PERS'!$AA$11,COLUMN()-COLUMN($AT$87) + (ROW()-ROW($AT$87))*14,0),0)</f>
        <v>0</v>
      </c>
      <c r="AZ92" s="150">
        <f t="shared" ca="1" si="360"/>
        <v>0</v>
      </c>
      <c r="BB92" s="575">
        <f ca="1">IF(AND((OFFSET('DATA INPUT'!$C$11, ROW()-ROW($BB$87),0)=$BB$10),
 OR(OFFSET('DATA INPUT'!$H$11,ROW()-ROW($BB$87),0)=3,
OFFSET('DATA INPUT'!$V$11, ROW()-ROW($BB$87),0)=3,
OFFSET('DATA INPUT'!$AD$11, ROW()-ROW($BB$87),0)=3)),
OFFSET('Calc - SENIOR PERS'!$AA$11,COLUMN()-COLUMN($BB$87) + (ROW()-ROW($BB$87))*14,0),0)</f>
        <v>0</v>
      </c>
      <c r="BC92" s="5">
        <f ca="1">IF(AND((OFFSET('DATA INPUT'!$C$11, ROW()-ROW($BB$87),0)=$BB$10),
 OR(OFFSET('DATA INPUT'!$H$11,ROW()-ROW($BB$87),0)=3,
OFFSET('DATA INPUT'!$V$11, ROW()-ROW($BB$87),0)=3,
OFFSET('DATA INPUT'!$AD$11, ROW()-ROW($BB$87),0)=3)),
OFFSET('Calc - SENIOR PERS'!$AA$11,COLUMN()-COLUMN($BB$87) + (ROW()-ROW($BB$87))*14,0),0)</f>
        <v>0</v>
      </c>
      <c r="BD92" s="5">
        <f ca="1">IF(AND((OFFSET('DATA INPUT'!$C$11, ROW()-ROW($BB$87),0)=$BB$10),
 OR(OFFSET('DATA INPUT'!$H$11,ROW()-ROW($BB$87),0)=3,
OFFSET('DATA INPUT'!$V$11, ROW()-ROW($BB$87),0)=3,
OFFSET('DATA INPUT'!$AD$11, ROW()-ROW($BB$87),0)=3)),
OFFSET('Calc - SENIOR PERS'!$AA$11,COLUMN()-COLUMN($BB$87) + (ROW()-ROW($BB$87))*14,0),0)</f>
        <v>0</v>
      </c>
      <c r="BE92" s="5">
        <f ca="1">IF(AND((OFFSET('DATA INPUT'!$C$11, ROW()-ROW($BB$87),0)=$BB$10),
 OR(OFFSET('DATA INPUT'!$H$11,ROW()-ROW($BB$87),0)=3,
OFFSET('DATA INPUT'!$V$11, ROW()-ROW($BB$87),0)=3,
OFFSET('DATA INPUT'!$AD$11, ROW()-ROW($BB$87),0)=3)),
OFFSET('Calc - SENIOR PERS'!$AA$11,COLUMN()-COLUMN($BB$87) + (ROW()-ROW($BB$87))*14,0),0)</f>
        <v>0</v>
      </c>
      <c r="BF92" s="5">
        <f ca="1">IF(AND((OFFSET('DATA INPUT'!$C$11, ROW()-ROW($BB$87),0)=$BB$10),
 OR(OFFSET('DATA INPUT'!$H$11,ROW()-ROW($BB$87),0)=3,
OFFSET('DATA INPUT'!$V$11, ROW()-ROW($BB$87),0)=3,
OFFSET('DATA INPUT'!$AD$11, ROW()-ROW($BB$87),0)=3)),
OFFSET('Calc - SENIOR PERS'!$AA$11,COLUMN()-COLUMN($BB$87) + (ROW()-ROW($BB$87))*14,0),0)</f>
        <v>0</v>
      </c>
      <c r="BG92" s="5">
        <f ca="1">IF(AND((OFFSET('DATA INPUT'!$C$11, ROW()-ROW($BB$87),0)=$BB$10),
 OR(OFFSET('DATA INPUT'!$H$11,ROW()-ROW($BB$87),0)=3,
OFFSET('DATA INPUT'!$V$11, ROW()-ROW($BB$87),0)=3,
OFFSET('DATA INPUT'!$AD$11, ROW()-ROW($BB$87),0)=3)),
OFFSET('Calc - SENIOR PERS'!$AA$11,COLUMN()-COLUMN($BB$87) + (ROW()-ROW($BB$87))*14,0),0)</f>
        <v>0</v>
      </c>
      <c r="BH92" s="192">
        <f t="shared" ca="1" si="361"/>
        <v>0</v>
      </c>
      <c r="BJ92" s="575"/>
      <c r="BK92" s="5"/>
      <c r="BL92" s="5"/>
      <c r="BM92" s="5"/>
      <c r="BN92" s="5"/>
      <c r="BO92" s="5"/>
      <c r="BP92" s="1102">
        <f t="shared" si="362"/>
        <v>0</v>
      </c>
      <c r="BR92" s="575">
        <f t="shared" ca="1" si="363"/>
        <v>0</v>
      </c>
      <c r="BS92" s="5">
        <f t="shared" ca="1" si="364"/>
        <v>0</v>
      </c>
      <c r="BT92" s="5">
        <f t="shared" ca="1" si="365"/>
        <v>0</v>
      </c>
      <c r="BU92" s="5">
        <f t="shared" ca="1" si="366"/>
        <v>0</v>
      </c>
      <c r="BV92" s="5">
        <f t="shared" ca="1" si="367"/>
        <v>0</v>
      </c>
      <c r="BW92" s="5">
        <f t="shared" ca="1" si="368"/>
        <v>0</v>
      </c>
      <c r="BX92" s="2175">
        <f t="shared" ca="1" si="369"/>
        <v>0</v>
      </c>
      <c r="BY92" s="573">
        <f t="shared" ca="1" si="370"/>
        <v>0</v>
      </c>
      <c r="BZ92" s="257"/>
      <c r="CB92" s="1182"/>
      <c r="CC92" s="1197">
        <f ca="1">'Calc - SENIOR PERS'!$S$82/9*3</f>
        <v>0</v>
      </c>
      <c r="CD92" s="56">
        <f ca="1">'Calc - SENIOR PERS'!$S$82/9*3</f>
        <v>0</v>
      </c>
      <c r="CE92" s="56">
        <f ca="1">'Calc - SENIOR PERS'!$S$82/9*2</f>
        <v>0</v>
      </c>
      <c r="CF92" s="56">
        <f ca="1">'Calc - SENIOR PERS'!$S$82/9*0.5</f>
        <v>0</v>
      </c>
      <c r="CG92" s="1198">
        <f ca="1">'Calc - SENIOR PERS'!$S$82/9*0.5</f>
        <v>0</v>
      </c>
      <c r="CH92" s="1184">
        <f ca="1">'Calc - SENIOR PERS'!$S$83/9*3</f>
        <v>0</v>
      </c>
      <c r="CI92" s="1185">
        <f ca="1">'Calc - SENIOR PERS'!$S$83/9*3</f>
        <v>0</v>
      </c>
      <c r="CJ92" s="1185">
        <f ca="1">'Calc - SENIOR PERS'!$S$83/9*2</f>
        <v>0</v>
      </c>
      <c r="CK92" s="1185">
        <f ca="1">'Calc - SENIOR PERS'!$S$83/9*0.5</f>
        <v>0</v>
      </c>
      <c r="CL92" s="1186">
        <f ca="1">'Calc - SENIOR PERS'!$S$83/9*0.5</f>
        <v>0</v>
      </c>
      <c r="CM92" s="1187">
        <f ca="1">'Calc - SENIOR PERS'!$S$84/8*3</f>
        <v>0</v>
      </c>
      <c r="CN92" s="1188">
        <f ca="1">'Calc - SENIOR PERS'!$S$84/8*3</f>
        <v>0</v>
      </c>
      <c r="CO92" s="1189">
        <f ca="1">'Calc - SENIOR PERS'!$S$84/8*2</f>
        <v>0</v>
      </c>
      <c r="CP92" s="1234">
        <f t="shared" ca="1" si="371"/>
        <v>0</v>
      </c>
      <c r="CS92" s="575"/>
      <c r="CT92" s="5"/>
      <c r="CU92" s="1180"/>
      <c r="CV92" s="575"/>
      <c r="CW92" s="5"/>
      <c r="CX92" s="1249"/>
      <c r="CY92" s="575"/>
      <c r="CZ92" s="5"/>
      <c r="DA92" s="1180"/>
      <c r="DB92" s="575"/>
      <c r="DC92" s="5"/>
      <c r="DD92" s="1180"/>
      <c r="DE92" s="1181">
        <f t="shared" si="372"/>
        <v>0</v>
      </c>
      <c r="DG92" s="575"/>
      <c r="DH92" s="5"/>
      <c r="DI92" s="1180"/>
      <c r="DJ92" s="575"/>
      <c r="DK92" s="5"/>
      <c r="DL92" s="1249"/>
      <c r="DM92" s="575"/>
      <c r="DN92" s="5"/>
      <c r="DO92" s="1180"/>
      <c r="DP92" s="575"/>
      <c r="DQ92" s="5"/>
      <c r="DR92" s="1180"/>
      <c r="DS92" s="1181">
        <f t="shared" si="373"/>
        <v>0</v>
      </c>
      <c r="DU92" s="575"/>
      <c r="DV92" s="5"/>
      <c r="DW92" s="1180"/>
      <c r="DX92" s="575"/>
      <c r="DY92" s="5"/>
      <c r="DZ92" s="1249"/>
      <c r="EA92" s="575"/>
      <c r="EB92" s="5"/>
      <c r="EC92" s="1180"/>
      <c r="ED92" s="575"/>
      <c r="EE92" s="5"/>
      <c r="EF92" s="1180"/>
      <c r="EG92" s="1181">
        <f t="shared" si="374"/>
        <v>0</v>
      </c>
      <c r="EI92" s="403"/>
      <c r="EJ92" s="3220"/>
      <c r="EK92" s="57">
        <f t="shared" ca="1" si="375"/>
        <v>0</v>
      </c>
      <c r="EL92" s="5">
        <f t="shared" ca="1" si="376"/>
        <v>0</v>
      </c>
      <c r="EM92" s="5">
        <f t="shared" ca="1" si="377"/>
        <v>0</v>
      </c>
      <c r="EN92" s="5">
        <f t="shared" ca="1" si="378"/>
        <v>0</v>
      </c>
      <c r="EO92" s="5">
        <f t="shared" ca="1" si="379"/>
        <v>0</v>
      </c>
      <c r="EP92" s="5">
        <f t="shared" ca="1" si="380"/>
        <v>0</v>
      </c>
      <c r="EQ92" s="5">
        <f t="shared" ca="1" si="381"/>
        <v>0</v>
      </c>
      <c r="ER92" s="88">
        <f t="shared" ca="1" si="382"/>
        <v>0</v>
      </c>
      <c r="ES92" s="4"/>
      <c r="ET92" s="4"/>
      <c r="EU92" s="4"/>
      <c r="EV92" s="575">
        <f t="shared" ca="1" si="383"/>
        <v>0</v>
      </c>
      <c r="EW92" s="5">
        <f t="shared" ca="1" si="384"/>
        <v>0</v>
      </c>
      <c r="EX92" s="5">
        <f t="shared" ca="1" si="385"/>
        <v>0</v>
      </c>
      <c r="EY92" s="5">
        <f t="shared" ca="1" si="386"/>
        <v>0</v>
      </c>
      <c r="EZ92" s="5">
        <f t="shared" ca="1" si="387"/>
        <v>0</v>
      </c>
      <c r="FA92" s="5">
        <f t="shared" ca="1" si="388"/>
        <v>0</v>
      </c>
      <c r="FB92" s="164">
        <f t="shared" ca="1" si="389"/>
        <v>0</v>
      </c>
      <c r="FC92" s="1"/>
      <c r="FD92" s="575">
        <f t="shared" ca="1" si="390"/>
        <v>0</v>
      </c>
      <c r="FE92" s="5">
        <f t="shared" ca="1" si="391"/>
        <v>0</v>
      </c>
      <c r="FF92" s="5">
        <f t="shared" ca="1" si="392"/>
        <v>0</v>
      </c>
      <c r="FG92" s="5">
        <f t="shared" ca="1" si="393"/>
        <v>0</v>
      </c>
      <c r="FH92" s="5">
        <f t="shared" ca="1" si="394"/>
        <v>0</v>
      </c>
      <c r="FI92" s="5">
        <f t="shared" ca="1" si="395"/>
        <v>0</v>
      </c>
      <c r="FJ92" s="138">
        <f t="shared" ca="1" si="396"/>
        <v>0</v>
      </c>
      <c r="FL92" s="575">
        <f t="shared" ca="1" si="397"/>
        <v>0</v>
      </c>
      <c r="FM92" s="5">
        <f t="shared" ca="1" si="398"/>
        <v>0</v>
      </c>
      <c r="FN92" s="5">
        <f t="shared" ca="1" si="399"/>
        <v>0</v>
      </c>
      <c r="FO92" s="5">
        <f t="shared" ca="1" si="400"/>
        <v>0</v>
      </c>
      <c r="FP92" s="5">
        <f t="shared" ca="1" si="401"/>
        <v>0</v>
      </c>
      <c r="FQ92" s="5">
        <f t="shared" ca="1" si="402"/>
        <v>0</v>
      </c>
      <c r="FR92" s="206">
        <f t="shared" ca="1" si="403"/>
        <v>0</v>
      </c>
      <c r="FT92" s="575">
        <f t="shared" ca="1" si="404"/>
        <v>0</v>
      </c>
      <c r="FU92" s="5">
        <f t="shared" ca="1" si="405"/>
        <v>0</v>
      </c>
      <c r="FV92" s="5">
        <f t="shared" ca="1" si="406"/>
        <v>0</v>
      </c>
      <c r="FW92" s="5">
        <f t="shared" ca="1" si="407"/>
        <v>0</v>
      </c>
      <c r="FX92" s="5">
        <f t="shared" ca="1" si="408"/>
        <v>0</v>
      </c>
      <c r="FY92" s="5">
        <f t="shared" ca="1" si="409"/>
        <v>0</v>
      </c>
      <c r="FZ92" s="178">
        <f t="shared" ca="1" si="410"/>
        <v>0</v>
      </c>
      <c r="GB92" s="575">
        <f t="shared" ca="1" si="411"/>
        <v>0</v>
      </c>
      <c r="GC92" s="5">
        <f t="shared" ca="1" si="412"/>
        <v>0</v>
      </c>
      <c r="GD92" s="5">
        <f t="shared" ca="1" si="413"/>
        <v>0</v>
      </c>
      <c r="GE92" s="5">
        <f t="shared" ca="1" si="414"/>
        <v>0</v>
      </c>
      <c r="GF92" s="5">
        <f t="shared" ca="1" si="415"/>
        <v>0</v>
      </c>
      <c r="GG92" s="5">
        <f t="shared" ca="1" si="416"/>
        <v>0</v>
      </c>
      <c r="GH92" s="150">
        <f t="shared" ca="1" si="417"/>
        <v>0</v>
      </c>
      <c r="GJ92" s="575">
        <f t="shared" ca="1" si="418"/>
        <v>0</v>
      </c>
      <c r="GK92" s="5">
        <f t="shared" ca="1" si="419"/>
        <v>0</v>
      </c>
      <c r="GL92" s="5">
        <f t="shared" ca="1" si="420"/>
        <v>0</v>
      </c>
      <c r="GM92" s="5">
        <f t="shared" ca="1" si="421"/>
        <v>0</v>
      </c>
      <c r="GN92" s="5">
        <f t="shared" ca="1" si="422"/>
        <v>0</v>
      </c>
      <c r="GO92" s="5">
        <f t="shared" ca="1" si="423"/>
        <v>0</v>
      </c>
      <c r="GP92" s="192">
        <f t="shared" ca="1" si="424"/>
        <v>0</v>
      </c>
      <c r="GR92" s="575"/>
      <c r="GS92" s="5"/>
      <c r="GT92" s="5"/>
      <c r="GU92" s="5"/>
      <c r="GV92" s="5"/>
      <c r="GW92" s="5"/>
      <c r="GX92" s="1102">
        <f t="shared" si="425"/>
        <v>0</v>
      </c>
      <c r="GZ92" s="575">
        <f t="shared" ca="1" si="426"/>
        <v>0</v>
      </c>
      <c r="HA92" s="5">
        <f t="shared" ca="1" si="427"/>
        <v>0</v>
      </c>
      <c r="HB92" s="5">
        <f t="shared" ca="1" si="428"/>
        <v>0</v>
      </c>
      <c r="HC92" s="5">
        <f t="shared" ca="1" si="429"/>
        <v>0</v>
      </c>
      <c r="HD92" s="5">
        <f t="shared" ca="1" si="430"/>
        <v>0</v>
      </c>
      <c r="HE92" s="5">
        <f t="shared" ca="1" si="431"/>
        <v>0</v>
      </c>
      <c r="HF92" s="2175">
        <f t="shared" ca="1" si="432"/>
        <v>0</v>
      </c>
      <c r="HG92" s="573">
        <f t="shared" ca="1" si="433"/>
        <v>0</v>
      </c>
      <c r="HH92" s="257"/>
    </row>
    <row r="93" spans="1:216" ht="15" hidden="1" customHeight="1" x14ac:dyDescent="0.25">
      <c r="A93" s="403"/>
      <c r="B93" s="3220"/>
      <c r="C93" s="57">
        <f ca="1">'Calc - SENIOR PERS'!$B$90</f>
        <v>0</v>
      </c>
      <c r="D93" s="5">
        <f ca="1">'Calc - SENIOR PERS'!$S$95</f>
        <v>0</v>
      </c>
      <c r="E93" s="5">
        <f ca="1">'Calc - SENIOR PERS'!$S$96</f>
        <v>0</v>
      </c>
      <c r="F93" s="5">
        <f ca="1">'Calc - SENIOR PERS'!$S$97</f>
        <v>0</v>
      </c>
      <c r="G93" s="5">
        <f ca="1">'Calc - SENIOR PERS'!$S$98</f>
        <v>0</v>
      </c>
      <c r="H93" s="5">
        <f ca="1">'Calc - SENIOR PERS'!$S$99</f>
        <v>0</v>
      </c>
      <c r="I93" s="5">
        <f ca="1">'Calc - SENIOR PERS'!$S$100</f>
        <v>0</v>
      </c>
      <c r="J93" s="88">
        <f t="shared" ca="1" si="355"/>
        <v>0</v>
      </c>
      <c r="K93" s="4"/>
      <c r="L93" s="4"/>
      <c r="M93" s="4"/>
      <c r="N93" s="575">
        <f ca="1">IF(AND((OFFSET('DATA INPUT'!$C$11, ROW()-ROW($N$87),0)=$N$10),
 OR(OFFSET('DATA INPUT'!$H$11,ROW()-ROW($N$87),0)=3,
OFFSET('DATA INPUT'!$V$11, ROW()-ROW($N$87),0)=3,
OFFSET('DATA INPUT'!$AD$11, ROW()-ROW($N$87),0)=3)),
OFFSET('Calc - SENIOR PERS'!$AA$11,COLUMN()-COLUMN($N$87) + (ROW()-ROW($N$87))*14,0),0)</f>
        <v>0</v>
      </c>
      <c r="O93" s="5">
        <f ca="1">IF(AND((OFFSET('DATA INPUT'!$C$11, ROW()-ROW($N$87),0)=$N$10),
 OR(OFFSET('DATA INPUT'!$H$11,ROW()-ROW($N$87),0)=3,
OFFSET('DATA INPUT'!$V$11, ROW()-ROW($N$87),0)=3,
OFFSET('DATA INPUT'!$AD$11, ROW()-ROW($N$87),0)=3)),
OFFSET('Calc - SENIOR PERS'!$AA$11,COLUMN()-COLUMN($N$87) + (ROW()-ROW($N$87))*14,0),0)</f>
        <v>0</v>
      </c>
      <c r="P93" s="5">
        <f ca="1">IF(AND((OFFSET('DATA INPUT'!$C$11, ROW()-ROW($N$87),0)=$N$10),
 OR(OFFSET('DATA INPUT'!$H$11,ROW()-ROW($N$87),0)=3,
OFFSET('DATA INPUT'!$V$11, ROW()-ROW($N$87),0)=3,
OFFSET('DATA INPUT'!$AD$11, ROW()-ROW($N$87),0)=3)),
OFFSET('Calc - SENIOR PERS'!$AA$11,COLUMN()-COLUMN($N$87) + (ROW()-ROW($N$87))*14,0),0)</f>
        <v>0</v>
      </c>
      <c r="Q93" s="5">
        <f ca="1">IF(AND((OFFSET('DATA INPUT'!$C$11, ROW()-ROW($N$87),0)=$N$10),
 OR(OFFSET('DATA INPUT'!$H$11,ROW()-ROW($N$87),0)=3,
OFFSET('DATA INPUT'!$V$11, ROW()-ROW($N$87),0)=3,
OFFSET('DATA INPUT'!$AD$11, ROW()-ROW($N$87),0)=3)),
OFFSET('Calc - SENIOR PERS'!$AA$11,COLUMN()-COLUMN($N$87) + (ROW()-ROW($N$87))*14,0),0)</f>
        <v>0</v>
      </c>
      <c r="R93" s="5">
        <f ca="1">IF(AND((OFFSET('DATA INPUT'!$C$11, ROW()-ROW($N$87),0)=$N$10),
 OR(OFFSET('DATA INPUT'!$H$11,ROW()-ROW($N$87),0)=3,
OFFSET('DATA INPUT'!$V$11, ROW()-ROW($N$87),0)=3,
OFFSET('DATA INPUT'!$AD$11, ROW()-ROW($N$87),0)=3)),
OFFSET('Calc - SENIOR PERS'!$AA$11,COLUMN()-COLUMN($N$87) + (ROW()-ROW($N$87))*14,0),0)</f>
        <v>0</v>
      </c>
      <c r="S93" s="5">
        <f ca="1">IF(AND((OFFSET('DATA INPUT'!$C$11, ROW()-ROW($N$87),0)=$N$10),
 OR(OFFSET('DATA INPUT'!$H$11,ROW()-ROW($N$87),0)=3,
OFFSET('DATA INPUT'!$V$11, ROW()-ROW($N$87),0)=3,
OFFSET('DATA INPUT'!$AD$11, ROW()-ROW($N$87),0)=3)),
OFFSET('Calc - SENIOR PERS'!$AA$11,COLUMN()-COLUMN($N$87) + (ROW()-ROW($N$87))*14,0),0)</f>
        <v>0</v>
      </c>
      <c r="T93" s="164">
        <f t="shared" ca="1" si="356"/>
        <v>0</v>
      </c>
      <c r="U93" s="1"/>
      <c r="V93" s="575">
        <f ca="1">IF(AND((OFFSET('DATA INPUT'!$C$11, ROW()-ROW($V$87),0)=$V$10),
 OR(OFFSET('DATA INPUT'!$H$11,ROW()-ROW($V$87),0)=3,
OFFSET('DATA INPUT'!$V$11, ROW()-ROW($V$87),0)=3,
OFFSET('DATA INPUT'!$AD$11, ROW()-ROW($V$87),0)=3)),
OFFSET('Calc - SENIOR PERS'!$AA$11,COLUMN()-COLUMN($V$87) + (ROW()-ROW($V$87))*14,0),0)</f>
        <v>0</v>
      </c>
      <c r="W93" s="5">
        <f ca="1">IF(AND((OFFSET('DATA INPUT'!$C$11, ROW()-ROW($V$87),0)=$V$10),
 OR(OFFSET('DATA INPUT'!$H$11,ROW()-ROW($V$87),0)=3,
OFFSET('DATA INPUT'!$V$11, ROW()-ROW($V$87),0)=3,
OFFSET('DATA INPUT'!$AD$11, ROW()-ROW($V$87),0)=3)),
OFFSET('Calc - SENIOR PERS'!$AA$11,COLUMN()-COLUMN($V$87) + (ROW()-ROW($V$87))*14,0),0)</f>
        <v>0</v>
      </c>
      <c r="X93" s="5">
        <f ca="1">IF(AND((OFFSET('DATA INPUT'!$C$11, ROW()-ROW($V$87),0)=$V$10),
 OR(OFFSET('DATA INPUT'!$H$11,ROW()-ROW($V$87),0)=3,
OFFSET('DATA INPUT'!$V$11, ROW()-ROW($V$87),0)=3,
OFFSET('DATA INPUT'!$AD$11, ROW()-ROW($V$87),0)=3)),
OFFSET('Calc - SENIOR PERS'!$AA$11,COLUMN()-COLUMN($V$87) + (ROW()-ROW($V$87))*14,0),0)</f>
        <v>0</v>
      </c>
      <c r="Y93" s="5">
        <f ca="1">IF(AND((OFFSET('DATA INPUT'!$C$11, ROW()-ROW($V$87),0)=$V$10),
 OR(OFFSET('DATA INPUT'!$H$11,ROW()-ROW($V$87),0)=3,
OFFSET('DATA INPUT'!$V$11, ROW()-ROW($V$87),0)=3,
OFFSET('DATA INPUT'!$AD$11, ROW()-ROW($V$87),0)=3)),
OFFSET('Calc - SENIOR PERS'!$AA$11,COLUMN()-COLUMN($V$87) + (ROW()-ROW($V$87))*14,0),0)</f>
        <v>0</v>
      </c>
      <c r="Z93" s="5">
        <f ca="1">IF(AND((OFFSET('DATA INPUT'!$C$11, ROW()-ROW($V$87),0)=$V$10),
 OR(OFFSET('DATA INPUT'!$H$11,ROW()-ROW($V$87),0)=3,
OFFSET('DATA INPUT'!$V$11, ROW()-ROW($V$87),0)=3,
OFFSET('DATA INPUT'!$AD$11, ROW()-ROW($V$87),0)=3)),
OFFSET('Calc - SENIOR PERS'!$AA$11,COLUMN()-COLUMN($V$87) + (ROW()-ROW($V$87))*14,0),0)</f>
        <v>0</v>
      </c>
      <c r="AA93" s="5">
        <f ca="1">IF(AND((OFFSET('DATA INPUT'!$C$11, ROW()-ROW($V$87),0)=$V$10),
 OR(OFFSET('DATA INPUT'!$H$11,ROW()-ROW($V$87),0)=3,
OFFSET('DATA INPUT'!$V$11, ROW()-ROW($V$87),0)=3,
OFFSET('DATA INPUT'!$AD$11, ROW()-ROW($V$87),0)=3)),
OFFSET('Calc - SENIOR PERS'!$AA$11,COLUMN()-COLUMN($V$87) + (ROW()-ROW($V$87))*14,0),0)</f>
        <v>0</v>
      </c>
      <c r="AB93" s="138">
        <f t="shared" ca="1" si="357"/>
        <v>0</v>
      </c>
      <c r="AD93" s="575">
        <f ca="1">IF(AND((OFFSET('DATA INPUT'!$C$11, ROW()-ROW($AD$87),0)=$AD$10),
 OR(OFFSET('DATA INPUT'!$H$11,ROW()-ROW($AD$87),0)=3,
OFFSET('DATA INPUT'!$V$11, ROW()-ROW($AD$87),0)=3,
OFFSET('DATA INPUT'!$AD$11, ROW()-ROW($AD$87),0)=3)),
OFFSET('Calc - SENIOR PERS'!$AA$11,COLUMN()-COLUMN($AD$87) + (ROW()-ROW($AD$87))*14,0),0)</f>
        <v>0</v>
      </c>
      <c r="AE93" s="5">
        <f ca="1">IF(AND((OFFSET('DATA INPUT'!$C$11, ROW()-ROW($AD$87),0)=$AD$10),
 OR(OFFSET('DATA INPUT'!$H$11,ROW()-ROW($AD$87),0)=3,
OFFSET('DATA INPUT'!$V$11, ROW()-ROW($AD$87),0)=3,
OFFSET('DATA INPUT'!$AD$11, ROW()-ROW($AD$87),0)=3)),
OFFSET('Calc - SENIOR PERS'!$AA$11,COLUMN()-COLUMN($AD$87) + (ROW()-ROW($AD$87))*14,0),0)</f>
        <v>0</v>
      </c>
      <c r="AF93" s="5">
        <f ca="1">IF(AND((OFFSET('DATA INPUT'!$C$11, ROW()-ROW($AD$87),0)=$AD$10),
 OR(OFFSET('DATA INPUT'!$H$11,ROW()-ROW($AD$87),0)=3,
OFFSET('DATA INPUT'!$V$11, ROW()-ROW($AD$87),0)=3,
OFFSET('DATA INPUT'!$AD$11, ROW()-ROW($AD$87),0)=3)),
OFFSET('Calc - SENIOR PERS'!$AA$11,COLUMN()-COLUMN($AD$87) + (ROW()-ROW($AD$87))*14,0),0)</f>
        <v>0</v>
      </c>
      <c r="AG93" s="5">
        <f ca="1">IF(AND((OFFSET('DATA INPUT'!$C$11, ROW()-ROW($AD$87),0)=$AD$10),
 OR(OFFSET('DATA INPUT'!$H$11,ROW()-ROW($AD$87),0)=3,
OFFSET('DATA INPUT'!$V$11, ROW()-ROW($AD$87),0)=3,
OFFSET('DATA INPUT'!$AD$11, ROW()-ROW($AD$87),0)=3)),
OFFSET('Calc - SENIOR PERS'!$AA$11,COLUMN()-COLUMN($AD$87) + (ROW()-ROW($AD$87))*14,0),0)</f>
        <v>0</v>
      </c>
      <c r="AH93" s="5">
        <f ca="1">IF(AND((OFFSET('DATA INPUT'!$C$11, ROW()-ROW($AD$87),0)=$AD$10),
 OR(OFFSET('DATA INPUT'!$H$11,ROW()-ROW($AD$87),0)=3,
OFFSET('DATA INPUT'!$V$11, ROW()-ROW($AD$87),0)=3,
OFFSET('DATA INPUT'!$AD$11, ROW()-ROW($AD$87),0)=3)),
OFFSET('Calc - SENIOR PERS'!$AA$11,COLUMN()-COLUMN($AD$87) + (ROW()-ROW($AD$87))*14,0),0)</f>
        <v>0</v>
      </c>
      <c r="AI93" s="5">
        <f ca="1">IF(AND((OFFSET('DATA INPUT'!$C$11, ROW()-ROW($AD$87),0)=$AD$10),
 OR(OFFSET('DATA INPUT'!$H$11,ROW()-ROW($AD$87),0)=3,
OFFSET('DATA INPUT'!$V$11, ROW()-ROW($AD$87),0)=3,
OFFSET('DATA INPUT'!$AD$11, ROW()-ROW($AD$87),0)=3)),
OFFSET('Calc - SENIOR PERS'!$AA$11,COLUMN()-COLUMN($AD$87) + (ROW()-ROW($AD$87))*14,0),0)</f>
        <v>0</v>
      </c>
      <c r="AJ93" s="206">
        <f t="shared" ca="1" si="358"/>
        <v>0</v>
      </c>
      <c r="AL93" s="575">
        <f ca="1">IF(AND((OFFSET('DATA INPUT'!$C$11, ROW()-ROW($AL$87),0)=$AL$10),
 OR(OFFSET('DATA INPUT'!$H$11,ROW()-ROW($AL$87),0)=3,
OFFSET('DATA INPUT'!$V$11, ROW()-ROW($AL$87),0)=3,
OFFSET('DATA INPUT'!$AD$11, ROW()-ROW($AL$87),0)=3)),
OFFSET('Calc - SENIOR PERS'!$AA$11,COLUMN()-COLUMN($AL$87) + (ROW()-ROW($AL$87))*14,0),0)</f>
        <v>0</v>
      </c>
      <c r="AM93" s="5">
        <f ca="1">IF(AND((OFFSET('DATA INPUT'!$C$11, ROW()-ROW($AL$87),0)=$AL$10),
 OR(OFFSET('DATA INPUT'!$H$11,ROW()-ROW($AL$87),0)=3,
OFFSET('DATA INPUT'!$V$11, ROW()-ROW($AL$87),0)=3,
OFFSET('DATA INPUT'!$AD$11, ROW()-ROW($AL$87),0)=3)),
OFFSET('Calc - SENIOR PERS'!$AA$11,COLUMN()-COLUMN($AL$87) + (ROW()-ROW($AL$87))*14,0),0)</f>
        <v>0</v>
      </c>
      <c r="AN93" s="5">
        <f ca="1">IF(AND((OFFSET('DATA INPUT'!$C$11, ROW()-ROW($AL$87),0)=$AL$10),
 OR(OFFSET('DATA INPUT'!$H$11,ROW()-ROW($AL$87),0)=3,
OFFSET('DATA INPUT'!$V$11, ROW()-ROW($AL$87),0)=3,
OFFSET('DATA INPUT'!$AD$11, ROW()-ROW($AL$87),0)=3)),
OFFSET('Calc - SENIOR PERS'!$AA$11,COLUMN()-COLUMN($AL$87) + (ROW()-ROW($AL$87))*14,0),0)</f>
        <v>0</v>
      </c>
      <c r="AO93" s="5">
        <f ca="1">IF(AND((OFFSET('DATA INPUT'!$C$11, ROW()-ROW($AL$87),0)=$AL$10),
 OR(OFFSET('DATA INPUT'!$H$11,ROW()-ROW($AL$87),0)=3,
OFFSET('DATA INPUT'!$V$11, ROW()-ROW($AL$87),0)=3,
OFFSET('DATA INPUT'!$AD$11, ROW()-ROW($AL$87),0)=3)),
OFFSET('Calc - SENIOR PERS'!$AA$11,COLUMN()-COLUMN($AL$87) + (ROW()-ROW($AL$87))*14,0),0)</f>
        <v>0</v>
      </c>
      <c r="AP93" s="5">
        <f ca="1">IF(AND((OFFSET('DATA INPUT'!$C$11, ROW()-ROW($AL$87),0)=$AL$10),
 OR(OFFSET('DATA INPUT'!$H$11,ROW()-ROW($AL$87),0)=3,
OFFSET('DATA INPUT'!$V$11, ROW()-ROW($AL$87),0)=3,
OFFSET('DATA INPUT'!$AD$11, ROW()-ROW($AL$87),0)=3)),
OFFSET('Calc - SENIOR PERS'!$AA$11,COLUMN()-COLUMN($AL$87) + (ROW()-ROW($AL$87))*14,0),0)</f>
        <v>0</v>
      </c>
      <c r="AQ93" s="5">
        <f ca="1">IF(AND((OFFSET('DATA INPUT'!$C$11, ROW()-ROW($AL$87),0)=$AL$10),
 OR(OFFSET('DATA INPUT'!$H$11,ROW()-ROW($AL$87),0)=3,
OFFSET('DATA INPUT'!$V$11, ROW()-ROW($AL$87),0)=3,
OFFSET('DATA INPUT'!$AD$11, ROW()-ROW($AL$87),0)=3)),
OFFSET('Calc - SENIOR PERS'!$AA$11,COLUMN()-COLUMN($AL$87) + (ROW()-ROW($AL$87))*14,0),0)</f>
        <v>0</v>
      </c>
      <c r="AR93" s="178">
        <f t="shared" ca="1" si="359"/>
        <v>0</v>
      </c>
      <c r="AT93" s="575">
        <f ca="1">IF(AND((OFFSET('DATA INPUT'!$C$11, ROW()-ROW($AT$87),0)=$AT$10),
 OR(OFFSET('DATA INPUT'!$H$11,ROW()-ROW($AT$87),0)=3,
OFFSET('DATA INPUT'!$V$11, ROW()-ROW($AT$87),0)=3,
OFFSET('DATA INPUT'!$AD$11, ROW()-ROW($AT$87),0)=3)),
OFFSET('Calc - SENIOR PERS'!$AA$11,COLUMN()-COLUMN($AT$87) + (ROW()-ROW($AT$87))*14,0),0)</f>
        <v>0</v>
      </c>
      <c r="AU93" s="5">
        <f ca="1">IF(AND((OFFSET('DATA INPUT'!$C$11, ROW()-ROW($AT$87),0)=$AT$10),
 OR(OFFSET('DATA INPUT'!$H$11,ROW()-ROW($AT$87),0)=3,
OFFSET('DATA INPUT'!$V$11, ROW()-ROW($AT$87),0)=3,
OFFSET('DATA INPUT'!$AD$11, ROW()-ROW($AT$87),0)=3)),
OFFSET('Calc - SENIOR PERS'!$AA$11,COLUMN()-COLUMN($AT$87) + (ROW()-ROW($AT$87))*14,0),0)</f>
        <v>0</v>
      </c>
      <c r="AV93" s="5">
        <f ca="1">IF(AND((OFFSET('DATA INPUT'!$C$11, ROW()-ROW($AT$87),0)=$AT$10),
 OR(OFFSET('DATA INPUT'!$H$11,ROW()-ROW($AT$87),0)=3,
OFFSET('DATA INPUT'!$V$11, ROW()-ROW($AT$87),0)=3,
OFFSET('DATA INPUT'!$AD$11, ROW()-ROW($AT$87),0)=3)),
OFFSET('Calc - SENIOR PERS'!$AA$11,COLUMN()-COLUMN($AT$87) + (ROW()-ROW($AT$87))*14,0),0)</f>
        <v>0</v>
      </c>
      <c r="AW93" s="5">
        <f ca="1">IF(AND((OFFSET('DATA INPUT'!$C$11, ROW()-ROW($AT$87),0)=$AT$10),
 OR(OFFSET('DATA INPUT'!$H$11,ROW()-ROW($AT$87),0)=3,
OFFSET('DATA INPUT'!$V$11, ROW()-ROW($AT$87),0)=3,
OFFSET('DATA INPUT'!$AD$11, ROW()-ROW($AT$87),0)=3)),
OFFSET('Calc - SENIOR PERS'!$AA$11,COLUMN()-COLUMN($AT$87) + (ROW()-ROW($AT$87))*14,0),0)</f>
        <v>0</v>
      </c>
      <c r="AX93" s="5">
        <f ca="1">IF(AND((OFFSET('DATA INPUT'!$C$11, ROW()-ROW($AT$87),0)=$AT$10),
 OR(OFFSET('DATA INPUT'!$H$11,ROW()-ROW($AT$87),0)=3,
OFFSET('DATA INPUT'!$V$11, ROW()-ROW($AT$87),0)=3,
OFFSET('DATA INPUT'!$AD$11, ROW()-ROW($AT$87),0)=3)),
OFFSET('Calc - SENIOR PERS'!$AA$11,COLUMN()-COLUMN($AT$87) + (ROW()-ROW($AT$87))*14,0),0)</f>
        <v>0</v>
      </c>
      <c r="AY93" s="5">
        <f ca="1">IF(AND((OFFSET('DATA INPUT'!$C$11, ROW()-ROW($AT$87),0)=$AT$10),
 OR(OFFSET('DATA INPUT'!$H$11,ROW()-ROW($AT$87),0)=3,
OFFSET('DATA INPUT'!$V$11, ROW()-ROW($AT$87),0)=3,
OFFSET('DATA INPUT'!$AD$11, ROW()-ROW($AT$87),0)=3)),
OFFSET('Calc - SENIOR PERS'!$AA$11,COLUMN()-COLUMN($AT$87) + (ROW()-ROW($AT$87))*14,0),0)</f>
        <v>0</v>
      </c>
      <c r="AZ93" s="150">
        <f t="shared" ca="1" si="360"/>
        <v>0</v>
      </c>
      <c r="BB93" s="575">
        <f ca="1">IF(AND((OFFSET('DATA INPUT'!$C$11, ROW()-ROW($BB$87),0)=$BB$10),
 OR(OFFSET('DATA INPUT'!$H$11,ROW()-ROW($BB$87),0)=3,
OFFSET('DATA INPUT'!$V$11, ROW()-ROW($BB$87),0)=3,
OFFSET('DATA INPUT'!$AD$11, ROW()-ROW($BB$87),0)=3)),
OFFSET('Calc - SENIOR PERS'!$AA$11,COLUMN()-COLUMN($BB$87) + (ROW()-ROW($BB$87))*14,0),0)</f>
        <v>0</v>
      </c>
      <c r="BC93" s="5">
        <f ca="1">IF(AND((OFFSET('DATA INPUT'!$C$11, ROW()-ROW($BB$87),0)=$BB$10),
 OR(OFFSET('DATA INPUT'!$H$11,ROW()-ROW($BB$87),0)=3,
OFFSET('DATA INPUT'!$V$11, ROW()-ROW($BB$87),0)=3,
OFFSET('DATA INPUT'!$AD$11, ROW()-ROW($BB$87),0)=3)),
OFFSET('Calc - SENIOR PERS'!$AA$11,COLUMN()-COLUMN($BB$87) + (ROW()-ROW($BB$87))*14,0),0)</f>
        <v>0</v>
      </c>
      <c r="BD93" s="5">
        <f ca="1">IF(AND((OFFSET('DATA INPUT'!$C$11, ROW()-ROW($BB$87),0)=$BB$10),
 OR(OFFSET('DATA INPUT'!$H$11,ROW()-ROW($BB$87),0)=3,
OFFSET('DATA INPUT'!$V$11, ROW()-ROW($BB$87),0)=3,
OFFSET('DATA INPUT'!$AD$11, ROW()-ROW($BB$87),0)=3)),
OFFSET('Calc - SENIOR PERS'!$AA$11,COLUMN()-COLUMN($BB$87) + (ROW()-ROW($BB$87))*14,0),0)</f>
        <v>0</v>
      </c>
      <c r="BE93" s="5">
        <f ca="1">IF(AND((OFFSET('DATA INPUT'!$C$11, ROW()-ROW($BB$87),0)=$BB$10),
 OR(OFFSET('DATA INPUT'!$H$11,ROW()-ROW($BB$87),0)=3,
OFFSET('DATA INPUT'!$V$11, ROW()-ROW($BB$87),0)=3,
OFFSET('DATA INPUT'!$AD$11, ROW()-ROW($BB$87),0)=3)),
OFFSET('Calc - SENIOR PERS'!$AA$11,COLUMN()-COLUMN($BB$87) + (ROW()-ROW($BB$87))*14,0),0)</f>
        <v>0</v>
      </c>
      <c r="BF93" s="5">
        <f ca="1">IF(AND((OFFSET('DATA INPUT'!$C$11, ROW()-ROW($BB$87),0)=$BB$10),
 OR(OFFSET('DATA INPUT'!$H$11,ROW()-ROW($BB$87),0)=3,
OFFSET('DATA INPUT'!$V$11, ROW()-ROW($BB$87),0)=3,
OFFSET('DATA INPUT'!$AD$11, ROW()-ROW($BB$87),0)=3)),
OFFSET('Calc - SENIOR PERS'!$AA$11,COLUMN()-COLUMN($BB$87) + (ROW()-ROW($BB$87))*14,0),0)</f>
        <v>0</v>
      </c>
      <c r="BG93" s="5">
        <f ca="1">IF(AND((OFFSET('DATA INPUT'!$C$11, ROW()-ROW($BB$87),0)=$BB$10),
 OR(OFFSET('DATA INPUT'!$H$11,ROW()-ROW($BB$87),0)=3,
OFFSET('DATA INPUT'!$V$11, ROW()-ROW($BB$87),0)=3,
OFFSET('DATA INPUT'!$AD$11, ROW()-ROW($BB$87),0)=3)),
OFFSET('Calc - SENIOR PERS'!$AA$11,COLUMN()-COLUMN($BB$87) + (ROW()-ROW($BB$87))*14,0),0)</f>
        <v>0</v>
      </c>
      <c r="BH93" s="192">
        <f t="shared" ca="1" si="361"/>
        <v>0</v>
      </c>
      <c r="BJ93" s="575"/>
      <c r="BK93" s="5"/>
      <c r="BL93" s="5"/>
      <c r="BM93" s="5"/>
      <c r="BN93" s="5"/>
      <c r="BO93" s="5"/>
      <c r="BP93" s="1102">
        <f t="shared" si="362"/>
        <v>0</v>
      </c>
      <c r="BR93" s="575">
        <f t="shared" ca="1" si="363"/>
        <v>0</v>
      </c>
      <c r="BS93" s="5">
        <f t="shared" ca="1" si="364"/>
        <v>0</v>
      </c>
      <c r="BT93" s="5">
        <f t="shared" ca="1" si="365"/>
        <v>0</v>
      </c>
      <c r="BU93" s="5">
        <f t="shared" ca="1" si="366"/>
        <v>0</v>
      </c>
      <c r="BV93" s="5">
        <f t="shared" ca="1" si="367"/>
        <v>0</v>
      </c>
      <c r="BW93" s="5">
        <f t="shared" ca="1" si="368"/>
        <v>0</v>
      </c>
      <c r="BX93" s="2175">
        <f t="shared" ca="1" si="369"/>
        <v>0</v>
      </c>
      <c r="BY93" s="573">
        <f t="shared" ca="1" si="370"/>
        <v>0</v>
      </c>
      <c r="BZ93" s="257"/>
      <c r="CB93" s="1182"/>
      <c r="CC93" s="1197">
        <f ca="1">'Calc - SENIOR PERS'!$S$96/9*3</f>
        <v>0</v>
      </c>
      <c r="CD93" s="56">
        <f ca="1">'Calc - SENIOR PERS'!$S$96/9*3</f>
        <v>0</v>
      </c>
      <c r="CE93" s="56">
        <f ca="1">'Calc - SENIOR PERS'!$S$96/9*2</f>
        <v>0</v>
      </c>
      <c r="CF93" s="56">
        <f ca="1">'Calc - SENIOR PERS'!$S$96/9*0.5</f>
        <v>0</v>
      </c>
      <c r="CG93" s="1199">
        <f ca="1">'Calc - SENIOR PERS'!$S$96/9*0.5</f>
        <v>0</v>
      </c>
      <c r="CH93" s="1184">
        <f ca="1">'Calc - SENIOR PERS'!$S$97/9*3</f>
        <v>0</v>
      </c>
      <c r="CI93" s="1185">
        <f ca="1">'Calc - SENIOR PERS'!$S$97/9*3</f>
        <v>0</v>
      </c>
      <c r="CJ93" s="1185">
        <f ca="1">'Calc - SENIOR PERS'!$S$97/9*2</f>
        <v>0</v>
      </c>
      <c r="CK93" s="1185">
        <f ca="1">'Calc - SENIOR PERS'!$S$97/9*0.5</f>
        <v>0</v>
      </c>
      <c r="CL93" s="1186">
        <f ca="1">'Calc - SENIOR PERS'!$S$97/9*0.5</f>
        <v>0</v>
      </c>
      <c r="CM93" s="1187">
        <f ca="1">'Calc - SENIOR PERS'!$S$98/8*3</f>
        <v>0</v>
      </c>
      <c r="CN93" s="1188">
        <f ca="1">'Calc - SENIOR PERS'!$S$98/8*3</f>
        <v>0</v>
      </c>
      <c r="CO93" s="1189">
        <f ca="1">'Calc - SENIOR PERS'!$S$98/8*2</f>
        <v>0</v>
      </c>
      <c r="CP93" s="1234">
        <f t="shared" ca="1" si="371"/>
        <v>0</v>
      </c>
      <c r="CS93" s="575"/>
      <c r="CT93" s="5"/>
      <c r="CU93" s="1180"/>
      <c r="CV93" s="575"/>
      <c r="CW93" s="5"/>
      <c r="CX93" s="1249"/>
      <c r="CY93" s="575"/>
      <c r="CZ93" s="5"/>
      <c r="DA93" s="1180"/>
      <c r="DB93" s="575"/>
      <c r="DC93" s="5"/>
      <c r="DD93" s="1180"/>
      <c r="DE93" s="1181">
        <f t="shared" si="372"/>
        <v>0</v>
      </c>
      <c r="DG93" s="575"/>
      <c r="DH93" s="5"/>
      <c r="DI93" s="1180"/>
      <c r="DJ93" s="575"/>
      <c r="DK93" s="5"/>
      <c r="DL93" s="1249"/>
      <c r="DM93" s="575"/>
      <c r="DN93" s="5"/>
      <c r="DO93" s="1180"/>
      <c r="DP93" s="575"/>
      <c r="DQ93" s="5"/>
      <c r="DR93" s="1180"/>
      <c r="DS93" s="1181">
        <f t="shared" si="373"/>
        <v>0</v>
      </c>
      <c r="DU93" s="575"/>
      <c r="DV93" s="5"/>
      <c r="DW93" s="1180"/>
      <c r="DX93" s="575"/>
      <c r="DY93" s="5"/>
      <c r="DZ93" s="1249"/>
      <c r="EA93" s="575"/>
      <c r="EB93" s="5"/>
      <c r="EC93" s="1180"/>
      <c r="ED93" s="575"/>
      <c r="EE93" s="5"/>
      <c r="EF93" s="1180"/>
      <c r="EG93" s="1181">
        <f t="shared" si="374"/>
        <v>0</v>
      </c>
      <c r="EI93" s="403"/>
      <c r="EJ93" s="3220"/>
      <c r="EK93" s="57">
        <f t="shared" ca="1" si="375"/>
        <v>0</v>
      </c>
      <c r="EL93" s="5">
        <f t="shared" ca="1" si="376"/>
        <v>0</v>
      </c>
      <c r="EM93" s="5">
        <f t="shared" ca="1" si="377"/>
        <v>0</v>
      </c>
      <c r="EN93" s="5">
        <f t="shared" ca="1" si="378"/>
        <v>0</v>
      </c>
      <c r="EO93" s="5">
        <f t="shared" ca="1" si="379"/>
        <v>0</v>
      </c>
      <c r="EP93" s="5">
        <f t="shared" ca="1" si="380"/>
        <v>0</v>
      </c>
      <c r="EQ93" s="5">
        <f t="shared" ca="1" si="381"/>
        <v>0</v>
      </c>
      <c r="ER93" s="88">
        <f t="shared" ca="1" si="382"/>
        <v>0</v>
      </c>
      <c r="ES93" s="4"/>
      <c r="ET93" s="4"/>
      <c r="EU93" s="4"/>
      <c r="EV93" s="575">
        <f t="shared" ca="1" si="383"/>
        <v>0</v>
      </c>
      <c r="EW93" s="5">
        <f t="shared" ca="1" si="384"/>
        <v>0</v>
      </c>
      <c r="EX93" s="5">
        <f t="shared" ca="1" si="385"/>
        <v>0</v>
      </c>
      <c r="EY93" s="5">
        <f t="shared" ca="1" si="386"/>
        <v>0</v>
      </c>
      <c r="EZ93" s="5">
        <f t="shared" ca="1" si="387"/>
        <v>0</v>
      </c>
      <c r="FA93" s="5">
        <f t="shared" ca="1" si="388"/>
        <v>0</v>
      </c>
      <c r="FB93" s="164">
        <f t="shared" ca="1" si="389"/>
        <v>0</v>
      </c>
      <c r="FC93" s="1"/>
      <c r="FD93" s="575">
        <f t="shared" ca="1" si="390"/>
        <v>0</v>
      </c>
      <c r="FE93" s="5">
        <f t="shared" ca="1" si="391"/>
        <v>0</v>
      </c>
      <c r="FF93" s="5">
        <f t="shared" ca="1" si="392"/>
        <v>0</v>
      </c>
      <c r="FG93" s="5">
        <f t="shared" ca="1" si="393"/>
        <v>0</v>
      </c>
      <c r="FH93" s="5">
        <f t="shared" ca="1" si="394"/>
        <v>0</v>
      </c>
      <c r="FI93" s="5">
        <f t="shared" ca="1" si="395"/>
        <v>0</v>
      </c>
      <c r="FJ93" s="138">
        <f t="shared" ca="1" si="396"/>
        <v>0</v>
      </c>
      <c r="FL93" s="575">
        <f t="shared" ca="1" si="397"/>
        <v>0</v>
      </c>
      <c r="FM93" s="5">
        <f t="shared" ca="1" si="398"/>
        <v>0</v>
      </c>
      <c r="FN93" s="5">
        <f t="shared" ca="1" si="399"/>
        <v>0</v>
      </c>
      <c r="FO93" s="5">
        <f t="shared" ca="1" si="400"/>
        <v>0</v>
      </c>
      <c r="FP93" s="5">
        <f t="shared" ca="1" si="401"/>
        <v>0</v>
      </c>
      <c r="FQ93" s="5">
        <f t="shared" ca="1" si="402"/>
        <v>0</v>
      </c>
      <c r="FR93" s="206">
        <f t="shared" ca="1" si="403"/>
        <v>0</v>
      </c>
      <c r="FT93" s="575">
        <f t="shared" ca="1" si="404"/>
        <v>0</v>
      </c>
      <c r="FU93" s="5">
        <f t="shared" ca="1" si="405"/>
        <v>0</v>
      </c>
      <c r="FV93" s="5">
        <f t="shared" ca="1" si="406"/>
        <v>0</v>
      </c>
      <c r="FW93" s="5">
        <f t="shared" ca="1" si="407"/>
        <v>0</v>
      </c>
      <c r="FX93" s="5">
        <f t="shared" ca="1" si="408"/>
        <v>0</v>
      </c>
      <c r="FY93" s="5">
        <f t="shared" ca="1" si="409"/>
        <v>0</v>
      </c>
      <c r="FZ93" s="178">
        <f t="shared" ca="1" si="410"/>
        <v>0</v>
      </c>
      <c r="GB93" s="575">
        <f t="shared" ca="1" si="411"/>
        <v>0</v>
      </c>
      <c r="GC93" s="5">
        <f t="shared" ca="1" si="412"/>
        <v>0</v>
      </c>
      <c r="GD93" s="5">
        <f t="shared" ca="1" si="413"/>
        <v>0</v>
      </c>
      <c r="GE93" s="5">
        <f t="shared" ca="1" si="414"/>
        <v>0</v>
      </c>
      <c r="GF93" s="5">
        <f t="shared" ca="1" si="415"/>
        <v>0</v>
      </c>
      <c r="GG93" s="5">
        <f t="shared" ca="1" si="416"/>
        <v>0</v>
      </c>
      <c r="GH93" s="150">
        <f t="shared" ca="1" si="417"/>
        <v>0</v>
      </c>
      <c r="GJ93" s="575">
        <f t="shared" ca="1" si="418"/>
        <v>0</v>
      </c>
      <c r="GK93" s="5">
        <f t="shared" ca="1" si="419"/>
        <v>0</v>
      </c>
      <c r="GL93" s="5">
        <f t="shared" ca="1" si="420"/>
        <v>0</v>
      </c>
      <c r="GM93" s="5">
        <f t="shared" ca="1" si="421"/>
        <v>0</v>
      </c>
      <c r="GN93" s="5">
        <f t="shared" ca="1" si="422"/>
        <v>0</v>
      </c>
      <c r="GO93" s="5">
        <f t="shared" ca="1" si="423"/>
        <v>0</v>
      </c>
      <c r="GP93" s="192">
        <f t="shared" ca="1" si="424"/>
        <v>0</v>
      </c>
      <c r="GR93" s="575"/>
      <c r="GS93" s="5"/>
      <c r="GT93" s="5"/>
      <c r="GU93" s="5"/>
      <c r="GV93" s="5"/>
      <c r="GW93" s="5"/>
      <c r="GX93" s="1102">
        <f t="shared" si="425"/>
        <v>0</v>
      </c>
      <c r="GZ93" s="575">
        <f t="shared" ca="1" si="426"/>
        <v>0</v>
      </c>
      <c r="HA93" s="5">
        <f t="shared" ca="1" si="427"/>
        <v>0</v>
      </c>
      <c r="HB93" s="5">
        <f t="shared" ca="1" si="428"/>
        <v>0</v>
      </c>
      <c r="HC93" s="5">
        <f t="shared" ca="1" si="429"/>
        <v>0</v>
      </c>
      <c r="HD93" s="5">
        <f t="shared" ca="1" si="430"/>
        <v>0</v>
      </c>
      <c r="HE93" s="5">
        <f t="shared" ca="1" si="431"/>
        <v>0</v>
      </c>
      <c r="HF93" s="2175">
        <f t="shared" ca="1" si="432"/>
        <v>0</v>
      </c>
      <c r="HG93" s="573">
        <f t="shared" ca="1" si="433"/>
        <v>0</v>
      </c>
      <c r="HH93" s="257"/>
    </row>
    <row r="94" spans="1:216" ht="15" hidden="1" customHeight="1" x14ac:dyDescent="0.25">
      <c r="A94" s="403"/>
      <c r="B94" s="3220"/>
      <c r="C94" s="57">
        <f ca="1">'Calc - SENIOR PERS'!$B$104</f>
        <v>0</v>
      </c>
      <c r="D94" s="5">
        <f ca="1">'Calc - SENIOR PERS'!$S$109</f>
        <v>0</v>
      </c>
      <c r="E94" s="5">
        <f ca="1">'Calc - SENIOR PERS'!$S$110</f>
        <v>0</v>
      </c>
      <c r="F94" s="5">
        <f ca="1">'Calc - SENIOR PERS'!$S$111</f>
        <v>0</v>
      </c>
      <c r="G94" s="5">
        <f ca="1">'Calc - SENIOR PERS'!$S$112</f>
        <v>0</v>
      </c>
      <c r="H94" s="5">
        <f ca="1">'Calc - SENIOR PERS'!$S$113</f>
        <v>0</v>
      </c>
      <c r="I94" s="5">
        <f ca="1">'Calc - SENIOR PERS'!$S$114</f>
        <v>0</v>
      </c>
      <c r="J94" s="88">
        <f t="shared" ca="1" si="355"/>
        <v>0</v>
      </c>
      <c r="K94" s="4"/>
      <c r="L94" s="4"/>
      <c r="M94" s="4"/>
      <c r="N94" s="575">
        <f ca="1">IF(AND((OFFSET('DATA INPUT'!$C$11, ROW()-ROW($N$87),0)=$N$10),
 OR(OFFSET('DATA INPUT'!$H$11,ROW()-ROW($N$87),0)=3,
OFFSET('DATA INPUT'!$V$11, ROW()-ROW($N$87),0)=3,
OFFSET('DATA INPUT'!$AD$11, ROW()-ROW($N$87),0)=3)),
OFFSET('Calc - SENIOR PERS'!$AA$11,COLUMN()-COLUMN($N$87) + (ROW()-ROW($N$87))*14,0),0)</f>
        <v>0</v>
      </c>
      <c r="O94" s="5">
        <f ca="1">IF(AND((OFFSET('DATA INPUT'!$C$11, ROW()-ROW($N$87),0)=$N$10),
 OR(OFFSET('DATA INPUT'!$H$11,ROW()-ROW($N$87),0)=3,
OFFSET('DATA INPUT'!$V$11, ROW()-ROW($N$87),0)=3,
OFFSET('DATA INPUT'!$AD$11, ROW()-ROW($N$87),0)=3)),
OFFSET('Calc - SENIOR PERS'!$AA$11,COLUMN()-COLUMN($N$87) + (ROW()-ROW($N$87))*14,0),0)</f>
        <v>0</v>
      </c>
      <c r="P94" s="5">
        <f ca="1">IF(AND((OFFSET('DATA INPUT'!$C$11, ROW()-ROW($N$87),0)=$N$10),
 OR(OFFSET('DATA INPUT'!$H$11,ROW()-ROW($N$87),0)=3,
OFFSET('DATA INPUT'!$V$11, ROW()-ROW($N$87),0)=3,
OFFSET('DATA INPUT'!$AD$11, ROW()-ROW($N$87),0)=3)),
OFFSET('Calc - SENIOR PERS'!$AA$11,COLUMN()-COLUMN($N$87) + (ROW()-ROW($N$87))*14,0),0)</f>
        <v>0</v>
      </c>
      <c r="Q94" s="5">
        <f ca="1">IF(AND((OFFSET('DATA INPUT'!$C$11, ROW()-ROW($N$87),0)=$N$10),
 OR(OFFSET('DATA INPUT'!$H$11,ROW()-ROW($N$87),0)=3,
OFFSET('DATA INPUT'!$V$11, ROW()-ROW($N$87),0)=3,
OFFSET('DATA INPUT'!$AD$11, ROW()-ROW($N$87),0)=3)),
OFFSET('Calc - SENIOR PERS'!$AA$11,COLUMN()-COLUMN($N$87) + (ROW()-ROW($N$87))*14,0),0)</f>
        <v>0</v>
      </c>
      <c r="R94" s="5">
        <f ca="1">IF(AND((OFFSET('DATA INPUT'!$C$11, ROW()-ROW($N$87),0)=$N$10),
 OR(OFFSET('DATA INPUT'!$H$11,ROW()-ROW($N$87),0)=3,
OFFSET('DATA INPUT'!$V$11, ROW()-ROW($N$87),0)=3,
OFFSET('DATA INPUT'!$AD$11, ROW()-ROW($N$87),0)=3)),
OFFSET('Calc - SENIOR PERS'!$AA$11,COLUMN()-COLUMN($N$87) + (ROW()-ROW($N$87))*14,0),0)</f>
        <v>0</v>
      </c>
      <c r="S94" s="5">
        <f ca="1">IF(AND((OFFSET('DATA INPUT'!$C$11, ROW()-ROW($N$87),0)=$N$10),
 OR(OFFSET('DATA INPUT'!$H$11,ROW()-ROW($N$87),0)=3,
OFFSET('DATA INPUT'!$V$11, ROW()-ROW($N$87),0)=3,
OFFSET('DATA INPUT'!$AD$11, ROW()-ROW($N$87),0)=3)),
OFFSET('Calc - SENIOR PERS'!$AA$11,COLUMN()-COLUMN($N$87) + (ROW()-ROW($N$87))*14,0),0)</f>
        <v>0</v>
      </c>
      <c r="T94" s="164">
        <f t="shared" ca="1" si="356"/>
        <v>0</v>
      </c>
      <c r="U94" s="1"/>
      <c r="V94" s="575">
        <f ca="1">IF(AND((OFFSET('DATA INPUT'!$C$11, ROW()-ROW($V$87),0)=$V$10),
 OR(OFFSET('DATA INPUT'!$H$11,ROW()-ROW($V$87),0)=3,
OFFSET('DATA INPUT'!$V$11, ROW()-ROW($V$87),0)=3,
OFFSET('DATA INPUT'!$AD$11, ROW()-ROW($V$87),0)=3)),
OFFSET('Calc - SENIOR PERS'!$AA$11,COLUMN()-COLUMN($V$87) + (ROW()-ROW($V$87))*14,0),0)</f>
        <v>0</v>
      </c>
      <c r="W94" s="5">
        <f ca="1">IF(AND((OFFSET('DATA INPUT'!$C$11, ROW()-ROW($V$87),0)=$V$10),
 OR(OFFSET('DATA INPUT'!$H$11,ROW()-ROW($V$87),0)=3,
OFFSET('DATA INPUT'!$V$11, ROW()-ROW($V$87),0)=3,
OFFSET('DATA INPUT'!$AD$11, ROW()-ROW($V$87),0)=3)),
OFFSET('Calc - SENIOR PERS'!$AA$11,COLUMN()-COLUMN($V$87) + (ROW()-ROW($V$87))*14,0),0)</f>
        <v>0</v>
      </c>
      <c r="X94" s="5">
        <f ca="1">IF(AND((OFFSET('DATA INPUT'!$C$11, ROW()-ROW($V$87),0)=$V$10),
 OR(OFFSET('DATA INPUT'!$H$11,ROW()-ROW($V$87),0)=3,
OFFSET('DATA INPUT'!$V$11, ROW()-ROW($V$87),0)=3,
OFFSET('DATA INPUT'!$AD$11, ROW()-ROW($V$87),0)=3)),
OFFSET('Calc - SENIOR PERS'!$AA$11,COLUMN()-COLUMN($V$87) + (ROW()-ROW($V$87))*14,0),0)</f>
        <v>0</v>
      </c>
      <c r="Y94" s="5">
        <f ca="1">IF(AND((OFFSET('DATA INPUT'!$C$11, ROW()-ROW($V$87),0)=$V$10),
 OR(OFFSET('DATA INPUT'!$H$11,ROW()-ROW($V$87),0)=3,
OFFSET('DATA INPUT'!$V$11, ROW()-ROW($V$87),0)=3,
OFFSET('DATA INPUT'!$AD$11, ROW()-ROW($V$87),0)=3)),
OFFSET('Calc - SENIOR PERS'!$AA$11,COLUMN()-COLUMN($V$87) + (ROW()-ROW($V$87))*14,0),0)</f>
        <v>0</v>
      </c>
      <c r="Z94" s="5">
        <f ca="1">IF(AND((OFFSET('DATA INPUT'!$C$11, ROW()-ROW($V$87),0)=$V$10),
 OR(OFFSET('DATA INPUT'!$H$11,ROW()-ROW($V$87),0)=3,
OFFSET('DATA INPUT'!$V$11, ROW()-ROW($V$87),0)=3,
OFFSET('DATA INPUT'!$AD$11, ROW()-ROW($V$87),0)=3)),
OFFSET('Calc - SENIOR PERS'!$AA$11,COLUMN()-COLUMN($V$87) + (ROW()-ROW($V$87))*14,0),0)</f>
        <v>0</v>
      </c>
      <c r="AA94" s="5">
        <f ca="1">IF(AND((OFFSET('DATA INPUT'!$C$11, ROW()-ROW($V$87),0)=$V$10),
 OR(OFFSET('DATA INPUT'!$H$11,ROW()-ROW($V$87),0)=3,
OFFSET('DATA INPUT'!$V$11, ROW()-ROW($V$87),0)=3,
OFFSET('DATA INPUT'!$AD$11, ROW()-ROW($V$87),0)=3)),
OFFSET('Calc - SENIOR PERS'!$AA$11,COLUMN()-COLUMN($V$87) + (ROW()-ROW($V$87))*14,0),0)</f>
        <v>0</v>
      </c>
      <c r="AB94" s="138">
        <f t="shared" ca="1" si="357"/>
        <v>0</v>
      </c>
      <c r="AD94" s="575">
        <f ca="1">IF(AND((OFFSET('DATA INPUT'!$C$11, ROW()-ROW($AD$87),0)=$AD$10),
 OR(OFFSET('DATA INPUT'!$H$11,ROW()-ROW($AD$87),0)=3,
OFFSET('DATA INPUT'!$V$11, ROW()-ROW($AD$87),0)=3,
OFFSET('DATA INPUT'!$AD$11, ROW()-ROW($AD$87),0)=3)),
OFFSET('Calc - SENIOR PERS'!$AA$11,COLUMN()-COLUMN($AD$87) + (ROW()-ROW($AD$87))*14,0),0)</f>
        <v>0</v>
      </c>
      <c r="AE94" s="5">
        <f ca="1">IF(AND((OFFSET('DATA INPUT'!$C$11, ROW()-ROW($AD$87),0)=$AD$10),
 OR(OFFSET('DATA INPUT'!$H$11,ROW()-ROW($AD$87),0)=3,
OFFSET('DATA INPUT'!$V$11, ROW()-ROW($AD$87),0)=3,
OFFSET('DATA INPUT'!$AD$11, ROW()-ROW($AD$87),0)=3)),
OFFSET('Calc - SENIOR PERS'!$AA$11,COLUMN()-COLUMN($AD$87) + (ROW()-ROW($AD$87))*14,0),0)</f>
        <v>0</v>
      </c>
      <c r="AF94" s="5">
        <f ca="1">IF(AND((OFFSET('DATA INPUT'!$C$11, ROW()-ROW($AD$87),0)=$AD$10),
 OR(OFFSET('DATA INPUT'!$H$11,ROW()-ROW($AD$87),0)=3,
OFFSET('DATA INPUT'!$V$11, ROW()-ROW($AD$87),0)=3,
OFFSET('DATA INPUT'!$AD$11, ROW()-ROW($AD$87),0)=3)),
OFFSET('Calc - SENIOR PERS'!$AA$11,COLUMN()-COLUMN($AD$87) + (ROW()-ROW($AD$87))*14,0),0)</f>
        <v>0</v>
      </c>
      <c r="AG94" s="5">
        <f ca="1">IF(AND((OFFSET('DATA INPUT'!$C$11, ROW()-ROW($AD$87),0)=$AD$10),
 OR(OFFSET('DATA INPUT'!$H$11,ROW()-ROW($AD$87),0)=3,
OFFSET('DATA INPUT'!$V$11, ROW()-ROW($AD$87),0)=3,
OFFSET('DATA INPUT'!$AD$11, ROW()-ROW($AD$87),0)=3)),
OFFSET('Calc - SENIOR PERS'!$AA$11,COLUMN()-COLUMN($AD$87) + (ROW()-ROW($AD$87))*14,0),0)</f>
        <v>0</v>
      </c>
      <c r="AH94" s="5">
        <f ca="1">IF(AND((OFFSET('DATA INPUT'!$C$11, ROW()-ROW($AD$87),0)=$AD$10),
 OR(OFFSET('DATA INPUT'!$H$11,ROW()-ROW($AD$87),0)=3,
OFFSET('DATA INPUT'!$V$11, ROW()-ROW($AD$87),0)=3,
OFFSET('DATA INPUT'!$AD$11, ROW()-ROW($AD$87),0)=3)),
OFFSET('Calc - SENIOR PERS'!$AA$11,COLUMN()-COLUMN($AD$87) + (ROW()-ROW($AD$87))*14,0),0)</f>
        <v>0</v>
      </c>
      <c r="AI94" s="5">
        <f ca="1">IF(AND((OFFSET('DATA INPUT'!$C$11, ROW()-ROW($AD$87),0)=$AD$10),
 OR(OFFSET('DATA INPUT'!$H$11,ROW()-ROW($AD$87),0)=3,
OFFSET('DATA INPUT'!$V$11, ROW()-ROW($AD$87),0)=3,
OFFSET('DATA INPUT'!$AD$11, ROW()-ROW($AD$87),0)=3)),
OFFSET('Calc - SENIOR PERS'!$AA$11,COLUMN()-COLUMN($AD$87) + (ROW()-ROW($AD$87))*14,0),0)</f>
        <v>0</v>
      </c>
      <c r="AJ94" s="206">
        <f t="shared" ca="1" si="358"/>
        <v>0</v>
      </c>
      <c r="AL94" s="575">
        <f ca="1">IF(AND((OFFSET('DATA INPUT'!$C$11, ROW()-ROW($AL$87),0)=$AL$10),
 OR(OFFSET('DATA INPUT'!$H$11,ROW()-ROW($AL$87),0)=3,
OFFSET('DATA INPUT'!$V$11, ROW()-ROW($AL$87),0)=3,
OFFSET('DATA INPUT'!$AD$11, ROW()-ROW($AL$87),0)=3)),
OFFSET('Calc - SENIOR PERS'!$AA$11,COLUMN()-COLUMN($AL$87) + (ROW()-ROW($AL$87))*14,0),0)</f>
        <v>0</v>
      </c>
      <c r="AM94" s="5">
        <f ca="1">IF(AND((OFFSET('DATA INPUT'!$C$11, ROW()-ROW($AL$87),0)=$AL$10),
 OR(OFFSET('DATA INPUT'!$H$11,ROW()-ROW($AL$87),0)=3,
OFFSET('DATA INPUT'!$V$11, ROW()-ROW($AL$87),0)=3,
OFFSET('DATA INPUT'!$AD$11, ROW()-ROW($AL$87),0)=3)),
OFFSET('Calc - SENIOR PERS'!$AA$11,COLUMN()-COLUMN($AL$87) + (ROW()-ROW($AL$87))*14,0),0)</f>
        <v>0</v>
      </c>
      <c r="AN94" s="5">
        <f ca="1">IF(AND((OFFSET('DATA INPUT'!$C$11, ROW()-ROW($AL$87),0)=$AL$10),
 OR(OFFSET('DATA INPUT'!$H$11,ROW()-ROW($AL$87),0)=3,
OFFSET('DATA INPUT'!$V$11, ROW()-ROW($AL$87),0)=3,
OFFSET('DATA INPUT'!$AD$11, ROW()-ROW($AL$87),0)=3)),
OFFSET('Calc - SENIOR PERS'!$AA$11,COLUMN()-COLUMN($AL$87) + (ROW()-ROW($AL$87))*14,0),0)</f>
        <v>0</v>
      </c>
      <c r="AO94" s="5">
        <f ca="1">IF(AND((OFFSET('DATA INPUT'!$C$11, ROW()-ROW($AL$87),0)=$AL$10),
 OR(OFFSET('DATA INPUT'!$H$11,ROW()-ROW($AL$87),0)=3,
OFFSET('DATA INPUT'!$V$11, ROW()-ROW($AL$87),0)=3,
OFFSET('DATA INPUT'!$AD$11, ROW()-ROW($AL$87),0)=3)),
OFFSET('Calc - SENIOR PERS'!$AA$11,COLUMN()-COLUMN($AL$87) + (ROW()-ROW($AL$87))*14,0),0)</f>
        <v>0</v>
      </c>
      <c r="AP94" s="5">
        <f ca="1">IF(AND((OFFSET('DATA INPUT'!$C$11, ROW()-ROW($AL$87),0)=$AL$10),
 OR(OFFSET('DATA INPUT'!$H$11,ROW()-ROW($AL$87),0)=3,
OFFSET('DATA INPUT'!$V$11, ROW()-ROW($AL$87),0)=3,
OFFSET('DATA INPUT'!$AD$11, ROW()-ROW($AL$87),0)=3)),
OFFSET('Calc - SENIOR PERS'!$AA$11,COLUMN()-COLUMN($AL$87) + (ROW()-ROW($AL$87))*14,0),0)</f>
        <v>0</v>
      </c>
      <c r="AQ94" s="5">
        <f ca="1">IF(AND((OFFSET('DATA INPUT'!$C$11, ROW()-ROW($AL$87),0)=$AL$10),
 OR(OFFSET('DATA INPUT'!$H$11,ROW()-ROW($AL$87),0)=3,
OFFSET('DATA INPUT'!$V$11, ROW()-ROW($AL$87),0)=3,
OFFSET('DATA INPUT'!$AD$11, ROW()-ROW($AL$87),0)=3)),
OFFSET('Calc - SENIOR PERS'!$AA$11,COLUMN()-COLUMN($AL$87) + (ROW()-ROW($AL$87))*14,0),0)</f>
        <v>0</v>
      </c>
      <c r="AR94" s="178">
        <f t="shared" ca="1" si="359"/>
        <v>0</v>
      </c>
      <c r="AT94" s="575">
        <f ca="1">IF(AND((OFFSET('DATA INPUT'!$C$11, ROW()-ROW($AT$87),0)=$AT$10),
 OR(OFFSET('DATA INPUT'!$H$11,ROW()-ROW($AT$87),0)=3,
OFFSET('DATA INPUT'!$V$11, ROW()-ROW($AT$87),0)=3,
OFFSET('DATA INPUT'!$AD$11, ROW()-ROW($AT$87),0)=3)),
OFFSET('Calc - SENIOR PERS'!$AA$11,COLUMN()-COLUMN($AT$87) + (ROW()-ROW($AT$87))*14,0),0)</f>
        <v>0</v>
      </c>
      <c r="AU94" s="5">
        <f ca="1">IF(AND((OFFSET('DATA INPUT'!$C$11, ROW()-ROW($AT$87),0)=$AT$10),
 OR(OFFSET('DATA INPUT'!$H$11,ROW()-ROW($AT$87),0)=3,
OFFSET('DATA INPUT'!$V$11, ROW()-ROW($AT$87),0)=3,
OFFSET('DATA INPUT'!$AD$11, ROW()-ROW($AT$87),0)=3)),
OFFSET('Calc - SENIOR PERS'!$AA$11,COLUMN()-COLUMN($AT$87) + (ROW()-ROW($AT$87))*14,0),0)</f>
        <v>0</v>
      </c>
      <c r="AV94" s="5">
        <f ca="1">IF(AND((OFFSET('DATA INPUT'!$C$11, ROW()-ROW($AT$87),0)=$AT$10),
 OR(OFFSET('DATA INPUT'!$H$11,ROW()-ROW($AT$87),0)=3,
OFFSET('DATA INPUT'!$V$11, ROW()-ROW($AT$87),0)=3,
OFFSET('DATA INPUT'!$AD$11, ROW()-ROW($AT$87),0)=3)),
OFFSET('Calc - SENIOR PERS'!$AA$11,COLUMN()-COLUMN($AT$87) + (ROW()-ROW($AT$87))*14,0),0)</f>
        <v>0</v>
      </c>
      <c r="AW94" s="5">
        <f ca="1">IF(AND((OFFSET('DATA INPUT'!$C$11, ROW()-ROW($AT$87),0)=$AT$10),
 OR(OFFSET('DATA INPUT'!$H$11,ROW()-ROW($AT$87),0)=3,
OFFSET('DATA INPUT'!$V$11, ROW()-ROW($AT$87),0)=3,
OFFSET('DATA INPUT'!$AD$11, ROW()-ROW($AT$87),0)=3)),
OFFSET('Calc - SENIOR PERS'!$AA$11,COLUMN()-COLUMN($AT$87) + (ROW()-ROW($AT$87))*14,0),0)</f>
        <v>0</v>
      </c>
      <c r="AX94" s="5">
        <f ca="1">IF(AND((OFFSET('DATA INPUT'!$C$11, ROW()-ROW($AT$87),0)=$AT$10),
 OR(OFFSET('DATA INPUT'!$H$11,ROW()-ROW($AT$87),0)=3,
OFFSET('DATA INPUT'!$V$11, ROW()-ROW($AT$87),0)=3,
OFFSET('DATA INPUT'!$AD$11, ROW()-ROW($AT$87),0)=3)),
OFFSET('Calc - SENIOR PERS'!$AA$11,COLUMN()-COLUMN($AT$87) + (ROW()-ROW($AT$87))*14,0),0)</f>
        <v>0</v>
      </c>
      <c r="AY94" s="5">
        <f ca="1">IF(AND((OFFSET('DATA INPUT'!$C$11, ROW()-ROW($AT$87),0)=$AT$10),
 OR(OFFSET('DATA INPUT'!$H$11,ROW()-ROW($AT$87),0)=3,
OFFSET('DATA INPUT'!$V$11, ROW()-ROW($AT$87),0)=3,
OFFSET('DATA INPUT'!$AD$11, ROW()-ROW($AT$87),0)=3)),
OFFSET('Calc - SENIOR PERS'!$AA$11,COLUMN()-COLUMN($AT$87) + (ROW()-ROW($AT$87))*14,0),0)</f>
        <v>0</v>
      </c>
      <c r="AZ94" s="150">
        <f t="shared" ca="1" si="360"/>
        <v>0</v>
      </c>
      <c r="BB94" s="575">
        <f ca="1">IF(AND((OFFSET('DATA INPUT'!$C$11, ROW()-ROW($BB$87),0)=$BB$10),
 OR(OFFSET('DATA INPUT'!$H$11,ROW()-ROW($BB$87),0)=3,
OFFSET('DATA INPUT'!$V$11, ROW()-ROW($BB$87),0)=3,
OFFSET('DATA INPUT'!$AD$11, ROW()-ROW($BB$87),0)=3)),
OFFSET('Calc - SENIOR PERS'!$AA$11,COLUMN()-COLUMN($BB$87) + (ROW()-ROW($BB$87))*14,0),0)</f>
        <v>0</v>
      </c>
      <c r="BC94" s="5">
        <f ca="1">IF(AND((OFFSET('DATA INPUT'!$C$11, ROW()-ROW($BB$87),0)=$BB$10),
 OR(OFFSET('DATA INPUT'!$H$11,ROW()-ROW($BB$87),0)=3,
OFFSET('DATA INPUT'!$V$11, ROW()-ROW($BB$87),0)=3,
OFFSET('DATA INPUT'!$AD$11, ROW()-ROW($BB$87),0)=3)),
OFFSET('Calc - SENIOR PERS'!$AA$11,COLUMN()-COLUMN($BB$87) + (ROW()-ROW($BB$87))*14,0),0)</f>
        <v>0</v>
      </c>
      <c r="BD94" s="5">
        <f ca="1">IF(AND((OFFSET('DATA INPUT'!$C$11, ROW()-ROW($BB$87),0)=$BB$10),
 OR(OFFSET('DATA INPUT'!$H$11,ROW()-ROW($BB$87),0)=3,
OFFSET('DATA INPUT'!$V$11, ROW()-ROW($BB$87),0)=3,
OFFSET('DATA INPUT'!$AD$11, ROW()-ROW($BB$87),0)=3)),
OFFSET('Calc - SENIOR PERS'!$AA$11,COLUMN()-COLUMN($BB$87) + (ROW()-ROW($BB$87))*14,0),0)</f>
        <v>0</v>
      </c>
      <c r="BE94" s="5">
        <f ca="1">IF(AND((OFFSET('DATA INPUT'!$C$11, ROW()-ROW($BB$87),0)=$BB$10),
 OR(OFFSET('DATA INPUT'!$H$11,ROW()-ROW($BB$87),0)=3,
OFFSET('DATA INPUT'!$V$11, ROW()-ROW($BB$87),0)=3,
OFFSET('DATA INPUT'!$AD$11, ROW()-ROW($BB$87),0)=3)),
OFFSET('Calc - SENIOR PERS'!$AA$11,COLUMN()-COLUMN($BB$87) + (ROW()-ROW($BB$87))*14,0),0)</f>
        <v>0</v>
      </c>
      <c r="BF94" s="5">
        <f ca="1">IF(AND((OFFSET('DATA INPUT'!$C$11, ROW()-ROW($BB$87),0)=$BB$10),
 OR(OFFSET('DATA INPUT'!$H$11,ROW()-ROW($BB$87),0)=3,
OFFSET('DATA INPUT'!$V$11, ROW()-ROW($BB$87),0)=3,
OFFSET('DATA INPUT'!$AD$11, ROW()-ROW($BB$87),0)=3)),
OFFSET('Calc - SENIOR PERS'!$AA$11,COLUMN()-COLUMN($BB$87) + (ROW()-ROW($BB$87))*14,0),0)</f>
        <v>0</v>
      </c>
      <c r="BG94" s="5">
        <f ca="1">IF(AND((OFFSET('DATA INPUT'!$C$11, ROW()-ROW($BB$87),0)=$BB$10),
 OR(OFFSET('DATA INPUT'!$H$11,ROW()-ROW($BB$87),0)=3,
OFFSET('DATA INPUT'!$V$11, ROW()-ROW($BB$87),0)=3,
OFFSET('DATA INPUT'!$AD$11, ROW()-ROW($BB$87),0)=3)),
OFFSET('Calc - SENIOR PERS'!$AA$11,COLUMN()-COLUMN($BB$87) + (ROW()-ROW($BB$87))*14,0),0)</f>
        <v>0</v>
      </c>
      <c r="BH94" s="192">
        <f t="shared" ca="1" si="361"/>
        <v>0</v>
      </c>
      <c r="BJ94" s="575"/>
      <c r="BK94" s="5"/>
      <c r="BL94" s="5"/>
      <c r="BM94" s="5"/>
      <c r="BN94" s="5"/>
      <c r="BO94" s="5"/>
      <c r="BP94" s="1102">
        <f t="shared" si="362"/>
        <v>0</v>
      </c>
      <c r="BR94" s="575">
        <f t="shared" ca="1" si="363"/>
        <v>0</v>
      </c>
      <c r="BS94" s="5">
        <f t="shared" ca="1" si="364"/>
        <v>0</v>
      </c>
      <c r="BT94" s="5">
        <f t="shared" ca="1" si="365"/>
        <v>0</v>
      </c>
      <c r="BU94" s="5">
        <f t="shared" ca="1" si="366"/>
        <v>0</v>
      </c>
      <c r="BV94" s="5">
        <f t="shared" ca="1" si="367"/>
        <v>0</v>
      </c>
      <c r="BW94" s="5">
        <f t="shared" ca="1" si="368"/>
        <v>0</v>
      </c>
      <c r="BX94" s="2175">
        <f t="shared" ca="1" si="369"/>
        <v>0</v>
      </c>
      <c r="BY94" s="573">
        <f t="shared" ca="1" si="370"/>
        <v>0</v>
      </c>
      <c r="BZ94" s="257"/>
      <c r="CB94" s="1182"/>
      <c r="CC94" s="387">
        <f ca="1">'Calc - SENIOR PERS'!$S$110/9*3</f>
        <v>0</v>
      </c>
      <c r="CD94" s="56">
        <f ca="1">'Calc - SENIOR PERS'!$S$110/9*3</f>
        <v>0</v>
      </c>
      <c r="CE94" s="56">
        <f ca="1">'Calc - SENIOR PERS'!$S$110/9*2</f>
        <v>0</v>
      </c>
      <c r="CF94" s="56">
        <f ca="1">'Calc - SENIOR PERS'!$S$110/9*0.5</f>
        <v>0</v>
      </c>
      <c r="CG94" s="1183">
        <f ca="1">'Calc - SENIOR PERS'!$S$110/9*0.5</f>
        <v>0</v>
      </c>
      <c r="CH94" s="1184">
        <f ca="1">'Calc - SENIOR PERS'!$S$111/9*3</f>
        <v>0</v>
      </c>
      <c r="CI94" s="1185">
        <f ca="1">'Calc - SENIOR PERS'!$S$111/9*3</f>
        <v>0</v>
      </c>
      <c r="CJ94" s="1185">
        <f ca="1">'Calc - SENIOR PERS'!$S$111/9*2</f>
        <v>0</v>
      </c>
      <c r="CK94" s="1185">
        <f ca="1">'Calc - SENIOR PERS'!$S$111/9*0.5</f>
        <v>0</v>
      </c>
      <c r="CL94" s="1186">
        <f ca="1">'Calc - SENIOR PERS'!$S$111/9*0.5</f>
        <v>0</v>
      </c>
      <c r="CM94" s="1187">
        <f ca="1">'Calc - SENIOR PERS'!$S$112/8*3</f>
        <v>0</v>
      </c>
      <c r="CN94" s="1188">
        <f ca="1">'Calc - SENIOR PERS'!$S$112/8*3</f>
        <v>0</v>
      </c>
      <c r="CO94" s="1189">
        <f ca="1">'Calc - SENIOR PERS'!$S$112/8*2</f>
        <v>0</v>
      </c>
      <c r="CP94" s="1234">
        <f t="shared" ca="1" si="371"/>
        <v>0</v>
      </c>
      <c r="CS94" s="575"/>
      <c r="CT94" s="5"/>
      <c r="CU94" s="1180"/>
      <c r="CV94" s="575"/>
      <c r="CW94" s="5"/>
      <c r="CX94" s="1249"/>
      <c r="CY94" s="575"/>
      <c r="CZ94" s="5"/>
      <c r="DA94" s="1180"/>
      <c r="DB94" s="575"/>
      <c r="DC94" s="5"/>
      <c r="DD94" s="1180"/>
      <c r="DE94" s="1181">
        <f t="shared" si="372"/>
        <v>0</v>
      </c>
      <c r="DG94" s="575"/>
      <c r="DH94" s="5"/>
      <c r="DI94" s="1180"/>
      <c r="DJ94" s="575"/>
      <c r="DK94" s="5"/>
      <c r="DL94" s="1249"/>
      <c r="DM94" s="575"/>
      <c r="DN94" s="5"/>
      <c r="DO94" s="1180"/>
      <c r="DP94" s="575"/>
      <c r="DQ94" s="5"/>
      <c r="DR94" s="1180"/>
      <c r="DS94" s="1181">
        <f t="shared" si="373"/>
        <v>0</v>
      </c>
      <c r="DU94" s="575"/>
      <c r="DV94" s="5"/>
      <c r="DW94" s="1180"/>
      <c r="DX94" s="575"/>
      <c r="DY94" s="5"/>
      <c r="DZ94" s="1249"/>
      <c r="EA94" s="575"/>
      <c r="EB94" s="5"/>
      <c r="EC94" s="1180"/>
      <c r="ED94" s="575"/>
      <c r="EE94" s="5"/>
      <c r="EF94" s="1180"/>
      <c r="EG94" s="1181">
        <f t="shared" si="374"/>
        <v>0</v>
      </c>
      <c r="EI94" s="403"/>
      <c r="EJ94" s="3220"/>
      <c r="EK94" s="57">
        <f t="shared" ca="1" si="375"/>
        <v>0</v>
      </c>
      <c r="EL94" s="5">
        <f t="shared" ca="1" si="376"/>
        <v>0</v>
      </c>
      <c r="EM94" s="5">
        <f t="shared" ca="1" si="377"/>
        <v>0</v>
      </c>
      <c r="EN94" s="5">
        <f t="shared" ca="1" si="378"/>
        <v>0</v>
      </c>
      <c r="EO94" s="5">
        <f t="shared" ca="1" si="379"/>
        <v>0</v>
      </c>
      <c r="EP94" s="5">
        <f t="shared" ca="1" si="380"/>
        <v>0</v>
      </c>
      <c r="EQ94" s="5">
        <f t="shared" ca="1" si="381"/>
        <v>0</v>
      </c>
      <c r="ER94" s="88">
        <f t="shared" ca="1" si="382"/>
        <v>0</v>
      </c>
      <c r="ES94" s="4"/>
      <c r="ET94" s="4"/>
      <c r="EU94" s="4"/>
      <c r="EV94" s="575">
        <f t="shared" ca="1" si="383"/>
        <v>0</v>
      </c>
      <c r="EW94" s="5">
        <f t="shared" ca="1" si="384"/>
        <v>0</v>
      </c>
      <c r="EX94" s="5">
        <f t="shared" ca="1" si="385"/>
        <v>0</v>
      </c>
      <c r="EY94" s="5">
        <f t="shared" ca="1" si="386"/>
        <v>0</v>
      </c>
      <c r="EZ94" s="5">
        <f t="shared" ca="1" si="387"/>
        <v>0</v>
      </c>
      <c r="FA94" s="5">
        <f t="shared" ca="1" si="388"/>
        <v>0</v>
      </c>
      <c r="FB94" s="164">
        <f t="shared" ca="1" si="389"/>
        <v>0</v>
      </c>
      <c r="FC94" s="1"/>
      <c r="FD94" s="575">
        <f t="shared" ca="1" si="390"/>
        <v>0</v>
      </c>
      <c r="FE94" s="5">
        <f t="shared" ca="1" si="391"/>
        <v>0</v>
      </c>
      <c r="FF94" s="5">
        <f t="shared" ca="1" si="392"/>
        <v>0</v>
      </c>
      <c r="FG94" s="5">
        <f t="shared" ca="1" si="393"/>
        <v>0</v>
      </c>
      <c r="FH94" s="5">
        <f t="shared" ca="1" si="394"/>
        <v>0</v>
      </c>
      <c r="FI94" s="5">
        <f t="shared" ca="1" si="395"/>
        <v>0</v>
      </c>
      <c r="FJ94" s="138">
        <f t="shared" ca="1" si="396"/>
        <v>0</v>
      </c>
      <c r="FL94" s="575">
        <f t="shared" ca="1" si="397"/>
        <v>0</v>
      </c>
      <c r="FM94" s="5">
        <f t="shared" ca="1" si="398"/>
        <v>0</v>
      </c>
      <c r="FN94" s="5">
        <f t="shared" ca="1" si="399"/>
        <v>0</v>
      </c>
      <c r="FO94" s="5">
        <f t="shared" ca="1" si="400"/>
        <v>0</v>
      </c>
      <c r="FP94" s="5">
        <f t="shared" ca="1" si="401"/>
        <v>0</v>
      </c>
      <c r="FQ94" s="5">
        <f t="shared" ca="1" si="402"/>
        <v>0</v>
      </c>
      <c r="FR94" s="206">
        <f t="shared" ca="1" si="403"/>
        <v>0</v>
      </c>
      <c r="FT94" s="575">
        <f t="shared" ca="1" si="404"/>
        <v>0</v>
      </c>
      <c r="FU94" s="5">
        <f t="shared" ca="1" si="405"/>
        <v>0</v>
      </c>
      <c r="FV94" s="5">
        <f t="shared" ca="1" si="406"/>
        <v>0</v>
      </c>
      <c r="FW94" s="5">
        <f t="shared" ca="1" si="407"/>
        <v>0</v>
      </c>
      <c r="FX94" s="5">
        <f t="shared" ca="1" si="408"/>
        <v>0</v>
      </c>
      <c r="FY94" s="5">
        <f t="shared" ca="1" si="409"/>
        <v>0</v>
      </c>
      <c r="FZ94" s="178">
        <f t="shared" ca="1" si="410"/>
        <v>0</v>
      </c>
      <c r="GB94" s="575">
        <f t="shared" ca="1" si="411"/>
        <v>0</v>
      </c>
      <c r="GC94" s="5">
        <f t="shared" ca="1" si="412"/>
        <v>0</v>
      </c>
      <c r="GD94" s="5">
        <f t="shared" ca="1" si="413"/>
        <v>0</v>
      </c>
      <c r="GE94" s="5">
        <f t="shared" ca="1" si="414"/>
        <v>0</v>
      </c>
      <c r="GF94" s="5">
        <f t="shared" ca="1" si="415"/>
        <v>0</v>
      </c>
      <c r="GG94" s="5">
        <f t="shared" ca="1" si="416"/>
        <v>0</v>
      </c>
      <c r="GH94" s="150">
        <f t="shared" ca="1" si="417"/>
        <v>0</v>
      </c>
      <c r="GJ94" s="575">
        <f t="shared" ca="1" si="418"/>
        <v>0</v>
      </c>
      <c r="GK94" s="5">
        <f t="shared" ca="1" si="419"/>
        <v>0</v>
      </c>
      <c r="GL94" s="5">
        <f t="shared" ca="1" si="420"/>
        <v>0</v>
      </c>
      <c r="GM94" s="5">
        <f t="shared" ca="1" si="421"/>
        <v>0</v>
      </c>
      <c r="GN94" s="5">
        <f t="shared" ca="1" si="422"/>
        <v>0</v>
      </c>
      <c r="GO94" s="5">
        <f t="shared" ca="1" si="423"/>
        <v>0</v>
      </c>
      <c r="GP94" s="192">
        <f t="shared" ca="1" si="424"/>
        <v>0</v>
      </c>
      <c r="GR94" s="575"/>
      <c r="GS94" s="5"/>
      <c r="GT94" s="5"/>
      <c r="GU94" s="5"/>
      <c r="GV94" s="5"/>
      <c r="GW94" s="5"/>
      <c r="GX94" s="1102">
        <f t="shared" si="425"/>
        <v>0</v>
      </c>
      <c r="GZ94" s="575">
        <f t="shared" ca="1" si="426"/>
        <v>0</v>
      </c>
      <c r="HA94" s="5">
        <f t="shared" ca="1" si="427"/>
        <v>0</v>
      </c>
      <c r="HB94" s="5">
        <f t="shared" ca="1" si="428"/>
        <v>0</v>
      </c>
      <c r="HC94" s="5">
        <f t="shared" ca="1" si="429"/>
        <v>0</v>
      </c>
      <c r="HD94" s="5">
        <f t="shared" ca="1" si="430"/>
        <v>0</v>
      </c>
      <c r="HE94" s="5">
        <f t="shared" ca="1" si="431"/>
        <v>0</v>
      </c>
      <c r="HF94" s="2175">
        <f t="shared" ca="1" si="432"/>
        <v>0</v>
      </c>
      <c r="HG94" s="573">
        <f t="shared" ca="1" si="433"/>
        <v>0</v>
      </c>
      <c r="HH94" s="257"/>
    </row>
    <row r="95" spans="1:216" ht="15" hidden="1" customHeight="1" x14ac:dyDescent="0.25">
      <c r="A95" s="403"/>
      <c r="B95" s="3220"/>
      <c r="C95" s="57">
        <f ca="1">'Calc - SENIOR PERS'!$B$118</f>
        <v>0</v>
      </c>
      <c r="D95" s="5">
        <f ca="1">'Calc - SENIOR PERS'!$S$123</f>
        <v>0</v>
      </c>
      <c r="E95" s="5">
        <f ca="1">'Calc - SENIOR PERS'!$S$124</f>
        <v>0</v>
      </c>
      <c r="F95" s="5">
        <f ca="1">'Calc - SENIOR PERS'!$S$125</f>
        <v>0</v>
      </c>
      <c r="G95" s="5">
        <f ca="1">'Calc - SENIOR PERS'!$S$126</f>
        <v>0</v>
      </c>
      <c r="H95" s="5">
        <f ca="1">'Calc - SENIOR PERS'!$S$127</f>
        <v>0</v>
      </c>
      <c r="I95" s="5">
        <f ca="1">'Calc - SENIOR PERS'!$S$128</f>
        <v>0</v>
      </c>
      <c r="J95" s="88">
        <f t="shared" ca="1" si="355"/>
        <v>0</v>
      </c>
      <c r="K95" s="4"/>
      <c r="L95" s="4"/>
      <c r="M95" s="4"/>
      <c r="N95" s="575">
        <f ca="1">IF(AND((OFFSET('DATA INPUT'!$C$11, ROW()-ROW($N$87),0)=$N$10),
 OR(OFFSET('DATA INPUT'!$H$11,ROW()-ROW($N$87),0)=3,
OFFSET('DATA INPUT'!$V$11, ROW()-ROW($N$87),0)=3,
OFFSET('DATA INPUT'!$AD$11, ROW()-ROW($N$87),0)=3)),
OFFSET('Calc - SENIOR PERS'!$AA$11,COLUMN()-COLUMN($N$87) + (ROW()-ROW($N$87))*14,0),0)</f>
        <v>0</v>
      </c>
      <c r="O95" s="5">
        <f ca="1">IF(AND((OFFSET('DATA INPUT'!$C$11, ROW()-ROW($N$87),0)=$N$10),
 OR(OFFSET('DATA INPUT'!$H$11,ROW()-ROW($N$87),0)=3,
OFFSET('DATA INPUT'!$V$11, ROW()-ROW($N$87),0)=3,
OFFSET('DATA INPUT'!$AD$11, ROW()-ROW($N$87),0)=3)),
OFFSET('Calc - SENIOR PERS'!$AA$11,COLUMN()-COLUMN($N$87) + (ROW()-ROW($N$87))*14,0),0)</f>
        <v>0</v>
      </c>
      <c r="P95" s="5">
        <f ca="1">IF(AND((OFFSET('DATA INPUT'!$C$11, ROW()-ROW($N$87),0)=$N$10),
 OR(OFFSET('DATA INPUT'!$H$11,ROW()-ROW($N$87),0)=3,
OFFSET('DATA INPUT'!$V$11, ROW()-ROW($N$87),0)=3,
OFFSET('DATA INPUT'!$AD$11, ROW()-ROW($N$87),0)=3)),
OFFSET('Calc - SENIOR PERS'!$AA$11,COLUMN()-COLUMN($N$87) + (ROW()-ROW($N$87))*14,0),0)</f>
        <v>0</v>
      </c>
      <c r="Q95" s="5">
        <f ca="1">IF(AND((OFFSET('DATA INPUT'!$C$11, ROW()-ROW($N$87),0)=$N$10),
 OR(OFFSET('DATA INPUT'!$H$11,ROW()-ROW($N$87),0)=3,
OFFSET('DATA INPUT'!$V$11, ROW()-ROW($N$87),0)=3,
OFFSET('DATA INPUT'!$AD$11, ROW()-ROW($N$87),0)=3)),
OFFSET('Calc - SENIOR PERS'!$AA$11,COLUMN()-COLUMN($N$87) + (ROW()-ROW($N$87))*14,0),0)</f>
        <v>0</v>
      </c>
      <c r="R95" s="5">
        <f ca="1">IF(AND((OFFSET('DATA INPUT'!$C$11, ROW()-ROW($N$87),0)=$N$10),
 OR(OFFSET('DATA INPUT'!$H$11,ROW()-ROW($N$87),0)=3,
OFFSET('DATA INPUT'!$V$11, ROW()-ROW($N$87),0)=3,
OFFSET('DATA INPUT'!$AD$11, ROW()-ROW($N$87),0)=3)),
OFFSET('Calc - SENIOR PERS'!$AA$11,COLUMN()-COLUMN($N$87) + (ROW()-ROW($N$87))*14,0),0)</f>
        <v>0</v>
      </c>
      <c r="S95" s="5">
        <f ca="1">IF(AND((OFFSET('DATA INPUT'!$C$11, ROW()-ROW($N$87),0)=$N$10),
 OR(OFFSET('DATA INPUT'!$H$11,ROW()-ROW($N$87),0)=3,
OFFSET('DATA INPUT'!$V$11, ROW()-ROW($N$87),0)=3,
OFFSET('DATA INPUT'!$AD$11, ROW()-ROW($N$87),0)=3)),
OFFSET('Calc - SENIOR PERS'!$AA$11,COLUMN()-COLUMN($N$87) + (ROW()-ROW($N$87))*14,0),0)</f>
        <v>0</v>
      </c>
      <c r="T95" s="164">
        <f t="shared" ca="1" si="356"/>
        <v>0</v>
      </c>
      <c r="U95" s="1"/>
      <c r="V95" s="575">
        <f ca="1">IF(AND((OFFSET('DATA INPUT'!$C$11, ROW()-ROW($V$87),0)=$V$10),
 OR(OFFSET('DATA INPUT'!$H$11,ROW()-ROW($V$87),0)=3,
OFFSET('DATA INPUT'!$V$11, ROW()-ROW($V$87),0)=3,
OFFSET('DATA INPUT'!$AD$11, ROW()-ROW($V$87),0)=3)),
OFFSET('Calc - SENIOR PERS'!$AA$11,COLUMN()-COLUMN($V$87) + (ROW()-ROW($V$87))*14,0),0)</f>
        <v>0</v>
      </c>
      <c r="W95" s="5">
        <f ca="1">IF(AND((OFFSET('DATA INPUT'!$C$11, ROW()-ROW($V$87),0)=$V$10),
 OR(OFFSET('DATA INPUT'!$H$11,ROW()-ROW($V$87),0)=3,
OFFSET('DATA INPUT'!$V$11, ROW()-ROW($V$87),0)=3,
OFFSET('DATA INPUT'!$AD$11, ROW()-ROW($V$87),0)=3)),
OFFSET('Calc - SENIOR PERS'!$AA$11,COLUMN()-COLUMN($V$87) + (ROW()-ROW($V$87))*14,0),0)</f>
        <v>0</v>
      </c>
      <c r="X95" s="5">
        <f ca="1">IF(AND((OFFSET('DATA INPUT'!$C$11, ROW()-ROW($V$87),0)=$V$10),
 OR(OFFSET('DATA INPUT'!$H$11,ROW()-ROW($V$87),0)=3,
OFFSET('DATA INPUT'!$V$11, ROW()-ROW($V$87),0)=3,
OFFSET('DATA INPUT'!$AD$11, ROW()-ROW($V$87),0)=3)),
OFFSET('Calc - SENIOR PERS'!$AA$11,COLUMN()-COLUMN($V$87) + (ROW()-ROW($V$87))*14,0),0)</f>
        <v>0</v>
      </c>
      <c r="Y95" s="5">
        <f ca="1">IF(AND((OFFSET('DATA INPUT'!$C$11, ROW()-ROW($V$87),0)=$V$10),
 OR(OFFSET('DATA INPUT'!$H$11,ROW()-ROW($V$87),0)=3,
OFFSET('DATA INPUT'!$V$11, ROW()-ROW($V$87),0)=3,
OFFSET('DATA INPUT'!$AD$11, ROW()-ROW($V$87),0)=3)),
OFFSET('Calc - SENIOR PERS'!$AA$11,COLUMN()-COLUMN($V$87) + (ROW()-ROW($V$87))*14,0),0)</f>
        <v>0</v>
      </c>
      <c r="Z95" s="5">
        <f ca="1">IF(AND((OFFSET('DATA INPUT'!$C$11, ROW()-ROW($V$87),0)=$V$10),
 OR(OFFSET('DATA INPUT'!$H$11,ROW()-ROW($V$87),0)=3,
OFFSET('DATA INPUT'!$V$11, ROW()-ROW($V$87),0)=3,
OFFSET('DATA INPUT'!$AD$11, ROW()-ROW($V$87),0)=3)),
OFFSET('Calc - SENIOR PERS'!$AA$11,COLUMN()-COLUMN($V$87) + (ROW()-ROW($V$87))*14,0),0)</f>
        <v>0</v>
      </c>
      <c r="AA95" s="5">
        <f ca="1">IF(AND((OFFSET('DATA INPUT'!$C$11, ROW()-ROW($V$87),0)=$V$10),
 OR(OFFSET('DATA INPUT'!$H$11,ROW()-ROW($V$87),0)=3,
OFFSET('DATA INPUT'!$V$11, ROW()-ROW($V$87),0)=3,
OFFSET('DATA INPUT'!$AD$11, ROW()-ROW($V$87),0)=3)),
OFFSET('Calc - SENIOR PERS'!$AA$11,COLUMN()-COLUMN($V$87) + (ROW()-ROW($V$87))*14,0),0)</f>
        <v>0</v>
      </c>
      <c r="AB95" s="138">
        <f t="shared" ca="1" si="357"/>
        <v>0</v>
      </c>
      <c r="AD95" s="575">
        <f ca="1">IF(AND((OFFSET('DATA INPUT'!$C$11, ROW()-ROW($AD$87),0)=$AD$10),
 OR(OFFSET('DATA INPUT'!$H$11,ROW()-ROW($AD$87),0)=3,
OFFSET('DATA INPUT'!$V$11, ROW()-ROW($AD$87),0)=3,
OFFSET('DATA INPUT'!$AD$11, ROW()-ROW($AD$87),0)=3)),
OFFSET('Calc - SENIOR PERS'!$AA$11,COLUMN()-COLUMN($AD$87) + (ROW()-ROW($AD$87))*14,0),0)</f>
        <v>0</v>
      </c>
      <c r="AE95" s="5">
        <f ca="1">IF(AND((OFFSET('DATA INPUT'!$C$11, ROW()-ROW($AD$87),0)=$AD$10),
 OR(OFFSET('DATA INPUT'!$H$11,ROW()-ROW($AD$87),0)=3,
OFFSET('DATA INPUT'!$V$11, ROW()-ROW($AD$87),0)=3,
OFFSET('DATA INPUT'!$AD$11, ROW()-ROW($AD$87),0)=3)),
OFFSET('Calc - SENIOR PERS'!$AA$11,COLUMN()-COLUMN($AD$87) + (ROW()-ROW($AD$87))*14,0),0)</f>
        <v>0</v>
      </c>
      <c r="AF95" s="5">
        <f ca="1">IF(AND((OFFSET('DATA INPUT'!$C$11, ROW()-ROW($AD$87),0)=$AD$10),
 OR(OFFSET('DATA INPUT'!$H$11,ROW()-ROW($AD$87),0)=3,
OFFSET('DATA INPUT'!$V$11, ROW()-ROW($AD$87),0)=3,
OFFSET('DATA INPUT'!$AD$11, ROW()-ROW($AD$87),0)=3)),
OFFSET('Calc - SENIOR PERS'!$AA$11,COLUMN()-COLUMN($AD$87) + (ROW()-ROW($AD$87))*14,0),0)</f>
        <v>0</v>
      </c>
      <c r="AG95" s="5">
        <f ca="1">IF(AND((OFFSET('DATA INPUT'!$C$11, ROW()-ROW($AD$87),0)=$AD$10),
 OR(OFFSET('DATA INPUT'!$H$11,ROW()-ROW($AD$87),0)=3,
OFFSET('DATA INPUT'!$V$11, ROW()-ROW($AD$87),0)=3,
OFFSET('DATA INPUT'!$AD$11, ROW()-ROW($AD$87),0)=3)),
OFFSET('Calc - SENIOR PERS'!$AA$11,COLUMN()-COLUMN($AD$87) + (ROW()-ROW($AD$87))*14,0),0)</f>
        <v>0</v>
      </c>
      <c r="AH95" s="5">
        <f ca="1">IF(AND((OFFSET('DATA INPUT'!$C$11, ROW()-ROW($AD$87),0)=$AD$10),
 OR(OFFSET('DATA INPUT'!$H$11,ROW()-ROW($AD$87),0)=3,
OFFSET('DATA INPUT'!$V$11, ROW()-ROW($AD$87),0)=3,
OFFSET('DATA INPUT'!$AD$11, ROW()-ROW($AD$87),0)=3)),
OFFSET('Calc - SENIOR PERS'!$AA$11,COLUMN()-COLUMN($AD$87) + (ROW()-ROW($AD$87))*14,0),0)</f>
        <v>0</v>
      </c>
      <c r="AI95" s="5">
        <f ca="1">IF(AND((OFFSET('DATA INPUT'!$C$11, ROW()-ROW($AD$87),0)=$AD$10),
 OR(OFFSET('DATA INPUT'!$H$11,ROW()-ROW($AD$87),0)=3,
OFFSET('DATA INPUT'!$V$11, ROW()-ROW($AD$87),0)=3,
OFFSET('DATA INPUT'!$AD$11, ROW()-ROW($AD$87),0)=3)),
OFFSET('Calc - SENIOR PERS'!$AA$11,COLUMN()-COLUMN($AD$87) + (ROW()-ROW($AD$87))*14,0),0)</f>
        <v>0</v>
      </c>
      <c r="AJ95" s="206">
        <f t="shared" ca="1" si="358"/>
        <v>0</v>
      </c>
      <c r="AL95" s="575">
        <f ca="1">IF(AND((OFFSET('DATA INPUT'!$C$11, ROW()-ROW($AL$87),0)=$AL$10),
 OR(OFFSET('DATA INPUT'!$H$11,ROW()-ROW($AL$87),0)=3,
OFFSET('DATA INPUT'!$V$11, ROW()-ROW($AL$87),0)=3,
OFFSET('DATA INPUT'!$AD$11, ROW()-ROW($AL$87),0)=3)),
OFFSET('Calc - SENIOR PERS'!$AA$11,COLUMN()-COLUMN($AL$87) + (ROW()-ROW($AL$87))*14,0),0)</f>
        <v>0</v>
      </c>
      <c r="AM95" s="5">
        <f ca="1">IF(AND((OFFSET('DATA INPUT'!$C$11, ROW()-ROW($AL$87),0)=$AL$10),
 OR(OFFSET('DATA INPUT'!$H$11,ROW()-ROW($AL$87),0)=3,
OFFSET('DATA INPUT'!$V$11, ROW()-ROW($AL$87),0)=3,
OFFSET('DATA INPUT'!$AD$11, ROW()-ROW($AL$87),0)=3)),
OFFSET('Calc - SENIOR PERS'!$AA$11,COLUMN()-COLUMN($AL$87) + (ROW()-ROW($AL$87))*14,0),0)</f>
        <v>0</v>
      </c>
      <c r="AN95" s="5">
        <f ca="1">IF(AND((OFFSET('DATA INPUT'!$C$11, ROW()-ROW($AL$87),0)=$AL$10),
 OR(OFFSET('DATA INPUT'!$H$11,ROW()-ROW($AL$87),0)=3,
OFFSET('DATA INPUT'!$V$11, ROW()-ROW($AL$87),0)=3,
OFFSET('DATA INPUT'!$AD$11, ROW()-ROW($AL$87),0)=3)),
OFFSET('Calc - SENIOR PERS'!$AA$11,COLUMN()-COLUMN($AL$87) + (ROW()-ROW($AL$87))*14,0),0)</f>
        <v>0</v>
      </c>
      <c r="AO95" s="5">
        <f ca="1">IF(AND((OFFSET('DATA INPUT'!$C$11, ROW()-ROW($AL$87),0)=$AL$10),
 OR(OFFSET('DATA INPUT'!$H$11,ROW()-ROW($AL$87),0)=3,
OFFSET('DATA INPUT'!$V$11, ROW()-ROW($AL$87),0)=3,
OFFSET('DATA INPUT'!$AD$11, ROW()-ROW($AL$87),0)=3)),
OFFSET('Calc - SENIOR PERS'!$AA$11,COLUMN()-COLUMN($AL$87) + (ROW()-ROW($AL$87))*14,0),0)</f>
        <v>0</v>
      </c>
      <c r="AP95" s="5">
        <f ca="1">IF(AND((OFFSET('DATA INPUT'!$C$11, ROW()-ROW($AL$87),0)=$AL$10),
 OR(OFFSET('DATA INPUT'!$H$11,ROW()-ROW($AL$87),0)=3,
OFFSET('DATA INPUT'!$V$11, ROW()-ROW($AL$87),0)=3,
OFFSET('DATA INPUT'!$AD$11, ROW()-ROW($AL$87),0)=3)),
OFFSET('Calc - SENIOR PERS'!$AA$11,COLUMN()-COLUMN($AL$87) + (ROW()-ROW($AL$87))*14,0),0)</f>
        <v>0</v>
      </c>
      <c r="AQ95" s="5">
        <f ca="1">IF(AND((OFFSET('DATA INPUT'!$C$11, ROW()-ROW($AL$87),0)=$AL$10),
 OR(OFFSET('DATA INPUT'!$H$11,ROW()-ROW($AL$87),0)=3,
OFFSET('DATA INPUT'!$V$11, ROW()-ROW($AL$87),0)=3,
OFFSET('DATA INPUT'!$AD$11, ROW()-ROW($AL$87),0)=3)),
OFFSET('Calc - SENIOR PERS'!$AA$11,COLUMN()-COLUMN($AL$87) + (ROW()-ROW($AL$87))*14,0),0)</f>
        <v>0</v>
      </c>
      <c r="AR95" s="178">
        <f t="shared" ca="1" si="359"/>
        <v>0</v>
      </c>
      <c r="AT95" s="575">
        <f ca="1">IF(AND((OFFSET('DATA INPUT'!$C$11, ROW()-ROW($AT$87),0)=$AT$10),
 OR(OFFSET('DATA INPUT'!$H$11,ROW()-ROW($AT$87),0)=3,
OFFSET('DATA INPUT'!$V$11, ROW()-ROW($AT$87),0)=3,
OFFSET('DATA INPUT'!$AD$11, ROW()-ROW($AT$87),0)=3)),
OFFSET('Calc - SENIOR PERS'!$AA$11,COLUMN()-COLUMN($AT$87) + (ROW()-ROW($AT$87))*14,0),0)</f>
        <v>0</v>
      </c>
      <c r="AU95" s="5">
        <f ca="1">IF(AND((OFFSET('DATA INPUT'!$C$11, ROW()-ROW($AT$87),0)=$AT$10),
 OR(OFFSET('DATA INPUT'!$H$11,ROW()-ROW($AT$87),0)=3,
OFFSET('DATA INPUT'!$V$11, ROW()-ROW($AT$87),0)=3,
OFFSET('DATA INPUT'!$AD$11, ROW()-ROW($AT$87),0)=3)),
OFFSET('Calc - SENIOR PERS'!$AA$11,COLUMN()-COLUMN($AT$87) + (ROW()-ROW($AT$87))*14,0),0)</f>
        <v>0</v>
      </c>
      <c r="AV95" s="5">
        <f ca="1">IF(AND((OFFSET('DATA INPUT'!$C$11, ROW()-ROW($AT$87),0)=$AT$10),
 OR(OFFSET('DATA INPUT'!$H$11,ROW()-ROW($AT$87),0)=3,
OFFSET('DATA INPUT'!$V$11, ROW()-ROW($AT$87),0)=3,
OFFSET('DATA INPUT'!$AD$11, ROW()-ROW($AT$87),0)=3)),
OFFSET('Calc - SENIOR PERS'!$AA$11,COLUMN()-COLUMN($AT$87) + (ROW()-ROW($AT$87))*14,0),0)</f>
        <v>0</v>
      </c>
      <c r="AW95" s="5">
        <f ca="1">IF(AND((OFFSET('DATA INPUT'!$C$11, ROW()-ROW($AT$87),0)=$AT$10),
 OR(OFFSET('DATA INPUT'!$H$11,ROW()-ROW($AT$87),0)=3,
OFFSET('DATA INPUT'!$V$11, ROW()-ROW($AT$87),0)=3,
OFFSET('DATA INPUT'!$AD$11, ROW()-ROW($AT$87),0)=3)),
OFFSET('Calc - SENIOR PERS'!$AA$11,COLUMN()-COLUMN($AT$87) + (ROW()-ROW($AT$87))*14,0),0)</f>
        <v>0</v>
      </c>
      <c r="AX95" s="5">
        <f ca="1">IF(AND((OFFSET('DATA INPUT'!$C$11, ROW()-ROW($AT$87),0)=$AT$10),
 OR(OFFSET('DATA INPUT'!$H$11,ROW()-ROW($AT$87),0)=3,
OFFSET('DATA INPUT'!$V$11, ROW()-ROW($AT$87),0)=3,
OFFSET('DATA INPUT'!$AD$11, ROW()-ROW($AT$87),0)=3)),
OFFSET('Calc - SENIOR PERS'!$AA$11,COLUMN()-COLUMN($AT$87) + (ROW()-ROW($AT$87))*14,0),0)</f>
        <v>0</v>
      </c>
      <c r="AY95" s="5">
        <f ca="1">IF(AND((OFFSET('DATA INPUT'!$C$11, ROW()-ROW($AT$87),0)=$AT$10),
 OR(OFFSET('DATA INPUT'!$H$11,ROW()-ROW($AT$87),0)=3,
OFFSET('DATA INPUT'!$V$11, ROW()-ROW($AT$87),0)=3,
OFFSET('DATA INPUT'!$AD$11, ROW()-ROW($AT$87),0)=3)),
OFFSET('Calc - SENIOR PERS'!$AA$11,COLUMN()-COLUMN($AT$87) + (ROW()-ROW($AT$87))*14,0),0)</f>
        <v>0</v>
      </c>
      <c r="AZ95" s="150">
        <f t="shared" ca="1" si="360"/>
        <v>0</v>
      </c>
      <c r="BB95" s="575">
        <f ca="1">IF(AND((OFFSET('DATA INPUT'!$C$11, ROW()-ROW($BB$87),0)=$BB$10),
 OR(OFFSET('DATA INPUT'!$H$11,ROW()-ROW($BB$87),0)=3,
OFFSET('DATA INPUT'!$V$11, ROW()-ROW($BB$87),0)=3,
OFFSET('DATA INPUT'!$AD$11, ROW()-ROW($BB$87),0)=3)),
OFFSET('Calc - SENIOR PERS'!$AA$11,COLUMN()-COLUMN($BB$87) + (ROW()-ROW($BB$87))*14,0),0)</f>
        <v>0</v>
      </c>
      <c r="BC95" s="5">
        <f ca="1">IF(AND((OFFSET('DATA INPUT'!$C$11, ROW()-ROW($BB$87),0)=$BB$10),
 OR(OFFSET('DATA INPUT'!$H$11,ROW()-ROW($BB$87),0)=3,
OFFSET('DATA INPUT'!$V$11, ROW()-ROW($BB$87),0)=3,
OFFSET('DATA INPUT'!$AD$11, ROW()-ROW($BB$87),0)=3)),
OFFSET('Calc - SENIOR PERS'!$AA$11,COLUMN()-COLUMN($BB$87) + (ROW()-ROW($BB$87))*14,0),0)</f>
        <v>0</v>
      </c>
      <c r="BD95" s="5">
        <f ca="1">IF(AND((OFFSET('DATA INPUT'!$C$11, ROW()-ROW($BB$87),0)=$BB$10),
 OR(OFFSET('DATA INPUT'!$H$11,ROW()-ROW($BB$87),0)=3,
OFFSET('DATA INPUT'!$V$11, ROW()-ROW($BB$87),0)=3,
OFFSET('DATA INPUT'!$AD$11, ROW()-ROW($BB$87),0)=3)),
OFFSET('Calc - SENIOR PERS'!$AA$11,COLUMN()-COLUMN($BB$87) + (ROW()-ROW($BB$87))*14,0),0)</f>
        <v>0</v>
      </c>
      <c r="BE95" s="5">
        <f ca="1">IF(AND((OFFSET('DATA INPUT'!$C$11, ROW()-ROW($BB$87),0)=$BB$10),
 OR(OFFSET('DATA INPUT'!$H$11,ROW()-ROW($BB$87),0)=3,
OFFSET('DATA INPUT'!$V$11, ROW()-ROW($BB$87),0)=3,
OFFSET('DATA INPUT'!$AD$11, ROW()-ROW($BB$87),0)=3)),
OFFSET('Calc - SENIOR PERS'!$AA$11,COLUMN()-COLUMN($BB$87) + (ROW()-ROW($BB$87))*14,0),0)</f>
        <v>0</v>
      </c>
      <c r="BF95" s="5">
        <f ca="1">IF(AND((OFFSET('DATA INPUT'!$C$11, ROW()-ROW($BB$87),0)=$BB$10),
 OR(OFFSET('DATA INPUT'!$H$11,ROW()-ROW($BB$87),0)=3,
OFFSET('DATA INPUT'!$V$11, ROW()-ROW($BB$87),0)=3,
OFFSET('DATA INPUT'!$AD$11, ROW()-ROW($BB$87),0)=3)),
OFFSET('Calc - SENIOR PERS'!$AA$11,COLUMN()-COLUMN($BB$87) + (ROW()-ROW($BB$87))*14,0),0)</f>
        <v>0</v>
      </c>
      <c r="BG95" s="5">
        <f ca="1">IF(AND((OFFSET('DATA INPUT'!$C$11, ROW()-ROW($BB$87),0)=$BB$10),
 OR(OFFSET('DATA INPUT'!$H$11,ROW()-ROW($BB$87),0)=3,
OFFSET('DATA INPUT'!$V$11, ROW()-ROW($BB$87),0)=3,
OFFSET('DATA INPUT'!$AD$11, ROW()-ROW($BB$87),0)=3)),
OFFSET('Calc - SENIOR PERS'!$AA$11,COLUMN()-COLUMN($BB$87) + (ROW()-ROW($BB$87))*14,0),0)</f>
        <v>0</v>
      </c>
      <c r="BH95" s="192">
        <f t="shared" ca="1" si="361"/>
        <v>0</v>
      </c>
      <c r="BJ95" s="575"/>
      <c r="BK95" s="5"/>
      <c r="BL95" s="5"/>
      <c r="BM95" s="5"/>
      <c r="BN95" s="5"/>
      <c r="BO95" s="5"/>
      <c r="BP95" s="1102">
        <f t="shared" si="362"/>
        <v>0</v>
      </c>
      <c r="BR95" s="575">
        <f t="shared" ca="1" si="363"/>
        <v>0</v>
      </c>
      <c r="BS95" s="5">
        <f t="shared" ca="1" si="364"/>
        <v>0</v>
      </c>
      <c r="BT95" s="5">
        <f t="shared" ca="1" si="365"/>
        <v>0</v>
      </c>
      <c r="BU95" s="5">
        <f t="shared" ca="1" si="366"/>
        <v>0</v>
      </c>
      <c r="BV95" s="5">
        <f t="shared" ca="1" si="367"/>
        <v>0</v>
      </c>
      <c r="BW95" s="5">
        <f t="shared" ca="1" si="368"/>
        <v>0</v>
      </c>
      <c r="BX95" s="2175">
        <f t="shared" ca="1" si="369"/>
        <v>0</v>
      </c>
      <c r="BY95" s="573">
        <f t="shared" ca="1" si="370"/>
        <v>0</v>
      </c>
      <c r="BZ95" s="257"/>
      <c r="CB95" s="1182"/>
      <c r="CC95" s="387">
        <f ca="1">'Calc - SENIOR PERS'!$S$124/9*3</f>
        <v>0</v>
      </c>
      <c r="CD95" s="56">
        <f ca="1">'Calc - SENIOR PERS'!$S$124/9*3</f>
        <v>0</v>
      </c>
      <c r="CE95" s="56">
        <f ca="1">'Calc - SENIOR PERS'!$S$124/9*2</f>
        <v>0</v>
      </c>
      <c r="CF95" s="56">
        <f ca="1">'Calc - SENIOR PERS'!$S$124/9*0.5</f>
        <v>0</v>
      </c>
      <c r="CG95" s="1183">
        <f ca="1">'Calc - SENIOR PERS'!$S$124/9*0.5</f>
        <v>0</v>
      </c>
      <c r="CH95" s="1184">
        <f ca="1">'Calc - SENIOR PERS'!$S$125/9*3</f>
        <v>0</v>
      </c>
      <c r="CI95" s="1185">
        <f ca="1">'Calc - SENIOR PERS'!$S$125/9*3</f>
        <v>0</v>
      </c>
      <c r="CJ95" s="1185">
        <f ca="1">'Calc - SENIOR PERS'!$S$125/9*2</f>
        <v>0</v>
      </c>
      <c r="CK95" s="1185">
        <f ca="1">'Calc - SENIOR PERS'!$S$125/9*0.5</f>
        <v>0</v>
      </c>
      <c r="CL95" s="1186">
        <f ca="1">'Calc - SENIOR PERS'!$S$125/9*0.5</f>
        <v>0</v>
      </c>
      <c r="CM95" s="1187">
        <f ca="1">'Calc - SENIOR PERS'!$S$126/8*3</f>
        <v>0</v>
      </c>
      <c r="CN95" s="1188">
        <f ca="1">'Calc - SENIOR PERS'!$S$126/8*3</f>
        <v>0</v>
      </c>
      <c r="CO95" s="1189">
        <f ca="1">'Calc - SENIOR PERS'!$S$126/8*2</f>
        <v>0</v>
      </c>
      <c r="CP95" s="1234">
        <f t="shared" ca="1" si="371"/>
        <v>0</v>
      </c>
      <c r="CS95" s="575"/>
      <c r="CT95" s="5"/>
      <c r="CU95" s="1180"/>
      <c r="CV95" s="575"/>
      <c r="CW95" s="5"/>
      <c r="CX95" s="1249"/>
      <c r="CY95" s="575"/>
      <c r="CZ95" s="5"/>
      <c r="DA95" s="1180"/>
      <c r="DB95" s="575"/>
      <c r="DC95" s="5"/>
      <c r="DD95" s="1180"/>
      <c r="DE95" s="1181">
        <f t="shared" si="372"/>
        <v>0</v>
      </c>
      <c r="DG95" s="575"/>
      <c r="DH95" s="5"/>
      <c r="DI95" s="1180"/>
      <c r="DJ95" s="575"/>
      <c r="DK95" s="5"/>
      <c r="DL95" s="1249"/>
      <c r="DM95" s="575"/>
      <c r="DN95" s="5"/>
      <c r="DO95" s="1180"/>
      <c r="DP95" s="575"/>
      <c r="DQ95" s="5"/>
      <c r="DR95" s="1180"/>
      <c r="DS95" s="1181">
        <f t="shared" si="373"/>
        <v>0</v>
      </c>
      <c r="DU95" s="575"/>
      <c r="DV95" s="5"/>
      <c r="DW95" s="1180"/>
      <c r="DX95" s="575"/>
      <c r="DY95" s="5"/>
      <c r="DZ95" s="1249"/>
      <c r="EA95" s="575"/>
      <c r="EB95" s="5"/>
      <c r="EC95" s="1180"/>
      <c r="ED95" s="575"/>
      <c r="EE95" s="5"/>
      <c r="EF95" s="1180"/>
      <c r="EG95" s="1181">
        <f t="shared" si="374"/>
        <v>0</v>
      </c>
      <c r="EI95" s="403"/>
      <c r="EJ95" s="3220"/>
      <c r="EK95" s="57">
        <f t="shared" ca="1" si="375"/>
        <v>0</v>
      </c>
      <c r="EL95" s="5">
        <f t="shared" ca="1" si="376"/>
        <v>0</v>
      </c>
      <c r="EM95" s="5">
        <f t="shared" ca="1" si="377"/>
        <v>0</v>
      </c>
      <c r="EN95" s="5">
        <f t="shared" ca="1" si="378"/>
        <v>0</v>
      </c>
      <c r="EO95" s="5">
        <f t="shared" ca="1" si="379"/>
        <v>0</v>
      </c>
      <c r="EP95" s="5">
        <f t="shared" ca="1" si="380"/>
        <v>0</v>
      </c>
      <c r="EQ95" s="5">
        <f t="shared" ca="1" si="381"/>
        <v>0</v>
      </c>
      <c r="ER95" s="88">
        <f t="shared" ca="1" si="382"/>
        <v>0</v>
      </c>
      <c r="ES95" s="4"/>
      <c r="ET95" s="4"/>
      <c r="EU95" s="4"/>
      <c r="EV95" s="575">
        <f t="shared" ca="1" si="383"/>
        <v>0</v>
      </c>
      <c r="EW95" s="5">
        <f t="shared" ca="1" si="384"/>
        <v>0</v>
      </c>
      <c r="EX95" s="5">
        <f t="shared" ca="1" si="385"/>
        <v>0</v>
      </c>
      <c r="EY95" s="5">
        <f t="shared" ca="1" si="386"/>
        <v>0</v>
      </c>
      <c r="EZ95" s="5">
        <f t="shared" ca="1" si="387"/>
        <v>0</v>
      </c>
      <c r="FA95" s="5">
        <f t="shared" ca="1" si="388"/>
        <v>0</v>
      </c>
      <c r="FB95" s="164">
        <f t="shared" ca="1" si="389"/>
        <v>0</v>
      </c>
      <c r="FC95" s="1"/>
      <c r="FD95" s="575">
        <f t="shared" ca="1" si="390"/>
        <v>0</v>
      </c>
      <c r="FE95" s="5">
        <f t="shared" ca="1" si="391"/>
        <v>0</v>
      </c>
      <c r="FF95" s="5">
        <f t="shared" ca="1" si="392"/>
        <v>0</v>
      </c>
      <c r="FG95" s="5">
        <f t="shared" ca="1" si="393"/>
        <v>0</v>
      </c>
      <c r="FH95" s="5">
        <f t="shared" ca="1" si="394"/>
        <v>0</v>
      </c>
      <c r="FI95" s="5">
        <f t="shared" ca="1" si="395"/>
        <v>0</v>
      </c>
      <c r="FJ95" s="138">
        <f t="shared" ca="1" si="396"/>
        <v>0</v>
      </c>
      <c r="FL95" s="575">
        <f t="shared" ca="1" si="397"/>
        <v>0</v>
      </c>
      <c r="FM95" s="5">
        <f t="shared" ca="1" si="398"/>
        <v>0</v>
      </c>
      <c r="FN95" s="5">
        <f t="shared" ca="1" si="399"/>
        <v>0</v>
      </c>
      <c r="FO95" s="5">
        <f t="shared" ca="1" si="400"/>
        <v>0</v>
      </c>
      <c r="FP95" s="5">
        <f t="shared" ca="1" si="401"/>
        <v>0</v>
      </c>
      <c r="FQ95" s="5">
        <f t="shared" ca="1" si="402"/>
        <v>0</v>
      </c>
      <c r="FR95" s="206">
        <f t="shared" ca="1" si="403"/>
        <v>0</v>
      </c>
      <c r="FT95" s="575">
        <f t="shared" ca="1" si="404"/>
        <v>0</v>
      </c>
      <c r="FU95" s="5">
        <f t="shared" ca="1" si="405"/>
        <v>0</v>
      </c>
      <c r="FV95" s="5">
        <f t="shared" ca="1" si="406"/>
        <v>0</v>
      </c>
      <c r="FW95" s="5">
        <f t="shared" ca="1" si="407"/>
        <v>0</v>
      </c>
      <c r="FX95" s="5">
        <f t="shared" ca="1" si="408"/>
        <v>0</v>
      </c>
      <c r="FY95" s="5">
        <f t="shared" ca="1" si="409"/>
        <v>0</v>
      </c>
      <c r="FZ95" s="178">
        <f t="shared" ca="1" si="410"/>
        <v>0</v>
      </c>
      <c r="GB95" s="575">
        <f t="shared" ca="1" si="411"/>
        <v>0</v>
      </c>
      <c r="GC95" s="5">
        <f t="shared" ca="1" si="412"/>
        <v>0</v>
      </c>
      <c r="GD95" s="5">
        <f t="shared" ca="1" si="413"/>
        <v>0</v>
      </c>
      <c r="GE95" s="5">
        <f t="shared" ca="1" si="414"/>
        <v>0</v>
      </c>
      <c r="GF95" s="5">
        <f t="shared" ca="1" si="415"/>
        <v>0</v>
      </c>
      <c r="GG95" s="5">
        <f t="shared" ca="1" si="416"/>
        <v>0</v>
      </c>
      <c r="GH95" s="150">
        <f t="shared" ca="1" si="417"/>
        <v>0</v>
      </c>
      <c r="GJ95" s="575">
        <f t="shared" ca="1" si="418"/>
        <v>0</v>
      </c>
      <c r="GK95" s="5">
        <f t="shared" ca="1" si="419"/>
        <v>0</v>
      </c>
      <c r="GL95" s="5">
        <f t="shared" ca="1" si="420"/>
        <v>0</v>
      </c>
      <c r="GM95" s="5">
        <f t="shared" ca="1" si="421"/>
        <v>0</v>
      </c>
      <c r="GN95" s="5">
        <f t="shared" ca="1" si="422"/>
        <v>0</v>
      </c>
      <c r="GO95" s="5">
        <f t="shared" ca="1" si="423"/>
        <v>0</v>
      </c>
      <c r="GP95" s="192">
        <f t="shared" ca="1" si="424"/>
        <v>0</v>
      </c>
      <c r="GR95" s="575"/>
      <c r="GS95" s="5"/>
      <c r="GT95" s="5"/>
      <c r="GU95" s="5"/>
      <c r="GV95" s="5"/>
      <c r="GW95" s="5"/>
      <c r="GX95" s="1102">
        <f t="shared" si="425"/>
        <v>0</v>
      </c>
      <c r="GZ95" s="575">
        <f t="shared" ca="1" si="426"/>
        <v>0</v>
      </c>
      <c r="HA95" s="5">
        <f t="shared" ca="1" si="427"/>
        <v>0</v>
      </c>
      <c r="HB95" s="5">
        <f t="shared" ca="1" si="428"/>
        <v>0</v>
      </c>
      <c r="HC95" s="5">
        <f t="shared" ca="1" si="429"/>
        <v>0</v>
      </c>
      <c r="HD95" s="5">
        <f t="shared" ca="1" si="430"/>
        <v>0</v>
      </c>
      <c r="HE95" s="5">
        <f t="shared" ca="1" si="431"/>
        <v>0</v>
      </c>
      <c r="HF95" s="2175">
        <f t="shared" ca="1" si="432"/>
        <v>0</v>
      </c>
      <c r="HG95" s="573">
        <f t="shared" ca="1" si="433"/>
        <v>0</v>
      </c>
      <c r="HH95" s="257"/>
    </row>
    <row r="96" spans="1:216" ht="15" hidden="1" customHeight="1" thickBot="1" x14ac:dyDescent="0.3">
      <c r="A96" s="403"/>
      <c r="B96" s="3220"/>
      <c r="C96" s="352">
        <f ca="1">'Calc - SENIOR PERS'!$B$132</f>
        <v>0</v>
      </c>
      <c r="D96" s="321">
        <f ca="1">'Calc - SENIOR PERS'!$S$137</f>
        <v>0</v>
      </c>
      <c r="E96" s="321">
        <f ca="1">'Calc - SENIOR PERS'!$S$138</f>
        <v>0</v>
      </c>
      <c r="F96" s="321">
        <f ca="1">'Calc - SENIOR PERS'!$S$139</f>
        <v>0</v>
      </c>
      <c r="G96" s="321">
        <f ca="1">'Calc - SENIOR PERS'!$S$140</f>
        <v>0</v>
      </c>
      <c r="H96" s="321">
        <f ca="1">'Calc - SENIOR PERS'!$S$141</f>
        <v>0</v>
      </c>
      <c r="I96" s="321">
        <f ca="1">'Calc - SENIOR PERS'!$S$142</f>
        <v>0</v>
      </c>
      <c r="J96" s="351">
        <f t="shared" ca="1" si="355"/>
        <v>0</v>
      </c>
      <c r="K96" s="4"/>
      <c r="L96" s="4"/>
      <c r="M96" s="4"/>
      <c r="N96" s="575">
        <f ca="1">IF(AND((OFFSET('DATA INPUT'!$C$11, ROW()-ROW($N$87),0)=$N$10),
 OR(OFFSET('DATA INPUT'!$H$11,ROW()-ROW($N$87),0)=3,
OFFSET('DATA INPUT'!$V$11, ROW()-ROW($N$87),0)=3,
OFFSET('DATA INPUT'!$AD$11, ROW()-ROW($N$87),0)=3)),
OFFSET('Calc - SENIOR PERS'!$AA$11,COLUMN()-COLUMN($N$87) + (ROW()-ROW($N$87))*14,0),0)</f>
        <v>0</v>
      </c>
      <c r="O96" s="5">
        <f ca="1">IF(AND((OFFSET('DATA INPUT'!$C$11, ROW()-ROW($N$87),0)=$N$10),
 OR(OFFSET('DATA INPUT'!$H$11,ROW()-ROW($N$87),0)=3,
OFFSET('DATA INPUT'!$V$11, ROW()-ROW($N$87),0)=3,
OFFSET('DATA INPUT'!$AD$11, ROW()-ROW($N$87),0)=3)),
OFFSET('Calc - SENIOR PERS'!$AA$11,COLUMN()-COLUMN($N$87) + (ROW()-ROW($N$87))*14,0),0)</f>
        <v>0</v>
      </c>
      <c r="P96" s="5">
        <f ca="1">IF(AND((OFFSET('DATA INPUT'!$C$11, ROW()-ROW($N$87),0)=$N$10),
 OR(OFFSET('DATA INPUT'!$H$11,ROW()-ROW($N$87),0)=3,
OFFSET('DATA INPUT'!$V$11, ROW()-ROW($N$87),0)=3,
OFFSET('DATA INPUT'!$AD$11, ROW()-ROW($N$87),0)=3)),
OFFSET('Calc - SENIOR PERS'!$AA$11,COLUMN()-COLUMN($N$87) + (ROW()-ROW($N$87))*14,0),0)</f>
        <v>0</v>
      </c>
      <c r="Q96" s="5">
        <f ca="1">IF(AND((OFFSET('DATA INPUT'!$C$11, ROW()-ROW($N$87),0)=$N$10),
 OR(OFFSET('DATA INPUT'!$H$11,ROW()-ROW($N$87),0)=3,
OFFSET('DATA INPUT'!$V$11, ROW()-ROW($N$87),0)=3,
OFFSET('DATA INPUT'!$AD$11, ROW()-ROW($N$87),0)=3)),
OFFSET('Calc - SENIOR PERS'!$AA$11,COLUMN()-COLUMN($N$87) + (ROW()-ROW($N$87))*14,0),0)</f>
        <v>0</v>
      </c>
      <c r="R96" s="5">
        <f ca="1">IF(AND((OFFSET('DATA INPUT'!$C$11, ROW()-ROW($N$87),0)=$N$10),
 OR(OFFSET('DATA INPUT'!$H$11,ROW()-ROW($N$87),0)=3,
OFFSET('DATA INPUT'!$V$11, ROW()-ROW($N$87),0)=3,
OFFSET('DATA INPUT'!$AD$11, ROW()-ROW($N$87),0)=3)),
OFFSET('Calc - SENIOR PERS'!$AA$11,COLUMN()-COLUMN($N$87) + (ROW()-ROW($N$87))*14,0),0)</f>
        <v>0</v>
      </c>
      <c r="S96" s="5">
        <f ca="1">IF(AND((OFFSET('DATA INPUT'!$C$11, ROW()-ROW($N$87),0)=$N$10),
 OR(OFFSET('DATA INPUT'!$H$11,ROW()-ROW($N$87),0)=3,
OFFSET('DATA INPUT'!$V$11, ROW()-ROW($N$87),0)=3,
OFFSET('DATA INPUT'!$AD$11, ROW()-ROW($N$87),0)=3)),
OFFSET('Calc - SENIOR PERS'!$AA$11,COLUMN()-COLUMN($N$87) + (ROW()-ROW($N$87))*14,0),0)</f>
        <v>0</v>
      </c>
      <c r="T96" s="164">
        <f t="shared" ca="1" si="356"/>
        <v>0</v>
      </c>
      <c r="U96" s="1"/>
      <c r="V96" s="575">
        <f ca="1">IF(AND((OFFSET('DATA INPUT'!$C$11, ROW()-ROW($V$87),0)=$V$10),
 OR(OFFSET('DATA INPUT'!$H$11,ROW()-ROW($V$87),0)=3,
OFFSET('DATA INPUT'!$V$11, ROW()-ROW($V$87),0)=3,
OFFSET('DATA INPUT'!$AD$11, ROW()-ROW($V$87),0)=3)),
OFFSET('Calc - SENIOR PERS'!$AA$11,COLUMN()-COLUMN($V$87) + (ROW()-ROW($V$87))*14,0),0)</f>
        <v>0</v>
      </c>
      <c r="W96" s="5">
        <f ca="1">IF(AND((OFFSET('DATA INPUT'!$C$11, ROW()-ROW($V$87),0)=$V$10),
 OR(OFFSET('DATA INPUT'!$H$11,ROW()-ROW($V$87),0)=3,
OFFSET('DATA INPUT'!$V$11, ROW()-ROW($V$87),0)=3,
OFFSET('DATA INPUT'!$AD$11, ROW()-ROW($V$87),0)=3)),
OFFSET('Calc - SENIOR PERS'!$AA$11,COLUMN()-COLUMN($V$87) + (ROW()-ROW($V$87))*14,0),0)</f>
        <v>0</v>
      </c>
      <c r="X96" s="5">
        <f ca="1">IF(AND((OFFSET('DATA INPUT'!$C$11, ROW()-ROW($V$87),0)=$V$10),
 OR(OFFSET('DATA INPUT'!$H$11,ROW()-ROW($V$87),0)=3,
OFFSET('DATA INPUT'!$V$11, ROW()-ROW($V$87),0)=3,
OFFSET('DATA INPUT'!$AD$11, ROW()-ROW($V$87),0)=3)),
OFFSET('Calc - SENIOR PERS'!$AA$11,COLUMN()-COLUMN($V$87) + (ROW()-ROW($V$87))*14,0),0)</f>
        <v>0</v>
      </c>
      <c r="Y96" s="5">
        <f ca="1">IF(AND((OFFSET('DATA INPUT'!$C$11, ROW()-ROW($V$87),0)=$V$10),
 OR(OFFSET('DATA INPUT'!$H$11,ROW()-ROW($V$87),0)=3,
OFFSET('DATA INPUT'!$V$11, ROW()-ROW($V$87),0)=3,
OFFSET('DATA INPUT'!$AD$11, ROW()-ROW($V$87),0)=3)),
OFFSET('Calc - SENIOR PERS'!$AA$11,COLUMN()-COLUMN($V$87) + (ROW()-ROW($V$87))*14,0),0)</f>
        <v>0</v>
      </c>
      <c r="Z96" s="5">
        <f ca="1">IF(AND((OFFSET('DATA INPUT'!$C$11, ROW()-ROW($V$87),0)=$V$10),
 OR(OFFSET('DATA INPUT'!$H$11,ROW()-ROW($V$87),0)=3,
OFFSET('DATA INPUT'!$V$11, ROW()-ROW($V$87),0)=3,
OFFSET('DATA INPUT'!$AD$11, ROW()-ROW($V$87),0)=3)),
OFFSET('Calc - SENIOR PERS'!$AA$11,COLUMN()-COLUMN($V$87) + (ROW()-ROW($V$87))*14,0),0)</f>
        <v>0</v>
      </c>
      <c r="AA96" s="5">
        <f ca="1">IF(AND((OFFSET('DATA INPUT'!$C$11, ROW()-ROW($V$87),0)=$V$10),
 OR(OFFSET('DATA INPUT'!$H$11,ROW()-ROW($V$87),0)=3,
OFFSET('DATA INPUT'!$V$11, ROW()-ROW($V$87),0)=3,
OFFSET('DATA INPUT'!$AD$11, ROW()-ROW($V$87),0)=3)),
OFFSET('Calc - SENIOR PERS'!$AA$11,COLUMN()-COLUMN($V$87) + (ROW()-ROW($V$87))*14,0),0)</f>
        <v>0</v>
      </c>
      <c r="AB96" s="138">
        <f t="shared" ca="1" si="357"/>
        <v>0</v>
      </c>
      <c r="AD96" s="575">
        <f ca="1">IF(AND((OFFSET('DATA INPUT'!$C$11, ROW()-ROW($AD$87),0)=$AD$10),
 OR(OFFSET('DATA INPUT'!$H$11,ROW()-ROW($AD$87),0)=3,
OFFSET('DATA INPUT'!$V$11, ROW()-ROW($AD$87),0)=3,
OFFSET('DATA INPUT'!$AD$11, ROW()-ROW($AD$87),0)=3)),
OFFSET('Calc - SENIOR PERS'!$AA$11,COLUMN()-COLUMN($AD$87) + (ROW()-ROW($AD$87))*14,0),0)</f>
        <v>0</v>
      </c>
      <c r="AE96" s="5">
        <f ca="1">IF(AND((OFFSET('DATA INPUT'!$C$11, ROW()-ROW($AD$87),0)=$AD$10),
 OR(OFFSET('DATA INPUT'!$H$11,ROW()-ROW($AD$87),0)=3,
OFFSET('DATA INPUT'!$V$11, ROW()-ROW($AD$87),0)=3,
OFFSET('DATA INPUT'!$AD$11, ROW()-ROW($AD$87),0)=3)),
OFFSET('Calc - SENIOR PERS'!$AA$11,COLUMN()-COLUMN($AD$87) + (ROW()-ROW($AD$87))*14,0),0)</f>
        <v>0</v>
      </c>
      <c r="AF96" s="5">
        <f ca="1">IF(AND((OFFSET('DATA INPUT'!$C$11, ROW()-ROW($AD$87),0)=$AD$10),
 OR(OFFSET('DATA INPUT'!$H$11,ROW()-ROW($AD$87),0)=3,
OFFSET('DATA INPUT'!$V$11, ROW()-ROW($AD$87),0)=3,
OFFSET('DATA INPUT'!$AD$11, ROW()-ROW($AD$87),0)=3)),
OFFSET('Calc - SENIOR PERS'!$AA$11,COLUMN()-COLUMN($AD$87) + (ROW()-ROW($AD$87))*14,0),0)</f>
        <v>0</v>
      </c>
      <c r="AG96" s="5">
        <f ca="1">IF(AND((OFFSET('DATA INPUT'!$C$11, ROW()-ROW($AD$87),0)=$AD$10),
 OR(OFFSET('DATA INPUT'!$H$11,ROW()-ROW($AD$87),0)=3,
OFFSET('DATA INPUT'!$V$11, ROW()-ROW($AD$87),0)=3,
OFFSET('DATA INPUT'!$AD$11, ROW()-ROW($AD$87),0)=3)),
OFFSET('Calc - SENIOR PERS'!$AA$11,COLUMN()-COLUMN($AD$87) + (ROW()-ROW($AD$87))*14,0),0)</f>
        <v>0</v>
      </c>
      <c r="AH96" s="5">
        <f ca="1">IF(AND((OFFSET('DATA INPUT'!$C$11, ROW()-ROW($AD$87),0)=$AD$10),
 OR(OFFSET('DATA INPUT'!$H$11,ROW()-ROW($AD$87),0)=3,
OFFSET('DATA INPUT'!$V$11, ROW()-ROW($AD$87),0)=3,
OFFSET('DATA INPUT'!$AD$11, ROW()-ROW($AD$87),0)=3)),
OFFSET('Calc - SENIOR PERS'!$AA$11,COLUMN()-COLUMN($AD$87) + (ROW()-ROW($AD$87))*14,0),0)</f>
        <v>0</v>
      </c>
      <c r="AI96" s="5">
        <f ca="1">IF(AND((OFFSET('DATA INPUT'!$C$11, ROW()-ROW($AD$87),0)=$AD$10),
 OR(OFFSET('DATA INPUT'!$H$11,ROW()-ROW($AD$87),0)=3,
OFFSET('DATA INPUT'!$V$11, ROW()-ROW($AD$87),0)=3,
OFFSET('DATA INPUT'!$AD$11, ROW()-ROW($AD$87),0)=3)),
OFFSET('Calc - SENIOR PERS'!$AA$11,COLUMN()-COLUMN($AD$87) + (ROW()-ROW($AD$87))*14,0),0)</f>
        <v>0</v>
      </c>
      <c r="AJ96" s="206">
        <f t="shared" ca="1" si="358"/>
        <v>0</v>
      </c>
      <c r="AL96" s="575">
        <f ca="1">IF(AND((OFFSET('DATA INPUT'!$C$11, ROW()-ROW($AL$87),0)=$AL$10),
 OR(OFFSET('DATA INPUT'!$H$11,ROW()-ROW($AL$87),0)=3,
OFFSET('DATA INPUT'!$V$11, ROW()-ROW($AL$87),0)=3,
OFFSET('DATA INPUT'!$AD$11, ROW()-ROW($AL$87),0)=3)),
OFFSET('Calc - SENIOR PERS'!$AA$11,COLUMN()-COLUMN($AL$87) + (ROW()-ROW($AL$87))*14,0),0)</f>
        <v>0</v>
      </c>
      <c r="AM96" s="5">
        <f ca="1">IF(AND((OFFSET('DATA INPUT'!$C$11, ROW()-ROW($AL$87),0)=$AL$10),
 OR(OFFSET('DATA INPUT'!$H$11,ROW()-ROW($AL$87),0)=3,
OFFSET('DATA INPUT'!$V$11, ROW()-ROW($AL$87),0)=3,
OFFSET('DATA INPUT'!$AD$11, ROW()-ROW($AL$87),0)=3)),
OFFSET('Calc - SENIOR PERS'!$AA$11,COLUMN()-COLUMN($AL$87) + (ROW()-ROW($AL$87))*14,0),0)</f>
        <v>0</v>
      </c>
      <c r="AN96" s="5">
        <f ca="1">IF(AND((OFFSET('DATA INPUT'!$C$11, ROW()-ROW($AL$87),0)=$AL$10),
 OR(OFFSET('DATA INPUT'!$H$11,ROW()-ROW($AL$87),0)=3,
OFFSET('DATA INPUT'!$V$11, ROW()-ROW($AL$87),0)=3,
OFFSET('DATA INPUT'!$AD$11, ROW()-ROW($AL$87),0)=3)),
OFFSET('Calc - SENIOR PERS'!$AA$11,COLUMN()-COLUMN($AL$87) + (ROW()-ROW($AL$87))*14,0),0)</f>
        <v>0</v>
      </c>
      <c r="AO96" s="5">
        <f ca="1">IF(AND((OFFSET('DATA INPUT'!$C$11, ROW()-ROW($AL$87),0)=$AL$10),
 OR(OFFSET('DATA INPUT'!$H$11,ROW()-ROW($AL$87),0)=3,
OFFSET('DATA INPUT'!$V$11, ROW()-ROW($AL$87),0)=3,
OFFSET('DATA INPUT'!$AD$11, ROW()-ROW($AL$87),0)=3)),
OFFSET('Calc - SENIOR PERS'!$AA$11,COLUMN()-COLUMN($AL$87) + (ROW()-ROW($AL$87))*14,0),0)</f>
        <v>0</v>
      </c>
      <c r="AP96" s="5">
        <f ca="1">IF(AND((OFFSET('DATA INPUT'!$C$11, ROW()-ROW($AL$87),0)=$AL$10),
 OR(OFFSET('DATA INPUT'!$H$11,ROW()-ROW($AL$87),0)=3,
OFFSET('DATA INPUT'!$V$11, ROW()-ROW($AL$87),0)=3,
OFFSET('DATA INPUT'!$AD$11, ROW()-ROW($AL$87),0)=3)),
OFFSET('Calc - SENIOR PERS'!$AA$11,COLUMN()-COLUMN($AL$87) + (ROW()-ROW($AL$87))*14,0),0)</f>
        <v>0</v>
      </c>
      <c r="AQ96" s="5">
        <f ca="1">IF(AND((OFFSET('DATA INPUT'!$C$11, ROW()-ROW($AL$87),0)=$AL$10),
 OR(OFFSET('DATA INPUT'!$H$11,ROW()-ROW($AL$87),0)=3,
OFFSET('DATA INPUT'!$V$11, ROW()-ROW($AL$87),0)=3,
OFFSET('DATA INPUT'!$AD$11, ROW()-ROW($AL$87),0)=3)),
OFFSET('Calc - SENIOR PERS'!$AA$11,COLUMN()-COLUMN($AL$87) + (ROW()-ROW($AL$87))*14,0),0)</f>
        <v>0</v>
      </c>
      <c r="AR96" s="178">
        <f t="shared" ca="1" si="359"/>
        <v>0</v>
      </c>
      <c r="AT96" s="575">
        <f ca="1">IF(AND((OFFSET('DATA INPUT'!$C$11, ROW()-ROW($AT$87),0)=$AT$10),
 OR(OFFSET('DATA INPUT'!$H$11,ROW()-ROW($AT$87),0)=3,
OFFSET('DATA INPUT'!$V$11, ROW()-ROW($AT$87),0)=3,
OFFSET('DATA INPUT'!$AD$11, ROW()-ROW($AT$87),0)=3)),
OFFSET('Calc - SENIOR PERS'!$AA$11,COLUMN()-COLUMN($AT$87) + (ROW()-ROW($AT$87))*14,0),0)</f>
        <v>0</v>
      </c>
      <c r="AU96" s="5">
        <f ca="1">IF(AND((OFFSET('DATA INPUT'!$C$11, ROW()-ROW($AT$87),0)=$AT$10),
 OR(OFFSET('DATA INPUT'!$H$11,ROW()-ROW($AT$87),0)=3,
OFFSET('DATA INPUT'!$V$11, ROW()-ROW($AT$87),0)=3,
OFFSET('DATA INPUT'!$AD$11, ROW()-ROW($AT$87),0)=3)),
OFFSET('Calc - SENIOR PERS'!$AA$11,COLUMN()-COLUMN($AT$87) + (ROW()-ROW($AT$87))*14,0),0)</f>
        <v>0</v>
      </c>
      <c r="AV96" s="5">
        <f ca="1">IF(AND((OFFSET('DATA INPUT'!$C$11, ROW()-ROW($AT$87),0)=$AT$10),
 OR(OFFSET('DATA INPUT'!$H$11,ROW()-ROW($AT$87),0)=3,
OFFSET('DATA INPUT'!$V$11, ROW()-ROW($AT$87),0)=3,
OFFSET('DATA INPUT'!$AD$11, ROW()-ROW($AT$87),0)=3)),
OFFSET('Calc - SENIOR PERS'!$AA$11,COLUMN()-COLUMN($AT$87) + (ROW()-ROW($AT$87))*14,0),0)</f>
        <v>0</v>
      </c>
      <c r="AW96" s="5">
        <f ca="1">IF(AND((OFFSET('DATA INPUT'!$C$11, ROW()-ROW($AT$87),0)=$AT$10),
 OR(OFFSET('DATA INPUT'!$H$11,ROW()-ROW($AT$87),0)=3,
OFFSET('DATA INPUT'!$V$11, ROW()-ROW($AT$87),0)=3,
OFFSET('DATA INPUT'!$AD$11, ROW()-ROW($AT$87),0)=3)),
OFFSET('Calc - SENIOR PERS'!$AA$11,COLUMN()-COLUMN($AT$87) + (ROW()-ROW($AT$87))*14,0),0)</f>
        <v>0</v>
      </c>
      <c r="AX96" s="5">
        <f ca="1">IF(AND((OFFSET('DATA INPUT'!$C$11, ROW()-ROW($AT$87),0)=$AT$10),
 OR(OFFSET('DATA INPUT'!$H$11,ROW()-ROW($AT$87),0)=3,
OFFSET('DATA INPUT'!$V$11, ROW()-ROW($AT$87),0)=3,
OFFSET('DATA INPUT'!$AD$11, ROW()-ROW($AT$87),0)=3)),
OFFSET('Calc - SENIOR PERS'!$AA$11,COLUMN()-COLUMN($AT$87) + (ROW()-ROW($AT$87))*14,0),0)</f>
        <v>0</v>
      </c>
      <c r="AY96" s="5">
        <f ca="1">IF(AND((OFFSET('DATA INPUT'!$C$11, ROW()-ROW($AT$87),0)=$AT$10),
 OR(OFFSET('DATA INPUT'!$H$11,ROW()-ROW($AT$87),0)=3,
OFFSET('DATA INPUT'!$V$11, ROW()-ROW($AT$87),0)=3,
OFFSET('DATA INPUT'!$AD$11, ROW()-ROW($AT$87),0)=3)),
OFFSET('Calc - SENIOR PERS'!$AA$11,COLUMN()-COLUMN($AT$87) + (ROW()-ROW($AT$87))*14,0),0)</f>
        <v>0</v>
      </c>
      <c r="AZ96" s="150">
        <f t="shared" ca="1" si="360"/>
        <v>0</v>
      </c>
      <c r="BB96" s="575">
        <f ca="1">IF(AND((OFFSET('DATA INPUT'!$C$11, ROW()-ROW($BB$87),0)=$BB$10),
 OR(OFFSET('DATA INPUT'!$H$11,ROW()-ROW($BB$87),0)=3,
OFFSET('DATA INPUT'!$V$11, ROW()-ROW($BB$87),0)=3,
OFFSET('DATA INPUT'!$AD$11, ROW()-ROW($BB$87),0)=3)),
OFFSET('Calc - SENIOR PERS'!$AA$11,COLUMN()-COLUMN($BB$87) + (ROW()-ROW($BB$87))*14,0),0)</f>
        <v>0</v>
      </c>
      <c r="BC96" s="5">
        <f ca="1">IF(AND((OFFSET('DATA INPUT'!$C$11, ROW()-ROW($BB$87),0)=$BB$10),
 OR(OFFSET('DATA INPUT'!$H$11,ROW()-ROW($BB$87),0)=3,
OFFSET('DATA INPUT'!$V$11, ROW()-ROW($BB$87),0)=3,
OFFSET('DATA INPUT'!$AD$11, ROW()-ROW($BB$87),0)=3)),
OFFSET('Calc - SENIOR PERS'!$AA$11,COLUMN()-COLUMN($BB$87) + (ROW()-ROW($BB$87))*14,0),0)</f>
        <v>0</v>
      </c>
      <c r="BD96" s="5">
        <f ca="1">IF(AND((OFFSET('DATA INPUT'!$C$11, ROW()-ROW($BB$87),0)=$BB$10),
 OR(OFFSET('DATA INPUT'!$H$11,ROW()-ROW($BB$87),0)=3,
OFFSET('DATA INPUT'!$V$11, ROW()-ROW($BB$87),0)=3,
OFFSET('DATA INPUT'!$AD$11, ROW()-ROW($BB$87),0)=3)),
OFFSET('Calc - SENIOR PERS'!$AA$11,COLUMN()-COLUMN($BB$87) + (ROW()-ROW($BB$87))*14,0),0)</f>
        <v>0</v>
      </c>
      <c r="BE96" s="5">
        <f ca="1">IF(AND((OFFSET('DATA INPUT'!$C$11, ROW()-ROW($BB$87),0)=$BB$10),
 OR(OFFSET('DATA INPUT'!$H$11,ROW()-ROW($BB$87),0)=3,
OFFSET('DATA INPUT'!$V$11, ROW()-ROW($BB$87),0)=3,
OFFSET('DATA INPUT'!$AD$11, ROW()-ROW($BB$87),0)=3)),
OFFSET('Calc - SENIOR PERS'!$AA$11,COLUMN()-COLUMN($BB$87) + (ROW()-ROW($BB$87))*14,0),0)</f>
        <v>0</v>
      </c>
      <c r="BF96" s="5">
        <f ca="1">IF(AND((OFFSET('DATA INPUT'!$C$11, ROW()-ROW($BB$87),0)=$BB$10),
 OR(OFFSET('DATA INPUT'!$H$11,ROW()-ROW($BB$87),0)=3,
OFFSET('DATA INPUT'!$V$11, ROW()-ROW($BB$87),0)=3,
OFFSET('DATA INPUT'!$AD$11, ROW()-ROW($BB$87),0)=3)),
OFFSET('Calc - SENIOR PERS'!$AA$11,COLUMN()-COLUMN($BB$87) + (ROW()-ROW($BB$87))*14,0),0)</f>
        <v>0</v>
      </c>
      <c r="BG96" s="5">
        <f ca="1">IF(AND((OFFSET('DATA INPUT'!$C$11, ROW()-ROW($BB$87),0)=$BB$10),
 OR(OFFSET('DATA INPUT'!$H$11,ROW()-ROW($BB$87),0)=3,
OFFSET('DATA INPUT'!$V$11, ROW()-ROW($BB$87),0)=3,
OFFSET('DATA INPUT'!$AD$11, ROW()-ROW($BB$87),0)=3)),
OFFSET('Calc - SENIOR PERS'!$AA$11,COLUMN()-COLUMN($BB$87) + (ROW()-ROW($BB$87))*14,0),0)</f>
        <v>0</v>
      </c>
      <c r="BH96" s="192">
        <f t="shared" ca="1" si="361"/>
        <v>0</v>
      </c>
      <c r="BJ96" s="1034"/>
      <c r="BK96" s="321"/>
      <c r="BL96" s="321"/>
      <c r="BM96" s="321"/>
      <c r="BN96" s="321"/>
      <c r="BO96" s="321"/>
      <c r="BP96" s="1107">
        <f t="shared" si="362"/>
        <v>0</v>
      </c>
      <c r="BR96" s="575">
        <f t="shared" ca="1" si="363"/>
        <v>0</v>
      </c>
      <c r="BS96" s="5">
        <f t="shared" ca="1" si="364"/>
        <v>0</v>
      </c>
      <c r="BT96" s="5">
        <f t="shared" ca="1" si="365"/>
        <v>0</v>
      </c>
      <c r="BU96" s="5">
        <f t="shared" ca="1" si="366"/>
        <v>0</v>
      </c>
      <c r="BV96" s="5">
        <f t="shared" ca="1" si="367"/>
        <v>0</v>
      </c>
      <c r="BW96" s="5">
        <f t="shared" ca="1" si="368"/>
        <v>0</v>
      </c>
      <c r="BX96" s="2175">
        <f t="shared" ca="1" si="369"/>
        <v>0</v>
      </c>
      <c r="BY96" s="573">
        <f t="shared" ca="1" si="370"/>
        <v>0</v>
      </c>
      <c r="BZ96" s="257"/>
      <c r="CB96" s="1182"/>
      <c r="CC96" s="387">
        <f ca="1">'Calc - SENIOR PERS'!$S$138/9*3</f>
        <v>0</v>
      </c>
      <c r="CD96" s="56">
        <f ca="1">'Calc - SENIOR PERS'!$S$138/9*3</f>
        <v>0</v>
      </c>
      <c r="CE96" s="56">
        <f ca="1">'Calc - SENIOR PERS'!$S$138/9*2</f>
        <v>0</v>
      </c>
      <c r="CF96" s="56">
        <f ca="1">'Calc - SENIOR PERS'!$S$138/9*0.5</f>
        <v>0</v>
      </c>
      <c r="CG96" s="1183">
        <f ca="1">'Calc - SENIOR PERS'!$S$138/9*0.5</f>
        <v>0</v>
      </c>
      <c r="CH96" s="1184">
        <f ca="1">'Calc - SENIOR PERS'!$S$139/9*3</f>
        <v>0</v>
      </c>
      <c r="CI96" s="1185">
        <f ca="1">'Calc - SENIOR PERS'!$S$139/9*3</f>
        <v>0</v>
      </c>
      <c r="CJ96" s="1185">
        <f ca="1">'Calc - SENIOR PERS'!$S$139/9*2</f>
        <v>0</v>
      </c>
      <c r="CK96" s="1185">
        <f ca="1">'Calc - SENIOR PERS'!$S$139/9*0.5</f>
        <v>0</v>
      </c>
      <c r="CL96" s="1186">
        <f ca="1">'Calc - SENIOR PERS'!$S$139/9*0.5</f>
        <v>0</v>
      </c>
      <c r="CM96" s="1187">
        <f ca="1">'Calc - SENIOR PERS'!$S$140/8*3</f>
        <v>0</v>
      </c>
      <c r="CN96" s="1188">
        <f ca="1">'Calc - SENIOR PERS'!$S$140/8*3</f>
        <v>0</v>
      </c>
      <c r="CO96" s="1189">
        <f ca="1">'Calc - SENIOR PERS'!$S$140/8*2</f>
        <v>0</v>
      </c>
      <c r="CP96" s="1237">
        <f t="shared" ca="1" si="371"/>
        <v>0</v>
      </c>
      <c r="CS96" s="575"/>
      <c r="CT96" s="5"/>
      <c r="CU96" s="1180"/>
      <c r="CV96" s="575"/>
      <c r="CW96" s="5"/>
      <c r="CX96" s="1249"/>
      <c r="CY96" s="575"/>
      <c r="CZ96" s="5"/>
      <c r="DA96" s="1180"/>
      <c r="DB96" s="575"/>
      <c r="DC96" s="5"/>
      <c r="DD96" s="1180"/>
      <c r="DE96" s="1181">
        <f t="shared" si="372"/>
        <v>0</v>
      </c>
      <c r="DG96" s="575"/>
      <c r="DH96" s="5"/>
      <c r="DI96" s="1180"/>
      <c r="DJ96" s="575"/>
      <c r="DK96" s="5"/>
      <c r="DL96" s="1249"/>
      <c r="DM96" s="575"/>
      <c r="DN96" s="5"/>
      <c r="DO96" s="1180"/>
      <c r="DP96" s="575"/>
      <c r="DQ96" s="5"/>
      <c r="DR96" s="1180"/>
      <c r="DS96" s="1181">
        <f t="shared" si="373"/>
        <v>0</v>
      </c>
      <c r="DU96" s="575"/>
      <c r="DV96" s="5"/>
      <c r="DW96" s="1180"/>
      <c r="DX96" s="575"/>
      <c r="DY96" s="5"/>
      <c r="DZ96" s="1249"/>
      <c r="EA96" s="575"/>
      <c r="EB96" s="5"/>
      <c r="EC96" s="1180"/>
      <c r="ED96" s="575"/>
      <c r="EE96" s="5"/>
      <c r="EF96" s="1180"/>
      <c r="EG96" s="1181">
        <f t="shared" si="374"/>
        <v>0</v>
      </c>
      <c r="EI96" s="403"/>
      <c r="EJ96" s="3220"/>
      <c r="EK96" s="57">
        <f t="shared" ca="1" si="375"/>
        <v>0</v>
      </c>
      <c r="EL96" s="5">
        <f t="shared" ca="1" si="376"/>
        <v>0</v>
      </c>
      <c r="EM96" s="5">
        <f t="shared" ca="1" si="377"/>
        <v>0</v>
      </c>
      <c r="EN96" s="5">
        <f t="shared" ca="1" si="378"/>
        <v>0</v>
      </c>
      <c r="EO96" s="5">
        <f t="shared" ca="1" si="379"/>
        <v>0</v>
      </c>
      <c r="EP96" s="5">
        <f t="shared" ca="1" si="380"/>
        <v>0</v>
      </c>
      <c r="EQ96" s="5">
        <f t="shared" ca="1" si="381"/>
        <v>0</v>
      </c>
      <c r="ER96" s="351">
        <f t="shared" ca="1" si="382"/>
        <v>0</v>
      </c>
      <c r="ES96" s="4"/>
      <c r="ET96" s="4"/>
      <c r="EU96" s="4"/>
      <c r="EV96" s="575">
        <f t="shared" ca="1" si="383"/>
        <v>0</v>
      </c>
      <c r="EW96" s="5">
        <f t="shared" ca="1" si="384"/>
        <v>0</v>
      </c>
      <c r="EX96" s="5">
        <f t="shared" ca="1" si="385"/>
        <v>0</v>
      </c>
      <c r="EY96" s="5">
        <f t="shared" ca="1" si="386"/>
        <v>0</v>
      </c>
      <c r="EZ96" s="5">
        <f t="shared" ca="1" si="387"/>
        <v>0</v>
      </c>
      <c r="FA96" s="5">
        <f t="shared" ca="1" si="388"/>
        <v>0</v>
      </c>
      <c r="FB96" s="164">
        <f t="shared" ca="1" si="389"/>
        <v>0</v>
      </c>
      <c r="FC96" s="1"/>
      <c r="FD96" s="575">
        <f t="shared" ca="1" si="390"/>
        <v>0</v>
      </c>
      <c r="FE96" s="5">
        <f t="shared" ca="1" si="391"/>
        <v>0</v>
      </c>
      <c r="FF96" s="5">
        <f t="shared" ca="1" si="392"/>
        <v>0</v>
      </c>
      <c r="FG96" s="5">
        <f t="shared" ca="1" si="393"/>
        <v>0</v>
      </c>
      <c r="FH96" s="5">
        <f t="shared" ca="1" si="394"/>
        <v>0</v>
      </c>
      <c r="FI96" s="5">
        <f t="shared" ca="1" si="395"/>
        <v>0</v>
      </c>
      <c r="FJ96" s="138">
        <f t="shared" ca="1" si="396"/>
        <v>0</v>
      </c>
      <c r="FL96" s="575">
        <f t="shared" ca="1" si="397"/>
        <v>0</v>
      </c>
      <c r="FM96" s="5">
        <f t="shared" ca="1" si="398"/>
        <v>0</v>
      </c>
      <c r="FN96" s="5">
        <f t="shared" ca="1" si="399"/>
        <v>0</v>
      </c>
      <c r="FO96" s="5">
        <f t="shared" ca="1" si="400"/>
        <v>0</v>
      </c>
      <c r="FP96" s="5">
        <f t="shared" ca="1" si="401"/>
        <v>0</v>
      </c>
      <c r="FQ96" s="5">
        <f t="shared" ca="1" si="402"/>
        <v>0</v>
      </c>
      <c r="FR96" s="206">
        <f t="shared" ca="1" si="403"/>
        <v>0</v>
      </c>
      <c r="FT96" s="575">
        <f t="shared" ca="1" si="404"/>
        <v>0</v>
      </c>
      <c r="FU96" s="5">
        <f t="shared" ca="1" si="405"/>
        <v>0</v>
      </c>
      <c r="FV96" s="5">
        <f t="shared" ca="1" si="406"/>
        <v>0</v>
      </c>
      <c r="FW96" s="5">
        <f t="shared" ca="1" si="407"/>
        <v>0</v>
      </c>
      <c r="FX96" s="5">
        <f t="shared" ca="1" si="408"/>
        <v>0</v>
      </c>
      <c r="FY96" s="5">
        <f t="shared" ca="1" si="409"/>
        <v>0</v>
      </c>
      <c r="FZ96" s="178">
        <f t="shared" ca="1" si="410"/>
        <v>0</v>
      </c>
      <c r="GB96" s="575">
        <f t="shared" ca="1" si="411"/>
        <v>0</v>
      </c>
      <c r="GC96" s="5">
        <f t="shared" ca="1" si="412"/>
        <v>0</v>
      </c>
      <c r="GD96" s="5">
        <f t="shared" ca="1" si="413"/>
        <v>0</v>
      </c>
      <c r="GE96" s="5">
        <f t="shared" ca="1" si="414"/>
        <v>0</v>
      </c>
      <c r="GF96" s="5">
        <f t="shared" ca="1" si="415"/>
        <v>0</v>
      </c>
      <c r="GG96" s="5">
        <f t="shared" ca="1" si="416"/>
        <v>0</v>
      </c>
      <c r="GH96" s="150">
        <f t="shared" ca="1" si="417"/>
        <v>0</v>
      </c>
      <c r="GJ96" s="575">
        <f t="shared" ca="1" si="418"/>
        <v>0</v>
      </c>
      <c r="GK96" s="5">
        <f t="shared" ca="1" si="419"/>
        <v>0</v>
      </c>
      <c r="GL96" s="5">
        <f t="shared" ca="1" si="420"/>
        <v>0</v>
      </c>
      <c r="GM96" s="5">
        <f t="shared" ca="1" si="421"/>
        <v>0</v>
      </c>
      <c r="GN96" s="5">
        <f t="shared" ca="1" si="422"/>
        <v>0</v>
      </c>
      <c r="GO96" s="5">
        <f t="shared" ca="1" si="423"/>
        <v>0</v>
      </c>
      <c r="GP96" s="192">
        <f t="shared" ca="1" si="424"/>
        <v>0</v>
      </c>
      <c r="GR96" s="1034"/>
      <c r="GS96" s="321"/>
      <c r="GT96" s="321"/>
      <c r="GU96" s="321"/>
      <c r="GV96" s="321"/>
      <c r="GW96" s="321"/>
      <c r="GX96" s="1107">
        <f t="shared" si="425"/>
        <v>0</v>
      </c>
      <c r="GZ96" s="575">
        <f t="shared" ca="1" si="426"/>
        <v>0</v>
      </c>
      <c r="HA96" s="5">
        <f t="shared" ca="1" si="427"/>
        <v>0</v>
      </c>
      <c r="HB96" s="5">
        <f t="shared" ca="1" si="428"/>
        <v>0</v>
      </c>
      <c r="HC96" s="5">
        <f t="shared" ca="1" si="429"/>
        <v>0</v>
      </c>
      <c r="HD96" s="5">
        <f t="shared" ca="1" si="430"/>
        <v>0</v>
      </c>
      <c r="HE96" s="5">
        <f t="shared" ca="1" si="431"/>
        <v>0</v>
      </c>
      <c r="HF96" s="2175">
        <f t="shared" ca="1" si="432"/>
        <v>0</v>
      </c>
      <c r="HG96" s="573">
        <f t="shared" ca="1" si="433"/>
        <v>0</v>
      </c>
      <c r="HH96" s="257"/>
    </row>
    <row r="97" spans="1:216" ht="15" hidden="1" customHeight="1" x14ac:dyDescent="0.25">
      <c r="A97" s="403"/>
      <c r="B97" s="3220"/>
      <c r="C97" s="57">
        <f ca="1">'Calc - SENIOR PERS'!$B$146</f>
        <v>0</v>
      </c>
      <c r="D97" s="5">
        <f ca="1">'Calc - SENIOR PERS'!$S$151</f>
        <v>0</v>
      </c>
      <c r="E97" s="5">
        <f ca="1">'Calc - SENIOR PERS'!$S$152</f>
        <v>0</v>
      </c>
      <c r="F97" s="5">
        <f ca="1">'Calc - SENIOR PERS'!$S$153</f>
        <v>0</v>
      </c>
      <c r="G97" s="5">
        <f ca="1">'Calc - SENIOR PERS'!$S$154</f>
        <v>0</v>
      </c>
      <c r="H97" s="5">
        <f ca="1">'Calc - SENIOR PERS'!$S$155</f>
        <v>0</v>
      </c>
      <c r="I97" s="5">
        <f ca="1">'Calc - SENIOR PERS'!$S$156</f>
        <v>0</v>
      </c>
      <c r="J97" s="88">
        <f t="shared" ca="1" si="355"/>
        <v>0</v>
      </c>
      <c r="K97" s="4"/>
      <c r="L97" s="4"/>
      <c r="M97" s="4"/>
      <c r="N97" s="575">
        <f ca="1">IF(AND((OFFSET('DATA INPUT'!$C$11, ROW()-ROW($N$87),0)=$N$10),
 OR(OFFSET('DATA INPUT'!$H$11,ROW()-ROW($N$87),0)=3,
OFFSET('DATA INPUT'!$V$11, ROW()-ROW($N$87),0)=3,
OFFSET('DATA INPUT'!$AD$11, ROW()-ROW($N$87),0)=3)),
OFFSET('Calc - SENIOR PERS'!$AA$11,COLUMN()-COLUMN($N$87) + (ROW()-ROW($N$87))*14,0),0)</f>
        <v>0</v>
      </c>
      <c r="O97" s="5">
        <f ca="1">IF(AND((OFFSET('DATA INPUT'!$C$11, ROW()-ROW($N$87),0)=$N$10),
 OR(OFFSET('DATA INPUT'!$H$11,ROW()-ROW($N$87),0)=3,
OFFSET('DATA INPUT'!$V$11, ROW()-ROW($N$87),0)=3,
OFFSET('DATA INPUT'!$AD$11, ROW()-ROW($N$87),0)=3)),
OFFSET('Calc - SENIOR PERS'!$AA$11,COLUMN()-COLUMN($N$87) + (ROW()-ROW($N$87))*14,0),0)</f>
        <v>0</v>
      </c>
      <c r="P97" s="5">
        <f ca="1">IF(AND((OFFSET('DATA INPUT'!$C$11, ROW()-ROW($N$87),0)=$N$10),
 OR(OFFSET('DATA INPUT'!$H$11,ROW()-ROW($N$87),0)=3,
OFFSET('DATA INPUT'!$V$11, ROW()-ROW($N$87),0)=3,
OFFSET('DATA INPUT'!$AD$11, ROW()-ROW($N$87),0)=3)),
OFFSET('Calc - SENIOR PERS'!$AA$11,COLUMN()-COLUMN($N$87) + (ROW()-ROW($N$87))*14,0),0)</f>
        <v>0</v>
      </c>
      <c r="Q97" s="5">
        <f ca="1">IF(AND((OFFSET('DATA INPUT'!$C$11, ROW()-ROW($N$87),0)=$N$10),
 OR(OFFSET('DATA INPUT'!$H$11,ROW()-ROW($N$87),0)=3,
OFFSET('DATA INPUT'!$V$11, ROW()-ROW($N$87),0)=3,
OFFSET('DATA INPUT'!$AD$11, ROW()-ROW($N$87),0)=3)),
OFFSET('Calc - SENIOR PERS'!$AA$11,COLUMN()-COLUMN($N$87) + (ROW()-ROW($N$87))*14,0),0)</f>
        <v>0</v>
      </c>
      <c r="R97" s="5">
        <f ca="1">IF(AND((OFFSET('DATA INPUT'!$C$11, ROW()-ROW($N$87),0)=$N$10),
 OR(OFFSET('DATA INPUT'!$H$11,ROW()-ROW($N$87),0)=3,
OFFSET('DATA INPUT'!$V$11, ROW()-ROW($N$87),0)=3,
OFFSET('DATA INPUT'!$AD$11, ROW()-ROW($N$87),0)=3)),
OFFSET('Calc - SENIOR PERS'!$AA$11,COLUMN()-COLUMN($N$87) + (ROW()-ROW($N$87))*14,0),0)</f>
        <v>0</v>
      </c>
      <c r="S97" s="5">
        <f ca="1">IF(AND((OFFSET('DATA INPUT'!$C$11, ROW()-ROW($N$87),0)=$N$10),
 OR(OFFSET('DATA INPUT'!$H$11,ROW()-ROW($N$87),0)=3,
OFFSET('DATA INPUT'!$V$11, ROW()-ROW($N$87),0)=3,
OFFSET('DATA INPUT'!$AD$11, ROW()-ROW($N$87),0)=3)),
OFFSET('Calc - SENIOR PERS'!$AA$11,COLUMN()-COLUMN($N$87) + (ROW()-ROW($N$87))*14,0),0)</f>
        <v>0</v>
      </c>
      <c r="T97" s="164">
        <f t="shared" ca="1" si="356"/>
        <v>0</v>
      </c>
      <c r="U97" s="1"/>
      <c r="V97" s="575">
        <f ca="1">IF(AND((OFFSET('DATA INPUT'!$C$11, ROW()-ROW($V$87),0)=$V$10),
 OR(OFFSET('DATA INPUT'!$H$11,ROW()-ROW($V$87),0)=3,
OFFSET('DATA INPUT'!$V$11, ROW()-ROW($V$87),0)=3,
OFFSET('DATA INPUT'!$AD$11, ROW()-ROW($V$87),0)=3)),
OFFSET('Calc - SENIOR PERS'!$AA$11,COLUMN()-COLUMN($V$87) + (ROW()-ROW($V$87))*14,0),0)</f>
        <v>0</v>
      </c>
      <c r="W97" s="5">
        <f ca="1">IF(AND((OFFSET('DATA INPUT'!$C$11, ROW()-ROW($V$87),0)=$V$10),
 OR(OFFSET('DATA INPUT'!$H$11,ROW()-ROW($V$87),0)=3,
OFFSET('DATA INPUT'!$V$11, ROW()-ROW($V$87),0)=3,
OFFSET('DATA INPUT'!$AD$11, ROW()-ROW($V$87),0)=3)),
OFFSET('Calc - SENIOR PERS'!$AA$11,COLUMN()-COLUMN($V$87) + (ROW()-ROW($V$87))*14,0),0)</f>
        <v>0</v>
      </c>
      <c r="X97" s="5">
        <f ca="1">IF(AND((OFFSET('DATA INPUT'!$C$11, ROW()-ROW($V$87),0)=$V$10),
 OR(OFFSET('DATA INPUT'!$H$11,ROW()-ROW($V$87),0)=3,
OFFSET('DATA INPUT'!$V$11, ROW()-ROW($V$87),0)=3,
OFFSET('DATA INPUT'!$AD$11, ROW()-ROW($V$87),0)=3)),
OFFSET('Calc - SENIOR PERS'!$AA$11,COLUMN()-COLUMN($V$87) + (ROW()-ROW($V$87))*14,0),0)</f>
        <v>0</v>
      </c>
      <c r="Y97" s="5">
        <f ca="1">IF(AND((OFFSET('DATA INPUT'!$C$11, ROW()-ROW($V$87),0)=$V$10),
 OR(OFFSET('DATA INPUT'!$H$11,ROW()-ROW($V$87),0)=3,
OFFSET('DATA INPUT'!$V$11, ROW()-ROW($V$87),0)=3,
OFFSET('DATA INPUT'!$AD$11, ROW()-ROW($V$87),0)=3)),
OFFSET('Calc - SENIOR PERS'!$AA$11,COLUMN()-COLUMN($V$87) + (ROW()-ROW($V$87))*14,0),0)</f>
        <v>0</v>
      </c>
      <c r="Z97" s="5">
        <f ca="1">IF(AND((OFFSET('DATA INPUT'!$C$11, ROW()-ROW($V$87),0)=$V$10),
 OR(OFFSET('DATA INPUT'!$H$11,ROW()-ROW($V$87),0)=3,
OFFSET('DATA INPUT'!$V$11, ROW()-ROW($V$87),0)=3,
OFFSET('DATA INPUT'!$AD$11, ROW()-ROW($V$87),0)=3)),
OFFSET('Calc - SENIOR PERS'!$AA$11,COLUMN()-COLUMN($V$87) + (ROW()-ROW($V$87))*14,0),0)</f>
        <v>0</v>
      </c>
      <c r="AA97" s="5">
        <f ca="1">IF(AND((OFFSET('DATA INPUT'!$C$11, ROW()-ROW($V$87),0)=$V$10),
 OR(OFFSET('DATA INPUT'!$H$11,ROW()-ROW($V$87),0)=3,
OFFSET('DATA INPUT'!$V$11, ROW()-ROW($V$87),0)=3,
OFFSET('DATA INPUT'!$AD$11, ROW()-ROW($V$87),0)=3)),
OFFSET('Calc - SENIOR PERS'!$AA$11,COLUMN()-COLUMN($V$87) + (ROW()-ROW($V$87))*14,0),0)</f>
        <v>0</v>
      </c>
      <c r="AB97" s="138">
        <f t="shared" ca="1" si="357"/>
        <v>0</v>
      </c>
      <c r="AD97" s="575">
        <f ca="1">IF(AND((OFFSET('DATA INPUT'!$C$11, ROW()-ROW($AD$87),0)=$AD$10),
 OR(OFFSET('DATA INPUT'!$H$11,ROW()-ROW($AD$87),0)=3,
OFFSET('DATA INPUT'!$V$11, ROW()-ROW($AD$87),0)=3,
OFFSET('DATA INPUT'!$AD$11, ROW()-ROW($AD$87),0)=3)),
OFFSET('Calc - SENIOR PERS'!$AA$11,COLUMN()-COLUMN($AD$87) + (ROW()-ROW($AD$87))*14,0),0)</f>
        <v>0</v>
      </c>
      <c r="AE97" s="5">
        <f ca="1">IF(AND((OFFSET('DATA INPUT'!$C$11, ROW()-ROW($AD$87),0)=$AD$10),
 OR(OFFSET('DATA INPUT'!$H$11,ROW()-ROW($AD$87),0)=3,
OFFSET('DATA INPUT'!$V$11, ROW()-ROW($AD$87),0)=3,
OFFSET('DATA INPUT'!$AD$11, ROW()-ROW($AD$87),0)=3)),
OFFSET('Calc - SENIOR PERS'!$AA$11,COLUMN()-COLUMN($AD$87) + (ROW()-ROW($AD$87))*14,0),0)</f>
        <v>0</v>
      </c>
      <c r="AF97" s="5">
        <f ca="1">IF(AND((OFFSET('DATA INPUT'!$C$11, ROW()-ROW($AD$87),0)=$AD$10),
 OR(OFFSET('DATA INPUT'!$H$11,ROW()-ROW($AD$87),0)=3,
OFFSET('DATA INPUT'!$V$11, ROW()-ROW($AD$87),0)=3,
OFFSET('DATA INPUT'!$AD$11, ROW()-ROW($AD$87),0)=3)),
OFFSET('Calc - SENIOR PERS'!$AA$11,COLUMN()-COLUMN($AD$87) + (ROW()-ROW($AD$87))*14,0),0)</f>
        <v>0</v>
      </c>
      <c r="AG97" s="5">
        <f ca="1">IF(AND((OFFSET('DATA INPUT'!$C$11, ROW()-ROW($AD$87),0)=$AD$10),
 OR(OFFSET('DATA INPUT'!$H$11,ROW()-ROW($AD$87),0)=3,
OFFSET('DATA INPUT'!$V$11, ROW()-ROW($AD$87),0)=3,
OFFSET('DATA INPUT'!$AD$11, ROW()-ROW($AD$87),0)=3)),
OFFSET('Calc - SENIOR PERS'!$AA$11,COLUMN()-COLUMN($AD$87) + (ROW()-ROW($AD$87))*14,0),0)</f>
        <v>0</v>
      </c>
      <c r="AH97" s="5">
        <f ca="1">IF(AND((OFFSET('DATA INPUT'!$C$11, ROW()-ROW($AD$87),0)=$AD$10),
 OR(OFFSET('DATA INPUT'!$H$11,ROW()-ROW($AD$87),0)=3,
OFFSET('DATA INPUT'!$V$11, ROW()-ROW($AD$87),0)=3,
OFFSET('DATA INPUT'!$AD$11, ROW()-ROW($AD$87),0)=3)),
OFFSET('Calc - SENIOR PERS'!$AA$11,COLUMN()-COLUMN($AD$87) + (ROW()-ROW($AD$87))*14,0),0)</f>
        <v>0</v>
      </c>
      <c r="AI97" s="5">
        <f ca="1">IF(AND((OFFSET('DATA INPUT'!$C$11, ROW()-ROW($AD$87),0)=$AD$10),
 OR(OFFSET('DATA INPUT'!$H$11,ROW()-ROW($AD$87),0)=3,
OFFSET('DATA INPUT'!$V$11, ROW()-ROW($AD$87),0)=3,
OFFSET('DATA INPUT'!$AD$11, ROW()-ROW($AD$87),0)=3)),
OFFSET('Calc - SENIOR PERS'!$AA$11,COLUMN()-COLUMN($AD$87) + (ROW()-ROW($AD$87))*14,0),0)</f>
        <v>0</v>
      </c>
      <c r="AJ97" s="206">
        <f t="shared" ca="1" si="358"/>
        <v>0</v>
      </c>
      <c r="AL97" s="575">
        <f ca="1">IF(AND((OFFSET('DATA INPUT'!$C$11, ROW()-ROW($AL$87),0)=$AL$10),
 OR(OFFSET('DATA INPUT'!$H$11,ROW()-ROW($AL$87),0)=3,
OFFSET('DATA INPUT'!$V$11, ROW()-ROW($AL$87),0)=3,
OFFSET('DATA INPUT'!$AD$11, ROW()-ROW($AL$87),0)=3)),
OFFSET('Calc - SENIOR PERS'!$AA$11,COLUMN()-COLUMN($AL$87) + (ROW()-ROW($AL$87))*14,0),0)</f>
        <v>0</v>
      </c>
      <c r="AM97" s="5">
        <f ca="1">IF(AND((OFFSET('DATA INPUT'!$C$11, ROW()-ROW($AL$87),0)=$AL$10),
 OR(OFFSET('DATA INPUT'!$H$11,ROW()-ROW($AL$87),0)=3,
OFFSET('DATA INPUT'!$V$11, ROW()-ROW($AL$87),0)=3,
OFFSET('DATA INPUT'!$AD$11, ROW()-ROW($AL$87),0)=3)),
OFFSET('Calc - SENIOR PERS'!$AA$11,COLUMN()-COLUMN($AL$87) + (ROW()-ROW($AL$87))*14,0),0)</f>
        <v>0</v>
      </c>
      <c r="AN97" s="5">
        <f ca="1">IF(AND((OFFSET('DATA INPUT'!$C$11, ROW()-ROW($AL$87),0)=$AL$10),
 OR(OFFSET('DATA INPUT'!$H$11,ROW()-ROW($AL$87),0)=3,
OFFSET('DATA INPUT'!$V$11, ROW()-ROW($AL$87),0)=3,
OFFSET('DATA INPUT'!$AD$11, ROW()-ROW($AL$87),0)=3)),
OFFSET('Calc - SENIOR PERS'!$AA$11,COLUMN()-COLUMN($AL$87) + (ROW()-ROW($AL$87))*14,0),0)</f>
        <v>0</v>
      </c>
      <c r="AO97" s="5">
        <f ca="1">IF(AND((OFFSET('DATA INPUT'!$C$11, ROW()-ROW($AL$87),0)=$AL$10),
 OR(OFFSET('DATA INPUT'!$H$11,ROW()-ROW($AL$87),0)=3,
OFFSET('DATA INPUT'!$V$11, ROW()-ROW($AL$87),0)=3,
OFFSET('DATA INPUT'!$AD$11, ROW()-ROW($AL$87),0)=3)),
OFFSET('Calc - SENIOR PERS'!$AA$11,COLUMN()-COLUMN($AL$87) + (ROW()-ROW($AL$87))*14,0),0)</f>
        <v>0</v>
      </c>
      <c r="AP97" s="5">
        <f ca="1">IF(AND((OFFSET('DATA INPUT'!$C$11, ROW()-ROW($AL$87),0)=$AL$10),
 OR(OFFSET('DATA INPUT'!$H$11,ROW()-ROW($AL$87),0)=3,
OFFSET('DATA INPUT'!$V$11, ROW()-ROW($AL$87),0)=3,
OFFSET('DATA INPUT'!$AD$11, ROW()-ROW($AL$87),0)=3)),
OFFSET('Calc - SENIOR PERS'!$AA$11,COLUMN()-COLUMN($AL$87) + (ROW()-ROW($AL$87))*14,0),0)</f>
        <v>0</v>
      </c>
      <c r="AQ97" s="5">
        <f ca="1">IF(AND((OFFSET('DATA INPUT'!$C$11, ROW()-ROW($AL$87),0)=$AL$10),
 OR(OFFSET('DATA INPUT'!$H$11,ROW()-ROW($AL$87),0)=3,
OFFSET('DATA INPUT'!$V$11, ROW()-ROW($AL$87),0)=3,
OFFSET('DATA INPUT'!$AD$11, ROW()-ROW($AL$87),0)=3)),
OFFSET('Calc - SENIOR PERS'!$AA$11,COLUMN()-COLUMN($AL$87) + (ROW()-ROW($AL$87))*14,0),0)</f>
        <v>0</v>
      </c>
      <c r="AR97" s="178">
        <f t="shared" ca="1" si="359"/>
        <v>0</v>
      </c>
      <c r="AT97" s="575">
        <f ca="1">IF(AND((OFFSET('DATA INPUT'!$C$11, ROW()-ROW($AT$87),0)=$AT$10),
 OR(OFFSET('DATA INPUT'!$H$11,ROW()-ROW($AT$87),0)=3,
OFFSET('DATA INPUT'!$V$11, ROW()-ROW($AT$87),0)=3,
OFFSET('DATA INPUT'!$AD$11, ROW()-ROW($AT$87),0)=3)),
OFFSET('Calc - SENIOR PERS'!$AA$11,COLUMN()-COLUMN($AT$87) + (ROW()-ROW($AT$87))*14,0),0)</f>
        <v>0</v>
      </c>
      <c r="AU97" s="5">
        <f ca="1">IF(AND((OFFSET('DATA INPUT'!$C$11, ROW()-ROW($AT$87),0)=$AT$10),
 OR(OFFSET('DATA INPUT'!$H$11,ROW()-ROW($AT$87),0)=3,
OFFSET('DATA INPUT'!$V$11, ROW()-ROW($AT$87),0)=3,
OFFSET('DATA INPUT'!$AD$11, ROW()-ROW($AT$87),0)=3)),
OFFSET('Calc - SENIOR PERS'!$AA$11,COLUMN()-COLUMN($AT$87) + (ROW()-ROW($AT$87))*14,0),0)</f>
        <v>0</v>
      </c>
      <c r="AV97" s="5">
        <f ca="1">IF(AND((OFFSET('DATA INPUT'!$C$11, ROW()-ROW($AT$87),0)=$AT$10),
 OR(OFFSET('DATA INPUT'!$H$11,ROW()-ROW($AT$87),0)=3,
OFFSET('DATA INPUT'!$V$11, ROW()-ROW($AT$87),0)=3,
OFFSET('DATA INPUT'!$AD$11, ROW()-ROW($AT$87),0)=3)),
OFFSET('Calc - SENIOR PERS'!$AA$11,COLUMN()-COLUMN($AT$87) + (ROW()-ROW($AT$87))*14,0),0)</f>
        <v>0</v>
      </c>
      <c r="AW97" s="5">
        <f ca="1">IF(AND((OFFSET('DATA INPUT'!$C$11, ROW()-ROW($AT$87),0)=$AT$10),
 OR(OFFSET('DATA INPUT'!$H$11,ROW()-ROW($AT$87),0)=3,
OFFSET('DATA INPUT'!$V$11, ROW()-ROW($AT$87),0)=3,
OFFSET('DATA INPUT'!$AD$11, ROW()-ROW($AT$87),0)=3)),
OFFSET('Calc - SENIOR PERS'!$AA$11,COLUMN()-COLUMN($AT$87) + (ROW()-ROW($AT$87))*14,0),0)</f>
        <v>0</v>
      </c>
      <c r="AX97" s="5">
        <f ca="1">IF(AND((OFFSET('DATA INPUT'!$C$11, ROW()-ROW($AT$87),0)=$AT$10),
 OR(OFFSET('DATA INPUT'!$H$11,ROW()-ROW($AT$87),0)=3,
OFFSET('DATA INPUT'!$V$11, ROW()-ROW($AT$87),0)=3,
OFFSET('DATA INPUT'!$AD$11, ROW()-ROW($AT$87),0)=3)),
OFFSET('Calc - SENIOR PERS'!$AA$11,COLUMN()-COLUMN($AT$87) + (ROW()-ROW($AT$87))*14,0),0)</f>
        <v>0</v>
      </c>
      <c r="AY97" s="5">
        <f ca="1">IF(AND((OFFSET('DATA INPUT'!$C$11, ROW()-ROW($AT$87),0)=$AT$10),
 OR(OFFSET('DATA INPUT'!$H$11,ROW()-ROW($AT$87),0)=3,
OFFSET('DATA INPUT'!$V$11, ROW()-ROW($AT$87),0)=3,
OFFSET('DATA INPUT'!$AD$11, ROW()-ROW($AT$87),0)=3)),
OFFSET('Calc - SENIOR PERS'!$AA$11,COLUMN()-COLUMN($AT$87) + (ROW()-ROW($AT$87))*14,0),0)</f>
        <v>0</v>
      </c>
      <c r="AZ97" s="150">
        <f t="shared" ca="1" si="360"/>
        <v>0</v>
      </c>
      <c r="BB97" s="575">
        <f ca="1">IF(AND((OFFSET('DATA INPUT'!$C$11, ROW()-ROW($BB$87),0)=$BB$10),
 OR(OFFSET('DATA INPUT'!$H$11,ROW()-ROW($BB$87),0)=3,
OFFSET('DATA INPUT'!$V$11, ROW()-ROW($BB$87),0)=3,
OFFSET('DATA INPUT'!$AD$11, ROW()-ROW($BB$87),0)=3)),
OFFSET('Calc - SENIOR PERS'!$AA$11,COLUMN()-COLUMN($BB$87) + (ROW()-ROW($BB$87))*14,0),0)</f>
        <v>0</v>
      </c>
      <c r="BC97" s="5">
        <f ca="1">IF(AND((OFFSET('DATA INPUT'!$C$11, ROW()-ROW($BB$87),0)=$BB$10),
 OR(OFFSET('DATA INPUT'!$H$11,ROW()-ROW($BB$87),0)=3,
OFFSET('DATA INPUT'!$V$11, ROW()-ROW($BB$87),0)=3,
OFFSET('DATA INPUT'!$AD$11, ROW()-ROW($BB$87),0)=3)),
OFFSET('Calc - SENIOR PERS'!$AA$11,COLUMN()-COLUMN($BB$87) + (ROW()-ROW($BB$87))*14,0),0)</f>
        <v>0</v>
      </c>
      <c r="BD97" s="5">
        <f ca="1">IF(AND((OFFSET('DATA INPUT'!$C$11, ROW()-ROW($BB$87),0)=$BB$10),
 OR(OFFSET('DATA INPUT'!$H$11,ROW()-ROW($BB$87),0)=3,
OFFSET('DATA INPUT'!$V$11, ROW()-ROW($BB$87),0)=3,
OFFSET('DATA INPUT'!$AD$11, ROW()-ROW($BB$87),0)=3)),
OFFSET('Calc - SENIOR PERS'!$AA$11,COLUMN()-COLUMN($BB$87) + (ROW()-ROW($BB$87))*14,0),0)</f>
        <v>0</v>
      </c>
      <c r="BE97" s="5">
        <f ca="1">IF(AND((OFFSET('DATA INPUT'!$C$11, ROW()-ROW($BB$87),0)=$BB$10),
 OR(OFFSET('DATA INPUT'!$H$11,ROW()-ROW($BB$87),0)=3,
OFFSET('DATA INPUT'!$V$11, ROW()-ROW($BB$87),0)=3,
OFFSET('DATA INPUT'!$AD$11, ROW()-ROW($BB$87),0)=3)),
OFFSET('Calc - SENIOR PERS'!$AA$11,COLUMN()-COLUMN($BB$87) + (ROW()-ROW($BB$87))*14,0),0)</f>
        <v>0</v>
      </c>
      <c r="BF97" s="5">
        <f ca="1">IF(AND((OFFSET('DATA INPUT'!$C$11, ROW()-ROW($BB$87),0)=$BB$10),
 OR(OFFSET('DATA INPUT'!$H$11,ROW()-ROW($BB$87),0)=3,
OFFSET('DATA INPUT'!$V$11, ROW()-ROW($BB$87),0)=3,
OFFSET('DATA INPUT'!$AD$11, ROW()-ROW($BB$87),0)=3)),
OFFSET('Calc - SENIOR PERS'!$AA$11,COLUMN()-COLUMN($BB$87) + (ROW()-ROW($BB$87))*14,0),0)</f>
        <v>0</v>
      </c>
      <c r="BG97" s="5">
        <f ca="1">IF(AND((OFFSET('DATA INPUT'!$C$11, ROW()-ROW($BB$87),0)=$BB$10),
 OR(OFFSET('DATA INPUT'!$H$11,ROW()-ROW($BB$87),0)=3,
OFFSET('DATA INPUT'!$V$11, ROW()-ROW($BB$87),0)=3,
OFFSET('DATA INPUT'!$AD$11, ROW()-ROW($BB$87),0)=3)),
OFFSET('Calc - SENIOR PERS'!$AA$11,COLUMN()-COLUMN($BB$87) + (ROW()-ROW($BB$87))*14,0),0)</f>
        <v>0</v>
      </c>
      <c r="BH97" s="192">
        <f t="shared" ca="1" si="361"/>
        <v>0</v>
      </c>
      <c r="BJ97" s="575"/>
      <c r="BK97" s="5"/>
      <c r="BL97" s="5"/>
      <c r="BM97" s="5"/>
      <c r="BN97" s="5"/>
      <c r="BO97" s="5"/>
      <c r="BP97" s="1102">
        <f t="shared" si="362"/>
        <v>0</v>
      </c>
      <c r="BR97" s="575">
        <f t="shared" ca="1" si="363"/>
        <v>0</v>
      </c>
      <c r="BS97" s="5">
        <f t="shared" ca="1" si="364"/>
        <v>0</v>
      </c>
      <c r="BT97" s="5">
        <f t="shared" ca="1" si="365"/>
        <v>0</v>
      </c>
      <c r="BU97" s="5">
        <f t="shared" ca="1" si="366"/>
        <v>0</v>
      </c>
      <c r="BV97" s="5">
        <f t="shared" ca="1" si="367"/>
        <v>0</v>
      </c>
      <c r="BW97" s="5">
        <f t="shared" ca="1" si="368"/>
        <v>0</v>
      </c>
      <c r="BX97" s="2175">
        <f t="shared" ca="1" si="369"/>
        <v>0</v>
      </c>
      <c r="BY97" s="573">
        <f t="shared" ca="1" si="370"/>
        <v>0</v>
      </c>
      <c r="BZ97" s="257"/>
      <c r="CB97" s="1182"/>
      <c r="CC97" s="387">
        <f ca="1">'Calc - SENIOR PERS'!$S$152/9*3</f>
        <v>0</v>
      </c>
      <c r="CD97" s="56">
        <f ca="1">'Calc - SENIOR PERS'!$S$152/9*3</f>
        <v>0</v>
      </c>
      <c r="CE97" s="56">
        <f ca="1">'Calc - SENIOR PERS'!$S$152/9*2</f>
        <v>0</v>
      </c>
      <c r="CF97" s="56">
        <f ca="1">'Calc - SENIOR PERS'!$S$152/9*0.5</f>
        <v>0</v>
      </c>
      <c r="CG97" s="1183">
        <f ca="1">'Calc - SENIOR PERS'!$S$152/9*0.5</f>
        <v>0</v>
      </c>
      <c r="CH97" s="1184">
        <f ca="1">'Calc - SENIOR PERS'!$S$153/9*3</f>
        <v>0</v>
      </c>
      <c r="CI97" s="1185">
        <f ca="1">'Calc - SENIOR PERS'!$S$153/9*3</f>
        <v>0</v>
      </c>
      <c r="CJ97" s="1185">
        <f ca="1">'Calc - SENIOR PERS'!$S$153/9*2</f>
        <v>0</v>
      </c>
      <c r="CK97" s="1185">
        <f ca="1">'Calc - SENIOR PERS'!$S$153/9*0.5</f>
        <v>0</v>
      </c>
      <c r="CL97" s="1186">
        <f ca="1">'Calc - SENIOR PERS'!$S$153/9*0.5</f>
        <v>0</v>
      </c>
      <c r="CM97" s="1187">
        <f ca="1">'Calc - SENIOR PERS'!$S$154/8*3</f>
        <v>0</v>
      </c>
      <c r="CN97" s="1188">
        <f ca="1">'Calc - SENIOR PERS'!$S$154/8*3</f>
        <v>0</v>
      </c>
      <c r="CO97" s="1189">
        <f ca="1">'Calc - SENIOR PERS'!$S$154/8*2</f>
        <v>0</v>
      </c>
      <c r="CP97" s="1234">
        <f t="shared" ca="1" si="371"/>
        <v>0</v>
      </c>
      <c r="CS97" s="575"/>
      <c r="CT97" s="5"/>
      <c r="CU97" s="1180"/>
      <c r="CV97" s="575"/>
      <c r="CW97" s="5"/>
      <c r="CX97" s="1249"/>
      <c r="CY97" s="575"/>
      <c r="CZ97" s="5"/>
      <c r="DA97" s="1180"/>
      <c r="DB97" s="575"/>
      <c r="DC97" s="5"/>
      <c r="DD97" s="1180"/>
      <c r="DE97" s="1181">
        <f t="shared" si="372"/>
        <v>0</v>
      </c>
      <c r="DG97" s="575"/>
      <c r="DH97" s="5"/>
      <c r="DI97" s="1180"/>
      <c r="DJ97" s="575"/>
      <c r="DK97" s="5"/>
      <c r="DL97" s="1249"/>
      <c r="DM97" s="575"/>
      <c r="DN97" s="5"/>
      <c r="DO97" s="1180"/>
      <c r="DP97" s="575"/>
      <c r="DQ97" s="5"/>
      <c r="DR97" s="1180"/>
      <c r="DS97" s="1181">
        <f t="shared" si="373"/>
        <v>0</v>
      </c>
      <c r="DU97" s="575"/>
      <c r="DV97" s="5"/>
      <c r="DW97" s="1180"/>
      <c r="DX97" s="575"/>
      <c r="DY97" s="5"/>
      <c r="DZ97" s="1249"/>
      <c r="EA97" s="575"/>
      <c r="EB97" s="5"/>
      <c r="EC97" s="1180"/>
      <c r="ED97" s="575"/>
      <c r="EE97" s="5"/>
      <c r="EF97" s="1180"/>
      <c r="EG97" s="1181">
        <f t="shared" si="374"/>
        <v>0</v>
      </c>
      <c r="EI97" s="403"/>
      <c r="EJ97" s="3220"/>
      <c r="EK97" s="57">
        <f t="shared" ca="1" si="375"/>
        <v>0</v>
      </c>
      <c r="EL97" s="5">
        <f t="shared" ca="1" si="376"/>
        <v>0</v>
      </c>
      <c r="EM97" s="5">
        <f t="shared" ca="1" si="377"/>
        <v>0</v>
      </c>
      <c r="EN97" s="5">
        <f t="shared" ca="1" si="378"/>
        <v>0</v>
      </c>
      <c r="EO97" s="5">
        <f t="shared" ca="1" si="379"/>
        <v>0</v>
      </c>
      <c r="EP97" s="5">
        <f t="shared" ca="1" si="380"/>
        <v>0</v>
      </c>
      <c r="EQ97" s="5">
        <f t="shared" ca="1" si="381"/>
        <v>0</v>
      </c>
      <c r="ER97" s="88">
        <f t="shared" ca="1" si="382"/>
        <v>0</v>
      </c>
      <c r="ES97" s="4"/>
      <c r="ET97" s="4"/>
      <c r="EU97" s="4"/>
      <c r="EV97" s="575">
        <f t="shared" ca="1" si="383"/>
        <v>0</v>
      </c>
      <c r="EW97" s="5">
        <f t="shared" ca="1" si="384"/>
        <v>0</v>
      </c>
      <c r="EX97" s="5">
        <f t="shared" ca="1" si="385"/>
        <v>0</v>
      </c>
      <c r="EY97" s="5">
        <f t="shared" ca="1" si="386"/>
        <v>0</v>
      </c>
      <c r="EZ97" s="5">
        <f t="shared" ca="1" si="387"/>
        <v>0</v>
      </c>
      <c r="FA97" s="5">
        <f t="shared" ca="1" si="388"/>
        <v>0</v>
      </c>
      <c r="FB97" s="164">
        <f t="shared" ca="1" si="389"/>
        <v>0</v>
      </c>
      <c r="FC97" s="1"/>
      <c r="FD97" s="575">
        <f t="shared" ca="1" si="390"/>
        <v>0</v>
      </c>
      <c r="FE97" s="5">
        <f t="shared" ca="1" si="391"/>
        <v>0</v>
      </c>
      <c r="FF97" s="5">
        <f t="shared" ca="1" si="392"/>
        <v>0</v>
      </c>
      <c r="FG97" s="5">
        <f t="shared" ca="1" si="393"/>
        <v>0</v>
      </c>
      <c r="FH97" s="5">
        <f t="shared" ca="1" si="394"/>
        <v>0</v>
      </c>
      <c r="FI97" s="5">
        <f t="shared" ca="1" si="395"/>
        <v>0</v>
      </c>
      <c r="FJ97" s="138">
        <f t="shared" ca="1" si="396"/>
        <v>0</v>
      </c>
      <c r="FL97" s="575">
        <f t="shared" ca="1" si="397"/>
        <v>0</v>
      </c>
      <c r="FM97" s="5">
        <f t="shared" ca="1" si="398"/>
        <v>0</v>
      </c>
      <c r="FN97" s="5">
        <f t="shared" ca="1" si="399"/>
        <v>0</v>
      </c>
      <c r="FO97" s="5">
        <f t="shared" ca="1" si="400"/>
        <v>0</v>
      </c>
      <c r="FP97" s="5">
        <f t="shared" ca="1" si="401"/>
        <v>0</v>
      </c>
      <c r="FQ97" s="5">
        <f t="shared" ca="1" si="402"/>
        <v>0</v>
      </c>
      <c r="FR97" s="206">
        <f t="shared" ca="1" si="403"/>
        <v>0</v>
      </c>
      <c r="FT97" s="575">
        <f t="shared" ca="1" si="404"/>
        <v>0</v>
      </c>
      <c r="FU97" s="5">
        <f t="shared" ca="1" si="405"/>
        <v>0</v>
      </c>
      <c r="FV97" s="5">
        <f t="shared" ca="1" si="406"/>
        <v>0</v>
      </c>
      <c r="FW97" s="5">
        <f t="shared" ca="1" si="407"/>
        <v>0</v>
      </c>
      <c r="FX97" s="5">
        <f t="shared" ca="1" si="408"/>
        <v>0</v>
      </c>
      <c r="FY97" s="5">
        <f t="shared" ca="1" si="409"/>
        <v>0</v>
      </c>
      <c r="FZ97" s="178">
        <f t="shared" ca="1" si="410"/>
        <v>0</v>
      </c>
      <c r="GB97" s="575">
        <f t="shared" ca="1" si="411"/>
        <v>0</v>
      </c>
      <c r="GC97" s="5">
        <f t="shared" ca="1" si="412"/>
        <v>0</v>
      </c>
      <c r="GD97" s="5">
        <f t="shared" ca="1" si="413"/>
        <v>0</v>
      </c>
      <c r="GE97" s="5">
        <f t="shared" ca="1" si="414"/>
        <v>0</v>
      </c>
      <c r="GF97" s="5">
        <f t="shared" ca="1" si="415"/>
        <v>0</v>
      </c>
      <c r="GG97" s="5">
        <f t="shared" ca="1" si="416"/>
        <v>0</v>
      </c>
      <c r="GH97" s="150">
        <f t="shared" ca="1" si="417"/>
        <v>0</v>
      </c>
      <c r="GJ97" s="575">
        <f t="shared" ca="1" si="418"/>
        <v>0</v>
      </c>
      <c r="GK97" s="5">
        <f t="shared" ca="1" si="419"/>
        <v>0</v>
      </c>
      <c r="GL97" s="5">
        <f t="shared" ca="1" si="420"/>
        <v>0</v>
      </c>
      <c r="GM97" s="5">
        <f t="shared" ca="1" si="421"/>
        <v>0</v>
      </c>
      <c r="GN97" s="5">
        <f t="shared" ca="1" si="422"/>
        <v>0</v>
      </c>
      <c r="GO97" s="5">
        <f t="shared" ca="1" si="423"/>
        <v>0</v>
      </c>
      <c r="GP97" s="192">
        <f t="shared" ca="1" si="424"/>
        <v>0</v>
      </c>
      <c r="GR97" s="575"/>
      <c r="GS97" s="5"/>
      <c r="GT97" s="5"/>
      <c r="GU97" s="5"/>
      <c r="GV97" s="5"/>
      <c r="GW97" s="5"/>
      <c r="GX97" s="1102">
        <f t="shared" si="425"/>
        <v>0</v>
      </c>
      <c r="GZ97" s="575">
        <f t="shared" ca="1" si="426"/>
        <v>0</v>
      </c>
      <c r="HA97" s="5">
        <f t="shared" ca="1" si="427"/>
        <v>0</v>
      </c>
      <c r="HB97" s="5">
        <f t="shared" ca="1" si="428"/>
        <v>0</v>
      </c>
      <c r="HC97" s="5">
        <f t="shared" ca="1" si="429"/>
        <v>0</v>
      </c>
      <c r="HD97" s="5">
        <f t="shared" ca="1" si="430"/>
        <v>0</v>
      </c>
      <c r="HE97" s="5">
        <f t="shared" ca="1" si="431"/>
        <v>0</v>
      </c>
      <c r="HF97" s="2175">
        <f t="shared" ca="1" si="432"/>
        <v>0</v>
      </c>
      <c r="HG97" s="573">
        <f t="shared" ca="1" si="433"/>
        <v>0</v>
      </c>
      <c r="HH97" s="257"/>
    </row>
    <row r="98" spans="1:216" ht="15" hidden="1" customHeight="1" x14ac:dyDescent="0.25">
      <c r="A98" s="403"/>
      <c r="B98" s="3220"/>
      <c r="C98" s="57">
        <f ca="1">'Calc - SENIOR PERS'!$B$160</f>
        <v>0</v>
      </c>
      <c r="D98" s="5">
        <f ca="1">'Calc - SENIOR PERS'!$S$165</f>
        <v>0</v>
      </c>
      <c r="E98" s="5">
        <f ca="1">'Calc - SENIOR PERS'!$S$166</f>
        <v>0</v>
      </c>
      <c r="F98" s="5">
        <f ca="1">'Calc - SENIOR PERS'!$S$167</f>
        <v>0</v>
      </c>
      <c r="G98" s="5">
        <f ca="1">'Calc - SENIOR PERS'!$S$168</f>
        <v>0</v>
      </c>
      <c r="H98" s="5">
        <f ca="1">'Calc - SENIOR PERS'!$S$169</f>
        <v>0</v>
      </c>
      <c r="I98" s="5">
        <f ca="1">'Calc - SENIOR PERS'!$S$170</f>
        <v>0</v>
      </c>
      <c r="J98" s="88">
        <f t="shared" ca="1" si="355"/>
        <v>0</v>
      </c>
      <c r="K98" s="4"/>
      <c r="L98" s="4"/>
      <c r="M98" s="4"/>
      <c r="N98" s="575">
        <f ca="1">IF(AND((OFFSET('DATA INPUT'!$C$11, ROW()-ROW($N$87),0)=$N$10),
 OR(OFFSET('DATA INPUT'!$H$11,ROW()-ROW($N$87),0)=3,
OFFSET('DATA INPUT'!$V$11, ROW()-ROW($N$87),0)=3,
OFFSET('DATA INPUT'!$AD$11, ROW()-ROW($N$87),0)=3)),
OFFSET('Calc - SENIOR PERS'!$AA$11,COLUMN()-COLUMN($N$87) + (ROW()-ROW($N$87))*14,0),0)</f>
        <v>0</v>
      </c>
      <c r="O98" s="5">
        <f ca="1">IF(AND((OFFSET('DATA INPUT'!$C$11, ROW()-ROW($N$87),0)=$N$10),
 OR(OFFSET('DATA INPUT'!$H$11,ROW()-ROW($N$87),0)=3,
OFFSET('DATA INPUT'!$V$11, ROW()-ROW($N$87),0)=3,
OFFSET('DATA INPUT'!$AD$11, ROW()-ROW($N$87),0)=3)),
OFFSET('Calc - SENIOR PERS'!$AA$11,COLUMN()-COLUMN($N$87) + (ROW()-ROW($N$87))*14,0),0)</f>
        <v>0</v>
      </c>
      <c r="P98" s="5">
        <f ca="1">IF(AND((OFFSET('DATA INPUT'!$C$11, ROW()-ROW($N$87),0)=$N$10),
 OR(OFFSET('DATA INPUT'!$H$11,ROW()-ROW($N$87),0)=3,
OFFSET('DATA INPUT'!$V$11, ROW()-ROW($N$87),0)=3,
OFFSET('DATA INPUT'!$AD$11, ROW()-ROW($N$87),0)=3)),
OFFSET('Calc - SENIOR PERS'!$AA$11,COLUMN()-COLUMN($N$87) + (ROW()-ROW($N$87))*14,0),0)</f>
        <v>0</v>
      </c>
      <c r="Q98" s="5">
        <f ca="1">IF(AND((OFFSET('DATA INPUT'!$C$11, ROW()-ROW($N$87),0)=$N$10),
 OR(OFFSET('DATA INPUT'!$H$11,ROW()-ROW($N$87),0)=3,
OFFSET('DATA INPUT'!$V$11, ROW()-ROW($N$87),0)=3,
OFFSET('DATA INPUT'!$AD$11, ROW()-ROW($N$87),0)=3)),
OFFSET('Calc - SENIOR PERS'!$AA$11,COLUMN()-COLUMN($N$87) + (ROW()-ROW($N$87))*14,0),0)</f>
        <v>0</v>
      </c>
      <c r="R98" s="5">
        <f ca="1">IF(AND((OFFSET('DATA INPUT'!$C$11, ROW()-ROW($N$87),0)=$N$10),
 OR(OFFSET('DATA INPUT'!$H$11,ROW()-ROW($N$87),0)=3,
OFFSET('DATA INPUT'!$V$11, ROW()-ROW($N$87),0)=3,
OFFSET('DATA INPUT'!$AD$11, ROW()-ROW($N$87),0)=3)),
OFFSET('Calc - SENIOR PERS'!$AA$11,COLUMN()-COLUMN($N$87) + (ROW()-ROW($N$87))*14,0),0)</f>
        <v>0</v>
      </c>
      <c r="S98" s="5">
        <f ca="1">IF(AND((OFFSET('DATA INPUT'!$C$11, ROW()-ROW($N$87),0)=$N$10),
 OR(OFFSET('DATA INPUT'!$H$11,ROW()-ROW($N$87),0)=3,
OFFSET('DATA INPUT'!$V$11, ROW()-ROW($N$87),0)=3,
OFFSET('DATA INPUT'!$AD$11, ROW()-ROW($N$87),0)=3)),
OFFSET('Calc - SENIOR PERS'!$AA$11,COLUMN()-COLUMN($N$87) + (ROW()-ROW($N$87))*14,0),0)</f>
        <v>0</v>
      </c>
      <c r="T98" s="164">
        <f t="shared" ca="1" si="356"/>
        <v>0</v>
      </c>
      <c r="U98" s="1"/>
      <c r="V98" s="575">
        <f ca="1">IF(AND((OFFSET('DATA INPUT'!$C$11, ROW()-ROW($V$87),0)=$V$10),
 OR(OFFSET('DATA INPUT'!$H$11,ROW()-ROW($V$87),0)=3,
OFFSET('DATA INPUT'!$V$11, ROW()-ROW($V$87),0)=3,
OFFSET('DATA INPUT'!$AD$11, ROW()-ROW($V$87),0)=3)),
OFFSET('Calc - SENIOR PERS'!$AA$11,COLUMN()-COLUMN($V$87) + (ROW()-ROW($V$87))*14,0),0)</f>
        <v>0</v>
      </c>
      <c r="W98" s="5">
        <f ca="1">IF(AND((OFFSET('DATA INPUT'!$C$11, ROW()-ROW($V$87),0)=$V$10),
 OR(OFFSET('DATA INPUT'!$H$11,ROW()-ROW($V$87),0)=3,
OFFSET('DATA INPUT'!$V$11, ROW()-ROW($V$87),0)=3,
OFFSET('DATA INPUT'!$AD$11, ROW()-ROW($V$87),0)=3)),
OFFSET('Calc - SENIOR PERS'!$AA$11,COLUMN()-COLUMN($V$87) + (ROW()-ROW($V$87))*14,0),0)</f>
        <v>0</v>
      </c>
      <c r="X98" s="5">
        <f ca="1">IF(AND((OFFSET('DATA INPUT'!$C$11, ROW()-ROW($V$87),0)=$V$10),
 OR(OFFSET('DATA INPUT'!$H$11,ROW()-ROW($V$87),0)=3,
OFFSET('DATA INPUT'!$V$11, ROW()-ROW($V$87),0)=3,
OFFSET('DATA INPUT'!$AD$11, ROW()-ROW($V$87),0)=3)),
OFFSET('Calc - SENIOR PERS'!$AA$11,COLUMN()-COLUMN($V$87) + (ROW()-ROW($V$87))*14,0),0)</f>
        <v>0</v>
      </c>
      <c r="Y98" s="5">
        <f ca="1">IF(AND((OFFSET('DATA INPUT'!$C$11, ROW()-ROW($V$87),0)=$V$10),
 OR(OFFSET('DATA INPUT'!$H$11,ROW()-ROW($V$87),0)=3,
OFFSET('DATA INPUT'!$V$11, ROW()-ROW($V$87),0)=3,
OFFSET('DATA INPUT'!$AD$11, ROW()-ROW($V$87),0)=3)),
OFFSET('Calc - SENIOR PERS'!$AA$11,COLUMN()-COLUMN($V$87) + (ROW()-ROW($V$87))*14,0),0)</f>
        <v>0</v>
      </c>
      <c r="Z98" s="5">
        <f ca="1">IF(AND((OFFSET('DATA INPUT'!$C$11, ROW()-ROW($V$87),0)=$V$10),
 OR(OFFSET('DATA INPUT'!$H$11,ROW()-ROW($V$87),0)=3,
OFFSET('DATA INPUT'!$V$11, ROW()-ROW($V$87),0)=3,
OFFSET('DATA INPUT'!$AD$11, ROW()-ROW($V$87),0)=3)),
OFFSET('Calc - SENIOR PERS'!$AA$11,COLUMN()-COLUMN($V$87) + (ROW()-ROW($V$87))*14,0),0)</f>
        <v>0</v>
      </c>
      <c r="AA98" s="5">
        <f ca="1">IF(AND((OFFSET('DATA INPUT'!$C$11, ROW()-ROW($V$87),0)=$V$10),
 OR(OFFSET('DATA INPUT'!$H$11,ROW()-ROW($V$87),0)=3,
OFFSET('DATA INPUT'!$V$11, ROW()-ROW($V$87),0)=3,
OFFSET('DATA INPUT'!$AD$11, ROW()-ROW($V$87),0)=3)),
OFFSET('Calc - SENIOR PERS'!$AA$11,COLUMN()-COLUMN($V$87) + (ROW()-ROW($V$87))*14,0),0)</f>
        <v>0</v>
      </c>
      <c r="AB98" s="138">
        <f t="shared" ca="1" si="357"/>
        <v>0</v>
      </c>
      <c r="AD98" s="575">
        <f ca="1">IF(AND((OFFSET('DATA INPUT'!$C$11, ROW()-ROW($AD$87),0)=$AD$10),
 OR(OFFSET('DATA INPUT'!$H$11,ROW()-ROW($AD$87),0)=3,
OFFSET('DATA INPUT'!$V$11, ROW()-ROW($AD$87),0)=3,
OFFSET('DATA INPUT'!$AD$11, ROW()-ROW($AD$87),0)=3)),
OFFSET('Calc - SENIOR PERS'!$AA$11,COLUMN()-COLUMN($AD$87) + (ROW()-ROW($AD$87))*14,0),0)</f>
        <v>0</v>
      </c>
      <c r="AE98" s="5">
        <f ca="1">IF(AND((OFFSET('DATA INPUT'!$C$11, ROW()-ROW($AD$87),0)=$AD$10),
 OR(OFFSET('DATA INPUT'!$H$11,ROW()-ROW($AD$87),0)=3,
OFFSET('DATA INPUT'!$V$11, ROW()-ROW($AD$87),0)=3,
OFFSET('DATA INPUT'!$AD$11, ROW()-ROW($AD$87),0)=3)),
OFFSET('Calc - SENIOR PERS'!$AA$11,COLUMN()-COLUMN($AD$87) + (ROW()-ROW($AD$87))*14,0),0)</f>
        <v>0</v>
      </c>
      <c r="AF98" s="5">
        <f ca="1">IF(AND((OFFSET('DATA INPUT'!$C$11, ROW()-ROW($AD$87),0)=$AD$10),
 OR(OFFSET('DATA INPUT'!$H$11,ROW()-ROW($AD$87),0)=3,
OFFSET('DATA INPUT'!$V$11, ROW()-ROW($AD$87),0)=3,
OFFSET('DATA INPUT'!$AD$11, ROW()-ROW($AD$87),0)=3)),
OFFSET('Calc - SENIOR PERS'!$AA$11,COLUMN()-COLUMN($AD$87) + (ROW()-ROW($AD$87))*14,0),0)</f>
        <v>0</v>
      </c>
      <c r="AG98" s="5">
        <f ca="1">IF(AND((OFFSET('DATA INPUT'!$C$11, ROW()-ROW($AD$87),0)=$AD$10),
 OR(OFFSET('DATA INPUT'!$H$11,ROW()-ROW($AD$87),0)=3,
OFFSET('DATA INPUT'!$V$11, ROW()-ROW($AD$87),0)=3,
OFFSET('DATA INPUT'!$AD$11, ROW()-ROW($AD$87),0)=3)),
OFFSET('Calc - SENIOR PERS'!$AA$11,COLUMN()-COLUMN($AD$87) + (ROW()-ROW($AD$87))*14,0),0)</f>
        <v>0</v>
      </c>
      <c r="AH98" s="5">
        <f ca="1">IF(AND((OFFSET('DATA INPUT'!$C$11, ROW()-ROW($AD$87),0)=$AD$10),
 OR(OFFSET('DATA INPUT'!$H$11,ROW()-ROW($AD$87),0)=3,
OFFSET('DATA INPUT'!$V$11, ROW()-ROW($AD$87),0)=3,
OFFSET('DATA INPUT'!$AD$11, ROW()-ROW($AD$87),0)=3)),
OFFSET('Calc - SENIOR PERS'!$AA$11,COLUMN()-COLUMN($AD$87) + (ROW()-ROW($AD$87))*14,0),0)</f>
        <v>0</v>
      </c>
      <c r="AI98" s="5">
        <f ca="1">IF(AND((OFFSET('DATA INPUT'!$C$11, ROW()-ROW($AD$87),0)=$AD$10),
 OR(OFFSET('DATA INPUT'!$H$11,ROW()-ROW($AD$87),0)=3,
OFFSET('DATA INPUT'!$V$11, ROW()-ROW($AD$87),0)=3,
OFFSET('DATA INPUT'!$AD$11, ROW()-ROW($AD$87),0)=3)),
OFFSET('Calc - SENIOR PERS'!$AA$11,COLUMN()-COLUMN($AD$87) + (ROW()-ROW($AD$87))*14,0),0)</f>
        <v>0</v>
      </c>
      <c r="AJ98" s="206">
        <f t="shared" ca="1" si="358"/>
        <v>0</v>
      </c>
      <c r="AL98" s="575">
        <f ca="1">IF(AND((OFFSET('DATA INPUT'!$C$11, ROW()-ROW($AL$87),0)=$AL$10),
 OR(OFFSET('DATA INPUT'!$H$11,ROW()-ROW($AL$87),0)=3,
OFFSET('DATA INPUT'!$V$11, ROW()-ROW($AL$87),0)=3,
OFFSET('DATA INPUT'!$AD$11, ROW()-ROW($AL$87),0)=3)),
OFFSET('Calc - SENIOR PERS'!$AA$11,COLUMN()-COLUMN($AL$87) + (ROW()-ROW($AL$87))*14,0),0)</f>
        <v>0</v>
      </c>
      <c r="AM98" s="5">
        <f ca="1">IF(AND((OFFSET('DATA INPUT'!$C$11, ROW()-ROW($AL$87),0)=$AL$10),
 OR(OFFSET('DATA INPUT'!$H$11,ROW()-ROW($AL$87),0)=3,
OFFSET('DATA INPUT'!$V$11, ROW()-ROW($AL$87),0)=3,
OFFSET('DATA INPUT'!$AD$11, ROW()-ROW($AL$87),0)=3)),
OFFSET('Calc - SENIOR PERS'!$AA$11,COLUMN()-COLUMN($AL$87) + (ROW()-ROW($AL$87))*14,0),0)</f>
        <v>0</v>
      </c>
      <c r="AN98" s="5">
        <f ca="1">IF(AND((OFFSET('DATA INPUT'!$C$11, ROW()-ROW($AL$87),0)=$AL$10),
 OR(OFFSET('DATA INPUT'!$H$11,ROW()-ROW($AL$87),0)=3,
OFFSET('DATA INPUT'!$V$11, ROW()-ROW($AL$87),0)=3,
OFFSET('DATA INPUT'!$AD$11, ROW()-ROW($AL$87),0)=3)),
OFFSET('Calc - SENIOR PERS'!$AA$11,COLUMN()-COLUMN($AL$87) + (ROW()-ROW($AL$87))*14,0),0)</f>
        <v>0</v>
      </c>
      <c r="AO98" s="5">
        <f ca="1">IF(AND((OFFSET('DATA INPUT'!$C$11, ROW()-ROW($AL$87),0)=$AL$10),
 OR(OFFSET('DATA INPUT'!$H$11,ROW()-ROW($AL$87),0)=3,
OFFSET('DATA INPUT'!$V$11, ROW()-ROW($AL$87),0)=3,
OFFSET('DATA INPUT'!$AD$11, ROW()-ROW($AL$87),0)=3)),
OFFSET('Calc - SENIOR PERS'!$AA$11,COLUMN()-COLUMN($AL$87) + (ROW()-ROW($AL$87))*14,0),0)</f>
        <v>0</v>
      </c>
      <c r="AP98" s="5">
        <f ca="1">IF(AND((OFFSET('DATA INPUT'!$C$11, ROW()-ROW($AL$87),0)=$AL$10),
 OR(OFFSET('DATA INPUT'!$H$11,ROW()-ROW($AL$87),0)=3,
OFFSET('DATA INPUT'!$V$11, ROW()-ROW($AL$87),0)=3,
OFFSET('DATA INPUT'!$AD$11, ROW()-ROW($AL$87),0)=3)),
OFFSET('Calc - SENIOR PERS'!$AA$11,COLUMN()-COLUMN($AL$87) + (ROW()-ROW($AL$87))*14,0),0)</f>
        <v>0</v>
      </c>
      <c r="AQ98" s="5">
        <f ca="1">IF(AND((OFFSET('DATA INPUT'!$C$11, ROW()-ROW($AL$87),0)=$AL$10),
 OR(OFFSET('DATA INPUT'!$H$11,ROW()-ROW($AL$87),0)=3,
OFFSET('DATA INPUT'!$V$11, ROW()-ROW($AL$87),0)=3,
OFFSET('DATA INPUT'!$AD$11, ROW()-ROW($AL$87),0)=3)),
OFFSET('Calc - SENIOR PERS'!$AA$11,COLUMN()-COLUMN($AL$87) + (ROW()-ROW($AL$87))*14,0),0)</f>
        <v>0</v>
      </c>
      <c r="AR98" s="178">
        <f t="shared" ca="1" si="359"/>
        <v>0</v>
      </c>
      <c r="AT98" s="575">
        <f ca="1">IF(AND((OFFSET('DATA INPUT'!$C$11, ROW()-ROW($AT$87),0)=$AT$10),
 OR(OFFSET('DATA INPUT'!$H$11,ROW()-ROW($AT$87),0)=3,
OFFSET('DATA INPUT'!$V$11, ROW()-ROW($AT$87),0)=3,
OFFSET('DATA INPUT'!$AD$11, ROW()-ROW($AT$87),0)=3)),
OFFSET('Calc - SENIOR PERS'!$AA$11,COLUMN()-COLUMN($AT$87) + (ROW()-ROW($AT$87))*14,0),0)</f>
        <v>0</v>
      </c>
      <c r="AU98" s="5">
        <f ca="1">IF(AND((OFFSET('DATA INPUT'!$C$11, ROW()-ROW($AT$87),0)=$AT$10),
 OR(OFFSET('DATA INPUT'!$H$11,ROW()-ROW($AT$87),0)=3,
OFFSET('DATA INPUT'!$V$11, ROW()-ROW($AT$87),0)=3,
OFFSET('DATA INPUT'!$AD$11, ROW()-ROW($AT$87),0)=3)),
OFFSET('Calc - SENIOR PERS'!$AA$11,COLUMN()-COLUMN($AT$87) + (ROW()-ROW($AT$87))*14,0),0)</f>
        <v>0</v>
      </c>
      <c r="AV98" s="5">
        <f ca="1">IF(AND((OFFSET('DATA INPUT'!$C$11, ROW()-ROW($AT$87),0)=$AT$10),
 OR(OFFSET('DATA INPUT'!$H$11,ROW()-ROW($AT$87),0)=3,
OFFSET('DATA INPUT'!$V$11, ROW()-ROW($AT$87),0)=3,
OFFSET('DATA INPUT'!$AD$11, ROW()-ROW($AT$87),0)=3)),
OFFSET('Calc - SENIOR PERS'!$AA$11,COLUMN()-COLUMN($AT$87) + (ROW()-ROW($AT$87))*14,0),0)</f>
        <v>0</v>
      </c>
      <c r="AW98" s="5">
        <f ca="1">IF(AND((OFFSET('DATA INPUT'!$C$11, ROW()-ROW($AT$87),0)=$AT$10),
 OR(OFFSET('DATA INPUT'!$H$11,ROW()-ROW($AT$87),0)=3,
OFFSET('DATA INPUT'!$V$11, ROW()-ROW($AT$87),0)=3,
OFFSET('DATA INPUT'!$AD$11, ROW()-ROW($AT$87),0)=3)),
OFFSET('Calc - SENIOR PERS'!$AA$11,COLUMN()-COLUMN($AT$87) + (ROW()-ROW($AT$87))*14,0),0)</f>
        <v>0</v>
      </c>
      <c r="AX98" s="5">
        <f ca="1">IF(AND((OFFSET('DATA INPUT'!$C$11, ROW()-ROW($AT$87),0)=$AT$10),
 OR(OFFSET('DATA INPUT'!$H$11,ROW()-ROW($AT$87),0)=3,
OFFSET('DATA INPUT'!$V$11, ROW()-ROW($AT$87),0)=3,
OFFSET('DATA INPUT'!$AD$11, ROW()-ROW($AT$87),0)=3)),
OFFSET('Calc - SENIOR PERS'!$AA$11,COLUMN()-COLUMN($AT$87) + (ROW()-ROW($AT$87))*14,0),0)</f>
        <v>0</v>
      </c>
      <c r="AY98" s="5">
        <f ca="1">IF(AND((OFFSET('DATA INPUT'!$C$11, ROW()-ROW($AT$87),0)=$AT$10),
 OR(OFFSET('DATA INPUT'!$H$11,ROW()-ROW($AT$87),0)=3,
OFFSET('DATA INPUT'!$V$11, ROW()-ROW($AT$87),0)=3,
OFFSET('DATA INPUT'!$AD$11, ROW()-ROW($AT$87),0)=3)),
OFFSET('Calc - SENIOR PERS'!$AA$11,COLUMN()-COLUMN($AT$87) + (ROW()-ROW($AT$87))*14,0),0)</f>
        <v>0</v>
      </c>
      <c r="AZ98" s="150">
        <f t="shared" ca="1" si="360"/>
        <v>0</v>
      </c>
      <c r="BB98" s="575">
        <f ca="1">IF(AND((OFFSET('DATA INPUT'!$C$11, ROW()-ROW($BB$87),0)=$BB$10),
 OR(OFFSET('DATA INPUT'!$H$11,ROW()-ROW($BB$87),0)=3,
OFFSET('DATA INPUT'!$V$11, ROW()-ROW($BB$87),0)=3,
OFFSET('DATA INPUT'!$AD$11, ROW()-ROW($BB$87),0)=3)),
OFFSET('Calc - SENIOR PERS'!$AA$11,COLUMN()-COLUMN($BB$87) + (ROW()-ROW($BB$87))*14,0),0)</f>
        <v>0</v>
      </c>
      <c r="BC98" s="5">
        <f ca="1">IF(AND((OFFSET('DATA INPUT'!$C$11, ROW()-ROW($BB$87),0)=$BB$10),
 OR(OFFSET('DATA INPUT'!$H$11,ROW()-ROW($BB$87),0)=3,
OFFSET('DATA INPUT'!$V$11, ROW()-ROW($BB$87),0)=3,
OFFSET('DATA INPUT'!$AD$11, ROW()-ROW($BB$87),0)=3)),
OFFSET('Calc - SENIOR PERS'!$AA$11,COLUMN()-COLUMN($BB$87) + (ROW()-ROW($BB$87))*14,0),0)</f>
        <v>0</v>
      </c>
      <c r="BD98" s="5">
        <f ca="1">IF(AND((OFFSET('DATA INPUT'!$C$11, ROW()-ROW($BB$87),0)=$BB$10),
 OR(OFFSET('DATA INPUT'!$H$11,ROW()-ROW($BB$87),0)=3,
OFFSET('DATA INPUT'!$V$11, ROW()-ROW($BB$87),0)=3,
OFFSET('DATA INPUT'!$AD$11, ROW()-ROW($BB$87),0)=3)),
OFFSET('Calc - SENIOR PERS'!$AA$11,COLUMN()-COLUMN($BB$87) + (ROW()-ROW($BB$87))*14,0),0)</f>
        <v>0</v>
      </c>
      <c r="BE98" s="5">
        <f ca="1">IF(AND((OFFSET('DATA INPUT'!$C$11, ROW()-ROW($BB$87),0)=$BB$10),
 OR(OFFSET('DATA INPUT'!$H$11,ROW()-ROW($BB$87),0)=3,
OFFSET('DATA INPUT'!$V$11, ROW()-ROW($BB$87),0)=3,
OFFSET('DATA INPUT'!$AD$11, ROW()-ROW($BB$87),0)=3)),
OFFSET('Calc - SENIOR PERS'!$AA$11,COLUMN()-COLUMN($BB$87) + (ROW()-ROW($BB$87))*14,0),0)</f>
        <v>0</v>
      </c>
      <c r="BF98" s="5">
        <f ca="1">IF(AND((OFFSET('DATA INPUT'!$C$11, ROW()-ROW($BB$87),0)=$BB$10),
 OR(OFFSET('DATA INPUT'!$H$11,ROW()-ROW($BB$87),0)=3,
OFFSET('DATA INPUT'!$V$11, ROW()-ROW($BB$87),0)=3,
OFFSET('DATA INPUT'!$AD$11, ROW()-ROW($BB$87),0)=3)),
OFFSET('Calc - SENIOR PERS'!$AA$11,COLUMN()-COLUMN($BB$87) + (ROW()-ROW($BB$87))*14,0),0)</f>
        <v>0</v>
      </c>
      <c r="BG98" s="5">
        <f ca="1">IF(AND((OFFSET('DATA INPUT'!$C$11, ROW()-ROW($BB$87),0)=$BB$10),
 OR(OFFSET('DATA INPUT'!$H$11,ROW()-ROW($BB$87),0)=3,
OFFSET('DATA INPUT'!$V$11, ROW()-ROW($BB$87),0)=3,
OFFSET('DATA INPUT'!$AD$11, ROW()-ROW($BB$87),0)=3)),
OFFSET('Calc - SENIOR PERS'!$AA$11,COLUMN()-COLUMN($BB$87) + (ROW()-ROW($BB$87))*14,0),0)</f>
        <v>0</v>
      </c>
      <c r="BH98" s="192">
        <f t="shared" ca="1" si="361"/>
        <v>0</v>
      </c>
      <c r="BJ98" s="575"/>
      <c r="BK98" s="5"/>
      <c r="BL98" s="5"/>
      <c r="BM98" s="5"/>
      <c r="BN98" s="5"/>
      <c r="BO98" s="5"/>
      <c r="BP98" s="1102">
        <f t="shared" si="362"/>
        <v>0</v>
      </c>
      <c r="BR98" s="575">
        <f t="shared" ca="1" si="363"/>
        <v>0</v>
      </c>
      <c r="BS98" s="5">
        <f t="shared" ca="1" si="364"/>
        <v>0</v>
      </c>
      <c r="BT98" s="5">
        <f t="shared" ca="1" si="365"/>
        <v>0</v>
      </c>
      <c r="BU98" s="5">
        <f t="shared" ca="1" si="366"/>
        <v>0</v>
      </c>
      <c r="BV98" s="5">
        <f t="shared" ca="1" si="367"/>
        <v>0</v>
      </c>
      <c r="BW98" s="5">
        <f t="shared" ca="1" si="368"/>
        <v>0</v>
      </c>
      <c r="BX98" s="2175">
        <f t="shared" ca="1" si="369"/>
        <v>0</v>
      </c>
      <c r="BY98" s="573">
        <f t="shared" ca="1" si="370"/>
        <v>0</v>
      </c>
      <c r="BZ98" s="257"/>
      <c r="CB98" s="1182"/>
      <c r="CC98" s="1197">
        <f ca="1">'Calc - SENIOR PERS'!$S$166/9*3</f>
        <v>0</v>
      </c>
      <c r="CD98" s="56">
        <f ca="1">'Calc - SENIOR PERS'!$S$166/9*3</f>
        <v>0</v>
      </c>
      <c r="CE98" s="56">
        <f ca="1">'Calc - SENIOR PERS'!$S$166/9*2</f>
        <v>0</v>
      </c>
      <c r="CF98" s="56">
        <f ca="1">'Calc - SENIOR PERS'!$S$166/9*0.5</f>
        <v>0</v>
      </c>
      <c r="CG98" s="1199">
        <f ca="1">'Calc - SENIOR PERS'!$S$166/9*0.5</f>
        <v>0</v>
      </c>
      <c r="CH98" s="1184">
        <f ca="1">'Calc - SENIOR PERS'!$S$167/9*3</f>
        <v>0</v>
      </c>
      <c r="CI98" s="1185">
        <f ca="1">'Calc - SENIOR PERS'!$S$167/9*3</f>
        <v>0</v>
      </c>
      <c r="CJ98" s="1185">
        <f ca="1">'Calc - SENIOR PERS'!$S$167/9*2</f>
        <v>0</v>
      </c>
      <c r="CK98" s="1185">
        <f ca="1">'Calc - SENIOR PERS'!$S$167/9*0.5</f>
        <v>0</v>
      </c>
      <c r="CL98" s="1186">
        <f ca="1">'Calc - SENIOR PERS'!$S$167/9*0.5</f>
        <v>0</v>
      </c>
      <c r="CM98" s="1187">
        <f ca="1">'Calc - SENIOR PERS'!$S$168/8*3</f>
        <v>0</v>
      </c>
      <c r="CN98" s="1188">
        <f ca="1">'Calc - SENIOR PERS'!$S$168/8*3</f>
        <v>0</v>
      </c>
      <c r="CO98" s="1189">
        <f ca="1">'Calc - SENIOR PERS'!$S$168/8*2</f>
        <v>0</v>
      </c>
      <c r="CP98" s="1234">
        <f t="shared" ca="1" si="371"/>
        <v>0</v>
      </c>
      <c r="CS98" s="575"/>
      <c r="CT98" s="5"/>
      <c r="CU98" s="1180"/>
      <c r="CV98" s="575"/>
      <c r="CW98" s="5"/>
      <c r="CX98" s="1249"/>
      <c r="CY98" s="575"/>
      <c r="CZ98" s="5"/>
      <c r="DA98" s="1180"/>
      <c r="DB98" s="575"/>
      <c r="DC98" s="5"/>
      <c r="DD98" s="1180"/>
      <c r="DE98" s="1181">
        <f t="shared" si="372"/>
        <v>0</v>
      </c>
      <c r="DG98" s="575"/>
      <c r="DH98" s="5"/>
      <c r="DI98" s="1180"/>
      <c r="DJ98" s="575"/>
      <c r="DK98" s="5"/>
      <c r="DL98" s="1249"/>
      <c r="DM98" s="575"/>
      <c r="DN98" s="5"/>
      <c r="DO98" s="1180"/>
      <c r="DP98" s="575"/>
      <c r="DQ98" s="5"/>
      <c r="DR98" s="1180"/>
      <c r="DS98" s="1181">
        <f t="shared" si="373"/>
        <v>0</v>
      </c>
      <c r="DU98" s="575"/>
      <c r="DV98" s="5"/>
      <c r="DW98" s="1180"/>
      <c r="DX98" s="575"/>
      <c r="DY98" s="5"/>
      <c r="DZ98" s="1249"/>
      <c r="EA98" s="575"/>
      <c r="EB98" s="5"/>
      <c r="EC98" s="1180"/>
      <c r="ED98" s="575"/>
      <c r="EE98" s="5"/>
      <c r="EF98" s="1180"/>
      <c r="EG98" s="1181">
        <f t="shared" si="374"/>
        <v>0</v>
      </c>
      <c r="EI98" s="403"/>
      <c r="EJ98" s="3220"/>
      <c r="EK98" s="57">
        <f t="shared" ca="1" si="375"/>
        <v>0</v>
      </c>
      <c r="EL98" s="5">
        <f t="shared" ca="1" si="376"/>
        <v>0</v>
      </c>
      <c r="EM98" s="5">
        <f t="shared" ca="1" si="377"/>
        <v>0</v>
      </c>
      <c r="EN98" s="5">
        <f t="shared" ca="1" si="378"/>
        <v>0</v>
      </c>
      <c r="EO98" s="5">
        <f t="shared" ca="1" si="379"/>
        <v>0</v>
      </c>
      <c r="EP98" s="5">
        <f t="shared" ca="1" si="380"/>
        <v>0</v>
      </c>
      <c r="EQ98" s="5">
        <f t="shared" ca="1" si="381"/>
        <v>0</v>
      </c>
      <c r="ER98" s="88">
        <f t="shared" ca="1" si="382"/>
        <v>0</v>
      </c>
      <c r="ES98" s="4"/>
      <c r="ET98" s="4"/>
      <c r="EU98" s="4"/>
      <c r="EV98" s="575">
        <f t="shared" ca="1" si="383"/>
        <v>0</v>
      </c>
      <c r="EW98" s="5">
        <f t="shared" ca="1" si="384"/>
        <v>0</v>
      </c>
      <c r="EX98" s="5">
        <f t="shared" ca="1" si="385"/>
        <v>0</v>
      </c>
      <c r="EY98" s="5">
        <f t="shared" ca="1" si="386"/>
        <v>0</v>
      </c>
      <c r="EZ98" s="5">
        <f t="shared" ca="1" si="387"/>
        <v>0</v>
      </c>
      <c r="FA98" s="5">
        <f t="shared" ca="1" si="388"/>
        <v>0</v>
      </c>
      <c r="FB98" s="164">
        <f t="shared" ca="1" si="389"/>
        <v>0</v>
      </c>
      <c r="FC98" s="1"/>
      <c r="FD98" s="575">
        <f t="shared" ca="1" si="390"/>
        <v>0</v>
      </c>
      <c r="FE98" s="5">
        <f t="shared" ca="1" si="391"/>
        <v>0</v>
      </c>
      <c r="FF98" s="5">
        <f t="shared" ca="1" si="392"/>
        <v>0</v>
      </c>
      <c r="FG98" s="5">
        <f t="shared" ca="1" si="393"/>
        <v>0</v>
      </c>
      <c r="FH98" s="5">
        <f t="shared" ca="1" si="394"/>
        <v>0</v>
      </c>
      <c r="FI98" s="5">
        <f t="shared" ca="1" si="395"/>
        <v>0</v>
      </c>
      <c r="FJ98" s="138">
        <f t="shared" ca="1" si="396"/>
        <v>0</v>
      </c>
      <c r="FL98" s="575">
        <f t="shared" ca="1" si="397"/>
        <v>0</v>
      </c>
      <c r="FM98" s="5">
        <f t="shared" ca="1" si="398"/>
        <v>0</v>
      </c>
      <c r="FN98" s="5">
        <f t="shared" ca="1" si="399"/>
        <v>0</v>
      </c>
      <c r="FO98" s="5">
        <f t="shared" ca="1" si="400"/>
        <v>0</v>
      </c>
      <c r="FP98" s="5">
        <f t="shared" ca="1" si="401"/>
        <v>0</v>
      </c>
      <c r="FQ98" s="5">
        <f t="shared" ca="1" si="402"/>
        <v>0</v>
      </c>
      <c r="FR98" s="206">
        <f t="shared" ca="1" si="403"/>
        <v>0</v>
      </c>
      <c r="FT98" s="575">
        <f t="shared" ca="1" si="404"/>
        <v>0</v>
      </c>
      <c r="FU98" s="5">
        <f t="shared" ca="1" si="405"/>
        <v>0</v>
      </c>
      <c r="FV98" s="5">
        <f t="shared" ca="1" si="406"/>
        <v>0</v>
      </c>
      <c r="FW98" s="5">
        <f t="shared" ca="1" si="407"/>
        <v>0</v>
      </c>
      <c r="FX98" s="5">
        <f t="shared" ca="1" si="408"/>
        <v>0</v>
      </c>
      <c r="FY98" s="5">
        <f t="shared" ca="1" si="409"/>
        <v>0</v>
      </c>
      <c r="FZ98" s="178">
        <f t="shared" ca="1" si="410"/>
        <v>0</v>
      </c>
      <c r="GB98" s="575">
        <f t="shared" ca="1" si="411"/>
        <v>0</v>
      </c>
      <c r="GC98" s="5">
        <f t="shared" ca="1" si="412"/>
        <v>0</v>
      </c>
      <c r="GD98" s="5">
        <f t="shared" ca="1" si="413"/>
        <v>0</v>
      </c>
      <c r="GE98" s="5">
        <f t="shared" ca="1" si="414"/>
        <v>0</v>
      </c>
      <c r="GF98" s="5">
        <f t="shared" ca="1" si="415"/>
        <v>0</v>
      </c>
      <c r="GG98" s="5">
        <f t="shared" ca="1" si="416"/>
        <v>0</v>
      </c>
      <c r="GH98" s="150">
        <f t="shared" ca="1" si="417"/>
        <v>0</v>
      </c>
      <c r="GJ98" s="575">
        <f t="shared" ca="1" si="418"/>
        <v>0</v>
      </c>
      <c r="GK98" s="5">
        <f t="shared" ca="1" si="419"/>
        <v>0</v>
      </c>
      <c r="GL98" s="5">
        <f t="shared" ca="1" si="420"/>
        <v>0</v>
      </c>
      <c r="GM98" s="5">
        <f t="shared" ca="1" si="421"/>
        <v>0</v>
      </c>
      <c r="GN98" s="5">
        <f t="shared" ca="1" si="422"/>
        <v>0</v>
      </c>
      <c r="GO98" s="5">
        <f t="shared" ca="1" si="423"/>
        <v>0</v>
      </c>
      <c r="GP98" s="192">
        <f t="shared" ca="1" si="424"/>
        <v>0</v>
      </c>
      <c r="GR98" s="575"/>
      <c r="GS98" s="5"/>
      <c r="GT98" s="5"/>
      <c r="GU98" s="5"/>
      <c r="GV98" s="5"/>
      <c r="GW98" s="5"/>
      <c r="GX98" s="1102">
        <f t="shared" si="425"/>
        <v>0</v>
      </c>
      <c r="GZ98" s="575">
        <f t="shared" ca="1" si="426"/>
        <v>0</v>
      </c>
      <c r="HA98" s="5">
        <f t="shared" ca="1" si="427"/>
        <v>0</v>
      </c>
      <c r="HB98" s="5">
        <f t="shared" ca="1" si="428"/>
        <v>0</v>
      </c>
      <c r="HC98" s="5">
        <f t="shared" ca="1" si="429"/>
        <v>0</v>
      </c>
      <c r="HD98" s="5">
        <f t="shared" ca="1" si="430"/>
        <v>0</v>
      </c>
      <c r="HE98" s="5">
        <f t="shared" ca="1" si="431"/>
        <v>0</v>
      </c>
      <c r="HF98" s="2175">
        <f t="shared" ca="1" si="432"/>
        <v>0</v>
      </c>
      <c r="HG98" s="573">
        <f t="shared" ca="1" si="433"/>
        <v>0</v>
      </c>
      <c r="HH98" s="257"/>
    </row>
    <row r="99" spans="1:216" ht="15" hidden="1" customHeight="1" x14ac:dyDescent="0.25">
      <c r="A99" s="403"/>
      <c r="B99" s="3220"/>
      <c r="C99" s="57">
        <f ca="1">'Calc - SENIOR PERS'!$B$174</f>
        <v>0</v>
      </c>
      <c r="D99" s="5">
        <f ca="1">'Calc - SENIOR PERS'!$S$179</f>
        <v>0</v>
      </c>
      <c r="E99" s="5">
        <f ca="1">'Calc - SENIOR PERS'!$S$180</f>
        <v>0</v>
      </c>
      <c r="F99" s="5">
        <f ca="1">'Calc - SENIOR PERS'!$S$181</f>
        <v>0</v>
      </c>
      <c r="G99" s="5">
        <f ca="1">'Calc - SENIOR PERS'!$S$182</f>
        <v>0</v>
      </c>
      <c r="H99" s="5">
        <f ca="1">'Calc - SENIOR PERS'!$S$183</f>
        <v>0</v>
      </c>
      <c r="I99" s="5">
        <f ca="1">'Calc - SENIOR PERS'!$S$184</f>
        <v>0</v>
      </c>
      <c r="J99" s="88">
        <f t="shared" ca="1" si="355"/>
        <v>0</v>
      </c>
      <c r="K99" s="4"/>
      <c r="L99" s="4"/>
      <c r="M99" s="4"/>
      <c r="N99" s="575">
        <f ca="1">IF(AND((OFFSET('DATA INPUT'!$C$11, ROW()-ROW($N$87),0)=$N$10),
 OR(OFFSET('DATA INPUT'!$H$11,ROW()-ROW($N$87),0)=3,
OFFSET('DATA INPUT'!$V$11, ROW()-ROW($N$87),0)=3,
OFFSET('DATA INPUT'!$AD$11, ROW()-ROW($N$87),0)=3)),
OFFSET('Calc - SENIOR PERS'!$AA$11,COLUMN()-COLUMN($N$87) + (ROW()-ROW($N$87))*14,0),0)</f>
        <v>0</v>
      </c>
      <c r="O99" s="5">
        <f ca="1">IF(AND((OFFSET('DATA INPUT'!$C$11, ROW()-ROW($N$87),0)=$N$10),
 OR(OFFSET('DATA INPUT'!$H$11,ROW()-ROW($N$87),0)=3,
OFFSET('DATA INPUT'!$V$11, ROW()-ROW($N$87),0)=3,
OFFSET('DATA INPUT'!$AD$11, ROW()-ROW($N$87),0)=3)),
OFFSET('Calc - SENIOR PERS'!$AA$11,COLUMN()-COLUMN($N$87) + (ROW()-ROW($N$87))*14,0),0)</f>
        <v>0</v>
      </c>
      <c r="P99" s="5">
        <f ca="1">IF(AND((OFFSET('DATA INPUT'!$C$11, ROW()-ROW($N$87),0)=$N$10),
 OR(OFFSET('DATA INPUT'!$H$11,ROW()-ROW($N$87),0)=3,
OFFSET('DATA INPUT'!$V$11, ROW()-ROW($N$87),0)=3,
OFFSET('DATA INPUT'!$AD$11, ROW()-ROW($N$87),0)=3)),
OFFSET('Calc - SENIOR PERS'!$AA$11,COLUMN()-COLUMN($N$87) + (ROW()-ROW($N$87))*14,0),0)</f>
        <v>0</v>
      </c>
      <c r="Q99" s="5">
        <f ca="1">IF(AND((OFFSET('DATA INPUT'!$C$11, ROW()-ROW($N$87),0)=$N$10),
 OR(OFFSET('DATA INPUT'!$H$11,ROW()-ROW($N$87),0)=3,
OFFSET('DATA INPUT'!$V$11, ROW()-ROW($N$87),0)=3,
OFFSET('DATA INPUT'!$AD$11, ROW()-ROW($N$87),0)=3)),
OFFSET('Calc - SENIOR PERS'!$AA$11,COLUMN()-COLUMN($N$87) + (ROW()-ROW($N$87))*14,0),0)</f>
        <v>0</v>
      </c>
      <c r="R99" s="5">
        <f ca="1">IF(AND((OFFSET('DATA INPUT'!$C$11, ROW()-ROW($N$87),0)=$N$10),
 OR(OFFSET('DATA INPUT'!$H$11,ROW()-ROW($N$87),0)=3,
OFFSET('DATA INPUT'!$V$11, ROW()-ROW($N$87),0)=3,
OFFSET('DATA INPUT'!$AD$11, ROW()-ROW($N$87),0)=3)),
OFFSET('Calc - SENIOR PERS'!$AA$11,COLUMN()-COLUMN($N$87) + (ROW()-ROW($N$87))*14,0),0)</f>
        <v>0</v>
      </c>
      <c r="S99" s="5">
        <f ca="1">IF(AND((OFFSET('DATA INPUT'!$C$11, ROW()-ROW($N$87),0)=$N$10),
 OR(OFFSET('DATA INPUT'!$H$11,ROW()-ROW($N$87),0)=3,
OFFSET('DATA INPUT'!$V$11, ROW()-ROW($N$87),0)=3,
OFFSET('DATA INPUT'!$AD$11, ROW()-ROW($N$87),0)=3)),
OFFSET('Calc - SENIOR PERS'!$AA$11,COLUMN()-COLUMN($N$87) + (ROW()-ROW($N$87))*14,0),0)</f>
        <v>0</v>
      </c>
      <c r="T99" s="164">
        <f t="shared" ca="1" si="356"/>
        <v>0</v>
      </c>
      <c r="U99" s="1"/>
      <c r="V99" s="575">
        <f ca="1">IF(AND((OFFSET('DATA INPUT'!$C$11, ROW()-ROW($V$87),0)=$V$10),
 OR(OFFSET('DATA INPUT'!$H$11,ROW()-ROW($V$87),0)=3,
OFFSET('DATA INPUT'!$V$11, ROW()-ROW($V$87),0)=3,
OFFSET('DATA INPUT'!$AD$11, ROW()-ROW($V$87),0)=3)),
OFFSET('Calc - SENIOR PERS'!$AA$11,COLUMN()-COLUMN($V$87) + (ROW()-ROW($V$87))*14,0),0)</f>
        <v>0</v>
      </c>
      <c r="W99" s="5">
        <f ca="1">IF(AND((OFFSET('DATA INPUT'!$C$11, ROW()-ROW($V$87),0)=$V$10),
 OR(OFFSET('DATA INPUT'!$H$11,ROW()-ROW($V$87),0)=3,
OFFSET('DATA INPUT'!$V$11, ROW()-ROW($V$87),0)=3,
OFFSET('DATA INPUT'!$AD$11, ROW()-ROW($V$87),0)=3)),
OFFSET('Calc - SENIOR PERS'!$AA$11,COLUMN()-COLUMN($V$87) + (ROW()-ROW($V$87))*14,0),0)</f>
        <v>0</v>
      </c>
      <c r="X99" s="5">
        <f ca="1">IF(AND((OFFSET('DATA INPUT'!$C$11, ROW()-ROW($V$87),0)=$V$10),
 OR(OFFSET('DATA INPUT'!$H$11,ROW()-ROW($V$87),0)=3,
OFFSET('DATA INPUT'!$V$11, ROW()-ROW($V$87),0)=3,
OFFSET('DATA INPUT'!$AD$11, ROW()-ROW($V$87),0)=3)),
OFFSET('Calc - SENIOR PERS'!$AA$11,COLUMN()-COLUMN($V$87) + (ROW()-ROW($V$87))*14,0),0)</f>
        <v>0</v>
      </c>
      <c r="Y99" s="5">
        <f ca="1">IF(AND((OFFSET('DATA INPUT'!$C$11, ROW()-ROW($V$87),0)=$V$10),
 OR(OFFSET('DATA INPUT'!$H$11,ROW()-ROW($V$87),0)=3,
OFFSET('DATA INPUT'!$V$11, ROW()-ROW($V$87),0)=3,
OFFSET('DATA INPUT'!$AD$11, ROW()-ROW($V$87),0)=3)),
OFFSET('Calc - SENIOR PERS'!$AA$11,COLUMN()-COLUMN($V$87) + (ROW()-ROW($V$87))*14,0),0)</f>
        <v>0</v>
      </c>
      <c r="Z99" s="5">
        <f ca="1">IF(AND((OFFSET('DATA INPUT'!$C$11, ROW()-ROW($V$87),0)=$V$10),
 OR(OFFSET('DATA INPUT'!$H$11,ROW()-ROW($V$87),0)=3,
OFFSET('DATA INPUT'!$V$11, ROW()-ROW($V$87),0)=3,
OFFSET('DATA INPUT'!$AD$11, ROW()-ROW($V$87),0)=3)),
OFFSET('Calc - SENIOR PERS'!$AA$11,COLUMN()-COLUMN($V$87) + (ROW()-ROW($V$87))*14,0),0)</f>
        <v>0</v>
      </c>
      <c r="AA99" s="5">
        <f ca="1">IF(AND((OFFSET('DATA INPUT'!$C$11, ROW()-ROW($V$87),0)=$V$10),
 OR(OFFSET('DATA INPUT'!$H$11,ROW()-ROW($V$87),0)=3,
OFFSET('DATA INPUT'!$V$11, ROW()-ROW($V$87),0)=3,
OFFSET('DATA INPUT'!$AD$11, ROW()-ROW($V$87),0)=3)),
OFFSET('Calc - SENIOR PERS'!$AA$11,COLUMN()-COLUMN($V$87) + (ROW()-ROW($V$87))*14,0),0)</f>
        <v>0</v>
      </c>
      <c r="AB99" s="138">
        <f t="shared" ca="1" si="357"/>
        <v>0</v>
      </c>
      <c r="AD99" s="575">
        <f ca="1">IF(AND((OFFSET('DATA INPUT'!$C$11, ROW()-ROW($AD$87),0)=$AD$10),
 OR(OFFSET('DATA INPUT'!$H$11,ROW()-ROW($AD$87),0)=3,
OFFSET('DATA INPUT'!$V$11, ROW()-ROW($AD$87),0)=3,
OFFSET('DATA INPUT'!$AD$11, ROW()-ROW($AD$87),0)=3)),
OFFSET('Calc - SENIOR PERS'!$AA$11,COLUMN()-COLUMN($AD$87) + (ROW()-ROW($AD$87))*14,0),0)</f>
        <v>0</v>
      </c>
      <c r="AE99" s="5">
        <f ca="1">IF(AND((OFFSET('DATA INPUT'!$C$11, ROW()-ROW($AD$87),0)=$AD$10),
 OR(OFFSET('DATA INPUT'!$H$11,ROW()-ROW($AD$87),0)=3,
OFFSET('DATA INPUT'!$V$11, ROW()-ROW($AD$87),0)=3,
OFFSET('DATA INPUT'!$AD$11, ROW()-ROW($AD$87),0)=3)),
OFFSET('Calc - SENIOR PERS'!$AA$11,COLUMN()-COLUMN($AD$87) + (ROW()-ROW($AD$87))*14,0),0)</f>
        <v>0</v>
      </c>
      <c r="AF99" s="5">
        <f ca="1">IF(AND((OFFSET('DATA INPUT'!$C$11, ROW()-ROW($AD$87),0)=$AD$10),
 OR(OFFSET('DATA INPUT'!$H$11,ROW()-ROW($AD$87),0)=3,
OFFSET('DATA INPUT'!$V$11, ROW()-ROW($AD$87),0)=3,
OFFSET('DATA INPUT'!$AD$11, ROW()-ROW($AD$87),0)=3)),
OFFSET('Calc - SENIOR PERS'!$AA$11,COLUMN()-COLUMN($AD$87) + (ROW()-ROW($AD$87))*14,0),0)</f>
        <v>0</v>
      </c>
      <c r="AG99" s="5">
        <f ca="1">IF(AND((OFFSET('DATA INPUT'!$C$11, ROW()-ROW($AD$87),0)=$AD$10),
 OR(OFFSET('DATA INPUT'!$H$11,ROW()-ROW($AD$87),0)=3,
OFFSET('DATA INPUT'!$V$11, ROW()-ROW($AD$87),0)=3,
OFFSET('DATA INPUT'!$AD$11, ROW()-ROW($AD$87),0)=3)),
OFFSET('Calc - SENIOR PERS'!$AA$11,COLUMN()-COLUMN($AD$87) + (ROW()-ROW($AD$87))*14,0),0)</f>
        <v>0</v>
      </c>
      <c r="AH99" s="5">
        <f ca="1">IF(AND((OFFSET('DATA INPUT'!$C$11, ROW()-ROW($AD$87),0)=$AD$10),
 OR(OFFSET('DATA INPUT'!$H$11,ROW()-ROW($AD$87),0)=3,
OFFSET('DATA INPUT'!$V$11, ROW()-ROW($AD$87),0)=3,
OFFSET('DATA INPUT'!$AD$11, ROW()-ROW($AD$87),0)=3)),
OFFSET('Calc - SENIOR PERS'!$AA$11,COLUMN()-COLUMN($AD$87) + (ROW()-ROW($AD$87))*14,0),0)</f>
        <v>0</v>
      </c>
      <c r="AI99" s="5">
        <f ca="1">IF(AND((OFFSET('DATA INPUT'!$C$11, ROW()-ROW($AD$87),0)=$AD$10),
 OR(OFFSET('DATA INPUT'!$H$11,ROW()-ROW($AD$87),0)=3,
OFFSET('DATA INPUT'!$V$11, ROW()-ROW($AD$87),0)=3,
OFFSET('DATA INPUT'!$AD$11, ROW()-ROW($AD$87),0)=3)),
OFFSET('Calc - SENIOR PERS'!$AA$11,COLUMN()-COLUMN($AD$87) + (ROW()-ROW($AD$87))*14,0),0)</f>
        <v>0</v>
      </c>
      <c r="AJ99" s="206">
        <f t="shared" ca="1" si="358"/>
        <v>0</v>
      </c>
      <c r="AL99" s="575">
        <f ca="1">IF(AND((OFFSET('DATA INPUT'!$C$11, ROW()-ROW($AL$87),0)=$AL$10),
 OR(OFFSET('DATA INPUT'!$H$11,ROW()-ROW($AL$87),0)=3,
OFFSET('DATA INPUT'!$V$11, ROW()-ROW($AL$87),0)=3,
OFFSET('DATA INPUT'!$AD$11, ROW()-ROW($AL$87),0)=3)),
OFFSET('Calc - SENIOR PERS'!$AA$11,COLUMN()-COLUMN($AL$87) + (ROW()-ROW($AL$87))*14,0),0)</f>
        <v>0</v>
      </c>
      <c r="AM99" s="5">
        <f ca="1">IF(AND((OFFSET('DATA INPUT'!$C$11, ROW()-ROW($AL$87),0)=$AL$10),
 OR(OFFSET('DATA INPUT'!$H$11,ROW()-ROW($AL$87),0)=3,
OFFSET('DATA INPUT'!$V$11, ROW()-ROW($AL$87),0)=3,
OFFSET('DATA INPUT'!$AD$11, ROW()-ROW($AL$87),0)=3)),
OFFSET('Calc - SENIOR PERS'!$AA$11,COLUMN()-COLUMN($AL$87) + (ROW()-ROW($AL$87))*14,0),0)</f>
        <v>0</v>
      </c>
      <c r="AN99" s="5">
        <f ca="1">IF(AND((OFFSET('DATA INPUT'!$C$11, ROW()-ROW($AL$87),0)=$AL$10),
 OR(OFFSET('DATA INPUT'!$H$11,ROW()-ROW($AL$87),0)=3,
OFFSET('DATA INPUT'!$V$11, ROW()-ROW($AL$87),0)=3,
OFFSET('DATA INPUT'!$AD$11, ROW()-ROW($AL$87),0)=3)),
OFFSET('Calc - SENIOR PERS'!$AA$11,COLUMN()-COLUMN($AL$87) + (ROW()-ROW($AL$87))*14,0),0)</f>
        <v>0</v>
      </c>
      <c r="AO99" s="5">
        <f ca="1">IF(AND((OFFSET('DATA INPUT'!$C$11, ROW()-ROW($AL$87),0)=$AL$10),
 OR(OFFSET('DATA INPUT'!$H$11,ROW()-ROW($AL$87),0)=3,
OFFSET('DATA INPUT'!$V$11, ROW()-ROW($AL$87),0)=3,
OFFSET('DATA INPUT'!$AD$11, ROW()-ROW($AL$87),0)=3)),
OFFSET('Calc - SENIOR PERS'!$AA$11,COLUMN()-COLUMN($AL$87) + (ROW()-ROW($AL$87))*14,0),0)</f>
        <v>0</v>
      </c>
      <c r="AP99" s="5">
        <f ca="1">IF(AND((OFFSET('DATA INPUT'!$C$11, ROW()-ROW($AL$87),0)=$AL$10),
 OR(OFFSET('DATA INPUT'!$H$11,ROW()-ROW($AL$87),0)=3,
OFFSET('DATA INPUT'!$V$11, ROW()-ROW($AL$87),0)=3,
OFFSET('DATA INPUT'!$AD$11, ROW()-ROW($AL$87),0)=3)),
OFFSET('Calc - SENIOR PERS'!$AA$11,COLUMN()-COLUMN($AL$87) + (ROW()-ROW($AL$87))*14,0),0)</f>
        <v>0</v>
      </c>
      <c r="AQ99" s="5">
        <f ca="1">IF(AND((OFFSET('DATA INPUT'!$C$11, ROW()-ROW($AL$87),0)=$AL$10),
 OR(OFFSET('DATA INPUT'!$H$11,ROW()-ROW($AL$87),0)=3,
OFFSET('DATA INPUT'!$V$11, ROW()-ROW($AL$87),0)=3,
OFFSET('DATA INPUT'!$AD$11, ROW()-ROW($AL$87),0)=3)),
OFFSET('Calc - SENIOR PERS'!$AA$11,COLUMN()-COLUMN($AL$87) + (ROW()-ROW($AL$87))*14,0),0)</f>
        <v>0</v>
      </c>
      <c r="AR99" s="178">
        <f t="shared" ca="1" si="359"/>
        <v>0</v>
      </c>
      <c r="AT99" s="575">
        <f ca="1">IF(AND((OFFSET('DATA INPUT'!$C$11, ROW()-ROW($AT$87),0)=$AT$10),
 OR(OFFSET('DATA INPUT'!$H$11,ROW()-ROW($AT$87),0)=3,
OFFSET('DATA INPUT'!$V$11, ROW()-ROW($AT$87),0)=3,
OFFSET('DATA INPUT'!$AD$11, ROW()-ROW($AT$87),0)=3)),
OFFSET('Calc - SENIOR PERS'!$AA$11,COLUMN()-COLUMN($AT$87) + (ROW()-ROW($AT$87))*14,0),0)</f>
        <v>0</v>
      </c>
      <c r="AU99" s="5">
        <f ca="1">IF(AND((OFFSET('DATA INPUT'!$C$11, ROW()-ROW($AT$87),0)=$AT$10),
 OR(OFFSET('DATA INPUT'!$H$11,ROW()-ROW($AT$87),0)=3,
OFFSET('DATA INPUT'!$V$11, ROW()-ROW($AT$87),0)=3,
OFFSET('DATA INPUT'!$AD$11, ROW()-ROW($AT$87),0)=3)),
OFFSET('Calc - SENIOR PERS'!$AA$11,COLUMN()-COLUMN($AT$87) + (ROW()-ROW($AT$87))*14,0),0)</f>
        <v>0</v>
      </c>
      <c r="AV99" s="5">
        <f ca="1">IF(AND((OFFSET('DATA INPUT'!$C$11, ROW()-ROW($AT$87),0)=$AT$10),
 OR(OFFSET('DATA INPUT'!$H$11,ROW()-ROW($AT$87),0)=3,
OFFSET('DATA INPUT'!$V$11, ROW()-ROW($AT$87),0)=3,
OFFSET('DATA INPUT'!$AD$11, ROW()-ROW($AT$87),0)=3)),
OFFSET('Calc - SENIOR PERS'!$AA$11,COLUMN()-COLUMN($AT$87) + (ROW()-ROW($AT$87))*14,0),0)</f>
        <v>0</v>
      </c>
      <c r="AW99" s="5">
        <f ca="1">IF(AND((OFFSET('DATA INPUT'!$C$11, ROW()-ROW($AT$87),0)=$AT$10),
 OR(OFFSET('DATA INPUT'!$H$11,ROW()-ROW($AT$87),0)=3,
OFFSET('DATA INPUT'!$V$11, ROW()-ROW($AT$87),0)=3,
OFFSET('DATA INPUT'!$AD$11, ROW()-ROW($AT$87),0)=3)),
OFFSET('Calc - SENIOR PERS'!$AA$11,COLUMN()-COLUMN($AT$87) + (ROW()-ROW($AT$87))*14,0),0)</f>
        <v>0</v>
      </c>
      <c r="AX99" s="5">
        <f ca="1">IF(AND((OFFSET('DATA INPUT'!$C$11, ROW()-ROW($AT$87),0)=$AT$10),
 OR(OFFSET('DATA INPUT'!$H$11,ROW()-ROW($AT$87),0)=3,
OFFSET('DATA INPUT'!$V$11, ROW()-ROW($AT$87),0)=3,
OFFSET('DATA INPUT'!$AD$11, ROW()-ROW($AT$87),0)=3)),
OFFSET('Calc - SENIOR PERS'!$AA$11,COLUMN()-COLUMN($AT$87) + (ROW()-ROW($AT$87))*14,0),0)</f>
        <v>0</v>
      </c>
      <c r="AY99" s="5">
        <f ca="1">IF(AND((OFFSET('DATA INPUT'!$C$11, ROW()-ROW($AT$87),0)=$AT$10),
 OR(OFFSET('DATA INPUT'!$H$11,ROW()-ROW($AT$87),0)=3,
OFFSET('DATA INPUT'!$V$11, ROW()-ROW($AT$87),0)=3,
OFFSET('DATA INPUT'!$AD$11, ROW()-ROW($AT$87),0)=3)),
OFFSET('Calc - SENIOR PERS'!$AA$11,COLUMN()-COLUMN($AT$87) + (ROW()-ROW($AT$87))*14,0),0)</f>
        <v>0</v>
      </c>
      <c r="AZ99" s="150">
        <f t="shared" ca="1" si="360"/>
        <v>0</v>
      </c>
      <c r="BB99" s="575">
        <f ca="1">IF(AND((OFFSET('DATA INPUT'!$C$11, ROW()-ROW($BB$87),0)=$BB$10),
 OR(OFFSET('DATA INPUT'!$H$11,ROW()-ROW($BB$87),0)=3,
OFFSET('DATA INPUT'!$V$11, ROW()-ROW($BB$87),0)=3,
OFFSET('DATA INPUT'!$AD$11, ROW()-ROW($BB$87),0)=3)),
OFFSET('Calc - SENIOR PERS'!$AA$11,COLUMN()-COLUMN($BB$87) + (ROW()-ROW($BB$87))*14,0),0)</f>
        <v>0</v>
      </c>
      <c r="BC99" s="5">
        <f ca="1">IF(AND((OFFSET('DATA INPUT'!$C$11, ROW()-ROW($BB$87),0)=$BB$10),
 OR(OFFSET('DATA INPUT'!$H$11,ROW()-ROW($BB$87),0)=3,
OFFSET('DATA INPUT'!$V$11, ROW()-ROW($BB$87),0)=3,
OFFSET('DATA INPUT'!$AD$11, ROW()-ROW($BB$87),0)=3)),
OFFSET('Calc - SENIOR PERS'!$AA$11,COLUMN()-COLUMN($BB$87) + (ROW()-ROW($BB$87))*14,0),0)</f>
        <v>0</v>
      </c>
      <c r="BD99" s="5">
        <f ca="1">IF(AND((OFFSET('DATA INPUT'!$C$11, ROW()-ROW($BB$87),0)=$BB$10),
 OR(OFFSET('DATA INPUT'!$H$11,ROW()-ROW($BB$87),0)=3,
OFFSET('DATA INPUT'!$V$11, ROW()-ROW($BB$87),0)=3,
OFFSET('DATA INPUT'!$AD$11, ROW()-ROW($BB$87),0)=3)),
OFFSET('Calc - SENIOR PERS'!$AA$11,COLUMN()-COLUMN($BB$87) + (ROW()-ROW($BB$87))*14,0),0)</f>
        <v>0</v>
      </c>
      <c r="BE99" s="5">
        <f ca="1">IF(AND((OFFSET('DATA INPUT'!$C$11, ROW()-ROW($BB$87),0)=$BB$10),
 OR(OFFSET('DATA INPUT'!$H$11,ROW()-ROW($BB$87),0)=3,
OFFSET('DATA INPUT'!$V$11, ROW()-ROW($BB$87),0)=3,
OFFSET('DATA INPUT'!$AD$11, ROW()-ROW($BB$87),0)=3)),
OFFSET('Calc - SENIOR PERS'!$AA$11,COLUMN()-COLUMN($BB$87) + (ROW()-ROW($BB$87))*14,0),0)</f>
        <v>0</v>
      </c>
      <c r="BF99" s="5">
        <f ca="1">IF(AND((OFFSET('DATA INPUT'!$C$11, ROW()-ROW($BB$87),0)=$BB$10),
 OR(OFFSET('DATA INPUT'!$H$11,ROW()-ROW($BB$87),0)=3,
OFFSET('DATA INPUT'!$V$11, ROW()-ROW($BB$87),0)=3,
OFFSET('DATA INPUT'!$AD$11, ROW()-ROW($BB$87),0)=3)),
OFFSET('Calc - SENIOR PERS'!$AA$11,COLUMN()-COLUMN($BB$87) + (ROW()-ROW($BB$87))*14,0),0)</f>
        <v>0</v>
      </c>
      <c r="BG99" s="5">
        <f ca="1">IF(AND((OFFSET('DATA INPUT'!$C$11, ROW()-ROW($BB$87),0)=$BB$10),
 OR(OFFSET('DATA INPUT'!$H$11,ROW()-ROW($BB$87),0)=3,
OFFSET('DATA INPUT'!$V$11, ROW()-ROW($BB$87),0)=3,
OFFSET('DATA INPUT'!$AD$11, ROW()-ROW($BB$87),0)=3)),
OFFSET('Calc - SENIOR PERS'!$AA$11,COLUMN()-COLUMN($BB$87) + (ROW()-ROW($BB$87))*14,0),0)</f>
        <v>0</v>
      </c>
      <c r="BH99" s="192">
        <f t="shared" ca="1" si="361"/>
        <v>0</v>
      </c>
      <c r="BJ99" s="575"/>
      <c r="BK99" s="5"/>
      <c r="BL99" s="5"/>
      <c r="BM99" s="5"/>
      <c r="BN99" s="5"/>
      <c r="BO99" s="5"/>
      <c r="BP99" s="1102">
        <f t="shared" si="362"/>
        <v>0</v>
      </c>
      <c r="BR99" s="575">
        <f t="shared" ca="1" si="363"/>
        <v>0</v>
      </c>
      <c r="BS99" s="5">
        <f t="shared" ca="1" si="364"/>
        <v>0</v>
      </c>
      <c r="BT99" s="5">
        <f t="shared" ca="1" si="365"/>
        <v>0</v>
      </c>
      <c r="BU99" s="5">
        <f t="shared" ca="1" si="366"/>
        <v>0</v>
      </c>
      <c r="BV99" s="5">
        <f t="shared" ca="1" si="367"/>
        <v>0</v>
      </c>
      <c r="BW99" s="5">
        <f t="shared" ca="1" si="368"/>
        <v>0</v>
      </c>
      <c r="BX99" s="2175">
        <f t="shared" ca="1" si="369"/>
        <v>0</v>
      </c>
      <c r="BY99" s="573">
        <f t="shared" ca="1" si="370"/>
        <v>0</v>
      </c>
      <c r="BZ99" s="257"/>
      <c r="CB99" s="1182"/>
      <c r="CC99" s="387">
        <f ca="1">'Calc - SENIOR PERS'!$S$180/9*3</f>
        <v>0</v>
      </c>
      <c r="CD99" s="56">
        <f ca="1">'Calc - SENIOR PERS'!$S$180/9*3</f>
        <v>0</v>
      </c>
      <c r="CE99" s="56">
        <f ca="1">'Calc - SENIOR PERS'!$S$180/9*2</f>
        <v>0</v>
      </c>
      <c r="CF99" s="56">
        <f ca="1">'Calc - SENIOR PERS'!$S$180/9*0.5</f>
        <v>0</v>
      </c>
      <c r="CG99" s="1183">
        <f ca="1">'Calc - SENIOR PERS'!$S$180/9*0.5</f>
        <v>0</v>
      </c>
      <c r="CH99" s="1184">
        <f ca="1">'Calc - SENIOR PERS'!$S$181/9*3</f>
        <v>0</v>
      </c>
      <c r="CI99" s="1185">
        <f ca="1">'Calc - SENIOR PERS'!$S$181/9*3</f>
        <v>0</v>
      </c>
      <c r="CJ99" s="1185">
        <f ca="1">'Calc - SENIOR PERS'!$S$181/9*2</f>
        <v>0</v>
      </c>
      <c r="CK99" s="1185">
        <f ca="1">'Calc - SENIOR PERS'!$S$181/9*0.5</f>
        <v>0</v>
      </c>
      <c r="CL99" s="1186">
        <f ca="1">'Calc - SENIOR PERS'!$S$181/9*0.5</f>
        <v>0</v>
      </c>
      <c r="CM99" s="1187">
        <f ca="1">'Calc - SENIOR PERS'!$S$182/8*3</f>
        <v>0</v>
      </c>
      <c r="CN99" s="1188">
        <f ca="1">'Calc - SENIOR PERS'!$S$182/8*3</f>
        <v>0</v>
      </c>
      <c r="CO99" s="1189">
        <f ca="1">'Calc - SENIOR PERS'!$S$182/8*2</f>
        <v>0</v>
      </c>
      <c r="CP99" s="1234">
        <f t="shared" ca="1" si="371"/>
        <v>0</v>
      </c>
      <c r="CS99" s="575"/>
      <c r="CT99" s="5"/>
      <c r="CU99" s="1180"/>
      <c r="CV99" s="575"/>
      <c r="CW99" s="5"/>
      <c r="CX99" s="1249"/>
      <c r="CY99" s="575"/>
      <c r="CZ99" s="5"/>
      <c r="DA99" s="1180"/>
      <c r="DB99" s="575"/>
      <c r="DC99" s="5"/>
      <c r="DD99" s="1180"/>
      <c r="DE99" s="1181">
        <f t="shared" si="372"/>
        <v>0</v>
      </c>
      <c r="DG99" s="575"/>
      <c r="DH99" s="5"/>
      <c r="DI99" s="1180"/>
      <c r="DJ99" s="575"/>
      <c r="DK99" s="5"/>
      <c r="DL99" s="1249"/>
      <c r="DM99" s="575"/>
      <c r="DN99" s="5"/>
      <c r="DO99" s="1180"/>
      <c r="DP99" s="575"/>
      <c r="DQ99" s="5"/>
      <c r="DR99" s="1180"/>
      <c r="DS99" s="1181">
        <f t="shared" si="373"/>
        <v>0</v>
      </c>
      <c r="DU99" s="575"/>
      <c r="DV99" s="5"/>
      <c r="DW99" s="1180"/>
      <c r="DX99" s="575"/>
      <c r="DY99" s="5"/>
      <c r="DZ99" s="1249"/>
      <c r="EA99" s="575"/>
      <c r="EB99" s="5"/>
      <c r="EC99" s="1180"/>
      <c r="ED99" s="575"/>
      <c r="EE99" s="5"/>
      <c r="EF99" s="1180"/>
      <c r="EG99" s="1181">
        <f t="shared" si="374"/>
        <v>0</v>
      </c>
      <c r="EI99" s="403"/>
      <c r="EJ99" s="3220"/>
      <c r="EK99" s="57">
        <f t="shared" ca="1" si="375"/>
        <v>0</v>
      </c>
      <c r="EL99" s="5">
        <f t="shared" ca="1" si="376"/>
        <v>0</v>
      </c>
      <c r="EM99" s="5">
        <f t="shared" ca="1" si="377"/>
        <v>0</v>
      </c>
      <c r="EN99" s="5">
        <f t="shared" ca="1" si="378"/>
        <v>0</v>
      </c>
      <c r="EO99" s="5">
        <f t="shared" ca="1" si="379"/>
        <v>0</v>
      </c>
      <c r="EP99" s="5">
        <f t="shared" ca="1" si="380"/>
        <v>0</v>
      </c>
      <c r="EQ99" s="5">
        <f t="shared" ca="1" si="381"/>
        <v>0</v>
      </c>
      <c r="ER99" s="88">
        <f t="shared" ca="1" si="382"/>
        <v>0</v>
      </c>
      <c r="ES99" s="4"/>
      <c r="ET99" s="4"/>
      <c r="EU99" s="4"/>
      <c r="EV99" s="575">
        <f t="shared" ca="1" si="383"/>
        <v>0</v>
      </c>
      <c r="EW99" s="5">
        <f t="shared" ca="1" si="384"/>
        <v>0</v>
      </c>
      <c r="EX99" s="5">
        <f t="shared" ca="1" si="385"/>
        <v>0</v>
      </c>
      <c r="EY99" s="5">
        <f t="shared" ca="1" si="386"/>
        <v>0</v>
      </c>
      <c r="EZ99" s="5">
        <f t="shared" ca="1" si="387"/>
        <v>0</v>
      </c>
      <c r="FA99" s="5">
        <f t="shared" ca="1" si="388"/>
        <v>0</v>
      </c>
      <c r="FB99" s="164">
        <f t="shared" ca="1" si="389"/>
        <v>0</v>
      </c>
      <c r="FC99" s="1"/>
      <c r="FD99" s="575">
        <f t="shared" ca="1" si="390"/>
        <v>0</v>
      </c>
      <c r="FE99" s="5">
        <f t="shared" ca="1" si="391"/>
        <v>0</v>
      </c>
      <c r="FF99" s="5">
        <f t="shared" ca="1" si="392"/>
        <v>0</v>
      </c>
      <c r="FG99" s="5">
        <f t="shared" ca="1" si="393"/>
        <v>0</v>
      </c>
      <c r="FH99" s="5">
        <f t="shared" ca="1" si="394"/>
        <v>0</v>
      </c>
      <c r="FI99" s="5">
        <f t="shared" ca="1" si="395"/>
        <v>0</v>
      </c>
      <c r="FJ99" s="138">
        <f t="shared" ca="1" si="396"/>
        <v>0</v>
      </c>
      <c r="FL99" s="575">
        <f t="shared" ca="1" si="397"/>
        <v>0</v>
      </c>
      <c r="FM99" s="5">
        <f t="shared" ca="1" si="398"/>
        <v>0</v>
      </c>
      <c r="FN99" s="5">
        <f t="shared" ca="1" si="399"/>
        <v>0</v>
      </c>
      <c r="FO99" s="5">
        <f t="shared" ca="1" si="400"/>
        <v>0</v>
      </c>
      <c r="FP99" s="5">
        <f t="shared" ca="1" si="401"/>
        <v>0</v>
      </c>
      <c r="FQ99" s="5">
        <f t="shared" ca="1" si="402"/>
        <v>0</v>
      </c>
      <c r="FR99" s="206">
        <f t="shared" ca="1" si="403"/>
        <v>0</v>
      </c>
      <c r="FT99" s="575">
        <f t="shared" ca="1" si="404"/>
        <v>0</v>
      </c>
      <c r="FU99" s="5">
        <f t="shared" ca="1" si="405"/>
        <v>0</v>
      </c>
      <c r="FV99" s="5">
        <f t="shared" ca="1" si="406"/>
        <v>0</v>
      </c>
      <c r="FW99" s="5">
        <f t="shared" ca="1" si="407"/>
        <v>0</v>
      </c>
      <c r="FX99" s="5">
        <f t="shared" ca="1" si="408"/>
        <v>0</v>
      </c>
      <c r="FY99" s="5">
        <f t="shared" ca="1" si="409"/>
        <v>0</v>
      </c>
      <c r="FZ99" s="178">
        <f t="shared" ca="1" si="410"/>
        <v>0</v>
      </c>
      <c r="GB99" s="575">
        <f t="shared" ca="1" si="411"/>
        <v>0</v>
      </c>
      <c r="GC99" s="5">
        <f t="shared" ca="1" si="412"/>
        <v>0</v>
      </c>
      <c r="GD99" s="5">
        <f t="shared" ca="1" si="413"/>
        <v>0</v>
      </c>
      <c r="GE99" s="5">
        <f t="shared" ca="1" si="414"/>
        <v>0</v>
      </c>
      <c r="GF99" s="5">
        <f t="shared" ca="1" si="415"/>
        <v>0</v>
      </c>
      <c r="GG99" s="5">
        <f t="shared" ca="1" si="416"/>
        <v>0</v>
      </c>
      <c r="GH99" s="150">
        <f t="shared" ca="1" si="417"/>
        <v>0</v>
      </c>
      <c r="GJ99" s="575">
        <f t="shared" ca="1" si="418"/>
        <v>0</v>
      </c>
      <c r="GK99" s="5">
        <f t="shared" ca="1" si="419"/>
        <v>0</v>
      </c>
      <c r="GL99" s="5">
        <f t="shared" ca="1" si="420"/>
        <v>0</v>
      </c>
      <c r="GM99" s="5">
        <f t="shared" ca="1" si="421"/>
        <v>0</v>
      </c>
      <c r="GN99" s="5">
        <f t="shared" ca="1" si="422"/>
        <v>0</v>
      </c>
      <c r="GO99" s="5">
        <f t="shared" ca="1" si="423"/>
        <v>0</v>
      </c>
      <c r="GP99" s="192">
        <f t="shared" ca="1" si="424"/>
        <v>0</v>
      </c>
      <c r="GR99" s="575"/>
      <c r="GS99" s="5"/>
      <c r="GT99" s="5"/>
      <c r="GU99" s="5"/>
      <c r="GV99" s="5"/>
      <c r="GW99" s="5"/>
      <c r="GX99" s="1102">
        <f t="shared" si="425"/>
        <v>0</v>
      </c>
      <c r="GZ99" s="575">
        <f t="shared" ca="1" si="426"/>
        <v>0</v>
      </c>
      <c r="HA99" s="5">
        <f t="shared" ca="1" si="427"/>
        <v>0</v>
      </c>
      <c r="HB99" s="5">
        <f t="shared" ca="1" si="428"/>
        <v>0</v>
      </c>
      <c r="HC99" s="5">
        <f t="shared" ca="1" si="429"/>
        <v>0</v>
      </c>
      <c r="HD99" s="5">
        <f t="shared" ca="1" si="430"/>
        <v>0</v>
      </c>
      <c r="HE99" s="5">
        <f t="shared" ca="1" si="431"/>
        <v>0</v>
      </c>
      <c r="HF99" s="2175">
        <f t="shared" ca="1" si="432"/>
        <v>0</v>
      </c>
      <c r="HG99" s="573">
        <f t="shared" ca="1" si="433"/>
        <v>0</v>
      </c>
      <c r="HH99" s="257"/>
    </row>
    <row r="100" spans="1:216" ht="15" hidden="1" customHeight="1" x14ac:dyDescent="0.25">
      <c r="A100" s="403"/>
      <c r="B100" s="3220"/>
      <c r="C100" s="57">
        <f ca="1">'Calc - SENIOR PERS'!$B$188</f>
        <v>0</v>
      </c>
      <c r="D100" s="5">
        <f ca="1">'Calc - SENIOR PERS'!$S$193</f>
        <v>0</v>
      </c>
      <c r="E100" s="5">
        <f ca="1">'Calc - SENIOR PERS'!$S$194</f>
        <v>0</v>
      </c>
      <c r="F100" s="5">
        <f ca="1">'Calc - SENIOR PERS'!$S$195</f>
        <v>0</v>
      </c>
      <c r="G100" s="5">
        <f ca="1">'Calc - SENIOR PERS'!$S$196</f>
        <v>0</v>
      </c>
      <c r="H100" s="5">
        <f ca="1">'Calc - SENIOR PERS'!$S$197</f>
        <v>0</v>
      </c>
      <c r="I100" s="5">
        <f ca="1">'Calc - SENIOR PERS'!$S$198</f>
        <v>0</v>
      </c>
      <c r="J100" s="88">
        <f t="shared" ca="1" si="355"/>
        <v>0</v>
      </c>
      <c r="K100" s="4"/>
      <c r="L100" s="4"/>
      <c r="M100" s="4"/>
      <c r="N100" s="575">
        <f ca="1">IF(AND((OFFSET('DATA INPUT'!$C$11, ROW()-ROW($N$87),0)=$N$10),
 OR(OFFSET('DATA INPUT'!$H$11,ROW()-ROW($N$87),0)=3,
OFFSET('DATA INPUT'!$V$11, ROW()-ROW($N$87),0)=3,
OFFSET('DATA INPUT'!$AD$11, ROW()-ROW($N$87),0)=3)),
OFFSET('Calc - SENIOR PERS'!$AA$11,COLUMN()-COLUMN($N$87) + (ROW()-ROW($N$87))*14,0),0)</f>
        <v>0</v>
      </c>
      <c r="O100" s="5">
        <f ca="1">IF(AND((OFFSET('DATA INPUT'!$C$11, ROW()-ROW($N$87),0)=$N$10),
 OR(OFFSET('DATA INPUT'!$H$11,ROW()-ROW($N$87),0)=3,
OFFSET('DATA INPUT'!$V$11, ROW()-ROW($N$87),0)=3,
OFFSET('DATA INPUT'!$AD$11, ROW()-ROW($N$87),0)=3)),
OFFSET('Calc - SENIOR PERS'!$AA$11,COLUMN()-COLUMN($N$87) + (ROW()-ROW($N$87))*14,0),0)</f>
        <v>0</v>
      </c>
      <c r="P100" s="5">
        <f ca="1">IF(AND((OFFSET('DATA INPUT'!$C$11, ROW()-ROW($N$87),0)=$N$10),
 OR(OFFSET('DATA INPUT'!$H$11,ROW()-ROW($N$87),0)=3,
OFFSET('DATA INPUT'!$V$11, ROW()-ROW($N$87),0)=3,
OFFSET('DATA INPUT'!$AD$11, ROW()-ROW($N$87),0)=3)),
OFFSET('Calc - SENIOR PERS'!$AA$11,COLUMN()-COLUMN($N$87) + (ROW()-ROW($N$87))*14,0),0)</f>
        <v>0</v>
      </c>
      <c r="Q100" s="5">
        <f ca="1">IF(AND((OFFSET('DATA INPUT'!$C$11, ROW()-ROW($N$87),0)=$N$10),
 OR(OFFSET('DATA INPUT'!$H$11,ROW()-ROW($N$87),0)=3,
OFFSET('DATA INPUT'!$V$11, ROW()-ROW($N$87),0)=3,
OFFSET('DATA INPUT'!$AD$11, ROW()-ROW($N$87),0)=3)),
OFFSET('Calc - SENIOR PERS'!$AA$11,COLUMN()-COLUMN($N$87) + (ROW()-ROW($N$87))*14,0),0)</f>
        <v>0</v>
      </c>
      <c r="R100" s="5">
        <f ca="1">IF(AND((OFFSET('DATA INPUT'!$C$11, ROW()-ROW($N$87),0)=$N$10),
 OR(OFFSET('DATA INPUT'!$H$11,ROW()-ROW($N$87),0)=3,
OFFSET('DATA INPUT'!$V$11, ROW()-ROW($N$87),0)=3,
OFFSET('DATA INPUT'!$AD$11, ROW()-ROW($N$87),0)=3)),
OFFSET('Calc - SENIOR PERS'!$AA$11,COLUMN()-COLUMN($N$87) + (ROW()-ROW($N$87))*14,0),0)</f>
        <v>0</v>
      </c>
      <c r="S100" s="5">
        <f ca="1">IF(AND((OFFSET('DATA INPUT'!$C$11, ROW()-ROW($N$87),0)=$N$10),
 OR(OFFSET('DATA INPUT'!$H$11,ROW()-ROW($N$87),0)=3,
OFFSET('DATA INPUT'!$V$11, ROW()-ROW($N$87),0)=3,
OFFSET('DATA INPUT'!$AD$11, ROW()-ROW($N$87),0)=3)),
OFFSET('Calc - SENIOR PERS'!$AA$11,COLUMN()-COLUMN($N$87) + (ROW()-ROW($N$87))*14,0),0)</f>
        <v>0</v>
      </c>
      <c r="T100" s="164">
        <f t="shared" ca="1" si="356"/>
        <v>0</v>
      </c>
      <c r="U100" s="1"/>
      <c r="V100" s="575">
        <f ca="1">IF(AND((OFFSET('DATA INPUT'!$C$11, ROW()-ROW($V$87),0)=$V$10),
 OR(OFFSET('DATA INPUT'!$H$11,ROW()-ROW($V$87),0)=3,
OFFSET('DATA INPUT'!$V$11, ROW()-ROW($V$87),0)=3,
OFFSET('DATA INPUT'!$AD$11, ROW()-ROW($V$87),0)=3)),
OFFSET('Calc - SENIOR PERS'!$AA$11,COLUMN()-COLUMN($V$87) + (ROW()-ROW($V$87))*14,0),0)</f>
        <v>0</v>
      </c>
      <c r="W100" s="5">
        <f ca="1">IF(AND((OFFSET('DATA INPUT'!$C$11, ROW()-ROW($V$87),0)=$V$10),
 OR(OFFSET('DATA INPUT'!$H$11,ROW()-ROW($V$87),0)=3,
OFFSET('DATA INPUT'!$V$11, ROW()-ROW($V$87),0)=3,
OFFSET('DATA INPUT'!$AD$11, ROW()-ROW($V$87),0)=3)),
OFFSET('Calc - SENIOR PERS'!$AA$11,COLUMN()-COLUMN($V$87) + (ROW()-ROW($V$87))*14,0),0)</f>
        <v>0</v>
      </c>
      <c r="X100" s="5">
        <f ca="1">IF(AND((OFFSET('DATA INPUT'!$C$11, ROW()-ROW($V$87),0)=$V$10),
 OR(OFFSET('DATA INPUT'!$H$11,ROW()-ROW($V$87),0)=3,
OFFSET('DATA INPUT'!$V$11, ROW()-ROW($V$87),0)=3,
OFFSET('DATA INPUT'!$AD$11, ROW()-ROW($V$87),0)=3)),
OFFSET('Calc - SENIOR PERS'!$AA$11,COLUMN()-COLUMN($V$87) + (ROW()-ROW($V$87))*14,0),0)</f>
        <v>0</v>
      </c>
      <c r="Y100" s="5">
        <f ca="1">IF(AND((OFFSET('DATA INPUT'!$C$11, ROW()-ROW($V$87),0)=$V$10),
 OR(OFFSET('DATA INPUT'!$H$11,ROW()-ROW($V$87),0)=3,
OFFSET('DATA INPUT'!$V$11, ROW()-ROW($V$87),0)=3,
OFFSET('DATA INPUT'!$AD$11, ROW()-ROW($V$87),0)=3)),
OFFSET('Calc - SENIOR PERS'!$AA$11,COLUMN()-COLUMN($V$87) + (ROW()-ROW($V$87))*14,0),0)</f>
        <v>0</v>
      </c>
      <c r="Z100" s="5">
        <f ca="1">IF(AND((OFFSET('DATA INPUT'!$C$11, ROW()-ROW($V$87),0)=$V$10),
 OR(OFFSET('DATA INPUT'!$H$11,ROW()-ROW($V$87),0)=3,
OFFSET('DATA INPUT'!$V$11, ROW()-ROW($V$87),0)=3,
OFFSET('DATA INPUT'!$AD$11, ROW()-ROW($V$87),0)=3)),
OFFSET('Calc - SENIOR PERS'!$AA$11,COLUMN()-COLUMN($V$87) + (ROW()-ROW($V$87))*14,0),0)</f>
        <v>0</v>
      </c>
      <c r="AA100" s="5">
        <f ca="1">IF(AND((OFFSET('DATA INPUT'!$C$11, ROW()-ROW($V$87),0)=$V$10),
 OR(OFFSET('DATA INPUT'!$H$11,ROW()-ROW($V$87),0)=3,
OFFSET('DATA INPUT'!$V$11, ROW()-ROW($V$87),0)=3,
OFFSET('DATA INPUT'!$AD$11, ROW()-ROW($V$87),0)=3)),
OFFSET('Calc - SENIOR PERS'!$AA$11,COLUMN()-COLUMN($V$87) + (ROW()-ROW($V$87))*14,0),0)</f>
        <v>0</v>
      </c>
      <c r="AB100" s="138">
        <f t="shared" ca="1" si="357"/>
        <v>0</v>
      </c>
      <c r="AD100" s="575">
        <f ca="1">IF(AND((OFFSET('DATA INPUT'!$C$11, ROW()-ROW($AD$87),0)=$AD$10),
 OR(OFFSET('DATA INPUT'!$H$11,ROW()-ROW($AD$87),0)=3,
OFFSET('DATA INPUT'!$V$11, ROW()-ROW($AD$87),0)=3,
OFFSET('DATA INPUT'!$AD$11, ROW()-ROW($AD$87),0)=3)),
OFFSET('Calc - SENIOR PERS'!$AA$11,COLUMN()-COLUMN($AD$87) + (ROW()-ROW($AD$87))*14,0),0)</f>
        <v>0</v>
      </c>
      <c r="AE100" s="5">
        <f ca="1">IF(AND((OFFSET('DATA INPUT'!$C$11, ROW()-ROW($AD$87),0)=$AD$10),
 OR(OFFSET('DATA INPUT'!$H$11,ROW()-ROW($AD$87),0)=3,
OFFSET('DATA INPUT'!$V$11, ROW()-ROW($AD$87),0)=3,
OFFSET('DATA INPUT'!$AD$11, ROW()-ROW($AD$87),0)=3)),
OFFSET('Calc - SENIOR PERS'!$AA$11,COLUMN()-COLUMN($AD$87) + (ROW()-ROW($AD$87))*14,0),0)</f>
        <v>0</v>
      </c>
      <c r="AF100" s="5">
        <f ca="1">IF(AND((OFFSET('DATA INPUT'!$C$11, ROW()-ROW($AD$87),0)=$AD$10),
 OR(OFFSET('DATA INPUT'!$H$11,ROW()-ROW($AD$87),0)=3,
OFFSET('DATA INPUT'!$V$11, ROW()-ROW($AD$87),0)=3,
OFFSET('DATA INPUT'!$AD$11, ROW()-ROW($AD$87),0)=3)),
OFFSET('Calc - SENIOR PERS'!$AA$11,COLUMN()-COLUMN($AD$87) + (ROW()-ROW($AD$87))*14,0),0)</f>
        <v>0</v>
      </c>
      <c r="AG100" s="5">
        <f ca="1">IF(AND((OFFSET('DATA INPUT'!$C$11, ROW()-ROW($AD$87),0)=$AD$10),
 OR(OFFSET('DATA INPUT'!$H$11,ROW()-ROW($AD$87),0)=3,
OFFSET('DATA INPUT'!$V$11, ROW()-ROW($AD$87),0)=3,
OFFSET('DATA INPUT'!$AD$11, ROW()-ROW($AD$87),0)=3)),
OFFSET('Calc - SENIOR PERS'!$AA$11,COLUMN()-COLUMN($AD$87) + (ROW()-ROW($AD$87))*14,0),0)</f>
        <v>0</v>
      </c>
      <c r="AH100" s="5">
        <f ca="1">IF(AND((OFFSET('DATA INPUT'!$C$11, ROW()-ROW($AD$87),0)=$AD$10),
 OR(OFFSET('DATA INPUT'!$H$11,ROW()-ROW($AD$87),0)=3,
OFFSET('DATA INPUT'!$V$11, ROW()-ROW($AD$87),0)=3,
OFFSET('DATA INPUT'!$AD$11, ROW()-ROW($AD$87),0)=3)),
OFFSET('Calc - SENIOR PERS'!$AA$11,COLUMN()-COLUMN($AD$87) + (ROW()-ROW($AD$87))*14,0),0)</f>
        <v>0</v>
      </c>
      <c r="AI100" s="5">
        <f ca="1">IF(AND((OFFSET('DATA INPUT'!$C$11, ROW()-ROW($AD$87),0)=$AD$10),
 OR(OFFSET('DATA INPUT'!$H$11,ROW()-ROW($AD$87),0)=3,
OFFSET('DATA INPUT'!$V$11, ROW()-ROW($AD$87),0)=3,
OFFSET('DATA INPUT'!$AD$11, ROW()-ROW($AD$87),0)=3)),
OFFSET('Calc - SENIOR PERS'!$AA$11,COLUMN()-COLUMN($AD$87) + (ROW()-ROW($AD$87))*14,0),0)</f>
        <v>0</v>
      </c>
      <c r="AJ100" s="206">
        <f t="shared" ca="1" si="358"/>
        <v>0</v>
      </c>
      <c r="AL100" s="575">
        <f ca="1">IF(AND((OFFSET('DATA INPUT'!$C$11, ROW()-ROW($AL$87),0)=$AL$10),
 OR(OFFSET('DATA INPUT'!$H$11,ROW()-ROW($AL$87),0)=3,
OFFSET('DATA INPUT'!$V$11, ROW()-ROW($AL$87),0)=3,
OFFSET('DATA INPUT'!$AD$11, ROW()-ROW($AL$87),0)=3)),
OFFSET('Calc - SENIOR PERS'!$AA$11,COLUMN()-COLUMN($AL$87) + (ROW()-ROW($AL$87))*14,0),0)</f>
        <v>0</v>
      </c>
      <c r="AM100" s="5">
        <f ca="1">IF(AND((OFFSET('DATA INPUT'!$C$11, ROW()-ROW($AL$87),0)=$AL$10),
 OR(OFFSET('DATA INPUT'!$H$11,ROW()-ROW($AL$87),0)=3,
OFFSET('DATA INPUT'!$V$11, ROW()-ROW($AL$87),0)=3,
OFFSET('DATA INPUT'!$AD$11, ROW()-ROW($AL$87),0)=3)),
OFFSET('Calc - SENIOR PERS'!$AA$11,COLUMN()-COLUMN($AL$87) + (ROW()-ROW($AL$87))*14,0),0)</f>
        <v>0</v>
      </c>
      <c r="AN100" s="5">
        <f ca="1">IF(AND((OFFSET('DATA INPUT'!$C$11, ROW()-ROW($AL$87),0)=$AL$10),
 OR(OFFSET('DATA INPUT'!$H$11,ROW()-ROW($AL$87),0)=3,
OFFSET('DATA INPUT'!$V$11, ROW()-ROW($AL$87),0)=3,
OFFSET('DATA INPUT'!$AD$11, ROW()-ROW($AL$87),0)=3)),
OFFSET('Calc - SENIOR PERS'!$AA$11,COLUMN()-COLUMN($AL$87) + (ROW()-ROW($AL$87))*14,0),0)</f>
        <v>0</v>
      </c>
      <c r="AO100" s="5">
        <f ca="1">IF(AND((OFFSET('DATA INPUT'!$C$11, ROW()-ROW($AL$87),0)=$AL$10),
 OR(OFFSET('DATA INPUT'!$H$11,ROW()-ROW($AL$87),0)=3,
OFFSET('DATA INPUT'!$V$11, ROW()-ROW($AL$87),0)=3,
OFFSET('DATA INPUT'!$AD$11, ROW()-ROW($AL$87),0)=3)),
OFFSET('Calc - SENIOR PERS'!$AA$11,COLUMN()-COLUMN($AL$87) + (ROW()-ROW($AL$87))*14,0),0)</f>
        <v>0</v>
      </c>
      <c r="AP100" s="5">
        <f ca="1">IF(AND((OFFSET('DATA INPUT'!$C$11, ROW()-ROW($AL$87),0)=$AL$10),
 OR(OFFSET('DATA INPUT'!$H$11,ROW()-ROW($AL$87),0)=3,
OFFSET('DATA INPUT'!$V$11, ROW()-ROW($AL$87),0)=3,
OFFSET('DATA INPUT'!$AD$11, ROW()-ROW($AL$87),0)=3)),
OFFSET('Calc - SENIOR PERS'!$AA$11,COLUMN()-COLUMN($AL$87) + (ROW()-ROW($AL$87))*14,0),0)</f>
        <v>0</v>
      </c>
      <c r="AQ100" s="5">
        <f ca="1">IF(AND((OFFSET('DATA INPUT'!$C$11, ROW()-ROW($AL$87),0)=$AL$10),
 OR(OFFSET('DATA INPUT'!$H$11,ROW()-ROW($AL$87),0)=3,
OFFSET('DATA INPUT'!$V$11, ROW()-ROW($AL$87),0)=3,
OFFSET('DATA INPUT'!$AD$11, ROW()-ROW($AL$87),0)=3)),
OFFSET('Calc - SENIOR PERS'!$AA$11,COLUMN()-COLUMN($AL$87) + (ROW()-ROW($AL$87))*14,0),0)</f>
        <v>0</v>
      </c>
      <c r="AR100" s="178">
        <f t="shared" ca="1" si="359"/>
        <v>0</v>
      </c>
      <c r="AT100" s="575">
        <f ca="1">IF(AND((OFFSET('DATA INPUT'!$C$11, ROW()-ROW($AT$87),0)=$AT$10),
 OR(OFFSET('DATA INPUT'!$H$11,ROW()-ROW($AT$87),0)=3,
OFFSET('DATA INPUT'!$V$11, ROW()-ROW($AT$87),0)=3,
OFFSET('DATA INPUT'!$AD$11, ROW()-ROW($AT$87),0)=3)),
OFFSET('Calc - SENIOR PERS'!$AA$11,COLUMN()-COLUMN($AT$87) + (ROW()-ROW($AT$87))*14,0),0)</f>
        <v>0</v>
      </c>
      <c r="AU100" s="5">
        <f ca="1">IF(AND((OFFSET('DATA INPUT'!$C$11, ROW()-ROW($AT$87),0)=$AT$10),
 OR(OFFSET('DATA INPUT'!$H$11,ROW()-ROW($AT$87),0)=3,
OFFSET('DATA INPUT'!$V$11, ROW()-ROW($AT$87),0)=3,
OFFSET('DATA INPUT'!$AD$11, ROW()-ROW($AT$87),0)=3)),
OFFSET('Calc - SENIOR PERS'!$AA$11,COLUMN()-COLUMN($AT$87) + (ROW()-ROW($AT$87))*14,0),0)</f>
        <v>0</v>
      </c>
      <c r="AV100" s="5">
        <f ca="1">IF(AND((OFFSET('DATA INPUT'!$C$11, ROW()-ROW($AT$87),0)=$AT$10),
 OR(OFFSET('DATA INPUT'!$H$11,ROW()-ROW($AT$87),0)=3,
OFFSET('DATA INPUT'!$V$11, ROW()-ROW($AT$87),0)=3,
OFFSET('DATA INPUT'!$AD$11, ROW()-ROW($AT$87),0)=3)),
OFFSET('Calc - SENIOR PERS'!$AA$11,COLUMN()-COLUMN($AT$87) + (ROW()-ROW($AT$87))*14,0),0)</f>
        <v>0</v>
      </c>
      <c r="AW100" s="5">
        <f ca="1">IF(AND((OFFSET('DATA INPUT'!$C$11, ROW()-ROW($AT$87),0)=$AT$10),
 OR(OFFSET('DATA INPUT'!$H$11,ROW()-ROW($AT$87),0)=3,
OFFSET('DATA INPUT'!$V$11, ROW()-ROW($AT$87),0)=3,
OFFSET('DATA INPUT'!$AD$11, ROW()-ROW($AT$87),0)=3)),
OFFSET('Calc - SENIOR PERS'!$AA$11,COLUMN()-COLUMN($AT$87) + (ROW()-ROW($AT$87))*14,0),0)</f>
        <v>0</v>
      </c>
      <c r="AX100" s="5">
        <f ca="1">IF(AND((OFFSET('DATA INPUT'!$C$11, ROW()-ROW($AT$87),0)=$AT$10),
 OR(OFFSET('DATA INPUT'!$H$11,ROW()-ROW($AT$87),0)=3,
OFFSET('DATA INPUT'!$V$11, ROW()-ROW($AT$87),0)=3,
OFFSET('DATA INPUT'!$AD$11, ROW()-ROW($AT$87),0)=3)),
OFFSET('Calc - SENIOR PERS'!$AA$11,COLUMN()-COLUMN($AT$87) + (ROW()-ROW($AT$87))*14,0),0)</f>
        <v>0</v>
      </c>
      <c r="AY100" s="5">
        <f ca="1">IF(AND((OFFSET('DATA INPUT'!$C$11, ROW()-ROW($AT$87),0)=$AT$10),
 OR(OFFSET('DATA INPUT'!$H$11,ROW()-ROW($AT$87),0)=3,
OFFSET('DATA INPUT'!$V$11, ROW()-ROW($AT$87),0)=3,
OFFSET('DATA INPUT'!$AD$11, ROW()-ROW($AT$87),0)=3)),
OFFSET('Calc - SENIOR PERS'!$AA$11,COLUMN()-COLUMN($AT$87) + (ROW()-ROW($AT$87))*14,0),0)</f>
        <v>0</v>
      </c>
      <c r="AZ100" s="150">
        <f t="shared" ca="1" si="360"/>
        <v>0</v>
      </c>
      <c r="BB100" s="575">
        <f ca="1">IF(AND((OFFSET('DATA INPUT'!$C$11, ROW()-ROW($BB$87),0)=$BB$10),
 OR(OFFSET('DATA INPUT'!$H$11,ROW()-ROW($BB$87),0)=3,
OFFSET('DATA INPUT'!$V$11, ROW()-ROW($BB$87),0)=3,
OFFSET('DATA INPUT'!$AD$11, ROW()-ROW($BB$87),0)=3)),
OFFSET('Calc - SENIOR PERS'!$AA$11,COLUMN()-COLUMN($BB$87) + (ROW()-ROW($BB$87))*14,0),0)</f>
        <v>0</v>
      </c>
      <c r="BC100" s="5">
        <f ca="1">IF(AND((OFFSET('DATA INPUT'!$C$11, ROW()-ROW($BB$87),0)=$BB$10),
 OR(OFFSET('DATA INPUT'!$H$11,ROW()-ROW($BB$87),0)=3,
OFFSET('DATA INPUT'!$V$11, ROW()-ROW($BB$87),0)=3,
OFFSET('DATA INPUT'!$AD$11, ROW()-ROW($BB$87),0)=3)),
OFFSET('Calc - SENIOR PERS'!$AA$11,COLUMN()-COLUMN($BB$87) + (ROW()-ROW($BB$87))*14,0),0)</f>
        <v>0</v>
      </c>
      <c r="BD100" s="5">
        <f ca="1">IF(AND((OFFSET('DATA INPUT'!$C$11, ROW()-ROW($BB$87),0)=$BB$10),
 OR(OFFSET('DATA INPUT'!$H$11,ROW()-ROW($BB$87),0)=3,
OFFSET('DATA INPUT'!$V$11, ROW()-ROW($BB$87),0)=3,
OFFSET('DATA INPUT'!$AD$11, ROW()-ROW($BB$87),0)=3)),
OFFSET('Calc - SENIOR PERS'!$AA$11,COLUMN()-COLUMN($BB$87) + (ROW()-ROW($BB$87))*14,0),0)</f>
        <v>0</v>
      </c>
      <c r="BE100" s="5">
        <f ca="1">IF(AND((OFFSET('DATA INPUT'!$C$11, ROW()-ROW($BB$87),0)=$BB$10),
 OR(OFFSET('DATA INPUT'!$H$11,ROW()-ROW($BB$87),0)=3,
OFFSET('DATA INPUT'!$V$11, ROW()-ROW($BB$87),0)=3,
OFFSET('DATA INPUT'!$AD$11, ROW()-ROW($BB$87),0)=3)),
OFFSET('Calc - SENIOR PERS'!$AA$11,COLUMN()-COLUMN($BB$87) + (ROW()-ROW($BB$87))*14,0),0)</f>
        <v>0</v>
      </c>
      <c r="BF100" s="5">
        <f ca="1">IF(AND((OFFSET('DATA INPUT'!$C$11, ROW()-ROW($BB$87),0)=$BB$10),
 OR(OFFSET('DATA INPUT'!$H$11,ROW()-ROW($BB$87),0)=3,
OFFSET('DATA INPUT'!$V$11, ROW()-ROW($BB$87),0)=3,
OFFSET('DATA INPUT'!$AD$11, ROW()-ROW($BB$87),0)=3)),
OFFSET('Calc - SENIOR PERS'!$AA$11,COLUMN()-COLUMN($BB$87) + (ROW()-ROW($BB$87))*14,0),0)</f>
        <v>0</v>
      </c>
      <c r="BG100" s="5">
        <f ca="1">IF(AND((OFFSET('DATA INPUT'!$C$11, ROW()-ROW($BB$87),0)=$BB$10),
 OR(OFFSET('DATA INPUT'!$H$11,ROW()-ROW($BB$87),0)=3,
OFFSET('DATA INPUT'!$V$11, ROW()-ROW($BB$87),0)=3,
OFFSET('DATA INPUT'!$AD$11, ROW()-ROW($BB$87),0)=3)),
OFFSET('Calc - SENIOR PERS'!$AA$11,COLUMN()-COLUMN($BB$87) + (ROW()-ROW($BB$87))*14,0),0)</f>
        <v>0</v>
      </c>
      <c r="BH100" s="192">
        <f t="shared" ca="1" si="361"/>
        <v>0</v>
      </c>
      <c r="BJ100" s="575"/>
      <c r="BK100" s="5"/>
      <c r="BL100" s="5"/>
      <c r="BM100" s="5"/>
      <c r="BN100" s="5"/>
      <c r="BO100" s="5"/>
      <c r="BP100" s="1102">
        <f t="shared" si="362"/>
        <v>0</v>
      </c>
      <c r="BR100" s="575">
        <f t="shared" ca="1" si="363"/>
        <v>0</v>
      </c>
      <c r="BS100" s="5">
        <f t="shared" ca="1" si="364"/>
        <v>0</v>
      </c>
      <c r="BT100" s="5">
        <f t="shared" ca="1" si="365"/>
        <v>0</v>
      </c>
      <c r="BU100" s="5">
        <f t="shared" ca="1" si="366"/>
        <v>0</v>
      </c>
      <c r="BV100" s="5">
        <f t="shared" ca="1" si="367"/>
        <v>0</v>
      </c>
      <c r="BW100" s="5">
        <f t="shared" ca="1" si="368"/>
        <v>0</v>
      </c>
      <c r="BX100" s="2175">
        <f t="shared" ca="1" si="369"/>
        <v>0</v>
      </c>
      <c r="BY100" s="573">
        <f t="shared" ca="1" si="370"/>
        <v>0</v>
      </c>
      <c r="BZ100" s="257"/>
      <c r="CB100" s="1182"/>
      <c r="CC100" s="387">
        <f ca="1">'Calc - SENIOR PERS'!$S$194/9*3</f>
        <v>0</v>
      </c>
      <c r="CD100" s="56">
        <f ca="1">'Calc - SENIOR PERS'!$S$194/9*3</f>
        <v>0</v>
      </c>
      <c r="CE100" s="56">
        <f ca="1">'Calc - SENIOR PERS'!$S$194/9*2</f>
        <v>0</v>
      </c>
      <c r="CF100" s="56">
        <f ca="1">'Calc - SENIOR PERS'!$S$194/9*0.5</f>
        <v>0</v>
      </c>
      <c r="CG100" s="1183">
        <f ca="1">'Calc - SENIOR PERS'!$S$194/9*0.5</f>
        <v>0</v>
      </c>
      <c r="CH100" s="1184">
        <f ca="1">'Calc - SENIOR PERS'!$S$195/9*3</f>
        <v>0</v>
      </c>
      <c r="CI100" s="1185">
        <f ca="1">'Calc - SENIOR PERS'!$S$195/9*3</f>
        <v>0</v>
      </c>
      <c r="CJ100" s="1185">
        <f ca="1">'Calc - SENIOR PERS'!$S$195/9*2</f>
        <v>0</v>
      </c>
      <c r="CK100" s="1185">
        <f ca="1">'Calc - SENIOR PERS'!$S$195/9*0.5</f>
        <v>0</v>
      </c>
      <c r="CL100" s="1186">
        <f ca="1">'Calc - SENIOR PERS'!$S$195/9*0.5</f>
        <v>0</v>
      </c>
      <c r="CM100" s="1187">
        <f ca="1">'Calc - SENIOR PERS'!$S$196/8*3</f>
        <v>0</v>
      </c>
      <c r="CN100" s="1188">
        <f ca="1">'Calc - SENIOR PERS'!$S$196/8*3</f>
        <v>0</v>
      </c>
      <c r="CO100" s="1189">
        <f ca="1">'Calc - SENIOR PERS'!$S$196/8*2</f>
        <v>0</v>
      </c>
      <c r="CP100" s="1234">
        <f t="shared" ca="1" si="371"/>
        <v>0</v>
      </c>
      <c r="CS100" s="575"/>
      <c r="CT100" s="5"/>
      <c r="CU100" s="1180"/>
      <c r="CV100" s="575"/>
      <c r="CW100" s="5"/>
      <c r="CX100" s="1249"/>
      <c r="CY100" s="575"/>
      <c r="CZ100" s="5"/>
      <c r="DA100" s="1180"/>
      <c r="DB100" s="575"/>
      <c r="DC100" s="5"/>
      <c r="DD100" s="1180"/>
      <c r="DE100" s="1181">
        <f t="shared" si="372"/>
        <v>0</v>
      </c>
      <c r="DG100" s="575"/>
      <c r="DH100" s="5"/>
      <c r="DI100" s="1180"/>
      <c r="DJ100" s="575"/>
      <c r="DK100" s="5"/>
      <c r="DL100" s="1249"/>
      <c r="DM100" s="575"/>
      <c r="DN100" s="5"/>
      <c r="DO100" s="1180"/>
      <c r="DP100" s="575"/>
      <c r="DQ100" s="5"/>
      <c r="DR100" s="1180"/>
      <c r="DS100" s="1181">
        <f t="shared" si="373"/>
        <v>0</v>
      </c>
      <c r="DU100" s="575"/>
      <c r="DV100" s="5"/>
      <c r="DW100" s="1180"/>
      <c r="DX100" s="575"/>
      <c r="DY100" s="5"/>
      <c r="DZ100" s="1249"/>
      <c r="EA100" s="575"/>
      <c r="EB100" s="5"/>
      <c r="EC100" s="1180"/>
      <c r="ED100" s="575"/>
      <c r="EE100" s="5"/>
      <c r="EF100" s="1180"/>
      <c r="EG100" s="1181">
        <f t="shared" si="374"/>
        <v>0</v>
      </c>
      <c r="EI100" s="403"/>
      <c r="EJ100" s="3220"/>
      <c r="EK100" s="57">
        <f t="shared" ca="1" si="375"/>
        <v>0</v>
      </c>
      <c r="EL100" s="5">
        <f t="shared" ca="1" si="376"/>
        <v>0</v>
      </c>
      <c r="EM100" s="5">
        <f t="shared" ca="1" si="377"/>
        <v>0</v>
      </c>
      <c r="EN100" s="5">
        <f t="shared" ca="1" si="378"/>
        <v>0</v>
      </c>
      <c r="EO100" s="5">
        <f t="shared" ca="1" si="379"/>
        <v>0</v>
      </c>
      <c r="EP100" s="5">
        <f t="shared" ca="1" si="380"/>
        <v>0</v>
      </c>
      <c r="EQ100" s="5">
        <f t="shared" ca="1" si="381"/>
        <v>0</v>
      </c>
      <c r="ER100" s="88">
        <f t="shared" ca="1" si="382"/>
        <v>0</v>
      </c>
      <c r="ES100" s="4"/>
      <c r="ET100" s="4"/>
      <c r="EU100" s="4"/>
      <c r="EV100" s="575">
        <f t="shared" ca="1" si="383"/>
        <v>0</v>
      </c>
      <c r="EW100" s="5">
        <f t="shared" ca="1" si="384"/>
        <v>0</v>
      </c>
      <c r="EX100" s="5">
        <f t="shared" ca="1" si="385"/>
        <v>0</v>
      </c>
      <c r="EY100" s="5">
        <f t="shared" ca="1" si="386"/>
        <v>0</v>
      </c>
      <c r="EZ100" s="5">
        <f t="shared" ca="1" si="387"/>
        <v>0</v>
      </c>
      <c r="FA100" s="5">
        <f t="shared" ca="1" si="388"/>
        <v>0</v>
      </c>
      <c r="FB100" s="164">
        <f t="shared" ca="1" si="389"/>
        <v>0</v>
      </c>
      <c r="FC100" s="1"/>
      <c r="FD100" s="575">
        <f t="shared" ca="1" si="390"/>
        <v>0</v>
      </c>
      <c r="FE100" s="5">
        <f t="shared" ca="1" si="391"/>
        <v>0</v>
      </c>
      <c r="FF100" s="5">
        <f t="shared" ca="1" si="392"/>
        <v>0</v>
      </c>
      <c r="FG100" s="5">
        <f t="shared" ca="1" si="393"/>
        <v>0</v>
      </c>
      <c r="FH100" s="5">
        <f t="shared" ca="1" si="394"/>
        <v>0</v>
      </c>
      <c r="FI100" s="5">
        <f t="shared" ca="1" si="395"/>
        <v>0</v>
      </c>
      <c r="FJ100" s="138">
        <f t="shared" ca="1" si="396"/>
        <v>0</v>
      </c>
      <c r="FL100" s="575">
        <f t="shared" ca="1" si="397"/>
        <v>0</v>
      </c>
      <c r="FM100" s="5">
        <f t="shared" ca="1" si="398"/>
        <v>0</v>
      </c>
      <c r="FN100" s="5">
        <f t="shared" ca="1" si="399"/>
        <v>0</v>
      </c>
      <c r="FO100" s="5">
        <f t="shared" ca="1" si="400"/>
        <v>0</v>
      </c>
      <c r="FP100" s="5">
        <f t="shared" ca="1" si="401"/>
        <v>0</v>
      </c>
      <c r="FQ100" s="5">
        <f t="shared" ca="1" si="402"/>
        <v>0</v>
      </c>
      <c r="FR100" s="206">
        <f t="shared" ca="1" si="403"/>
        <v>0</v>
      </c>
      <c r="FT100" s="575">
        <f t="shared" ca="1" si="404"/>
        <v>0</v>
      </c>
      <c r="FU100" s="5">
        <f t="shared" ca="1" si="405"/>
        <v>0</v>
      </c>
      <c r="FV100" s="5">
        <f t="shared" ca="1" si="406"/>
        <v>0</v>
      </c>
      <c r="FW100" s="5">
        <f t="shared" ca="1" si="407"/>
        <v>0</v>
      </c>
      <c r="FX100" s="5">
        <f t="shared" ca="1" si="408"/>
        <v>0</v>
      </c>
      <c r="FY100" s="5">
        <f t="shared" ca="1" si="409"/>
        <v>0</v>
      </c>
      <c r="FZ100" s="178">
        <f t="shared" ca="1" si="410"/>
        <v>0</v>
      </c>
      <c r="GB100" s="575">
        <f t="shared" ca="1" si="411"/>
        <v>0</v>
      </c>
      <c r="GC100" s="5">
        <f t="shared" ca="1" si="412"/>
        <v>0</v>
      </c>
      <c r="GD100" s="5">
        <f t="shared" ca="1" si="413"/>
        <v>0</v>
      </c>
      <c r="GE100" s="5">
        <f t="shared" ca="1" si="414"/>
        <v>0</v>
      </c>
      <c r="GF100" s="5">
        <f t="shared" ca="1" si="415"/>
        <v>0</v>
      </c>
      <c r="GG100" s="5">
        <f t="shared" ca="1" si="416"/>
        <v>0</v>
      </c>
      <c r="GH100" s="150">
        <f t="shared" ca="1" si="417"/>
        <v>0</v>
      </c>
      <c r="GJ100" s="575">
        <f t="shared" ca="1" si="418"/>
        <v>0</v>
      </c>
      <c r="GK100" s="5">
        <f t="shared" ca="1" si="419"/>
        <v>0</v>
      </c>
      <c r="GL100" s="5">
        <f t="shared" ca="1" si="420"/>
        <v>0</v>
      </c>
      <c r="GM100" s="5">
        <f t="shared" ca="1" si="421"/>
        <v>0</v>
      </c>
      <c r="GN100" s="5">
        <f t="shared" ca="1" si="422"/>
        <v>0</v>
      </c>
      <c r="GO100" s="5">
        <f t="shared" ca="1" si="423"/>
        <v>0</v>
      </c>
      <c r="GP100" s="192">
        <f t="shared" ca="1" si="424"/>
        <v>0</v>
      </c>
      <c r="GR100" s="575"/>
      <c r="GS100" s="5"/>
      <c r="GT100" s="5"/>
      <c r="GU100" s="5"/>
      <c r="GV100" s="5"/>
      <c r="GW100" s="5"/>
      <c r="GX100" s="1102">
        <f t="shared" si="425"/>
        <v>0</v>
      </c>
      <c r="GZ100" s="575">
        <f t="shared" ca="1" si="426"/>
        <v>0</v>
      </c>
      <c r="HA100" s="5">
        <f t="shared" ca="1" si="427"/>
        <v>0</v>
      </c>
      <c r="HB100" s="5">
        <f t="shared" ca="1" si="428"/>
        <v>0</v>
      </c>
      <c r="HC100" s="5">
        <f t="shared" ca="1" si="429"/>
        <v>0</v>
      </c>
      <c r="HD100" s="5">
        <f t="shared" ca="1" si="430"/>
        <v>0</v>
      </c>
      <c r="HE100" s="5">
        <f t="shared" ca="1" si="431"/>
        <v>0</v>
      </c>
      <c r="HF100" s="2175">
        <f t="shared" ca="1" si="432"/>
        <v>0</v>
      </c>
      <c r="HG100" s="573">
        <f t="shared" ca="1" si="433"/>
        <v>0</v>
      </c>
      <c r="HH100" s="257"/>
    </row>
    <row r="101" spans="1:216" ht="15" hidden="1" customHeight="1" thickBot="1" x14ac:dyDescent="0.3">
      <c r="A101" s="403"/>
      <c r="B101" s="3221"/>
      <c r="C101" s="352">
        <f ca="1">'Calc - SENIOR PERS'!$B$202</f>
        <v>0</v>
      </c>
      <c r="D101" s="321">
        <f ca="1">'Calc - SENIOR PERS'!$S$207</f>
        <v>0</v>
      </c>
      <c r="E101" s="321">
        <f ca="1">'Calc - SENIOR PERS'!$S$208</f>
        <v>0</v>
      </c>
      <c r="F101" s="321">
        <f ca="1">'Calc - SENIOR PERS'!$S$209</f>
        <v>0</v>
      </c>
      <c r="G101" s="321">
        <f ca="1">'Calc - SENIOR PERS'!$S$210</f>
        <v>0</v>
      </c>
      <c r="H101" s="321">
        <f ca="1">'Calc - SENIOR PERS'!$S$211</f>
        <v>0</v>
      </c>
      <c r="I101" s="321">
        <f ca="1">'Calc - SENIOR PERS'!$S$212</f>
        <v>0</v>
      </c>
      <c r="J101" s="351">
        <f t="shared" ca="1" si="355"/>
        <v>0</v>
      </c>
      <c r="K101" s="4"/>
      <c r="L101" s="4"/>
      <c r="M101" s="4"/>
      <c r="N101" s="2147">
        <f ca="1">IF(AND((OFFSET('DATA INPUT'!$C$11, ROW()-ROW($N$87),0)=$N$10),
 OR(OFFSET('DATA INPUT'!$H$11,ROW()-ROW($N$87),0)=3,
OFFSET('DATA INPUT'!$V$11, ROW()-ROW($N$87),0)=3,
OFFSET('DATA INPUT'!$AD$11, ROW()-ROW($N$87),0)=3)),
OFFSET('Calc - SENIOR PERS'!$AA$11,COLUMN()-COLUMN($N$87) + (ROW()-ROW($N$87))*14,0),0)</f>
        <v>0</v>
      </c>
      <c r="O101" s="42">
        <f ca="1">IF(AND((OFFSET('DATA INPUT'!$C$11, ROW()-ROW($N$87),0)=$N$10),
 OR(OFFSET('DATA INPUT'!$H$11,ROW()-ROW($N$87),0)=3,
OFFSET('DATA INPUT'!$V$11, ROW()-ROW($N$87),0)=3,
OFFSET('DATA INPUT'!$AD$11, ROW()-ROW($N$87),0)=3)),
OFFSET('Calc - SENIOR PERS'!$AA$11,COLUMN()-COLUMN($N$87) + (ROW()-ROW($N$87))*14,0),0)</f>
        <v>0</v>
      </c>
      <c r="P101" s="42">
        <f ca="1">IF(AND((OFFSET('DATA INPUT'!$C$11, ROW()-ROW($N$87),0)=$N$10),
 OR(OFFSET('DATA INPUT'!$H$11,ROW()-ROW($N$87),0)=3,
OFFSET('DATA INPUT'!$V$11, ROW()-ROW($N$87),0)=3,
OFFSET('DATA INPUT'!$AD$11, ROW()-ROW($N$87),0)=3)),
OFFSET('Calc - SENIOR PERS'!$AA$11,COLUMN()-COLUMN($N$87) + (ROW()-ROW($N$87))*14,0),0)</f>
        <v>0</v>
      </c>
      <c r="Q101" s="42">
        <f ca="1">IF(AND((OFFSET('DATA INPUT'!$C$11, ROW()-ROW($N$87),0)=$N$10),
 OR(OFFSET('DATA INPUT'!$H$11,ROW()-ROW($N$87),0)=3,
OFFSET('DATA INPUT'!$V$11, ROW()-ROW($N$87),0)=3,
OFFSET('DATA INPUT'!$AD$11, ROW()-ROW($N$87),0)=3)),
OFFSET('Calc - SENIOR PERS'!$AA$11,COLUMN()-COLUMN($N$87) + (ROW()-ROW($N$87))*14,0),0)</f>
        <v>0</v>
      </c>
      <c r="R101" s="42">
        <f ca="1">IF(AND((OFFSET('DATA INPUT'!$C$11, ROW()-ROW($N$87),0)=$N$10),
 OR(OFFSET('DATA INPUT'!$H$11,ROW()-ROW($N$87),0)=3,
OFFSET('DATA INPUT'!$V$11, ROW()-ROW($N$87),0)=3,
OFFSET('DATA INPUT'!$AD$11, ROW()-ROW($N$87),0)=3)),
OFFSET('Calc - SENIOR PERS'!$AA$11,COLUMN()-COLUMN($N$87) + (ROW()-ROW($N$87))*14,0),0)</f>
        <v>0</v>
      </c>
      <c r="S101" s="42">
        <f ca="1">IF(AND((OFFSET('DATA INPUT'!$C$11, ROW()-ROW($N$87),0)=$N$10),
 OR(OFFSET('DATA INPUT'!$H$11,ROW()-ROW($N$87),0)=3,
OFFSET('DATA INPUT'!$V$11, ROW()-ROW($N$87),0)=3,
OFFSET('DATA INPUT'!$AD$11, ROW()-ROW($N$87),0)=3)),
OFFSET('Calc - SENIOR PERS'!$AA$11,COLUMN()-COLUMN($N$87) + (ROW()-ROW($N$87))*14,0),0)</f>
        <v>0</v>
      </c>
      <c r="T101" s="165">
        <f t="shared" ca="1" si="356"/>
        <v>0</v>
      </c>
      <c r="U101" s="1"/>
      <c r="V101" s="2147">
        <f ca="1">IF(AND((OFFSET('DATA INPUT'!$C$11, ROW()-ROW($V$87),0)=$V$10),
 OR(OFFSET('DATA INPUT'!$H$11,ROW()-ROW($V$87),0)=3,
OFFSET('DATA INPUT'!$V$11, ROW()-ROW($V$87),0)=3,
OFFSET('DATA INPUT'!$AD$11, ROW()-ROW($V$87),0)=3)),
OFFSET('Calc - SENIOR PERS'!$AA$11,COLUMN()-COLUMN($V$87) + (ROW()-ROW($V$87))*14,0),0)</f>
        <v>0</v>
      </c>
      <c r="W101" s="42">
        <f ca="1">IF(AND((OFFSET('DATA INPUT'!$C$11, ROW()-ROW($V$87),0)=$V$10),
 OR(OFFSET('DATA INPUT'!$H$11,ROW()-ROW($V$87),0)=3,
OFFSET('DATA INPUT'!$V$11, ROW()-ROW($V$87),0)=3,
OFFSET('DATA INPUT'!$AD$11, ROW()-ROW($V$87),0)=3)),
OFFSET('Calc - SENIOR PERS'!$AA$11,COLUMN()-COLUMN($V$87) + (ROW()-ROW($V$87))*14,0),0)</f>
        <v>0</v>
      </c>
      <c r="X101" s="42">
        <f ca="1">IF(AND((OFFSET('DATA INPUT'!$C$11, ROW()-ROW($V$87),0)=$V$10),
 OR(OFFSET('DATA INPUT'!$H$11,ROW()-ROW($V$87),0)=3,
OFFSET('DATA INPUT'!$V$11, ROW()-ROW($V$87),0)=3,
OFFSET('DATA INPUT'!$AD$11, ROW()-ROW($V$87),0)=3)),
OFFSET('Calc - SENIOR PERS'!$AA$11,COLUMN()-COLUMN($V$87) + (ROW()-ROW($V$87))*14,0),0)</f>
        <v>0</v>
      </c>
      <c r="Y101" s="42">
        <f ca="1">IF(AND((OFFSET('DATA INPUT'!$C$11, ROW()-ROW($V$87),0)=$V$10),
 OR(OFFSET('DATA INPUT'!$H$11,ROW()-ROW($V$87),0)=3,
OFFSET('DATA INPUT'!$V$11, ROW()-ROW($V$87),0)=3,
OFFSET('DATA INPUT'!$AD$11, ROW()-ROW($V$87),0)=3)),
OFFSET('Calc - SENIOR PERS'!$AA$11,COLUMN()-COLUMN($V$87) + (ROW()-ROW($V$87))*14,0),0)</f>
        <v>0</v>
      </c>
      <c r="Z101" s="42">
        <f ca="1">IF(AND((OFFSET('DATA INPUT'!$C$11, ROW()-ROW($V$87),0)=$V$10),
 OR(OFFSET('DATA INPUT'!$H$11,ROW()-ROW($V$87),0)=3,
OFFSET('DATA INPUT'!$V$11, ROW()-ROW($V$87),0)=3,
OFFSET('DATA INPUT'!$AD$11, ROW()-ROW($V$87),0)=3)),
OFFSET('Calc - SENIOR PERS'!$AA$11,COLUMN()-COLUMN($V$87) + (ROW()-ROW($V$87))*14,0),0)</f>
        <v>0</v>
      </c>
      <c r="AA101" s="42">
        <f ca="1">IF(AND((OFFSET('DATA INPUT'!$C$11, ROW()-ROW($V$87),0)=$V$10),
 OR(OFFSET('DATA INPUT'!$H$11,ROW()-ROW($V$87),0)=3,
OFFSET('DATA INPUT'!$V$11, ROW()-ROW($V$87),0)=3,
OFFSET('DATA INPUT'!$AD$11, ROW()-ROW($V$87),0)=3)),
OFFSET('Calc - SENIOR PERS'!$AA$11,COLUMN()-COLUMN($V$87) + (ROW()-ROW($V$87))*14,0),0)</f>
        <v>0</v>
      </c>
      <c r="AB101" s="139">
        <f t="shared" ca="1" si="357"/>
        <v>0</v>
      </c>
      <c r="AD101" s="2147">
        <f ca="1">IF(AND((OFFSET('DATA INPUT'!$C$11, ROW()-ROW($AD$87),0)=$AD$10),
 OR(OFFSET('DATA INPUT'!$H$11,ROW()-ROW($AD$87),0)=3,
OFFSET('DATA INPUT'!$V$11, ROW()-ROW($AD$87),0)=3,
OFFSET('DATA INPUT'!$AD$11, ROW()-ROW($AD$87),0)=3)),
OFFSET('Calc - SENIOR PERS'!$AA$11,COLUMN()-COLUMN($AD$87) + (ROW()-ROW($AD$87))*14,0),0)</f>
        <v>0</v>
      </c>
      <c r="AE101" s="42">
        <f ca="1">IF(AND((OFFSET('DATA INPUT'!$C$11, ROW()-ROW($AD$87),0)=$AD$10),
 OR(OFFSET('DATA INPUT'!$H$11,ROW()-ROW($AD$87),0)=3,
OFFSET('DATA INPUT'!$V$11, ROW()-ROW($AD$87),0)=3,
OFFSET('DATA INPUT'!$AD$11, ROW()-ROW($AD$87),0)=3)),
OFFSET('Calc - SENIOR PERS'!$AA$11,COLUMN()-COLUMN($AD$87) + (ROW()-ROW($AD$87))*14,0),0)</f>
        <v>0</v>
      </c>
      <c r="AF101" s="42">
        <f ca="1">IF(AND((OFFSET('DATA INPUT'!$C$11, ROW()-ROW($AD$87),0)=$AD$10),
 OR(OFFSET('DATA INPUT'!$H$11,ROW()-ROW($AD$87),0)=3,
OFFSET('DATA INPUT'!$V$11, ROW()-ROW($AD$87),0)=3,
OFFSET('DATA INPUT'!$AD$11, ROW()-ROW($AD$87),0)=3)),
OFFSET('Calc - SENIOR PERS'!$AA$11,COLUMN()-COLUMN($AD$87) + (ROW()-ROW($AD$87))*14,0),0)</f>
        <v>0</v>
      </c>
      <c r="AG101" s="42">
        <f ca="1">IF(AND((OFFSET('DATA INPUT'!$C$11, ROW()-ROW($AD$87),0)=$AD$10),
 OR(OFFSET('DATA INPUT'!$H$11,ROW()-ROW($AD$87),0)=3,
OFFSET('DATA INPUT'!$V$11, ROW()-ROW($AD$87),0)=3,
OFFSET('DATA INPUT'!$AD$11, ROW()-ROW($AD$87),0)=3)),
OFFSET('Calc - SENIOR PERS'!$AA$11,COLUMN()-COLUMN($AD$87) + (ROW()-ROW($AD$87))*14,0),0)</f>
        <v>0</v>
      </c>
      <c r="AH101" s="42">
        <f ca="1">IF(AND((OFFSET('DATA INPUT'!$C$11, ROW()-ROW($AD$87),0)=$AD$10),
 OR(OFFSET('DATA INPUT'!$H$11,ROW()-ROW($AD$87),0)=3,
OFFSET('DATA INPUT'!$V$11, ROW()-ROW($AD$87),0)=3,
OFFSET('DATA INPUT'!$AD$11, ROW()-ROW($AD$87),0)=3)),
OFFSET('Calc - SENIOR PERS'!$AA$11,COLUMN()-COLUMN($AD$87) + (ROW()-ROW($AD$87))*14,0),0)</f>
        <v>0</v>
      </c>
      <c r="AI101" s="42">
        <f ca="1">IF(AND((OFFSET('DATA INPUT'!$C$11, ROW()-ROW($AD$87),0)=$AD$10),
 OR(OFFSET('DATA INPUT'!$H$11,ROW()-ROW($AD$87),0)=3,
OFFSET('DATA INPUT'!$V$11, ROW()-ROW($AD$87),0)=3,
OFFSET('DATA INPUT'!$AD$11, ROW()-ROW($AD$87),0)=3)),
OFFSET('Calc - SENIOR PERS'!$AA$11,COLUMN()-COLUMN($AD$87) + (ROW()-ROW($AD$87))*14,0),0)</f>
        <v>0</v>
      </c>
      <c r="AJ101" s="207">
        <f t="shared" ca="1" si="358"/>
        <v>0</v>
      </c>
      <c r="AL101" s="2147">
        <f ca="1">IF(AND((OFFSET('DATA INPUT'!$C$11, ROW()-ROW($AL$87),0)=$AL$10),
 OR(OFFSET('DATA INPUT'!$H$11,ROW()-ROW($AL$87),0)=3,
OFFSET('DATA INPUT'!$V$11, ROW()-ROW($AL$87),0)=3,
OFFSET('DATA INPUT'!$AD$11, ROW()-ROW($AL$87),0)=3)),
OFFSET('Calc - SENIOR PERS'!$AA$11,COLUMN()-COLUMN($AL$87) + (ROW()-ROW($AL$87))*14,0),0)</f>
        <v>0</v>
      </c>
      <c r="AM101" s="42">
        <f ca="1">IF(AND((OFFSET('DATA INPUT'!$C$11, ROW()-ROW($AL$87),0)=$AL$10),
 OR(OFFSET('DATA INPUT'!$H$11,ROW()-ROW($AL$87),0)=3,
OFFSET('DATA INPUT'!$V$11, ROW()-ROW($AL$87),0)=3,
OFFSET('DATA INPUT'!$AD$11, ROW()-ROW($AL$87),0)=3)),
OFFSET('Calc - SENIOR PERS'!$AA$11,COLUMN()-COLUMN($AL$87) + (ROW()-ROW($AL$87))*14,0),0)</f>
        <v>0</v>
      </c>
      <c r="AN101" s="42">
        <f ca="1">IF(AND((OFFSET('DATA INPUT'!$C$11, ROW()-ROW($AL$87),0)=$AL$10),
 OR(OFFSET('DATA INPUT'!$H$11,ROW()-ROW($AL$87),0)=3,
OFFSET('DATA INPUT'!$V$11, ROW()-ROW($AL$87),0)=3,
OFFSET('DATA INPUT'!$AD$11, ROW()-ROW($AL$87),0)=3)),
OFFSET('Calc - SENIOR PERS'!$AA$11,COLUMN()-COLUMN($AL$87) + (ROW()-ROW($AL$87))*14,0),0)</f>
        <v>0</v>
      </c>
      <c r="AO101" s="42">
        <f ca="1">IF(AND((OFFSET('DATA INPUT'!$C$11, ROW()-ROW($AL$87),0)=$AL$10),
 OR(OFFSET('DATA INPUT'!$H$11,ROW()-ROW($AL$87),0)=3,
OFFSET('DATA INPUT'!$V$11, ROW()-ROW($AL$87),0)=3,
OFFSET('DATA INPUT'!$AD$11, ROW()-ROW($AL$87),0)=3)),
OFFSET('Calc - SENIOR PERS'!$AA$11,COLUMN()-COLUMN($AL$87) + (ROW()-ROW($AL$87))*14,0),0)</f>
        <v>0</v>
      </c>
      <c r="AP101" s="42">
        <f ca="1">IF(AND((OFFSET('DATA INPUT'!$C$11, ROW()-ROW($AL$87),0)=$AL$10),
 OR(OFFSET('DATA INPUT'!$H$11,ROW()-ROW($AL$87),0)=3,
OFFSET('DATA INPUT'!$V$11, ROW()-ROW($AL$87),0)=3,
OFFSET('DATA INPUT'!$AD$11, ROW()-ROW($AL$87),0)=3)),
OFFSET('Calc - SENIOR PERS'!$AA$11,COLUMN()-COLUMN($AL$87) + (ROW()-ROW($AL$87))*14,0),0)</f>
        <v>0</v>
      </c>
      <c r="AQ101" s="42">
        <f ca="1">IF(AND((OFFSET('DATA INPUT'!$C$11, ROW()-ROW($AL$87),0)=$AL$10),
 OR(OFFSET('DATA INPUT'!$H$11,ROW()-ROW($AL$87),0)=3,
OFFSET('DATA INPUT'!$V$11, ROW()-ROW($AL$87),0)=3,
OFFSET('DATA INPUT'!$AD$11, ROW()-ROW($AL$87),0)=3)),
OFFSET('Calc - SENIOR PERS'!$AA$11,COLUMN()-COLUMN($AL$87) + (ROW()-ROW($AL$87))*14,0),0)</f>
        <v>0</v>
      </c>
      <c r="AR101" s="179">
        <f t="shared" ca="1" si="359"/>
        <v>0</v>
      </c>
      <c r="AT101" s="2147">
        <f ca="1">IF(AND((OFFSET('DATA INPUT'!$C$11, ROW()-ROW($AT$87),0)=$AT$10),
 OR(OFFSET('DATA INPUT'!$H$11,ROW()-ROW($AT$87),0)=3,
OFFSET('DATA INPUT'!$V$11, ROW()-ROW($AT$87),0)=3,
OFFSET('DATA INPUT'!$AD$11, ROW()-ROW($AT$87),0)=3)),
OFFSET('Calc - SENIOR PERS'!$AA$11,COLUMN()-COLUMN($AT$87) + (ROW()-ROW($AT$87))*14,0),0)</f>
        <v>0</v>
      </c>
      <c r="AU101" s="42">
        <f ca="1">IF(AND((OFFSET('DATA INPUT'!$C$11, ROW()-ROW($AT$87),0)=$AT$10),
 OR(OFFSET('DATA INPUT'!$H$11,ROW()-ROW($AT$87),0)=3,
OFFSET('DATA INPUT'!$V$11, ROW()-ROW($AT$87),0)=3,
OFFSET('DATA INPUT'!$AD$11, ROW()-ROW($AT$87),0)=3)),
OFFSET('Calc - SENIOR PERS'!$AA$11,COLUMN()-COLUMN($AT$87) + (ROW()-ROW($AT$87))*14,0),0)</f>
        <v>0</v>
      </c>
      <c r="AV101" s="42">
        <f ca="1">IF(AND((OFFSET('DATA INPUT'!$C$11, ROW()-ROW($AT$87),0)=$AT$10),
 OR(OFFSET('DATA INPUT'!$H$11,ROW()-ROW($AT$87),0)=3,
OFFSET('DATA INPUT'!$V$11, ROW()-ROW($AT$87),0)=3,
OFFSET('DATA INPUT'!$AD$11, ROW()-ROW($AT$87),0)=3)),
OFFSET('Calc - SENIOR PERS'!$AA$11,COLUMN()-COLUMN($AT$87) + (ROW()-ROW($AT$87))*14,0),0)</f>
        <v>0</v>
      </c>
      <c r="AW101" s="42">
        <f ca="1">IF(AND((OFFSET('DATA INPUT'!$C$11, ROW()-ROW($AT$87),0)=$AT$10),
 OR(OFFSET('DATA INPUT'!$H$11,ROW()-ROW($AT$87),0)=3,
OFFSET('DATA INPUT'!$V$11, ROW()-ROW($AT$87),0)=3,
OFFSET('DATA INPUT'!$AD$11, ROW()-ROW($AT$87),0)=3)),
OFFSET('Calc - SENIOR PERS'!$AA$11,COLUMN()-COLUMN($AT$87) + (ROW()-ROW($AT$87))*14,0),0)</f>
        <v>0</v>
      </c>
      <c r="AX101" s="42">
        <f ca="1">IF(AND((OFFSET('DATA INPUT'!$C$11, ROW()-ROW($AT$87),0)=$AT$10),
 OR(OFFSET('DATA INPUT'!$H$11,ROW()-ROW($AT$87),0)=3,
OFFSET('DATA INPUT'!$V$11, ROW()-ROW($AT$87),0)=3,
OFFSET('DATA INPUT'!$AD$11, ROW()-ROW($AT$87),0)=3)),
OFFSET('Calc - SENIOR PERS'!$AA$11,COLUMN()-COLUMN($AT$87) + (ROW()-ROW($AT$87))*14,0),0)</f>
        <v>0</v>
      </c>
      <c r="AY101" s="42">
        <f ca="1">IF(AND((OFFSET('DATA INPUT'!$C$11, ROW()-ROW($AT$87),0)=$AT$10),
 OR(OFFSET('DATA INPUT'!$H$11,ROW()-ROW($AT$87),0)=3,
OFFSET('DATA INPUT'!$V$11, ROW()-ROW($AT$87),0)=3,
OFFSET('DATA INPUT'!$AD$11, ROW()-ROW($AT$87),0)=3)),
OFFSET('Calc - SENIOR PERS'!$AA$11,COLUMN()-COLUMN($AT$87) + (ROW()-ROW($AT$87))*14,0),0)</f>
        <v>0</v>
      </c>
      <c r="AZ101" s="151">
        <f t="shared" ca="1" si="360"/>
        <v>0</v>
      </c>
      <c r="BB101" s="2147">
        <f ca="1">IF(AND((OFFSET('DATA INPUT'!$C$11, ROW()-ROW($BB$87),0)=$BB$10),
 OR(OFFSET('DATA INPUT'!$H$11,ROW()-ROW($BB$87),0)=3,
OFFSET('DATA INPUT'!$V$11, ROW()-ROW($BB$87),0)=3,
OFFSET('DATA INPUT'!$AD$11, ROW()-ROW($BB$87),0)=3)),
OFFSET('Calc - SENIOR PERS'!$AA$11,COLUMN()-COLUMN($BB$87) + (ROW()-ROW($BB$87))*14,0),0)</f>
        <v>0</v>
      </c>
      <c r="BC101" s="42">
        <f ca="1">IF(AND((OFFSET('DATA INPUT'!$C$11, ROW()-ROW($BB$87),0)=$BB$10),
 OR(OFFSET('DATA INPUT'!$H$11,ROW()-ROW($BB$87),0)=3,
OFFSET('DATA INPUT'!$V$11, ROW()-ROW($BB$87),0)=3,
OFFSET('DATA INPUT'!$AD$11, ROW()-ROW($BB$87),0)=3)),
OFFSET('Calc - SENIOR PERS'!$AA$11,COLUMN()-COLUMN($BB$87) + (ROW()-ROW($BB$87))*14,0),0)</f>
        <v>0</v>
      </c>
      <c r="BD101" s="42">
        <f ca="1">IF(AND((OFFSET('DATA INPUT'!$C$11, ROW()-ROW($BB$87),0)=$BB$10),
 OR(OFFSET('DATA INPUT'!$H$11,ROW()-ROW($BB$87),0)=3,
OFFSET('DATA INPUT'!$V$11, ROW()-ROW($BB$87),0)=3,
OFFSET('DATA INPUT'!$AD$11, ROW()-ROW($BB$87),0)=3)),
OFFSET('Calc - SENIOR PERS'!$AA$11,COLUMN()-COLUMN($BB$87) + (ROW()-ROW($BB$87))*14,0),0)</f>
        <v>0</v>
      </c>
      <c r="BE101" s="42">
        <f ca="1">IF(AND((OFFSET('DATA INPUT'!$C$11, ROW()-ROW($BB$87),0)=$BB$10),
 OR(OFFSET('DATA INPUT'!$H$11,ROW()-ROW($BB$87),0)=3,
OFFSET('DATA INPUT'!$V$11, ROW()-ROW($BB$87),0)=3,
OFFSET('DATA INPUT'!$AD$11, ROW()-ROW($BB$87),0)=3)),
OFFSET('Calc - SENIOR PERS'!$AA$11,COLUMN()-COLUMN($BB$87) + (ROW()-ROW($BB$87))*14,0),0)</f>
        <v>0</v>
      </c>
      <c r="BF101" s="42">
        <f ca="1">IF(AND((OFFSET('DATA INPUT'!$C$11, ROW()-ROW($BB$87),0)=$BB$10),
 OR(OFFSET('DATA INPUT'!$H$11,ROW()-ROW($BB$87),0)=3,
OFFSET('DATA INPUT'!$V$11, ROW()-ROW($BB$87),0)=3,
OFFSET('DATA INPUT'!$AD$11, ROW()-ROW($BB$87),0)=3)),
OFFSET('Calc - SENIOR PERS'!$AA$11,COLUMN()-COLUMN($BB$87) + (ROW()-ROW($BB$87))*14,0),0)</f>
        <v>0</v>
      </c>
      <c r="BG101" s="42">
        <f ca="1">IF(AND((OFFSET('DATA INPUT'!$C$11, ROW()-ROW($BB$87),0)=$BB$10),
 OR(OFFSET('DATA INPUT'!$H$11,ROW()-ROW($BB$87),0)=3,
OFFSET('DATA INPUT'!$V$11, ROW()-ROW($BB$87),0)=3,
OFFSET('DATA INPUT'!$AD$11, ROW()-ROW($BB$87),0)=3)),
OFFSET('Calc - SENIOR PERS'!$AA$11,COLUMN()-COLUMN($BB$87) + (ROW()-ROW($BB$87))*14,0),0)</f>
        <v>0</v>
      </c>
      <c r="BH101" s="193">
        <f t="shared" ca="1" si="361"/>
        <v>0</v>
      </c>
      <c r="BJ101" s="2147"/>
      <c r="BK101" s="42"/>
      <c r="BL101" s="42"/>
      <c r="BM101" s="42"/>
      <c r="BN101" s="42"/>
      <c r="BO101" s="42"/>
      <c r="BP101" s="1103">
        <f t="shared" si="362"/>
        <v>0</v>
      </c>
      <c r="BR101" s="2147">
        <f t="shared" ca="1" si="363"/>
        <v>0</v>
      </c>
      <c r="BS101" s="42">
        <f t="shared" ca="1" si="364"/>
        <v>0</v>
      </c>
      <c r="BT101" s="42">
        <f t="shared" ca="1" si="365"/>
        <v>0</v>
      </c>
      <c r="BU101" s="42">
        <f t="shared" ca="1" si="366"/>
        <v>0</v>
      </c>
      <c r="BV101" s="42">
        <f t="shared" ca="1" si="367"/>
        <v>0</v>
      </c>
      <c r="BW101" s="42">
        <f t="shared" ca="1" si="368"/>
        <v>0</v>
      </c>
      <c r="BX101" s="2176">
        <f t="shared" ca="1" si="369"/>
        <v>0</v>
      </c>
      <c r="BY101" s="275">
        <f t="shared" ca="1" si="370"/>
        <v>0</v>
      </c>
      <c r="BZ101" s="257"/>
      <c r="CB101" s="1200"/>
      <c r="CC101" s="1201">
        <f ca="1">'Calc - SENIOR PERS'!$S$208/9*3</f>
        <v>0</v>
      </c>
      <c r="CD101" s="1202">
        <f ca="1">'Calc - SENIOR PERS'!$S$208/9*3</f>
        <v>0</v>
      </c>
      <c r="CE101" s="1202">
        <f ca="1">'Calc - SENIOR PERS'!$S$208/9*2</f>
        <v>0</v>
      </c>
      <c r="CF101" s="1202">
        <f ca="1">'Calc - SENIOR PERS'!$S$208/9*0.5</f>
        <v>0</v>
      </c>
      <c r="CG101" s="1203">
        <f ca="1">'Calc - SENIOR PERS'!$S$208/9*0.5</f>
        <v>0</v>
      </c>
      <c r="CH101" s="1204">
        <f ca="1">'Calc - SENIOR PERS'!$S$209/9*3</f>
        <v>0</v>
      </c>
      <c r="CI101" s="1205">
        <f ca="1">'Calc - SENIOR PERS'!$S$209/9*3</f>
        <v>0</v>
      </c>
      <c r="CJ101" s="1205">
        <f ca="1">'Calc - SENIOR PERS'!$S$209/9*2</f>
        <v>0</v>
      </c>
      <c r="CK101" s="1205">
        <f ca="1">'Calc - SENIOR PERS'!$S$209/9*0.5</f>
        <v>0</v>
      </c>
      <c r="CL101" s="1206">
        <f ca="1">'Calc - SENIOR PERS'!$S$209/9*0.5</f>
        <v>0</v>
      </c>
      <c r="CM101" s="1207">
        <f ca="1">'Calc - SENIOR PERS'!$S$210/8*3</f>
        <v>0</v>
      </c>
      <c r="CN101" s="1208">
        <f ca="1">'Calc - SENIOR PERS'!$S$210/8*3</f>
        <v>0</v>
      </c>
      <c r="CO101" s="1209">
        <f ca="1">'Calc - SENIOR PERS'!$S$210/8*2</f>
        <v>0</v>
      </c>
      <c r="CP101" s="1237">
        <f t="shared" ca="1" si="371"/>
        <v>0</v>
      </c>
      <c r="CS101" s="575"/>
      <c r="CT101" s="5"/>
      <c r="CU101" s="1180"/>
      <c r="CV101" s="575"/>
      <c r="CW101" s="5"/>
      <c r="CX101" s="1249"/>
      <c r="CY101" s="575"/>
      <c r="CZ101" s="5"/>
      <c r="DA101" s="1180"/>
      <c r="DB101" s="575"/>
      <c r="DC101" s="5"/>
      <c r="DD101" s="1180"/>
      <c r="DE101" s="1181">
        <f t="shared" si="372"/>
        <v>0</v>
      </c>
      <c r="DG101" s="575"/>
      <c r="DH101" s="5"/>
      <c r="DI101" s="1180"/>
      <c r="DJ101" s="575"/>
      <c r="DK101" s="5"/>
      <c r="DL101" s="1249"/>
      <c r="DM101" s="575"/>
      <c r="DN101" s="5"/>
      <c r="DO101" s="1180"/>
      <c r="DP101" s="575"/>
      <c r="DQ101" s="5"/>
      <c r="DR101" s="1180"/>
      <c r="DS101" s="1181">
        <f t="shared" si="373"/>
        <v>0</v>
      </c>
      <c r="DU101" s="575"/>
      <c r="DV101" s="5"/>
      <c r="DW101" s="1180"/>
      <c r="DX101" s="575"/>
      <c r="DY101" s="5"/>
      <c r="DZ101" s="1249"/>
      <c r="EA101" s="575"/>
      <c r="EB101" s="5"/>
      <c r="EC101" s="1180"/>
      <c r="ED101" s="575"/>
      <c r="EE101" s="5"/>
      <c r="EF101" s="1180"/>
      <c r="EG101" s="1181">
        <f t="shared" si="374"/>
        <v>0</v>
      </c>
      <c r="EI101" s="403"/>
      <c r="EJ101" s="3221"/>
      <c r="EK101" s="57">
        <f t="shared" ca="1" si="375"/>
        <v>0</v>
      </c>
      <c r="EL101" s="5">
        <f t="shared" ca="1" si="376"/>
        <v>0</v>
      </c>
      <c r="EM101" s="5">
        <f t="shared" ca="1" si="377"/>
        <v>0</v>
      </c>
      <c r="EN101" s="5">
        <f t="shared" ca="1" si="378"/>
        <v>0</v>
      </c>
      <c r="EO101" s="5">
        <f t="shared" ca="1" si="379"/>
        <v>0</v>
      </c>
      <c r="EP101" s="5">
        <f t="shared" ca="1" si="380"/>
        <v>0</v>
      </c>
      <c r="EQ101" s="5">
        <f t="shared" ca="1" si="381"/>
        <v>0</v>
      </c>
      <c r="ER101" s="351">
        <f t="shared" ca="1" si="382"/>
        <v>0</v>
      </c>
      <c r="ES101" s="4"/>
      <c r="ET101" s="4"/>
      <c r="EU101" s="4"/>
      <c r="EV101" s="2147">
        <f t="shared" ca="1" si="383"/>
        <v>0</v>
      </c>
      <c r="EW101" s="42">
        <f t="shared" ca="1" si="384"/>
        <v>0</v>
      </c>
      <c r="EX101" s="42">
        <f t="shared" ca="1" si="385"/>
        <v>0</v>
      </c>
      <c r="EY101" s="42">
        <f t="shared" ca="1" si="386"/>
        <v>0</v>
      </c>
      <c r="EZ101" s="42">
        <f t="shared" ca="1" si="387"/>
        <v>0</v>
      </c>
      <c r="FA101" s="42">
        <f t="shared" ca="1" si="388"/>
        <v>0</v>
      </c>
      <c r="FB101" s="165">
        <f t="shared" ca="1" si="389"/>
        <v>0</v>
      </c>
      <c r="FC101" s="1"/>
      <c r="FD101" s="2147">
        <f t="shared" ca="1" si="390"/>
        <v>0</v>
      </c>
      <c r="FE101" s="42">
        <f t="shared" ca="1" si="391"/>
        <v>0</v>
      </c>
      <c r="FF101" s="42">
        <f t="shared" ca="1" si="392"/>
        <v>0</v>
      </c>
      <c r="FG101" s="42">
        <f t="shared" ca="1" si="393"/>
        <v>0</v>
      </c>
      <c r="FH101" s="42">
        <f t="shared" ca="1" si="394"/>
        <v>0</v>
      </c>
      <c r="FI101" s="42">
        <f t="shared" ca="1" si="395"/>
        <v>0</v>
      </c>
      <c r="FJ101" s="139">
        <f t="shared" ca="1" si="396"/>
        <v>0</v>
      </c>
      <c r="FL101" s="2147">
        <f t="shared" ca="1" si="397"/>
        <v>0</v>
      </c>
      <c r="FM101" s="42">
        <f t="shared" ca="1" si="398"/>
        <v>0</v>
      </c>
      <c r="FN101" s="42">
        <f t="shared" ca="1" si="399"/>
        <v>0</v>
      </c>
      <c r="FO101" s="42">
        <f t="shared" ca="1" si="400"/>
        <v>0</v>
      </c>
      <c r="FP101" s="42">
        <f t="shared" ca="1" si="401"/>
        <v>0</v>
      </c>
      <c r="FQ101" s="42">
        <f t="shared" ca="1" si="402"/>
        <v>0</v>
      </c>
      <c r="FR101" s="207">
        <f t="shared" ca="1" si="403"/>
        <v>0</v>
      </c>
      <c r="FT101" s="2147">
        <f t="shared" ca="1" si="404"/>
        <v>0</v>
      </c>
      <c r="FU101" s="42">
        <f t="shared" ca="1" si="405"/>
        <v>0</v>
      </c>
      <c r="FV101" s="42">
        <f t="shared" ca="1" si="406"/>
        <v>0</v>
      </c>
      <c r="FW101" s="42">
        <f t="shared" ca="1" si="407"/>
        <v>0</v>
      </c>
      <c r="FX101" s="42">
        <f t="shared" ca="1" si="408"/>
        <v>0</v>
      </c>
      <c r="FY101" s="42">
        <f t="shared" ca="1" si="409"/>
        <v>0</v>
      </c>
      <c r="FZ101" s="179">
        <f t="shared" ca="1" si="410"/>
        <v>0</v>
      </c>
      <c r="GB101" s="2147">
        <f t="shared" ca="1" si="411"/>
        <v>0</v>
      </c>
      <c r="GC101" s="42">
        <f t="shared" ca="1" si="412"/>
        <v>0</v>
      </c>
      <c r="GD101" s="42">
        <f t="shared" ca="1" si="413"/>
        <v>0</v>
      </c>
      <c r="GE101" s="42">
        <f t="shared" ca="1" si="414"/>
        <v>0</v>
      </c>
      <c r="GF101" s="42">
        <f t="shared" ca="1" si="415"/>
        <v>0</v>
      </c>
      <c r="GG101" s="42">
        <f t="shared" ca="1" si="416"/>
        <v>0</v>
      </c>
      <c r="GH101" s="151">
        <f t="shared" ca="1" si="417"/>
        <v>0</v>
      </c>
      <c r="GJ101" s="2147">
        <f t="shared" ca="1" si="418"/>
        <v>0</v>
      </c>
      <c r="GK101" s="42">
        <f t="shared" ca="1" si="419"/>
        <v>0</v>
      </c>
      <c r="GL101" s="42">
        <f t="shared" ca="1" si="420"/>
        <v>0</v>
      </c>
      <c r="GM101" s="42">
        <f t="shared" ca="1" si="421"/>
        <v>0</v>
      </c>
      <c r="GN101" s="42">
        <f t="shared" ca="1" si="422"/>
        <v>0</v>
      </c>
      <c r="GO101" s="42">
        <f t="shared" ca="1" si="423"/>
        <v>0</v>
      </c>
      <c r="GP101" s="193">
        <f t="shared" ca="1" si="424"/>
        <v>0</v>
      </c>
      <c r="GR101" s="2147"/>
      <c r="GS101" s="42"/>
      <c r="GT101" s="42"/>
      <c r="GU101" s="42"/>
      <c r="GV101" s="42"/>
      <c r="GW101" s="42"/>
      <c r="GX101" s="1103">
        <f t="shared" si="425"/>
        <v>0</v>
      </c>
      <c r="GZ101" s="2147">
        <f t="shared" ca="1" si="426"/>
        <v>0</v>
      </c>
      <c r="HA101" s="42">
        <f t="shared" ca="1" si="427"/>
        <v>0</v>
      </c>
      <c r="HB101" s="42">
        <f t="shared" ca="1" si="428"/>
        <v>0</v>
      </c>
      <c r="HC101" s="42">
        <f t="shared" ca="1" si="429"/>
        <v>0</v>
      </c>
      <c r="HD101" s="42">
        <f t="shared" ca="1" si="430"/>
        <v>0</v>
      </c>
      <c r="HE101" s="42">
        <f t="shared" ca="1" si="431"/>
        <v>0</v>
      </c>
      <c r="HF101" s="2176">
        <f t="shared" ca="1" si="432"/>
        <v>0</v>
      </c>
      <c r="HG101" s="275">
        <f t="shared" ca="1" si="433"/>
        <v>0</v>
      </c>
      <c r="HH101" s="257"/>
    </row>
    <row r="102" spans="1:216" ht="15" customHeight="1" thickBot="1" x14ac:dyDescent="0.3">
      <c r="A102" s="25"/>
      <c r="B102" s="3225" t="str">
        <f>B29</f>
        <v>Summer</v>
      </c>
      <c r="C102" s="91" t="str">
        <f ca="1">'Calc - SENIOR PERS'!$B$6</f>
        <v>Virag Mishra</v>
      </c>
      <c r="D102" s="86">
        <f ca="1">'Calc - SENIOR PERS'!$Q$11</f>
        <v>0</v>
      </c>
      <c r="E102" s="86">
        <f ca="1">'Calc - SENIOR PERS'!$Q$12</f>
        <v>0</v>
      </c>
      <c r="F102" s="86">
        <f ca="1">'Calc - SENIOR PERS'!$Q$13</f>
        <v>0</v>
      </c>
      <c r="G102" s="86">
        <f ca="1">'Calc - SENIOR PERS'!$Q$14</f>
        <v>0</v>
      </c>
      <c r="H102" s="86">
        <f ca="1">'Calc - SENIOR PERS'!$Q$15</f>
        <v>0</v>
      </c>
      <c r="I102" s="86">
        <f ca="1">'Calc - SENIOR PERS'!$Q$16</f>
        <v>0</v>
      </c>
      <c r="J102" s="87">
        <f t="shared" ca="1" si="355"/>
        <v>0</v>
      </c>
      <c r="K102" s="4"/>
      <c r="L102" s="4"/>
      <c r="M102" s="4"/>
      <c r="N102" s="41"/>
      <c r="O102" s="41"/>
      <c r="P102" s="41"/>
      <c r="Q102" s="41"/>
      <c r="R102" s="41"/>
      <c r="S102" s="41"/>
      <c r="T102" s="163">
        <f t="shared" si="356"/>
        <v>0</v>
      </c>
      <c r="U102" s="1"/>
      <c r="V102" s="41"/>
      <c r="W102" s="41"/>
      <c r="X102" s="41"/>
      <c r="Y102" s="41"/>
      <c r="Z102" s="41"/>
      <c r="AA102" s="41"/>
      <c r="AB102" s="137">
        <f t="shared" si="357"/>
        <v>0</v>
      </c>
      <c r="AD102" s="41"/>
      <c r="AE102" s="41"/>
      <c r="AF102" s="41"/>
      <c r="AG102" s="41"/>
      <c r="AH102" s="41"/>
      <c r="AI102" s="41"/>
      <c r="AJ102" s="205">
        <f t="shared" si="358"/>
        <v>0</v>
      </c>
      <c r="AL102" s="41"/>
      <c r="AM102" s="41"/>
      <c r="AN102" s="41"/>
      <c r="AO102" s="41"/>
      <c r="AP102" s="41"/>
      <c r="AQ102" s="41"/>
      <c r="AR102" s="177">
        <f t="shared" si="359"/>
        <v>0</v>
      </c>
      <c r="AT102" s="41"/>
      <c r="AU102" s="41"/>
      <c r="AV102" s="41"/>
      <c r="AW102" s="41"/>
      <c r="AX102" s="41"/>
      <c r="AY102" s="41"/>
      <c r="AZ102" s="149">
        <f t="shared" si="360"/>
        <v>0</v>
      </c>
      <c r="BB102" s="41"/>
      <c r="BC102" s="41"/>
      <c r="BD102" s="41"/>
      <c r="BE102" s="41"/>
      <c r="BF102" s="41"/>
      <c r="BG102" s="41"/>
      <c r="BH102" s="191">
        <f t="shared" si="361"/>
        <v>0</v>
      </c>
      <c r="BJ102" s="41"/>
      <c r="BK102" s="41"/>
      <c r="BL102" s="41"/>
      <c r="BM102" s="41"/>
      <c r="BN102" s="41"/>
      <c r="BO102" s="41"/>
      <c r="BP102" s="1101">
        <f t="shared" si="362"/>
        <v>0</v>
      </c>
      <c r="BR102" s="572">
        <f t="shared" si="363"/>
        <v>0</v>
      </c>
      <c r="BS102" s="572">
        <f t="shared" si="364"/>
        <v>0</v>
      </c>
      <c r="BT102" s="572">
        <f t="shared" si="365"/>
        <v>0</v>
      </c>
      <c r="BU102" s="572">
        <f t="shared" si="366"/>
        <v>0</v>
      </c>
      <c r="BV102" s="572">
        <f t="shared" si="367"/>
        <v>0</v>
      </c>
      <c r="BW102" s="572">
        <f t="shared" si="368"/>
        <v>0</v>
      </c>
      <c r="BX102" s="989">
        <f t="shared" si="369"/>
        <v>0</v>
      </c>
      <c r="BY102" s="573">
        <f t="shared" ca="1" si="370"/>
        <v>0</v>
      </c>
      <c r="BZ102" s="257"/>
      <c r="CB102" s="1301">
        <f t="shared" ref="CB102:CB116" ca="1" si="434">D102</f>
        <v>0</v>
      </c>
      <c r="CC102" s="386"/>
      <c r="CD102" s="360"/>
      <c r="CE102" s="360"/>
      <c r="CF102" s="360">
        <f ca="1">'Calc - SENIOR PERS'!$Q$12/3*0.5</f>
        <v>0</v>
      </c>
      <c r="CG102" s="1161">
        <f ca="1">'Calc - SENIOR PERS'!$Q$12/3*2.5</f>
        <v>0</v>
      </c>
      <c r="CH102" s="1162"/>
      <c r="CI102" s="1163"/>
      <c r="CJ102" s="1163"/>
      <c r="CK102" s="1163">
        <f ca="1">'Calc - SENIOR PERS'!$Q$13/3*0.5</f>
        <v>0</v>
      </c>
      <c r="CL102" s="1164">
        <f ca="1">'Calc - SENIOR PERS'!$Q$13/3*2.5</f>
        <v>0</v>
      </c>
      <c r="CM102" s="1165"/>
      <c r="CN102" s="1166"/>
      <c r="CO102" s="1167"/>
      <c r="CP102" s="1233">
        <f t="shared" ca="1" si="371"/>
        <v>0</v>
      </c>
      <c r="CS102" s="575"/>
      <c r="CT102" s="5"/>
      <c r="CU102" s="1180"/>
      <c r="CV102" s="575"/>
      <c r="CW102" s="5"/>
      <c r="CX102" s="1249"/>
      <c r="CY102" s="575"/>
      <c r="CZ102" s="5"/>
      <c r="DA102" s="1180"/>
      <c r="DB102" s="575"/>
      <c r="DC102" s="5"/>
      <c r="DD102" s="1180"/>
      <c r="DE102" s="1181">
        <f t="shared" si="372"/>
        <v>0</v>
      </c>
      <c r="DG102" s="575"/>
      <c r="DH102" s="5"/>
      <c r="DI102" s="1180"/>
      <c r="DJ102" s="575"/>
      <c r="DK102" s="5"/>
      <c r="DL102" s="1249"/>
      <c r="DM102" s="575"/>
      <c r="DN102" s="5"/>
      <c r="DO102" s="1180"/>
      <c r="DP102" s="575"/>
      <c r="DQ102" s="5"/>
      <c r="DR102" s="1180"/>
      <c r="DS102" s="1181">
        <f t="shared" si="373"/>
        <v>0</v>
      </c>
      <c r="DU102" s="575"/>
      <c r="DV102" s="5"/>
      <c r="DW102" s="1180"/>
      <c r="DX102" s="575"/>
      <c r="DY102" s="5"/>
      <c r="DZ102" s="1249"/>
      <c r="EA102" s="575"/>
      <c r="EB102" s="5"/>
      <c r="EC102" s="1180"/>
      <c r="ED102" s="575"/>
      <c r="EE102" s="5"/>
      <c r="EF102" s="1180"/>
      <c r="EG102" s="1181">
        <f t="shared" si="374"/>
        <v>0</v>
      </c>
      <c r="EI102" s="25"/>
      <c r="EJ102" s="3225" t="str">
        <f>EJ29</f>
        <v>Summer</v>
      </c>
      <c r="EK102" s="91" t="str">
        <f t="shared" ca="1" si="375"/>
        <v>Virag Mishra</v>
      </c>
      <c r="EL102" s="86">
        <f t="shared" ca="1" si="376"/>
        <v>0</v>
      </c>
      <c r="EM102" s="86">
        <f t="shared" ca="1" si="377"/>
        <v>0</v>
      </c>
      <c r="EN102" s="86">
        <f t="shared" ca="1" si="378"/>
        <v>0</v>
      </c>
      <c r="EO102" s="86">
        <f t="shared" ca="1" si="379"/>
        <v>0</v>
      </c>
      <c r="EP102" s="86">
        <f t="shared" ca="1" si="380"/>
        <v>0</v>
      </c>
      <c r="EQ102" s="86">
        <f t="shared" ca="1" si="381"/>
        <v>0</v>
      </c>
      <c r="ER102" s="87">
        <f t="shared" ca="1" si="382"/>
        <v>0</v>
      </c>
      <c r="ES102" s="4"/>
      <c r="ET102" s="4"/>
      <c r="EU102" s="4"/>
      <c r="EV102" s="41">
        <f t="shared" si="383"/>
        <v>0</v>
      </c>
      <c r="EW102" s="41">
        <f t="shared" si="384"/>
        <v>0</v>
      </c>
      <c r="EX102" s="41">
        <f t="shared" si="385"/>
        <v>0</v>
      </c>
      <c r="EY102" s="41">
        <f t="shared" si="386"/>
        <v>0</v>
      </c>
      <c r="EZ102" s="41">
        <f t="shared" si="387"/>
        <v>0</v>
      </c>
      <c r="FA102" s="41">
        <f t="shared" si="388"/>
        <v>0</v>
      </c>
      <c r="FB102" s="163">
        <f t="shared" si="389"/>
        <v>0</v>
      </c>
      <c r="FC102" s="1"/>
      <c r="FD102" s="41">
        <f t="shared" si="390"/>
        <v>0</v>
      </c>
      <c r="FE102" s="41">
        <f t="shared" si="391"/>
        <v>0</v>
      </c>
      <c r="FF102" s="41">
        <f t="shared" si="392"/>
        <v>0</v>
      </c>
      <c r="FG102" s="41">
        <f t="shared" si="393"/>
        <v>0</v>
      </c>
      <c r="FH102" s="41">
        <f t="shared" si="394"/>
        <v>0</v>
      </c>
      <c r="FI102" s="41">
        <f t="shared" si="395"/>
        <v>0</v>
      </c>
      <c r="FJ102" s="137">
        <f t="shared" si="396"/>
        <v>0</v>
      </c>
      <c r="FL102" s="41">
        <f t="shared" si="397"/>
        <v>0</v>
      </c>
      <c r="FM102" s="41">
        <f t="shared" si="398"/>
        <v>0</v>
      </c>
      <c r="FN102" s="41">
        <f t="shared" si="399"/>
        <v>0</v>
      </c>
      <c r="FO102" s="41">
        <f t="shared" si="400"/>
        <v>0</v>
      </c>
      <c r="FP102" s="41">
        <f t="shared" si="401"/>
        <v>0</v>
      </c>
      <c r="FQ102" s="41">
        <f t="shared" si="402"/>
        <v>0</v>
      </c>
      <c r="FR102" s="205">
        <f t="shared" si="403"/>
        <v>0</v>
      </c>
      <c r="FT102" s="41">
        <f t="shared" si="404"/>
        <v>0</v>
      </c>
      <c r="FU102" s="41">
        <f t="shared" si="405"/>
        <v>0</v>
      </c>
      <c r="FV102" s="41">
        <f t="shared" si="406"/>
        <v>0</v>
      </c>
      <c r="FW102" s="41">
        <f t="shared" si="407"/>
        <v>0</v>
      </c>
      <c r="FX102" s="41">
        <f t="shared" si="408"/>
        <v>0</v>
      </c>
      <c r="FY102" s="41">
        <f t="shared" si="409"/>
        <v>0</v>
      </c>
      <c r="FZ102" s="177">
        <f t="shared" si="410"/>
        <v>0</v>
      </c>
      <c r="GB102" s="41">
        <f t="shared" si="411"/>
        <v>0</v>
      </c>
      <c r="GC102" s="41">
        <f t="shared" si="412"/>
        <v>0</v>
      </c>
      <c r="GD102" s="41">
        <f t="shared" si="413"/>
        <v>0</v>
      </c>
      <c r="GE102" s="41">
        <f t="shared" si="414"/>
        <v>0</v>
      </c>
      <c r="GF102" s="41">
        <f t="shared" si="415"/>
        <v>0</v>
      </c>
      <c r="GG102" s="41">
        <f t="shared" si="416"/>
        <v>0</v>
      </c>
      <c r="GH102" s="149">
        <f t="shared" si="417"/>
        <v>0</v>
      </c>
      <c r="GJ102" s="41">
        <f t="shared" si="418"/>
        <v>0</v>
      </c>
      <c r="GK102" s="41">
        <f t="shared" si="419"/>
        <v>0</v>
      </c>
      <c r="GL102" s="41">
        <f t="shared" si="420"/>
        <v>0</v>
      </c>
      <c r="GM102" s="41">
        <f t="shared" si="421"/>
        <v>0</v>
      </c>
      <c r="GN102" s="41">
        <f t="shared" si="422"/>
        <v>0</v>
      </c>
      <c r="GO102" s="41">
        <f t="shared" si="423"/>
        <v>0</v>
      </c>
      <c r="GP102" s="191">
        <f t="shared" si="424"/>
        <v>0</v>
      </c>
      <c r="GR102" s="41"/>
      <c r="GS102" s="41"/>
      <c r="GT102" s="41"/>
      <c r="GU102" s="41"/>
      <c r="GV102" s="41"/>
      <c r="GW102" s="41"/>
      <c r="GX102" s="1101">
        <f t="shared" si="425"/>
        <v>0</v>
      </c>
      <c r="GZ102" s="572">
        <f t="shared" si="426"/>
        <v>0</v>
      </c>
      <c r="HA102" s="572">
        <f t="shared" si="427"/>
        <v>0</v>
      </c>
      <c r="HB102" s="572">
        <f t="shared" si="428"/>
        <v>0</v>
      </c>
      <c r="HC102" s="572">
        <f t="shared" si="429"/>
        <v>0</v>
      </c>
      <c r="HD102" s="572">
        <f t="shared" si="430"/>
        <v>0</v>
      </c>
      <c r="HE102" s="572">
        <f t="shared" si="431"/>
        <v>0</v>
      </c>
      <c r="HF102" s="989">
        <f t="shared" si="432"/>
        <v>0</v>
      </c>
      <c r="HG102" s="573">
        <f t="shared" ca="1" si="433"/>
        <v>0</v>
      </c>
      <c r="HH102" s="257"/>
    </row>
    <row r="103" spans="1:216" ht="15" hidden="1" customHeight="1" x14ac:dyDescent="0.25">
      <c r="A103" s="403"/>
      <c r="B103" s="3226"/>
      <c r="C103" s="92">
        <f ca="1">'Calc - SENIOR PERS'!$B$20</f>
        <v>0</v>
      </c>
      <c r="D103" s="5">
        <f ca="1">'Calc - SENIOR PERS'!$Q$25</f>
        <v>0</v>
      </c>
      <c r="E103" s="5">
        <f ca="1">'Calc - SENIOR PERS'!$Q$26</f>
        <v>0</v>
      </c>
      <c r="F103" s="5">
        <f ca="1">'Calc - SENIOR PERS'!$Q$27</f>
        <v>0</v>
      </c>
      <c r="G103" s="5">
        <f ca="1">'Calc - SENIOR PERS'!$Q$28</f>
        <v>0</v>
      </c>
      <c r="H103" s="5">
        <f ca="1">'Calc - SENIOR PERS'!$Q$29</f>
        <v>0</v>
      </c>
      <c r="I103" s="5">
        <f ca="1">'Calc - SENIOR PERS'!$Q$30</f>
        <v>0</v>
      </c>
      <c r="J103" s="88">
        <f t="shared" ca="1" si="355"/>
        <v>0</v>
      </c>
      <c r="K103" s="4"/>
      <c r="L103" s="4"/>
      <c r="M103" s="4"/>
      <c r="N103" s="5"/>
      <c r="O103" s="5"/>
      <c r="P103" s="5"/>
      <c r="Q103" s="5"/>
      <c r="R103" s="5"/>
      <c r="S103" s="5"/>
      <c r="T103" s="164">
        <f t="shared" si="356"/>
        <v>0</v>
      </c>
      <c r="U103" s="1"/>
      <c r="V103" s="5"/>
      <c r="W103" s="5"/>
      <c r="X103" s="5"/>
      <c r="Y103" s="5"/>
      <c r="Z103" s="5"/>
      <c r="AA103" s="5"/>
      <c r="AB103" s="138">
        <f t="shared" si="357"/>
        <v>0</v>
      </c>
      <c r="AD103" s="5"/>
      <c r="AE103" s="5"/>
      <c r="AF103" s="5"/>
      <c r="AG103" s="5"/>
      <c r="AH103" s="5"/>
      <c r="AI103" s="5"/>
      <c r="AJ103" s="206">
        <f t="shared" si="358"/>
        <v>0</v>
      </c>
      <c r="AL103" s="5"/>
      <c r="AM103" s="5"/>
      <c r="AN103" s="5"/>
      <c r="AO103" s="5"/>
      <c r="AP103" s="5"/>
      <c r="AQ103" s="5"/>
      <c r="AR103" s="178">
        <f t="shared" si="359"/>
        <v>0</v>
      </c>
      <c r="AT103" s="5"/>
      <c r="AU103" s="5"/>
      <c r="AV103" s="5"/>
      <c r="AW103" s="5"/>
      <c r="AX103" s="5"/>
      <c r="AY103" s="5"/>
      <c r="AZ103" s="150">
        <f t="shared" si="360"/>
        <v>0</v>
      </c>
      <c r="BB103" s="5"/>
      <c r="BC103" s="5"/>
      <c r="BD103" s="5"/>
      <c r="BE103" s="5"/>
      <c r="BF103" s="5"/>
      <c r="BG103" s="5"/>
      <c r="BH103" s="192">
        <f t="shared" si="361"/>
        <v>0</v>
      </c>
      <c r="BJ103" s="5"/>
      <c r="BK103" s="5"/>
      <c r="BL103" s="5"/>
      <c r="BM103" s="5"/>
      <c r="BN103" s="5"/>
      <c r="BO103" s="5"/>
      <c r="BP103" s="1102">
        <f t="shared" si="362"/>
        <v>0</v>
      </c>
      <c r="BR103" s="572">
        <f t="shared" si="363"/>
        <v>0</v>
      </c>
      <c r="BS103" s="572">
        <f t="shared" si="364"/>
        <v>0</v>
      </c>
      <c r="BT103" s="572">
        <f t="shared" si="365"/>
        <v>0</v>
      </c>
      <c r="BU103" s="572">
        <f t="shared" si="366"/>
        <v>0</v>
      </c>
      <c r="BV103" s="572">
        <f t="shared" si="367"/>
        <v>0</v>
      </c>
      <c r="BW103" s="572">
        <f t="shared" si="368"/>
        <v>0</v>
      </c>
      <c r="BX103" s="989">
        <f t="shared" si="369"/>
        <v>0</v>
      </c>
      <c r="BY103" s="573">
        <f t="shared" ca="1" si="370"/>
        <v>0</v>
      </c>
      <c r="BZ103" s="257"/>
      <c r="CB103" s="1182">
        <f t="shared" ca="1" si="434"/>
        <v>0</v>
      </c>
      <c r="CC103" s="387"/>
      <c r="CD103" s="56"/>
      <c r="CE103" s="56"/>
      <c r="CF103" s="56">
        <f ca="1">'Calc - SENIOR PERS'!$Q$26/3*0.5</f>
        <v>0</v>
      </c>
      <c r="CG103" s="1183">
        <f ca="1">'Calc - SENIOR PERS'!$Q$26/3*2.5</f>
        <v>0</v>
      </c>
      <c r="CH103" s="1184"/>
      <c r="CI103" s="1185"/>
      <c r="CJ103" s="1185"/>
      <c r="CK103" s="1185">
        <f ca="1">'Calc - SENIOR PERS'!$Q$27/3*0.5</f>
        <v>0</v>
      </c>
      <c r="CL103" s="1186">
        <f ca="1">'Calc - SENIOR PERS'!$Q$27/3*2.5</f>
        <v>0</v>
      </c>
      <c r="CM103" s="1187"/>
      <c r="CN103" s="1188"/>
      <c r="CO103" s="1189"/>
      <c r="CP103" s="1234">
        <f t="shared" ca="1" si="371"/>
        <v>0</v>
      </c>
      <c r="CS103" s="575"/>
      <c r="CT103" s="5"/>
      <c r="CU103" s="1180"/>
      <c r="CV103" s="575"/>
      <c r="CW103" s="5"/>
      <c r="CX103" s="1249"/>
      <c r="CY103" s="575"/>
      <c r="CZ103" s="5"/>
      <c r="DA103" s="1180"/>
      <c r="DB103" s="575"/>
      <c r="DC103" s="5"/>
      <c r="DD103" s="1180"/>
      <c r="DE103" s="1181">
        <f t="shared" si="372"/>
        <v>0</v>
      </c>
      <c r="DG103" s="575"/>
      <c r="DH103" s="5"/>
      <c r="DI103" s="1180"/>
      <c r="DJ103" s="575"/>
      <c r="DK103" s="5"/>
      <c r="DL103" s="1249"/>
      <c r="DM103" s="575"/>
      <c r="DN103" s="5"/>
      <c r="DO103" s="1180"/>
      <c r="DP103" s="575"/>
      <c r="DQ103" s="5"/>
      <c r="DR103" s="1180"/>
      <c r="DS103" s="1181">
        <f t="shared" si="373"/>
        <v>0</v>
      </c>
      <c r="DU103" s="575"/>
      <c r="DV103" s="5"/>
      <c r="DW103" s="1180"/>
      <c r="DX103" s="575"/>
      <c r="DY103" s="5"/>
      <c r="DZ103" s="1249"/>
      <c r="EA103" s="575"/>
      <c r="EB103" s="5"/>
      <c r="EC103" s="1180"/>
      <c r="ED103" s="575"/>
      <c r="EE103" s="5"/>
      <c r="EF103" s="1180"/>
      <c r="EG103" s="1181">
        <f t="shared" si="374"/>
        <v>0</v>
      </c>
      <c r="EI103" s="403"/>
      <c r="EJ103" s="3226"/>
      <c r="EK103" s="92">
        <f t="shared" ca="1" si="375"/>
        <v>0</v>
      </c>
      <c r="EL103" s="5">
        <f t="shared" ca="1" si="376"/>
        <v>0</v>
      </c>
      <c r="EM103" s="5">
        <f t="shared" ca="1" si="377"/>
        <v>0</v>
      </c>
      <c r="EN103" s="5">
        <f t="shared" ca="1" si="378"/>
        <v>0</v>
      </c>
      <c r="EO103" s="5">
        <f t="shared" ca="1" si="379"/>
        <v>0</v>
      </c>
      <c r="EP103" s="5">
        <f t="shared" ca="1" si="380"/>
        <v>0</v>
      </c>
      <c r="EQ103" s="5">
        <f t="shared" ca="1" si="381"/>
        <v>0</v>
      </c>
      <c r="ER103" s="88">
        <f t="shared" ca="1" si="382"/>
        <v>0</v>
      </c>
      <c r="ES103" s="4"/>
      <c r="ET103" s="4"/>
      <c r="EU103" s="4"/>
      <c r="EV103" s="5">
        <f t="shared" si="383"/>
        <v>0</v>
      </c>
      <c r="EW103" s="5">
        <f t="shared" si="384"/>
        <v>0</v>
      </c>
      <c r="EX103" s="5">
        <f t="shared" si="385"/>
        <v>0</v>
      </c>
      <c r="EY103" s="5">
        <f t="shared" si="386"/>
        <v>0</v>
      </c>
      <c r="EZ103" s="5">
        <f t="shared" si="387"/>
        <v>0</v>
      </c>
      <c r="FA103" s="5">
        <f t="shared" si="388"/>
        <v>0</v>
      </c>
      <c r="FB103" s="164">
        <f t="shared" si="389"/>
        <v>0</v>
      </c>
      <c r="FC103" s="1"/>
      <c r="FD103" s="5">
        <f t="shared" si="390"/>
        <v>0</v>
      </c>
      <c r="FE103" s="5">
        <f t="shared" si="391"/>
        <v>0</v>
      </c>
      <c r="FF103" s="5">
        <f t="shared" si="392"/>
        <v>0</v>
      </c>
      <c r="FG103" s="5">
        <f t="shared" si="393"/>
        <v>0</v>
      </c>
      <c r="FH103" s="5">
        <f t="shared" si="394"/>
        <v>0</v>
      </c>
      <c r="FI103" s="5">
        <f t="shared" si="395"/>
        <v>0</v>
      </c>
      <c r="FJ103" s="138">
        <f t="shared" si="396"/>
        <v>0</v>
      </c>
      <c r="FL103" s="5">
        <f t="shared" si="397"/>
        <v>0</v>
      </c>
      <c r="FM103" s="5">
        <f t="shared" si="398"/>
        <v>0</v>
      </c>
      <c r="FN103" s="5">
        <f t="shared" si="399"/>
        <v>0</v>
      </c>
      <c r="FO103" s="5">
        <f t="shared" si="400"/>
        <v>0</v>
      </c>
      <c r="FP103" s="5">
        <f t="shared" si="401"/>
        <v>0</v>
      </c>
      <c r="FQ103" s="5">
        <f t="shared" si="402"/>
        <v>0</v>
      </c>
      <c r="FR103" s="206">
        <f t="shared" si="403"/>
        <v>0</v>
      </c>
      <c r="FT103" s="5">
        <f t="shared" si="404"/>
        <v>0</v>
      </c>
      <c r="FU103" s="5">
        <f t="shared" si="405"/>
        <v>0</v>
      </c>
      <c r="FV103" s="5">
        <f t="shared" si="406"/>
        <v>0</v>
      </c>
      <c r="FW103" s="5">
        <f t="shared" si="407"/>
        <v>0</v>
      </c>
      <c r="FX103" s="5">
        <f t="shared" si="408"/>
        <v>0</v>
      </c>
      <c r="FY103" s="5">
        <f t="shared" si="409"/>
        <v>0</v>
      </c>
      <c r="FZ103" s="178">
        <f t="shared" si="410"/>
        <v>0</v>
      </c>
      <c r="GB103" s="5">
        <f t="shared" si="411"/>
        <v>0</v>
      </c>
      <c r="GC103" s="5">
        <f t="shared" si="412"/>
        <v>0</v>
      </c>
      <c r="GD103" s="5">
        <f t="shared" si="413"/>
        <v>0</v>
      </c>
      <c r="GE103" s="5">
        <f t="shared" si="414"/>
        <v>0</v>
      </c>
      <c r="GF103" s="5">
        <f t="shared" si="415"/>
        <v>0</v>
      </c>
      <c r="GG103" s="5">
        <f t="shared" si="416"/>
        <v>0</v>
      </c>
      <c r="GH103" s="150">
        <f t="shared" si="417"/>
        <v>0</v>
      </c>
      <c r="GJ103" s="5">
        <f t="shared" si="418"/>
        <v>0</v>
      </c>
      <c r="GK103" s="5">
        <f t="shared" si="419"/>
        <v>0</v>
      </c>
      <c r="GL103" s="5">
        <f t="shared" si="420"/>
        <v>0</v>
      </c>
      <c r="GM103" s="5">
        <f t="shared" si="421"/>
        <v>0</v>
      </c>
      <c r="GN103" s="5">
        <f t="shared" si="422"/>
        <v>0</v>
      </c>
      <c r="GO103" s="5">
        <f t="shared" si="423"/>
        <v>0</v>
      </c>
      <c r="GP103" s="192">
        <f t="shared" si="424"/>
        <v>0</v>
      </c>
      <c r="GR103" s="5"/>
      <c r="GS103" s="5"/>
      <c r="GT103" s="5"/>
      <c r="GU103" s="5"/>
      <c r="GV103" s="5"/>
      <c r="GW103" s="5"/>
      <c r="GX103" s="1102">
        <f t="shared" si="425"/>
        <v>0</v>
      </c>
      <c r="GZ103" s="572">
        <f t="shared" si="426"/>
        <v>0</v>
      </c>
      <c r="HA103" s="572">
        <f t="shared" si="427"/>
        <v>0</v>
      </c>
      <c r="HB103" s="572">
        <f t="shared" si="428"/>
        <v>0</v>
      </c>
      <c r="HC103" s="572">
        <f t="shared" si="429"/>
        <v>0</v>
      </c>
      <c r="HD103" s="572">
        <f t="shared" si="430"/>
        <v>0</v>
      </c>
      <c r="HE103" s="572">
        <f t="shared" si="431"/>
        <v>0</v>
      </c>
      <c r="HF103" s="989">
        <f t="shared" si="432"/>
        <v>0</v>
      </c>
      <c r="HG103" s="573">
        <f t="shared" ca="1" si="433"/>
        <v>0</v>
      </c>
      <c r="HH103" s="257"/>
    </row>
    <row r="104" spans="1:216" ht="15" hidden="1" customHeight="1" x14ac:dyDescent="0.25">
      <c r="A104" s="403"/>
      <c r="B104" s="3226"/>
      <c r="C104" s="92">
        <f ca="1">'Calc - SENIOR PERS'!$B$34</f>
        <v>0</v>
      </c>
      <c r="D104" s="5">
        <f ca="1">'Calc - SENIOR PERS'!$Q$39</f>
        <v>0</v>
      </c>
      <c r="E104" s="5">
        <f ca="1">'Calc - SENIOR PERS'!$Q$40</f>
        <v>0</v>
      </c>
      <c r="F104" s="5">
        <f ca="1">'Calc - SENIOR PERS'!$Q$41</f>
        <v>0</v>
      </c>
      <c r="G104" s="5">
        <f ca="1">'Calc - SENIOR PERS'!$Q$42</f>
        <v>0</v>
      </c>
      <c r="H104" s="5">
        <f ca="1">'Calc - SENIOR PERS'!$Q$43</f>
        <v>0</v>
      </c>
      <c r="I104" s="5">
        <f ca="1">'Calc - SENIOR PERS'!$Q$44</f>
        <v>0</v>
      </c>
      <c r="J104" s="88">
        <f t="shared" ca="1" si="355"/>
        <v>0</v>
      </c>
      <c r="K104" s="4"/>
      <c r="L104" s="4"/>
      <c r="M104" s="4"/>
      <c r="N104" s="5"/>
      <c r="O104" s="5"/>
      <c r="P104" s="5"/>
      <c r="Q104" s="5"/>
      <c r="R104" s="5"/>
      <c r="S104" s="5"/>
      <c r="T104" s="164">
        <f t="shared" si="356"/>
        <v>0</v>
      </c>
      <c r="U104" s="1"/>
      <c r="V104" s="5"/>
      <c r="W104" s="5"/>
      <c r="X104" s="5"/>
      <c r="Y104" s="5"/>
      <c r="Z104" s="5"/>
      <c r="AA104" s="5"/>
      <c r="AB104" s="138">
        <f t="shared" si="357"/>
        <v>0</v>
      </c>
      <c r="AD104" s="5"/>
      <c r="AE104" s="5"/>
      <c r="AF104" s="5"/>
      <c r="AG104" s="5"/>
      <c r="AH104" s="5"/>
      <c r="AI104" s="5"/>
      <c r="AJ104" s="206">
        <f t="shared" si="358"/>
        <v>0</v>
      </c>
      <c r="AL104" s="5"/>
      <c r="AM104" s="5"/>
      <c r="AN104" s="5"/>
      <c r="AO104" s="5"/>
      <c r="AP104" s="5"/>
      <c r="AQ104" s="5"/>
      <c r="AR104" s="178">
        <f t="shared" si="359"/>
        <v>0</v>
      </c>
      <c r="AT104" s="5"/>
      <c r="AU104" s="5"/>
      <c r="AV104" s="5"/>
      <c r="AW104" s="5"/>
      <c r="AX104" s="5"/>
      <c r="AY104" s="5"/>
      <c r="AZ104" s="150">
        <f t="shared" si="360"/>
        <v>0</v>
      </c>
      <c r="BB104" s="5"/>
      <c r="BC104" s="5"/>
      <c r="BD104" s="5"/>
      <c r="BE104" s="5"/>
      <c r="BF104" s="5"/>
      <c r="BG104" s="5"/>
      <c r="BH104" s="192">
        <f t="shared" si="361"/>
        <v>0</v>
      </c>
      <c r="BJ104" s="5"/>
      <c r="BK104" s="5"/>
      <c r="BL104" s="5"/>
      <c r="BM104" s="5"/>
      <c r="BN104" s="5"/>
      <c r="BO104" s="5"/>
      <c r="BP104" s="1102">
        <f t="shared" si="362"/>
        <v>0</v>
      </c>
      <c r="BR104" s="572">
        <f t="shared" si="363"/>
        <v>0</v>
      </c>
      <c r="BS104" s="572">
        <f t="shared" si="364"/>
        <v>0</v>
      </c>
      <c r="BT104" s="572">
        <f t="shared" si="365"/>
        <v>0</v>
      </c>
      <c r="BU104" s="572">
        <f t="shared" si="366"/>
        <v>0</v>
      </c>
      <c r="BV104" s="572">
        <f t="shared" si="367"/>
        <v>0</v>
      </c>
      <c r="BW104" s="572">
        <f t="shared" si="368"/>
        <v>0</v>
      </c>
      <c r="BX104" s="989">
        <f t="shared" si="369"/>
        <v>0</v>
      </c>
      <c r="BY104" s="573">
        <f t="shared" ca="1" si="370"/>
        <v>0</v>
      </c>
      <c r="BZ104" s="257"/>
      <c r="CB104" s="1182">
        <f t="shared" ca="1" si="434"/>
        <v>0</v>
      </c>
      <c r="CC104" s="387"/>
      <c r="CD104" s="56"/>
      <c r="CE104" s="56"/>
      <c r="CF104" s="56">
        <f ca="1">'Calc - SENIOR PERS'!$Q$40/3*0.5</f>
        <v>0</v>
      </c>
      <c r="CG104" s="1183">
        <f ca="1">'Calc - SENIOR PERS'!$Q$40/3*2.5</f>
        <v>0</v>
      </c>
      <c r="CH104" s="1184"/>
      <c r="CI104" s="1185"/>
      <c r="CJ104" s="1185"/>
      <c r="CK104" s="1185">
        <f ca="1">'Calc - SENIOR PERS'!$Q$41/3*0.5</f>
        <v>0</v>
      </c>
      <c r="CL104" s="1186">
        <f ca="1">'Calc - SENIOR PERS'!$Q$41/3*2.5</f>
        <v>0</v>
      </c>
      <c r="CM104" s="1187"/>
      <c r="CN104" s="1188"/>
      <c r="CO104" s="1189"/>
      <c r="CP104" s="1234">
        <f t="shared" ca="1" si="371"/>
        <v>0</v>
      </c>
      <c r="CS104" s="575"/>
      <c r="CT104" s="5"/>
      <c r="CU104" s="1180"/>
      <c r="CV104" s="575"/>
      <c r="CW104" s="5"/>
      <c r="CX104" s="1249"/>
      <c r="CY104" s="575"/>
      <c r="CZ104" s="5"/>
      <c r="DA104" s="1180"/>
      <c r="DB104" s="575"/>
      <c r="DC104" s="5"/>
      <c r="DD104" s="1180"/>
      <c r="DE104" s="1181">
        <f t="shared" si="372"/>
        <v>0</v>
      </c>
      <c r="DG104" s="575"/>
      <c r="DH104" s="5"/>
      <c r="DI104" s="1180"/>
      <c r="DJ104" s="575"/>
      <c r="DK104" s="5"/>
      <c r="DL104" s="1249"/>
      <c r="DM104" s="575"/>
      <c r="DN104" s="5"/>
      <c r="DO104" s="1180"/>
      <c r="DP104" s="575"/>
      <c r="DQ104" s="5"/>
      <c r="DR104" s="1180"/>
      <c r="DS104" s="1181">
        <f t="shared" si="373"/>
        <v>0</v>
      </c>
      <c r="DU104" s="575"/>
      <c r="DV104" s="5"/>
      <c r="DW104" s="1180"/>
      <c r="DX104" s="575"/>
      <c r="DY104" s="5"/>
      <c r="DZ104" s="1249"/>
      <c r="EA104" s="575"/>
      <c r="EB104" s="5"/>
      <c r="EC104" s="1180"/>
      <c r="ED104" s="575"/>
      <c r="EE104" s="5"/>
      <c r="EF104" s="1180"/>
      <c r="EG104" s="1181">
        <f t="shared" si="374"/>
        <v>0</v>
      </c>
      <c r="EI104" s="403"/>
      <c r="EJ104" s="3226"/>
      <c r="EK104" s="92">
        <f t="shared" ca="1" si="375"/>
        <v>0</v>
      </c>
      <c r="EL104" s="5">
        <f t="shared" ca="1" si="376"/>
        <v>0</v>
      </c>
      <c r="EM104" s="5">
        <f t="shared" ca="1" si="377"/>
        <v>0</v>
      </c>
      <c r="EN104" s="5">
        <f t="shared" ca="1" si="378"/>
        <v>0</v>
      </c>
      <c r="EO104" s="5">
        <f t="shared" ca="1" si="379"/>
        <v>0</v>
      </c>
      <c r="EP104" s="5">
        <f t="shared" ca="1" si="380"/>
        <v>0</v>
      </c>
      <c r="EQ104" s="5">
        <f t="shared" ca="1" si="381"/>
        <v>0</v>
      </c>
      <c r="ER104" s="88">
        <f t="shared" ca="1" si="382"/>
        <v>0</v>
      </c>
      <c r="ES104" s="4"/>
      <c r="ET104" s="4"/>
      <c r="EU104" s="4"/>
      <c r="EV104" s="5">
        <f t="shared" si="383"/>
        <v>0</v>
      </c>
      <c r="EW104" s="5">
        <f t="shared" si="384"/>
        <v>0</v>
      </c>
      <c r="EX104" s="5">
        <f t="shared" si="385"/>
        <v>0</v>
      </c>
      <c r="EY104" s="5">
        <f t="shared" si="386"/>
        <v>0</v>
      </c>
      <c r="EZ104" s="5">
        <f t="shared" si="387"/>
        <v>0</v>
      </c>
      <c r="FA104" s="5">
        <f t="shared" si="388"/>
        <v>0</v>
      </c>
      <c r="FB104" s="164">
        <f t="shared" si="389"/>
        <v>0</v>
      </c>
      <c r="FC104" s="1"/>
      <c r="FD104" s="5">
        <f t="shared" si="390"/>
        <v>0</v>
      </c>
      <c r="FE104" s="5">
        <f t="shared" si="391"/>
        <v>0</v>
      </c>
      <c r="FF104" s="5">
        <f t="shared" si="392"/>
        <v>0</v>
      </c>
      <c r="FG104" s="5">
        <f t="shared" si="393"/>
        <v>0</v>
      </c>
      <c r="FH104" s="5">
        <f t="shared" si="394"/>
        <v>0</v>
      </c>
      <c r="FI104" s="5">
        <f t="shared" si="395"/>
        <v>0</v>
      </c>
      <c r="FJ104" s="138">
        <f t="shared" si="396"/>
        <v>0</v>
      </c>
      <c r="FL104" s="5">
        <f t="shared" si="397"/>
        <v>0</v>
      </c>
      <c r="FM104" s="5">
        <f t="shared" si="398"/>
        <v>0</v>
      </c>
      <c r="FN104" s="5">
        <f t="shared" si="399"/>
        <v>0</v>
      </c>
      <c r="FO104" s="5">
        <f t="shared" si="400"/>
        <v>0</v>
      </c>
      <c r="FP104" s="5">
        <f t="shared" si="401"/>
        <v>0</v>
      </c>
      <c r="FQ104" s="5">
        <f t="shared" si="402"/>
        <v>0</v>
      </c>
      <c r="FR104" s="206">
        <f t="shared" si="403"/>
        <v>0</v>
      </c>
      <c r="FT104" s="5">
        <f t="shared" si="404"/>
        <v>0</v>
      </c>
      <c r="FU104" s="5">
        <f t="shared" si="405"/>
        <v>0</v>
      </c>
      <c r="FV104" s="5">
        <f t="shared" si="406"/>
        <v>0</v>
      </c>
      <c r="FW104" s="5">
        <f t="shared" si="407"/>
        <v>0</v>
      </c>
      <c r="FX104" s="5">
        <f t="shared" si="408"/>
        <v>0</v>
      </c>
      <c r="FY104" s="5">
        <f t="shared" si="409"/>
        <v>0</v>
      </c>
      <c r="FZ104" s="178">
        <f t="shared" si="410"/>
        <v>0</v>
      </c>
      <c r="GB104" s="5">
        <f t="shared" si="411"/>
        <v>0</v>
      </c>
      <c r="GC104" s="5">
        <f t="shared" si="412"/>
        <v>0</v>
      </c>
      <c r="GD104" s="5">
        <f t="shared" si="413"/>
        <v>0</v>
      </c>
      <c r="GE104" s="5">
        <f t="shared" si="414"/>
        <v>0</v>
      </c>
      <c r="GF104" s="5">
        <f t="shared" si="415"/>
        <v>0</v>
      </c>
      <c r="GG104" s="5">
        <f t="shared" si="416"/>
        <v>0</v>
      </c>
      <c r="GH104" s="150">
        <f t="shared" si="417"/>
        <v>0</v>
      </c>
      <c r="GJ104" s="5">
        <f t="shared" si="418"/>
        <v>0</v>
      </c>
      <c r="GK104" s="5">
        <f t="shared" si="419"/>
        <v>0</v>
      </c>
      <c r="GL104" s="5">
        <f t="shared" si="420"/>
        <v>0</v>
      </c>
      <c r="GM104" s="5">
        <f t="shared" si="421"/>
        <v>0</v>
      </c>
      <c r="GN104" s="5">
        <f t="shared" si="422"/>
        <v>0</v>
      </c>
      <c r="GO104" s="5">
        <f t="shared" si="423"/>
        <v>0</v>
      </c>
      <c r="GP104" s="192">
        <f t="shared" si="424"/>
        <v>0</v>
      </c>
      <c r="GR104" s="5"/>
      <c r="GS104" s="5"/>
      <c r="GT104" s="5"/>
      <c r="GU104" s="5"/>
      <c r="GV104" s="5"/>
      <c r="GW104" s="5"/>
      <c r="GX104" s="1102">
        <f t="shared" si="425"/>
        <v>0</v>
      </c>
      <c r="GZ104" s="572">
        <f t="shared" si="426"/>
        <v>0</v>
      </c>
      <c r="HA104" s="572">
        <f t="shared" si="427"/>
        <v>0</v>
      </c>
      <c r="HB104" s="572">
        <f t="shared" si="428"/>
        <v>0</v>
      </c>
      <c r="HC104" s="572">
        <f t="shared" si="429"/>
        <v>0</v>
      </c>
      <c r="HD104" s="572">
        <f t="shared" si="430"/>
        <v>0</v>
      </c>
      <c r="HE104" s="572">
        <f t="shared" si="431"/>
        <v>0</v>
      </c>
      <c r="HF104" s="989">
        <f t="shared" si="432"/>
        <v>0</v>
      </c>
      <c r="HG104" s="573">
        <f t="shared" ca="1" si="433"/>
        <v>0</v>
      </c>
      <c r="HH104" s="257"/>
    </row>
    <row r="105" spans="1:216" ht="15" hidden="1" customHeight="1" x14ac:dyDescent="0.25">
      <c r="A105" s="403"/>
      <c r="B105" s="3226"/>
      <c r="C105" s="92">
        <f ca="1">'Calc - SENIOR PERS'!$B$48</f>
        <v>0</v>
      </c>
      <c r="D105" s="5">
        <f ca="1">'Calc - SENIOR PERS'!$Q$53</f>
        <v>0</v>
      </c>
      <c r="E105" s="5">
        <f ca="1">'Calc - SENIOR PERS'!$Q$54</f>
        <v>0</v>
      </c>
      <c r="F105" s="5">
        <f ca="1">'Calc - SENIOR PERS'!$Q$55</f>
        <v>0</v>
      </c>
      <c r="G105" s="5">
        <f ca="1">'Calc - SENIOR PERS'!$Q$56</f>
        <v>0</v>
      </c>
      <c r="H105" s="5">
        <f ca="1">'Calc - SENIOR PERS'!$Q$57</f>
        <v>0</v>
      </c>
      <c r="I105" s="5">
        <f ca="1">'Calc - SENIOR PERS'!$Q$58</f>
        <v>0</v>
      </c>
      <c r="J105" s="88">
        <f t="shared" ca="1" si="355"/>
        <v>0</v>
      </c>
      <c r="K105" s="4"/>
      <c r="L105" s="4"/>
      <c r="M105" s="4"/>
      <c r="N105" s="5"/>
      <c r="O105" s="5"/>
      <c r="P105" s="5"/>
      <c r="Q105" s="5"/>
      <c r="R105" s="5"/>
      <c r="S105" s="5"/>
      <c r="T105" s="164">
        <f t="shared" si="356"/>
        <v>0</v>
      </c>
      <c r="U105" s="1"/>
      <c r="V105" s="5"/>
      <c r="W105" s="5"/>
      <c r="X105" s="5"/>
      <c r="Y105" s="5"/>
      <c r="Z105" s="5"/>
      <c r="AA105" s="5"/>
      <c r="AB105" s="138">
        <f t="shared" si="357"/>
        <v>0</v>
      </c>
      <c r="AD105" s="5"/>
      <c r="AE105" s="5"/>
      <c r="AF105" s="5"/>
      <c r="AG105" s="5"/>
      <c r="AH105" s="5"/>
      <c r="AI105" s="5"/>
      <c r="AJ105" s="206">
        <f t="shared" si="358"/>
        <v>0</v>
      </c>
      <c r="AL105" s="5"/>
      <c r="AM105" s="5"/>
      <c r="AN105" s="5"/>
      <c r="AO105" s="5"/>
      <c r="AP105" s="5"/>
      <c r="AQ105" s="5"/>
      <c r="AR105" s="178">
        <f t="shared" si="359"/>
        <v>0</v>
      </c>
      <c r="AT105" s="5"/>
      <c r="AU105" s="5"/>
      <c r="AV105" s="5"/>
      <c r="AW105" s="5"/>
      <c r="AX105" s="5"/>
      <c r="AY105" s="5"/>
      <c r="AZ105" s="150">
        <f t="shared" si="360"/>
        <v>0</v>
      </c>
      <c r="BB105" s="5"/>
      <c r="BC105" s="5"/>
      <c r="BD105" s="5"/>
      <c r="BE105" s="5"/>
      <c r="BF105" s="5"/>
      <c r="BG105" s="5"/>
      <c r="BH105" s="192">
        <f t="shared" si="361"/>
        <v>0</v>
      </c>
      <c r="BJ105" s="5"/>
      <c r="BK105" s="5"/>
      <c r="BL105" s="5"/>
      <c r="BM105" s="5"/>
      <c r="BN105" s="5"/>
      <c r="BO105" s="5"/>
      <c r="BP105" s="1102">
        <f t="shared" si="362"/>
        <v>0</v>
      </c>
      <c r="BR105" s="572">
        <f t="shared" si="363"/>
        <v>0</v>
      </c>
      <c r="BS105" s="572">
        <f t="shared" si="364"/>
        <v>0</v>
      </c>
      <c r="BT105" s="572">
        <f t="shared" si="365"/>
        <v>0</v>
      </c>
      <c r="BU105" s="572">
        <f t="shared" si="366"/>
        <v>0</v>
      </c>
      <c r="BV105" s="572">
        <f t="shared" si="367"/>
        <v>0</v>
      </c>
      <c r="BW105" s="572">
        <f t="shared" si="368"/>
        <v>0</v>
      </c>
      <c r="BX105" s="989">
        <f t="shared" si="369"/>
        <v>0</v>
      </c>
      <c r="BY105" s="573">
        <f t="shared" ca="1" si="370"/>
        <v>0</v>
      </c>
      <c r="BZ105" s="257"/>
      <c r="CB105" s="1182">
        <f t="shared" ca="1" si="434"/>
        <v>0</v>
      </c>
      <c r="CC105" s="387"/>
      <c r="CD105" s="56"/>
      <c r="CE105" s="56"/>
      <c r="CF105" s="56">
        <f ca="1">'Calc - SENIOR PERS'!$Q$54/3*0.5</f>
        <v>0</v>
      </c>
      <c r="CG105" s="56">
        <f ca="1">'Calc - SENIOR PERS'!$Q$54/3*2.5</f>
        <v>0</v>
      </c>
      <c r="CH105" s="1184"/>
      <c r="CI105" s="1185"/>
      <c r="CJ105" s="1185"/>
      <c r="CK105" s="1185">
        <f ca="1">'Calc - SENIOR PERS'!$Q$55/3*0.5</f>
        <v>0</v>
      </c>
      <c r="CL105" s="1186">
        <f ca="1">'Calc - SENIOR PERS'!$Q$55/3*2.5</f>
        <v>0</v>
      </c>
      <c r="CM105" s="1187"/>
      <c r="CN105" s="1188"/>
      <c r="CO105" s="1189"/>
      <c r="CP105" s="1234">
        <f t="shared" ca="1" si="371"/>
        <v>0</v>
      </c>
      <c r="CS105" s="575"/>
      <c r="CT105" s="5"/>
      <c r="CU105" s="1180"/>
      <c r="CV105" s="575"/>
      <c r="CW105" s="5"/>
      <c r="CX105" s="1249"/>
      <c r="CY105" s="575"/>
      <c r="CZ105" s="5"/>
      <c r="DA105" s="1180"/>
      <c r="DB105" s="575"/>
      <c r="DC105" s="5"/>
      <c r="DD105" s="1180"/>
      <c r="DE105" s="1181">
        <f t="shared" si="372"/>
        <v>0</v>
      </c>
      <c r="DG105" s="575"/>
      <c r="DH105" s="5"/>
      <c r="DI105" s="1180"/>
      <c r="DJ105" s="575"/>
      <c r="DK105" s="5"/>
      <c r="DL105" s="1249"/>
      <c r="DM105" s="575"/>
      <c r="DN105" s="5"/>
      <c r="DO105" s="1180"/>
      <c r="DP105" s="575"/>
      <c r="DQ105" s="5"/>
      <c r="DR105" s="1180"/>
      <c r="DS105" s="1181">
        <f t="shared" si="373"/>
        <v>0</v>
      </c>
      <c r="DU105" s="575"/>
      <c r="DV105" s="5"/>
      <c r="DW105" s="1180"/>
      <c r="DX105" s="575"/>
      <c r="DY105" s="5"/>
      <c r="DZ105" s="1249"/>
      <c r="EA105" s="575"/>
      <c r="EB105" s="5"/>
      <c r="EC105" s="1180"/>
      <c r="ED105" s="575"/>
      <c r="EE105" s="5"/>
      <c r="EF105" s="1180"/>
      <c r="EG105" s="1181">
        <f t="shared" si="374"/>
        <v>0</v>
      </c>
      <c r="EI105" s="403"/>
      <c r="EJ105" s="3226"/>
      <c r="EK105" s="92">
        <f t="shared" ca="1" si="375"/>
        <v>0</v>
      </c>
      <c r="EL105" s="5">
        <f t="shared" ca="1" si="376"/>
        <v>0</v>
      </c>
      <c r="EM105" s="5">
        <f t="shared" ca="1" si="377"/>
        <v>0</v>
      </c>
      <c r="EN105" s="5">
        <f t="shared" ca="1" si="378"/>
        <v>0</v>
      </c>
      <c r="EO105" s="5">
        <f t="shared" ca="1" si="379"/>
        <v>0</v>
      </c>
      <c r="EP105" s="5">
        <f t="shared" ca="1" si="380"/>
        <v>0</v>
      </c>
      <c r="EQ105" s="5">
        <f t="shared" ca="1" si="381"/>
        <v>0</v>
      </c>
      <c r="ER105" s="88">
        <f t="shared" ca="1" si="382"/>
        <v>0</v>
      </c>
      <c r="ES105" s="4"/>
      <c r="ET105" s="4"/>
      <c r="EU105" s="4"/>
      <c r="EV105" s="5">
        <f t="shared" si="383"/>
        <v>0</v>
      </c>
      <c r="EW105" s="5">
        <f t="shared" si="384"/>
        <v>0</v>
      </c>
      <c r="EX105" s="5">
        <f t="shared" si="385"/>
        <v>0</v>
      </c>
      <c r="EY105" s="5">
        <f t="shared" si="386"/>
        <v>0</v>
      </c>
      <c r="EZ105" s="5">
        <f t="shared" si="387"/>
        <v>0</v>
      </c>
      <c r="FA105" s="5">
        <f t="shared" si="388"/>
        <v>0</v>
      </c>
      <c r="FB105" s="164">
        <f t="shared" si="389"/>
        <v>0</v>
      </c>
      <c r="FC105" s="1"/>
      <c r="FD105" s="5">
        <f t="shared" si="390"/>
        <v>0</v>
      </c>
      <c r="FE105" s="5">
        <f t="shared" si="391"/>
        <v>0</v>
      </c>
      <c r="FF105" s="5">
        <f t="shared" si="392"/>
        <v>0</v>
      </c>
      <c r="FG105" s="5">
        <f t="shared" si="393"/>
        <v>0</v>
      </c>
      <c r="FH105" s="5">
        <f t="shared" si="394"/>
        <v>0</v>
      </c>
      <c r="FI105" s="5">
        <f t="shared" si="395"/>
        <v>0</v>
      </c>
      <c r="FJ105" s="138">
        <f t="shared" si="396"/>
        <v>0</v>
      </c>
      <c r="FL105" s="5">
        <f t="shared" si="397"/>
        <v>0</v>
      </c>
      <c r="FM105" s="5">
        <f t="shared" si="398"/>
        <v>0</v>
      </c>
      <c r="FN105" s="5">
        <f t="shared" si="399"/>
        <v>0</v>
      </c>
      <c r="FO105" s="5">
        <f t="shared" si="400"/>
        <v>0</v>
      </c>
      <c r="FP105" s="5">
        <f t="shared" si="401"/>
        <v>0</v>
      </c>
      <c r="FQ105" s="5">
        <f t="shared" si="402"/>
        <v>0</v>
      </c>
      <c r="FR105" s="206">
        <f t="shared" si="403"/>
        <v>0</v>
      </c>
      <c r="FT105" s="5">
        <f t="shared" si="404"/>
        <v>0</v>
      </c>
      <c r="FU105" s="5">
        <f t="shared" si="405"/>
        <v>0</v>
      </c>
      <c r="FV105" s="5">
        <f t="shared" si="406"/>
        <v>0</v>
      </c>
      <c r="FW105" s="5">
        <f t="shared" si="407"/>
        <v>0</v>
      </c>
      <c r="FX105" s="5">
        <f t="shared" si="408"/>
        <v>0</v>
      </c>
      <c r="FY105" s="5">
        <f t="shared" si="409"/>
        <v>0</v>
      </c>
      <c r="FZ105" s="178">
        <f t="shared" si="410"/>
        <v>0</v>
      </c>
      <c r="GB105" s="5">
        <f t="shared" si="411"/>
        <v>0</v>
      </c>
      <c r="GC105" s="5">
        <f t="shared" si="412"/>
        <v>0</v>
      </c>
      <c r="GD105" s="5">
        <f t="shared" si="413"/>
        <v>0</v>
      </c>
      <c r="GE105" s="5">
        <f t="shared" si="414"/>
        <v>0</v>
      </c>
      <c r="GF105" s="5">
        <f t="shared" si="415"/>
        <v>0</v>
      </c>
      <c r="GG105" s="5">
        <f t="shared" si="416"/>
        <v>0</v>
      </c>
      <c r="GH105" s="150">
        <f t="shared" si="417"/>
        <v>0</v>
      </c>
      <c r="GJ105" s="5">
        <f t="shared" si="418"/>
        <v>0</v>
      </c>
      <c r="GK105" s="5">
        <f t="shared" si="419"/>
        <v>0</v>
      </c>
      <c r="GL105" s="5">
        <f t="shared" si="420"/>
        <v>0</v>
      </c>
      <c r="GM105" s="5">
        <f t="shared" si="421"/>
        <v>0</v>
      </c>
      <c r="GN105" s="5">
        <f t="shared" si="422"/>
        <v>0</v>
      </c>
      <c r="GO105" s="5">
        <f t="shared" si="423"/>
        <v>0</v>
      </c>
      <c r="GP105" s="192">
        <f t="shared" si="424"/>
        <v>0</v>
      </c>
      <c r="GR105" s="5"/>
      <c r="GS105" s="5"/>
      <c r="GT105" s="5"/>
      <c r="GU105" s="5"/>
      <c r="GV105" s="5"/>
      <c r="GW105" s="5"/>
      <c r="GX105" s="1102">
        <f t="shared" si="425"/>
        <v>0</v>
      </c>
      <c r="GZ105" s="572">
        <f t="shared" si="426"/>
        <v>0</v>
      </c>
      <c r="HA105" s="572">
        <f t="shared" si="427"/>
        <v>0</v>
      </c>
      <c r="HB105" s="572">
        <f t="shared" si="428"/>
        <v>0</v>
      </c>
      <c r="HC105" s="572">
        <f t="shared" si="429"/>
        <v>0</v>
      </c>
      <c r="HD105" s="572">
        <f t="shared" si="430"/>
        <v>0</v>
      </c>
      <c r="HE105" s="572">
        <f t="shared" si="431"/>
        <v>0</v>
      </c>
      <c r="HF105" s="989">
        <f t="shared" si="432"/>
        <v>0</v>
      </c>
      <c r="HG105" s="573">
        <f t="shared" ca="1" si="433"/>
        <v>0</v>
      </c>
      <c r="HH105" s="257"/>
    </row>
    <row r="106" spans="1:216" ht="15" hidden="1" customHeight="1" x14ac:dyDescent="0.25">
      <c r="A106" s="403"/>
      <c r="B106" s="3226"/>
      <c r="C106" s="92">
        <f ca="1">'Calc - SENIOR PERS'!$B$62</f>
        <v>0</v>
      </c>
      <c r="D106" s="5">
        <f ca="1">'Calc - SENIOR PERS'!$Q$67</f>
        <v>0</v>
      </c>
      <c r="E106" s="5">
        <f ca="1">'Calc - SENIOR PERS'!$Q$68</f>
        <v>0</v>
      </c>
      <c r="F106" s="5">
        <f ca="1">'Calc - SENIOR PERS'!$Q$69</f>
        <v>0</v>
      </c>
      <c r="G106" s="5">
        <f ca="1">'Calc - SENIOR PERS'!$Q$70</f>
        <v>0</v>
      </c>
      <c r="H106" s="5">
        <f ca="1">'Calc - SENIOR PERS'!$Q$71</f>
        <v>0</v>
      </c>
      <c r="I106" s="5">
        <f ca="1">'Calc - SENIOR PERS'!$Q$72</f>
        <v>0</v>
      </c>
      <c r="J106" s="88">
        <f t="shared" ca="1" si="355"/>
        <v>0</v>
      </c>
      <c r="K106" s="4"/>
      <c r="L106" s="4"/>
      <c r="M106" s="4"/>
      <c r="N106" s="5"/>
      <c r="O106" s="5"/>
      <c r="P106" s="5"/>
      <c r="Q106" s="5"/>
      <c r="R106" s="5"/>
      <c r="S106" s="5"/>
      <c r="T106" s="164">
        <f t="shared" si="356"/>
        <v>0</v>
      </c>
      <c r="U106" s="1"/>
      <c r="V106" s="5"/>
      <c r="W106" s="5"/>
      <c r="X106" s="5"/>
      <c r="Y106" s="5"/>
      <c r="Z106" s="5"/>
      <c r="AA106" s="5"/>
      <c r="AB106" s="138">
        <f t="shared" si="357"/>
        <v>0</v>
      </c>
      <c r="AD106" s="5"/>
      <c r="AE106" s="5"/>
      <c r="AF106" s="5"/>
      <c r="AG106" s="5"/>
      <c r="AH106" s="5"/>
      <c r="AI106" s="5"/>
      <c r="AJ106" s="206">
        <f t="shared" si="358"/>
        <v>0</v>
      </c>
      <c r="AL106" s="5"/>
      <c r="AM106" s="5"/>
      <c r="AN106" s="5"/>
      <c r="AO106" s="5"/>
      <c r="AP106" s="5"/>
      <c r="AQ106" s="5"/>
      <c r="AR106" s="178">
        <f t="shared" si="359"/>
        <v>0</v>
      </c>
      <c r="AT106" s="5"/>
      <c r="AU106" s="5"/>
      <c r="AV106" s="5"/>
      <c r="AW106" s="5"/>
      <c r="AX106" s="5"/>
      <c r="AY106" s="5"/>
      <c r="AZ106" s="150">
        <f t="shared" si="360"/>
        <v>0</v>
      </c>
      <c r="BB106" s="5"/>
      <c r="BC106" s="5"/>
      <c r="BD106" s="5"/>
      <c r="BE106" s="5"/>
      <c r="BF106" s="5"/>
      <c r="BG106" s="5"/>
      <c r="BH106" s="192">
        <f t="shared" si="361"/>
        <v>0</v>
      </c>
      <c r="BJ106" s="5"/>
      <c r="BK106" s="5"/>
      <c r="BL106" s="5"/>
      <c r="BM106" s="5"/>
      <c r="BN106" s="5"/>
      <c r="BO106" s="5"/>
      <c r="BP106" s="1102">
        <f t="shared" si="362"/>
        <v>0</v>
      </c>
      <c r="BR106" s="572">
        <f t="shared" si="363"/>
        <v>0</v>
      </c>
      <c r="BS106" s="572">
        <f t="shared" si="364"/>
        <v>0</v>
      </c>
      <c r="BT106" s="572">
        <f t="shared" si="365"/>
        <v>0</v>
      </c>
      <c r="BU106" s="572">
        <f t="shared" si="366"/>
        <v>0</v>
      </c>
      <c r="BV106" s="572">
        <f t="shared" si="367"/>
        <v>0</v>
      </c>
      <c r="BW106" s="572">
        <f t="shared" si="368"/>
        <v>0</v>
      </c>
      <c r="BX106" s="989">
        <f t="shared" si="369"/>
        <v>0</v>
      </c>
      <c r="BY106" s="573">
        <f t="shared" ca="1" si="370"/>
        <v>0</v>
      </c>
      <c r="BZ106" s="257"/>
      <c r="CB106" s="1182">
        <f t="shared" ca="1" si="434"/>
        <v>0</v>
      </c>
      <c r="CC106" s="387"/>
      <c r="CD106" s="56"/>
      <c r="CE106" s="56"/>
      <c r="CF106" s="56">
        <f ca="1">'Calc - SENIOR PERS'!$Q$68/3*0.5</f>
        <v>0</v>
      </c>
      <c r="CG106" s="1183">
        <f ca="1">'Calc - SENIOR PERS'!$Q$68/3*2.5</f>
        <v>0</v>
      </c>
      <c r="CH106" s="1184"/>
      <c r="CI106" s="1185"/>
      <c r="CJ106" s="1185"/>
      <c r="CK106" s="1185">
        <f ca="1">'Calc - SENIOR PERS'!$Q$69/3*0.5</f>
        <v>0</v>
      </c>
      <c r="CL106" s="1186">
        <f ca="1">'Calc - SENIOR PERS'!$Q$69/3*2.5</f>
        <v>0</v>
      </c>
      <c r="CM106" s="1187"/>
      <c r="CN106" s="1188"/>
      <c r="CO106" s="1189"/>
      <c r="CP106" s="1234">
        <f t="shared" ca="1" si="371"/>
        <v>0</v>
      </c>
      <c r="CS106" s="575"/>
      <c r="CT106" s="5"/>
      <c r="CU106" s="1180"/>
      <c r="CV106" s="575"/>
      <c r="CW106" s="5"/>
      <c r="CX106" s="1249"/>
      <c r="CY106" s="575"/>
      <c r="CZ106" s="5"/>
      <c r="DA106" s="1180"/>
      <c r="DB106" s="575"/>
      <c r="DC106" s="5"/>
      <c r="DD106" s="1180"/>
      <c r="DE106" s="1181">
        <f t="shared" si="372"/>
        <v>0</v>
      </c>
      <c r="DG106" s="575"/>
      <c r="DH106" s="5"/>
      <c r="DI106" s="1180"/>
      <c r="DJ106" s="575"/>
      <c r="DK106" s="5"/>
      <c r="DL106" s="1249"/>
      <c r="DM106" s="575"/>
      <c r="DN106" s="5"/>
      <c r="DO106" s="1180"/>
      <c r="DP106" s="575"/>
      <c r="DQ106" s="5"/>
      <c r="DR106" s="1180"/>
      <c r="DS106" s="1181">
        <f t="shared" si="373"/>
        <v>0</v>
      </c>
      <c r="DU106" s="575"/>
      <c r="DV106" s="5"/>
      <c r="DW106" s="1180"/>
      <c r="DX106" s="575"/>
      <c r="DY106" s="5"/>
      <c r="DZ106" s="1249"/>
      <c r="EA106" s="575"/>
      <c r="EB106" s="5"/>
      <c r="EC106" s="1180"/>
      <c r="ED106" s="575"/>
      <c r="EE106" s="5"/>
      <c r="EF106" s="1180"/>
      <c r="EG106" s="1181">
        <f t="shared" si="374"/>
        <v>0</v>
      </c>
      <c r="EI106" s="403"/>
      <c r="EJ106" s="3226"/>
      <c r="EK106" s="92">
        <f t="shared" ca="1" si="375"/>
        <v>0</v>
      </c>
      <c r="EL106" s="5">
        <f t="shared" ca="1" si="376"/>
        <v>0</v>
      </c>
      <c r="EM106" s="5">
        <f t="shared" ca="1" si="377"/>
        <v>0</v>
      </c>
      <c r="EN106" s="5">
        <f t="shared" ca="1" si="378"/>
        <v>0</v>
      </c>
      <c r="EO106" s="5">
        <f t="shared" ca="1" si="379"/>
        <v>0</v>
      </c>
      <c r="EP106" s="5">
        <f t="shared" ca="1" si="380"/>
        <v>0</v>
      </c>
      <c r="EQ106" s="5">
        <f t="shared" ca="1" si="381"/>
        <v>0</v>
      </c>
      <c r="ER106" s="88">
        <f t="shared" ca="1" si="382"/>
        <v>0</v>
      </c>
      <c r="ES106" s="4"/>
      <c r="ET106" s="4"/>
      <c r="EU106" s="4"/>
      <c r="EV106" s="5">
        <f t="shared" si="383"/>
        <v>0</v>
      </c>
      <c r="EW106" s="5">
        <f t="shared" si="384"/>
        <v>0</v>
      </c>
      <c r="EX106" s="5">
        <f t="shared" si="385"/>
        <v>0</v>
      </c>
      <c r="EY106" s="5">
        <f t="shared" si="386"/>
        <v>0</v>
      </c>
      <c r="EZ106" s="5">
        <f t="shared" si="387"/>
        <v>0</v>
      </c>
      <c r="FA106" s="5">
        <f t="shared" si="388"/>
        <v>0</v>
      </c>
      <c r="FB106" s="164">
        <f t="shared" si="389"/>
        <v>0</v>
      </c>
      <c r="FC106" s="1"/>
      <c r="FD106" s="5">
        <f t="shared" si="390"/>
        <v>0</v>
      </c>
      <c r="FE106" s="5">
        <f t="shared" si="391"/>
        <v>0</v>
      </c>
      <c r="FF106" s="5">
        <f t="shared" si="392"/>
        <v>0</v>
      </c>
      <c r="FG106" s="5">
        <f t="shared" si="393"/>
        <v>0</v>
      </c>
      <c r="FH106" s="5">
        <f t="shared" si="394"/>
        <v>0</v>
      </c>
      <c r="FI106" s="5">
        <f t="shared" si="395"/>
        <v>0</v>
      </c>
      <c r="FJ106" s="138">
        <f t="shared" si="396"/>
        <v>0</v>
      </c>
      <c r="FL106" s="5">
        <f t="shared" si="397"/>
        <v>0</v>
      </c>
      <c r="FM106" s="5">
        <f t="shared" si="398"/>
        <v>0</v>
      </c>
      <c r="FN106" s="5">
        <f t="shared" si="399"/>
        <v>0</v>
      </c>
      <c r="FO106" s="5">
        <f t="shared" si="400"/>
        <v>0</v>
      </c>
      <c r="FP106" s="5">
        <f t="shared" si="401"/>
        <v>0</v>
      </c>
      <c r="FQ106" s="5">
        <f t="shared" si="402"/>
        <v>0</v>
      </c>
      <c r="FR106" s="206">
        <f t="shared" si="403"/>
        <v>0</v>
      </c>
      <c r="FT106" s="5">
        <f t="shared" si="404"/>
        <v>0</v>
      </c>
      <c r="FU106" s="5">
        <f t="shared" si="405"/>
        <v>0</v>
      </c>
      <c r="FV106" s="5">
        <f t="shared" si="406"/>
        <v>0</v>
      </c>
      <c r="FW106" s="5">
        <f t="shared" si="407"/>
        <v>0</v>
      </c>
      <c r="FX106" s="5">
        <f t="shared" si="408"/>
        <v>0</v>
      </c>
      <c r="FY106" s="5">
        <f t="shared" si="409"/>
        <v>0</v>
      </c>
      <c r="FZ106" s="178">
        <f t="shared" si="410"/>
        <v>0</v>
      </c>
      <c r="GB106" s="5">
        <f t="shared" si="411"/>
        <v>0</v>
      </c>
      <c r="GC106" s="5">
        <f t="shared" si="412"/>
        <v>0</v>
      </c>
      <c r="GD106" s="5">
        <f t="shared" si="413"/>
        <v>0</v>
      </c>
      <c r="GE106" s="5">
        <f t="shared" si="414"/>
        <v>0</v>
      </c>
      <c r="GF106" s="5">
        <f t="shared" si="415"/>
        <v>0</v>
      </c>
      <c r="GG106" s="5">
        <f t="shared" si="416"/>
        <v>0</v>
      </c>
      <c r="GH106" s="150">
        <f t="shared" si="417"/>
        <v>0</v>
      </c>
      <c r="GJ106" s="5">
        <f t="shared" si="418"/>
        <v>0</v>
      </c>
      <c r="GK106" s="5">
        <f t="shared" si="419"/>
        <v>0</v>
      </c>
      <c r="GL106" s="5">
        <f t="shared" si="420"/>
        <v>0</v>
      </c>
      <c r="GM106" s="5">
        <f t="shared" si="421"/>
        <v>0</v>
      </c>
      <c r="GN106" s="5">
        <f t="shared" si="422"/>
        <v>0</v>
      </c>
      <c r="GO106" s="5">
        <f t="shared" si="423"/>
        <v>0</v>
      </c>
      <c r="GP106" s="192">
        <f t="shared" si="424"/>
        <v>0</v>
      </c>
      <c r="GR106" s="5"/>
      <c r="GS106" s="5"/>
      <c r="GT106" s="5"/>
      <c r="GU106" s="5"/>
      <c r="GV106" s="5"/>
      <c r="GW106" s="5"/>
      <c r="GX106" s="1102">
        <f t="shared" si="425"/>
        <v>0</v>
      </c>
      <c r="GZ106" s="572">
        <f t="shared" si="426"/>
        <v>0</v>
      </c>
      <c r="HA106" s="572">
        <f t="shared" si="427"/>
        <v>0</v>
      </c>
      <c r="HB106" s="572">
        <f t="shared" si="428"/>
        <v>0</v>
      </c>
      <c r="HC106" s="572">
        <f t="shared" si="429"/>
        <v>0</v>
      </c>
      <c r="HD106" s="572">
        <f t="shared" si="430"/>
        <v>0</v>
      </c>
      <c r="HE106" s="572">
        <f t="shared" si="431"/>
        <v>0</v>
      </c>
      <c r="HF106" s="989">
        <f t="shared" si="432"/>
        <v>0</v>
      </c>
      <c r="HG106" s="573">
        <f t="shared" ca="1" si="433"/>
        <v>0</v>
      </c>
      <c r="HH106" s="257"/>
    </row>
    <row r="107" spans="1:216" ht="15" hidden="1" customHeight="1" x14ac:dyDescent="0.25">
      <c r="A107" s="403"/>
      <c r="B107" s="3226"/>
      <c r="C107" s="92">
        <f ca="1">'Calc - SENIOR PERS'!$B$76</f>
        <v>0</v>
      </c>
      <c r="D107" s="5">
        <f ca="1">'Calc - SENIOR PERS'!$Q$81</f>
        <v>0</v>
      </c>
      <c r="E107" s="5">
        <f ca="1">'Calc - SENIOR PERS'!$Q$82</f>
        <v>0</v>
      </c>
      <c r="F107" s="5">
        <f ca="1">'Calc - SENIOR PERS'!$Q$83</f>
        <v>0</v>
      </c>
      <c r="G107" s="5">
        <f ca="1">'Calc - SENIOR PERS'!$Q$84</f>
        <v>0</v>
      </c>
      <c r="H107" s="5">
        <f ca="1">'Calc - SENIOR PERS'!$Q$85</f>
        <v>0</v>
      </c>
      <c r="I107" s="5">
        <f ca="1">'Calc - SENIOR PERS'!$Q$86</f>
        <v>0</v>
      </c>
      <c r="J107" s="88">
        <f t="shared" ca="1" si="355"/>
        <v>0</v>
      </c>
      <c r="K107" s="4"/>
      <c r="L107" s="4"/>
      <c r="M107" s="4"/>
      <c r="N107" s="5"/>
      <c r="O107" s="5"/>
      <c r="P107" s="5"/>
      <c r="Q107" s="5"/>
      <c r="R107" s="5"/>
      <c r="S107" s="5"/>
      <c r="T107" s="164">
        <f t="shared" si="356"/>
        <v>0</v>
      </c>
      <c r="U107" s="1"/>
      <c r="V107" s="5"/>
      <c r="W107" s="5"/>
      <c r="X107" s="5"/>
      <c r="Y107" s="5"/>
      <c r="Z107" s="5"/>
      <c r="AA107" s="5"/>
      <c r="AB107" s="138">
        <f t="shared" si="357"/>
        <v>0</v>
      </c>
      <c r="AD107" s="5"/>
      <c r="AE107" s="5"/>
      <c r="AF107" s="5"/>
      <c r="AG107" s="5"/>
      <c r="AH107" s="5"/>
      <c r="AI107" s="5"/>
      <c r="AJ107" s="206">
        <f t="shared" si="358"/>
        <v>0</v>
      </c>
      <c r="AL107" s="5"/>
      <c r="AM107" s="5"/>
      <c r="AN107" s="5"/>
      <c r="AO107" s="5"/>
      <c r="AP107" s="5"/>
      <c r="AQ107" s="5"/>
      <c r="AR107" s="178">
        <f t="shared" si="359"/>
        <v>0</v>
      </c>
      <c r="AT107" s="5"/>
      <c r="AU107" s="5"/>
      <c r="AV107" s="5"/>
      <c r="AW107" s="5"/>
      <c r="AX107" s="5"/>
      <c r="AY107" s="5"/>
      <c r="AZ107" s="150">
        <f t="shared" si="360"/>
        <v>0</v>
      </c>
      <c r="BB107" s="5"/>
      <c r="BC107" s="5"/>
      <c r="BD107" s="5"/>
      <c r="BE107" s="5"/>
      <c r="BF107" s="5"/>
      <c r="BG107" s="5"/>
      <c r="BH107" s="192">
        <f t="shared" si="361"/>
        <v>0</v>
      </c>
      <c r="BJ107" s="5"/>
      <c r="BK107" s="5"/>
      <c r="BL107" s="5"/>
      <c r="BM107" s="5"/>
      <c r="BN107" s="5"/>
      <c r="BO107" s="5"/>
      <c r="BP107" s="1102">
        <f t="shared" si="362"/>
        <v>0</v>
      </c>
      <c r="BR107" s="572">
        <f t="shared" si="363"/>
        <v>0</v>
      </c>
      <c r="BS107" s="572">
        <f t="shared" si="364"/>
        <v>0</v>
      </c>
      <c r="BT107" s="572">
        <f t="shared" si="365"/>
        <v>0</v>
      </c>
      <c r="BU107" s="572">
        <f t="shared" si="366"/>
        <v>0</v>
      </c>
      <c r="BV107" s="572">
        <f t="shared" si="367"/>
        <v>0</v>
      </c>
      <c r="BW107" s="572">
        <f t="shared" si="368"/>
        <v>0</v>
      </c>
      <c r="BX107" s="989">
        <f t="shared" si="369"/>
        <v>0</v>
      </c>
      <c r="BY107" s="573">
        <f t="shared" ca="1" si="370"/>
        <v>0</v>
      </c>
      <c r="BZ107" s="257"/>
      <c r="CB107" s="1182">
        <f t="shared" ca="1" si="434"/>
        <v>0</v>
      </c>
      <c r="CC107" s="387"/>
      <c r="CD107" s="56"/>
      <c r="CE107" s="56"/>
      <c r="CF107" s="56">
        <f ca="1">'Calc - SENIOR PERS'!$Q$82/3*0.5</f>
        <v>0</v>
      </c>
      <c r="CG107" s="1183">
        <f ca="1">'Calc - SENIOR PERS'!$Q$82/3*2.5</f>
        <v>0</v>
      </c>
      <c r="CH107" s="1184"/>
      <c r="CI107" s="1185"/>
      <c r="CJ107" s="1185"/>
      <c r="CK107" s="1185">
        <f ca="1">'Calc - SENIOR PERS'!$Q$83/3*0.5</f>
        <v>0</v>
      </c>
      <c r="CL107" s="1186">
        <f ca="1">'Calc - SENIOR PERS'!$Q$83/3*2.5</f>
        <v>0</v>
      </c>
      <c r="CM107" s="1187"/>
      <c r="CN107" s="1188"/>
      <c r="CO107" s="1189"/>
      <c r="CP107" s="1234">
        <f t="shared" ca="1" si="371"/>
        <v>0</v>
      </c>
      <c r="CS107" s="575"/>
      <c r="CT107" s="5"/>
      <c r="CU107" s="1180"/>
      <c r="CV107" s="575"/>
      <c r="CW107" s="5"/>
      <c r="CX107" s="1249"/>
      <c r="CY107" s="575"/>
      <c r="CZ107" s="5"/>
      <c r="DA107" s="1180"/>
      <c r="DB107" s="575"/>
      <c r="DC107" s="5"/>
      <c r="DD107" s="1180"/>
      <c r="DE107" s="1181">
        <f t="shared" si="372"/>
        <v>0</v>
      </c>
      <c r="DG107" s="575"/>
      <c r="DH107" s="5"/>
      <c r="DI107" s="1180"/>
      <c r="DJ107" s="575"/>
      <c r="DK107" s="5"/>
      <c r="DL107" s="1249"/>
      <c r="DM107" s="575"/>
      <c r="DN107" s="5"/>
      <c r="DO107" s="1180"/>
      <c r="DP107" s="575"/>
      <c r="DQ107" s="5"/>
      <c r="DR107" s="1180"/>
      <c r="DS107" s="1181">
        <f t="shared" si="373"/>
        <v>0</v>
      </c>
      <c r="DU107" s="575"/>
      <c r="DV107" s="5"/>
      <c r="DW107" s="1180"/>
      <c r="DX107" s="575"/>
      <c r="DY107" s="5"/>
      <c r="DZ107" s="1249"/>
      <c r="EA107" s="575"/>
      <c r="EB107" s="5"/>
      <c r="EC107" s="1180"/>
      <c r="ED107" s="575"/>
      <c r="EE107" s="5"/>
      <c r="EF107" s="1180"/>
      <c r="EG107" s="1181">
        <f t="shared" si="374"/>
        <v>0</v>
      </c>
      <c r="EI107" s="403"/>
      <c r="EJ107" s="3226"/>
      <c r="EK107" s="92">
        <f t="shared" ca="1" si="375"/>
        <v>0</v>
      </c>
      <c r="EL107" s="5">
        <f t="shared" ca="1" si="376"/>
        <v>0</v>
      </c>
      <c r="EM107" s="5">
        <f t="shared" ca="1" si="377"/>
        <v>0</v>
      </c>
      <c r="EN107" s="5">
        <f t="shared" ca="1" si="378"/>
        <v>0</v>
      </c>
      <c r="EO107" s="5">
        <f t="shared" ca="1" si="379"/>
        <v>0</v>
      </c>
      <c r="EP107" s="5">
        <f t="shared" ca="1" si="380"/>
        <v>0</v>
      </c>
      <c r="EQ107" s="5">
        <f t="shared" ca="1" si="381"/>
        <v>0</v>
      </c>
      <c r="ER107" s="88">
        <f t="shared" ca="1" si="382"/>
        <v>0</v>
      </c>
      <c r="ES107" s="4"/>
      <c r="ET107" s="4"/>
      <c r="EU107" s="4"/>
      <c r="EV107" s="5">
        <f t="shared" si="383"/>
        <v>0</v>
      </c>
      <c r="EW107" s="5">
        <f t="shared" si="384"/>
        <v>0</v>
      </c>
      <c r="EX107" s="5">
        <f t="shared" si="385"/>
        <v>0</v>
      </c>
      <c r="EY107" s="5">
        <f t="shared" si="386"/>
        <v>0</v>
      </c>
      <c r="EZ107" s="5">
        <f t="shared" si="387"/>
        <v>0</v>
      </c>
      <c r="FA107" s="5">
        <f t="shared" si="388"/>
        <v>0</v>
      </c>
      <c r="FB107" s="164">
        <f t="shared" si="389"/>
        <v>0</v>
      </c>
      <c r="FC107" s="1"/>
      <c r="FD107" s="5">
        <f t="shared" si="390"/>
        <v>0</v>
      </c>
      <c r="FE107" s="5">
        <f t="shared" si="391"/>
        <v>0</v>
      </c>
      <c r="FF107" s="5">
        <f t="shared" si="392"/>
        <v>0</v>
      </c>
      <c r="FG107" s="5">
        <f t="shared" si="393"/>
        <v>0</v>
      </c>
      <c r="FH107" s="5">
        <f t="shared" si="394"/>
        <v>0</v>
      </c>
      <c r="FI107" s="5">
        <f t="shared" si="395"/>
        <v>0</v>
      </c>
      <c r="FJ107" s="138">
        <f t="shared" si="396"/>
        <v>0</v>
      </c>
      <c r="FL107" s="5">
        <f t="shared" si="397"/>
        <v>0</v>
      </c>
      <c r="FM107" s="5">
        <f t="shared" si="398"/>
        <v>0</v>
      </c>
      <c r="FN107" s="5">
        <f t="shared" si="399"/>
        <v>0</v>
      </c>
      <c r="FO107" s="5">
        <f t="shared" si="400"/>
        <v>0</v>
      </c>
      <c r="FP107" s="5">
        <f t="shared" si="401"/>
        <v>0</v>
      </c>
      <c r="FQ107" s="5">
        <f t="shared" si="402"/>
        <v>0</v>
      </c>
      <c r="FR107" s="206">
        <f t="shared" si="403"/>
        <v>0</v>
      </c>
      <c r="FT107" s="5">
        <f t="shared" si="404"/>
        <v>0</v>
      </c>
      <c r="FU107" s="5">
        <f t="shared" si="405"/>
        <v>0</v>
      </c>
      <c r="FV107" s="5">
        <f t="shared" si="406"/>
        <v>0</v>
      </c>
      <c r="FW107" s="5">
        <f t="shared" si="407"/>
        <v>0</v>
      </c>
      <c r="FX107" s="5">
        <f t="shared" si="408"/>
        <v>0</v>
      </c>
      <c r="FY107" s="5">
        <f t="shared" si="409"/>
        <v>0</v>
      </c>
      <c r="FZ107" s="178">
        <f t="shared" si="410"/>
        <v>0</v>
      </c>
      <c r="GB107" s="5">
        <f t="shared" si="411"/>
        <v>0</v>
      </c>
      <c r="GC107" s="5">
        <f t="shared" si="412"/>
        <v>0</v>
      </c>
      <c r="GD107" s="5">
        <f t="shared" si="413"/>
        <v>0</v>
      </c>
      <c r="GE107" s="5">
        <f t="shared" si="414"/>
        <v>0</v>
      </c>
      <c r="GF107" s="5">
        <f t="shared" si="415"/>
        <v>0</v>
      </c>
      <c r="GG107" s="5">
        <f t="shared" si="416"/>
        <v>0</v>
      </c>
      <c r="GH107" s="150">
        <f t="shared" si="417"/>
        <v>0</v>
      </c>
      <c r="GJ107" s="5">
        <f t="shared" si="418"/>
        <v>0</v>
      </c>
      <c r="GK107" s="5">
        <f t="shared" si="419"/>
        <v>0</v>
      </c>
      <c r="GL107" s="5">
        <f t="shared" si="420"/>
        <v>0</v>
      </c>
      <c r="GM107" s="5">
        <f t="shared" si="421"/>
        <v>0</v>
      </c>
      <c r="GN107" s="5">
        <f t="shared" si="422"/>
        <v>0</v>
      </c>
      <c r="GO107" s="5">
        <f t="shared" si="423"/>
        <v>0</v>
      </c>
      <c r="GP107" s="192">
        <f t="shared" si="424"/>
        <v>0</v>
      </c>
      <c r="GR107" s="5"/>
      <c r="GS107" s="5"/>
      <c r="GT107" s="5"/>
      <c r="GU107" s="5"/>
      <c r="GV107" s="5"/>
      <c r="GW107" s="5"/>
      <c r="GX107" s="1102">
        <f t="shared" si="425"/>
        <v>0</v>
      </c>
      <c r="GZ107" s="572">
        <f t="shared" si="426"/>
        <v>0</v>
      </c>
      <c r="HA107" s="572">
        <f t="shared" si="427"/>
        <v>0</v>
      </c>
      <c r="HB107" s="572">
        <f t="shared" si="428"/>
        <v>0</v>
      </c>
      <c r="HC107" s="572">
        <f t="shared" si="429"/>
        <v>0</v>
      </c>
      <c r="HD107" s="572">
        <f t="shared" si="430"/>
        <v>0</v>
      </c>
      <c r="HE107" s="572">
        <f t="shared" si="431"/>
        <v>0</v>
      </c>
      <c r="HF107" s="989">
        <f t="shared" si="432"/>
        <v>0</v>
      </c>
      <c r="HG107" s="573">
        <f t="shared" ca="1" si="433"/>
        <v>0</v>
      </c>
      <c r="HH107" s="257"/>
    </row>
    <row r="108" spans="1:216" ht="15" hidden="1" customHeight="1" x14ac:dyDescent="0.25">
      <c r="A108" s="403"/>
      <c r="B108" s="3226"/>
      <c r="C108" s="92">
        <f ca="1">'Calc - SENIOR PERS'!$B$90</f>
        <v>0</v>
      </c>
      <c r="D108" s="5">
        <f ca="1">'Calc - SENIOR PERS'!$Q$95</f>
        <v>0</v>
      </c>
      <c r="E108" s="5">
        <f ca="1">'Calc - SENIOR PERS'!$Q$96</f>
        <v>0</v>
      </c>
      <c r="F108" s="5">
        <f ca="1">'Calc - SENIOR PERS'!$Q$97</f>
        <v>0</v>
      </c>
      <c r="G108" s="5">
        <f ca="1">'Calc - SENIOR PERS'!$Q$98</f>
        <v>0</v>
      </c>
      <c r="H108" s="5">
        <f ca="1">'Calc - SENIOR PERS'!$Q$99</f>
        <v>0</v>
      </c>
      <c r="I108" s="5">
        <f ca="1">'Calc - SENIOR PERS'!$Q$100</f>
        <v>0</v>
      </c>
      <c r="J108" s="88">
        <f t="shared" ca="1" si="355"/>
        <v>0</v>
      </c>
      <c r="K108" s="4"/>
      <c r="L108" s="4"/>
      <c r="M108" s="4"/>
      <c r="N108" s="5"/>
      <c r="O108" s="5"/>
      <c r="P108" s="5"/>
      <c r="Q108" s="5"/>
      <c r="R108" s="5"/>
      <c r="S108" s="5"/>
      <c r="T108" s="164">
        <f t="shared" si="356"/>
        <v>0</v>
      </c>
      <c r="U108" s="1"/>
      <c r="V108" s="5"/>
      <c r="W108" s="5"/>
      <c r="X108" s="5"/>
      <c r="Y108" s="5"/>
      <c r="Z108" s="5"/>
      <c r="AA108" s="5"/>
      <c r="AB108" s="138">
        <f t="shared" si="357"/>
        <v>0</v>
      </c>
      <c r="AD108" s="5"/>
      <c r="AE108" s="5"/>
      <c r="AF108" s="5"/>
      <c r="AG108" s="5"/>
      <c r="AH108" s="5"/>
      <c r="AI108" s="5"/>
      <c r="AJ108" s="206">
        <f t="shared" si="358"/>
        <v>0</v>
      </c>
      <c r="AL108" s="5"/>
      <c r="AM108" s="5"/>
      <c r="AN108" s="5"/>
      <c r="AO108" s="5"/>
      <c r="AP108" s="5"/>
      <c r="AQ108" s="5"/>
      <c r="AR108" s="178">
        <f t="shared" si="359"/>
        <v>0</v>
      </c>
      <c r="AT108" s="5"/>
      <c r="AU108" s="5"/>
      <c r="AV108" s="5"/>
      <c r="AW108" s="5"/>
      <c r="AX108" s="5"/>
      <c r="AY108" s="5"/>
      <c r="AZ108" s="150">
        <f t="shared" si="360"/>
        <v>0</v>
      </c>
      <c r="BB108" s="5"/>
      <c r="BC108" s="5"/>
      <c r="BD108" s="5"/>
      <c r="BE108" s="5"/>
      <c r="BF108" s="5"/>
      <c r="BG108" s="5"/>
      <c r="BH108" s="192">
        <f t="shared" si="361"/>
        <v>0</v>
      </c>
      <c r="BJ108" s="5"/>
      <c r="BK108" s="5"/>
      <c r="BL108" s="5"/>
      <c r="BM108" s="5"/>
      <c r="BN108" s="5"/>
      <c r="BO108" s="5"/>
      <c r="BP108" s="1102">
        <f t="shared" si="362"/>
        <v>0</v>
      </c>
      <c r="BR108" s="572">
        <f t="shared" si="363"/>
        <v>0</v>
      </c>
      <c r="BS108" s="572">
        <f t="shared" si="364"/>
        <v>0</v>
      </c>
      <c r="BT108" s="572">
        <f t="shared" si="365"/>
        <v>0</v>
      </c>
      <c r="BU108" s="572">
        <f t="shared" si="366"/>
        <v>0</v>
      </c>
      <c r="BV108" s="572">
        <f t="shared" si="367"/>
        <v>0</v>
      </c>
      <c r="BW108" s="572">
        <f t="shared" si="368"/>
        <v>0</v>
      </c>
      <c r="BX108" s="989">
        <f t="shared" si="369"/>
        <v>0</v>
      </c>
      <c r="BY108" s="573">
        <f t="shared" ca="1" si="370"/>
        <v>0</v>
      </c>
      <c r="BZ108" s="257"/>
      <c r="CB108" s="1182">
        <f t="shared" ca="1" si="434"/>
        <v>0</v>
      </c>
      <c r="CC108" s="387"/>
      <c r="CD108" s="56"/>
      <c r="CE108" s="56"/>
      <c r="CF108" s="56">
        <f ca="1">'Calc - SENIOR PERS'!$Q$96/3*0.5</f>
        <v>0</v>
      </c>
      <c r="CG108" s="1183">
        <f ca="1">'Calc - SENIOR PERS'!$Q$96/3*2.5</f>
        <v>0</v>
      </c>
      <c r="CH108" s="1184"/>
      <c r="CI108" s="1185"/>
      <c r="CJ108" s="1185"/>
      <c r="CK108" s="1185">
        <f ca="1">'Calc - SENIOR PERS'!$Q$97/3*0.5</f>
        <v>0</v>
      </c>
      <c r="CL108" s="1186">
        <f ca="1">'Calc - SENIOR PERS'!$Q$97/3*2.5</f>
        <v>0</v>
      </c>
      <c r="CM108" s="1187"/>
      <c r="CN108" s="1188"/>
      <c r="CO108" s="1189"/>
      <c r="CP108" s="1234">
        <f t="shared" ca="1" si="371"/>
        <v>0</v>
      </c>
      <c r="CS108" s="575"/>
      <c r="CT108" s="5"/>
      <c r="CU108" s="1180"/>
      <c r="CV108" s="575"/>
      <c r="CW108" s="5"/>
      <c r="CX108" s="1249"/>
      <c r="CY108" s="575"/>
      <c r="CZ108" s="5"/>
      <c r="DA108" s="1180"/>
      <c r="DB108" s="575"/>
      <c r="DC108" s="5"/>
      <c r="DD108" s="1180"/>
      <c r="DE108" s="1181">
        <f t="shared" si="372"/>
        <v>0</v>
      </c>
      <c r="DG108" s="575"/>
      <c r="DH108" s="5"/>
      <c r="DI108" s="1180"/>
      <c r="DJ108" s="575"/>
      <c r="DK108" s="5"/>
      <c r="DL108" s="1249"/>
      <c r="DM108" s="575"/>
      <c r="DN108" s="5"/>
      <c r="DO108" s="1180"/>
      <c r="DP108" s="575"/>
      <c r="DQ108" s="5"/>
      <c r="DR108" s="1180"/>
      <c r="DS108" s="1181">
        <f t="shared" si="373"/>
        <v>0</v>
      </c>
      <c r="DU108" s="575"/>
      <c r="DV108" s="5"/>
      <c r="DW108" s="1180"/>
      <c r="DX108" s="575"/>
      <c r="DY108" s="5"/>
      <c r="DZ108" s="1249"/>
      <c r="EA108" s="575"/>
      <c r="EB108" s="5"/>
      <c r="EC108" s="1180"/>
      <c r="ED108" s="575"/>
      <c r="EE108" s="5"/>
      <c r="EF108" s="1180"/>
      <c r="EG108" s="1181">
        <f t="shared" si="374"/>
        <v>0</v>
      </c>
      <c r="EI108" s="403"/>
      <c r="EJ108" s="3226"/>
      <c r="EK108" s="92">
        <f t="shared" ca="1" si="375"/>
        <v>0</v>
      </c>
      <c r="EL108" s="5">
        <f t="shared" ca="1" si="376"/>
        <v>0</v>
      </c>
      <c r="EM108" s="5">
        <f t="shared" ca="1" si="377"/>
        <v>0</v>
      </c>
      <c r="EN108" s="5">
        <f t="shared" ca="1" si="378"/>
        <v>0</v>
      </c>
      <c r="EO108" s="5">
        <f t="shared" ca="1" si="379"/>
        <v>0</v>
      </c>
      <c r="EP108" s="5">
        <f t="shared" ca="1" si="380"/>
        <v>0</v>
      </c>
      <c r="EQ108" s="5">
        <f t="shared" ca="1" si="381"/>
        <v>0</v>
      </c>
      <c r="ER108" s="88">
        <f t="shared" ca="1" si="382"/>
        <v>0</v>
      </c>
      <c r="ES108" s="4"/>
      <c r="ET108" s="4"/>
      <c r="EU108" s="4"/>
      <c r="EV108" s="5">
        <f t="shared" si="383"/>
        <v>0</v>
      </c>
      <c r="EW108" s="5">
        <f t="shared" si="384"/>
        <v>0</v>
      </c>
      <c r="EX108" s="5">
        <f t="shared" si="385"/>
        <v>0</v>
      </c>
      <c r="EY108" s="5">
        <f t="shared" si="386"/>
        <v>0</v>
      </c>
      <c r="EZ108" s="5">
        <f t="shared" si="387"/>
        <v>0</v>
      </c>
      <c r="FA108" s="5">
        <f t="shared" si="388"/>
        <v>0</v>
      </c>
      <c r="FB108" s="164">
        <f t="shared" si="389"/>
        <v>0</v>
      </c>
      <c r="FC108" s="1"/>
      <c r="FD108" s="5">
        <f t="shared" si="390"/>
        <v>0</v>
      </c>
      <c r="FE108" s="5">
        <f t="shared" si="391"/>
        <v>0</v>
      </c>
      <c r="FF108" s="5">
        <f t="shared" si="392"/>
        <v>0</v>
      </c>
      <c r="FG108" s="5">
        <f t="shared" si="393"/>
        <v>0</v>
      </c>
      <c r="FH108" s="5">
        <f t="shared" si="394"/>
        <v>0</v>
      </c>
      <c r="FI108" s="5">
        <f t="shared" si="395"/>
        <v>0</v>
      </c>
      <c r="FJ108" s="138">
        <f t="shared" si="396"/>
        <v>0</v>
      </c>
      <c r="FL108" s="5">
        <f t="shared" si="397"/>
        <v>0</v>
      </c>
      <c r="FM108" s="5">
        <f t="shared" si="398"/>
        <v>0</v>
      </c>
      <c r="FN108" s="5">
        <f t="shared" si="399"/>
        <v>0</v>
      </c>
      <c r="FO108" s="5">
        <f t="shared" si="400"/>
        <v>0</v>
      </c>
      <c r="FP108" s="5">
        <f t="shared" si="401"/>
        <v>0</v>
      </c>
      <c r="FQ108" s="5">
        <f t="shared" si="402"/>
        <v>0</v>
      </c>
      <c r="FR108" s="206">
        <f t="shared" si="403"/>
        <v>0</v>
      </c>
      <c r="FT108" s="5">
        <f t="shared" si="404"/>
        <v>0</v>
      </c>
      <c r="FU108" s="5">
        <f t="shared" si="405"/>
        <v>0</v>
      </c>
      <c r="FV108" s="5">
        <f t="shared" si="406"/>
        <v>0</v>
      </c>
      <c r="FW108" s="5">
        <f t="shared" si="407"/>
        <v>0</v>
      </c>
      <c r="FX108" s="5">
        <f t="shared" si="408"/>
        <v>0</v>
      </c>
      <c r="FY108" s="5">
        <f t="shared" si="409"/>
        <v>0</v>
      </c>
      <c r="FZ108" s="178">
        <f t="shared" si="410"/>
        <v>0</v>
      </c>
      <c r="GB108" s="5">
        <f t="shared" si="411"/>
        <v>0</v>
      </c>
      <c r="GC108" s="5">
        <f t="shared" si="412"/>
        <v>0</v>
      </c>
      <c r="GD108" s="5">
        <f t="shared" si="413"/>
        <v>0</v>
      </c>
      <c r="GE108" s="5">
        <f t="shared" si="414"/>
        <v>0</v>
      </c>
      <c r="GF108" s="5">
        <f t="shared" si="415"/>
        <v>0</v>
      </c>
      <c r="GG108" s="5">
        <f t="shared" si="416"/>
        <v>0</v>
      </c>
      <c r="GH108" s="150">
        <f t="shared" si="417"/>
        <v>0</v>
      </c>
      <c r="GJ108" s="5">
        <f t="shared" si="418"/>
        <v>0</v>
      </c>
      <c r="GK108" s="5">
        <f t="shared" si="419"/>
        <v>0</v>
      </c>
      <c r="GL108" s="5">
        <f t="shared" si="420"/>
        <v>0</v>
      </c>
      <c r="GM108" s="5">
        <f t="shared" si="421"/>
        <v>0</v>
      </c>
      <c r="GN108" s="5">
        <f t="shared" si="422"/>
        <v>0</v>
      </c>
      <c r="GO108" s="5">
        <f t="shared" si="423"/>
        <v>0</v>
      </c>
      <c r="GP108" s="192">
        <f t="shared" si="424"/>
        <v>0</v>
      </c>
      <c r="GR108" s="5"/>
      <c r="GS108" s="5"/>
      <c r="GT108" s="5"/>
      <c r="GU108" s="5"/>
      <c r="GV108" s="5"/>
      <c r="GW108" s="5"/>
      <c r="GX108" s="1102">
        <f t="shared" si="425"/>
        <v>0</v>
      </c>
      <c r="GZ108" s="572">
        <f t="shared" si="426"/>
        <v>0</v>
      </c>
      <c r="HA108" s="572">
        <f t="shared" si="427"/>
        <v>0</v>
      </c>
      <c r="HB108" s="572">
        <f t="shared" si="428"/>
        <v>0</v>
      </c>
      <c r="HC108" s="572">
        <f t="shared" si="429"/>
        <v>0</v>
      </c>
      <c r="HD108" s="572">
        <f t="shared" si="430"/>
        <v>0</v>
      </c>
      <c r="HE108" s="572">
        <f t="shared" si="431"/>
        <v>0</v>
      </c>
      <c r="HF108" s="989">
        <f t="shared" si="432"/>
        <v>0</v>
      </c>
      <c r="HG108" s="573">
        <f t="shared" ca="1" si="433"/>
        <v>0</v>
      </c>
      <c r="HH108" s="257"/>
    </row>
    <row r="109" spans="1:216" ht="15" hidden="1" customHeight="1" x14ac:dyDescent="0.25">
      <c r="A109" s="403"/>
      <c r="B109" s="3226"/>
      <c r="C109" s="92">
        <f ca="1">'Calc - SENIOR PERS'!$B$104</f>
        <v>0</v>
      </c>
      <c r="D109" s="5">
        <f ca="1">'Calc - SENIOR PERS'!$Q$109</f>
        <v>0</v>
      </c>
      <c r="E109" s="5">
        <f ca="1">'Calc - SENIOR PERS'!$Q$110</f>
        <v>0</v>
      </c>
      <c r="F109" s="5">
        <f ca="1">'Calc - SENIOR PERS'!$Q$111</f>
        <v>0</v>
      </c>
      <c r="G109" s="5">
        <f ca="1">'Calc - SENIOR PERS'!$Q$112</f>
        <v>0</v>
      </c>
      <c r="H109" s="5">
        <f ca="1">'Calc - SENIOR PERS'!$Q$113</f>
        <v>0</v>
      </c>
      <c r="I109" s="5">
        <f ca="1">'Calc - SENIOR PERS'!$Q$114</f>
        <v>0</v>
      </c>
      <c r="J109" s="88">
        <f t="shared" ca="1" si="355"/>
        <v>0</v>
      </c>
      <c r="K109" s="4"/>
      <c r="L109" s="4"/>
      <c r="M109" s="4"/>
      <c r="N109" s="5"/>
      <c r="O109" s="5"/>
      <c r="P109" s="5"/>
      <c r="Q109" s="5"/>
      <c r="R109" s="5"/>
      <c r="S109" s="5"/>
      <c r="T109" s="164">
        <f t="shared" si="356"/>
        <v>0</v>
      </c>
      <c r="U109" s="1"/>
      <c r="V109" s="5"/>
      <c r="W109" s="5"/>
      <c r="X109" s="5"/>
      <c r="Y109" s="5"/>
      <c r="Z109" s="5"/>
      <c r="AA109" s="5"/>
      <c r="AB109" s="138">
        <f t="shared" si="357"/>
        <v>0</v>
      </c>
      <c r="AD109" s="5"/>
      <c r="AE109" s="5"/>
      <c r="AF109" s="5"/>
      <c r="AG109" s="5"/>
      <c r="AH109" s="5"/>
      <c r="AI109" s="5"/>
      <c r="AJ109" s="206">
        <f t="shared" si="358"/>
        <v>0</v>
      </c>
      <c r="AL109" s="5"/>
      <c r="AM109" s="5"/>
      <c r="AN109" s="5"/>
      <c r="AO109" s="5"/>
      <c r="AP109" s="5"/>
      <c r="AQ109" s="5"/>
      <c r="AR109" s="178">
        <f t="shared" si="359"/>
        <v>0</v>
      </c>
      <c r="AT109" s="5"/>
      <c r="AU109" s="5"/>
      <c r="AV109" s="5"/>
      <c r="AW109" s="5"/>
      <c r="AX109" s="5"/>
      <c r="AY109" s="5"/>
      <c r="AZ109" s="150">
        <f t="shared" si="360"/>
        <v>0</v>
      </c>
      <c r="BB109" s="5"/>
      <c r="BC109" s="5"/>
      <c r="BD109" s="5"/>
      <c r="BE109" s="5"/>
      <c r="BF109" s="5"/>
      <c r="BG109" s="5"/>
      <c r="BH109" s="192">
        <f t="shared" si="361"/>
        <v>0</v>
      </c>
      <c r="BJ109" s="5"/>
      <c r="BK109" s="5"/>
      <c r="BL109" s="5"/>
      <c r="BM109" s="5"/>
      <c r="BN109" s="5"/>
      <c r="BO109" s="5"/>
      <c r="BP109" s="1102">
        <f t="shared" si="362"/>
        <v>0</v>
      </c>
      <c r="BR109" s="572">
        <f t="shared" si="363"/>
        <v>0</v>
      </c>
      <c r="BS109" s="572">
        <f t="shared" si="364"/>
        <v>0</v>
      </c>
      <c r="BT109" s="572">
        <f t="shared" si="365"/>
        <v>0</v>
      </c>
      <c r="BU109" s="572">
        <f t="shared" si="366"/>
        <v>0</v>
      </c>
      <c r="BV109" s="572">
        <f t="shared" si="367"/>
        <v>0</v>
      </c>
      <c r="BW109" s="572">
        <f t="shared" si="368"/>
        <v>0</v>
      </c>
      <c r="BX109" s="989">
        <f t="shared" si="369"/>
        <v>0</v>
      </c>
      <c r="BY109" s="573">
        <f t="shared" ca="1" si="370"/>
        <v>0</v>
      </c>
      <c r="BZ109" s="257"/>
      <c r="CB109" s="1182">
        <f t="shared" ca="1" si="434"/>
        <v>0</v>
      </c>
      <c r="CC109" s="387"/>
      <c r="CD109" s="56"/>
      <c r="CE109" s="56"/>
      <c r="CF109" s="56">
        <f ca="1">'Calc - SENIOR PERS'!$Q$110/3*0.5</f>
        <v>0</v>
      </c>
      <c r="CG109" s="1183">
        <f ca="1">'Calc - SENIOR PERS'!$Q$110/3*2.5</f>
        <v>0</v>
      </c>
      <c r="CH109" s="1184"/>
      <c r="CI109" s="1185"/>
      <c r="CJ109" s="1185"/>
      <c r="CK109" s="1185">
        <f ca="1">'Calc - SENIOR PERS'!$Q$111/3*0.5</f>
        <v>0</v>
      </c>
      <c r="CL109" s="1186">
        <f ca="1">'Calc - SENIOR PERS'!$Q$111/3*2.5</f>
        <v>0</v>
      </c>
      <c r="CM109" s="1187"/>
      <c r="CN109" s="1188"/>
      <c r="CO109" s="1189"/>
      <c r="CP109" s="1234">
        <f t="shared" ca="1" si="371"/>
        <v>0</v>
      </c>
      <c r="CS109" s="575"/>
      <c r="CT109" s="5"/>
      <c r="CU109" s="1180"/>
      <c r="CV109" s="575"/>
      <c r="CW109" s="5"/>
      <c r="CX109" s="1249"/>
      <c r="CY109" s="575"/>
      <c r="CZ109" s="5"/>
      <c r="DA109" s="1180"/>
      <c r="DB109" s="575"/>
      <c r="DC109" s="5"/>
      <c r="DD109" s="1180"/>
      <c r="DE109" s="1181">
        <f t="shared" si="372"/>
        <v>0</v>
      </c>
      <c r="DG109" s="575"/>
      <c r="DH109" s="5"/>
      <c r="DI109" s="1180"/>
      <c r="DJ109" s="575"/>
      <c r="DK109" s="5"/>
      <c r="DL109" s="1249"/>
      <c r="DM109" s="575"/>
      <c r="DN109" s="5"/>
      <c r="DO109" s="1180"/>
      <c r="DP109" s="575"/>
      <c r="DQ109" s="5"/>
      <c r="DR109" s="1180"/>
      <c r="DS109" s="1181">
        <f t="shared" si="373"/>
        <v>0</v>
      </c>
      <c r="DU109" s="575"/>
      <c r="DV109" s="5"/>
      <c r="DW109" s="1180"/>
      <c r="DX109" s="575"/>
      <c r="DY109" s="5"/>
      <c r="DZ109" s="1249"/>
      <c r="EA109" s="575"/>
      <c r="EB109" s="5"/>
      <c r="EC109" s="1180"/>
      <c r="ED109" s="575"/>
      <c r="EE109" s="5"/>
      <c r="EF109" s="1180"/>
      <c r="EG109" s="1181">
        <f t="shared" si="374"/>
        <v>0</v>
      </c>
      <c r="EI109" s="403"/>
      <c r="EJ109" s="3226"/>
      <c r="EK109" s="92">
        <f t="shared" ca="1" si="375"/>
        <v>0</v>
      </c>
      <c r="EL109" s="5">
        <f t="shared" ca="1" si="376"/>
        <v>0</v>
      </c>
      <c r="EM109" s="5">
        <f t="shared" ca="1" si="377"/>
        <v>0</v>
      </c>
      <c r="EN109" s="5">
        <f t="shared" ca="1" si="378"/>
        <v>0</v>
      </c>
      <c r="EO109" s="5">
        <f t="shared" ca="1" si="379"/>
        <v>0</v>
      </c>
      <c r="EP109" s="5">
        <f t="shared" ca="1" si="380"/>
        <v>0</v>
      </c>
      <c r="EQ109" s="5">
        <f t="shared" ca="1" si="381"/>
        <v>0</v>
      </c>
      <c r="ER109" s="88">
        <f t="shared" ca="1" si="382"/>
        <v>0</v>
      </c>
      <c r="ES109" s="4"/>
      <c r="ET109" s="4"/>
      <c r="EU109" s="4"/>
      <c r="EV109" s="5">
        <f t="shared" si="383"/>
        <v>0</v>
      </c>
      <c r="EW109" s="5">
        <f t="shared" si="384"/>
        <v>0</v>
      </c>
      <c r="EX109" s="5">
        <f t="shared" si="385"/>
        <v>0</v>
      </c>
      <c r="EY109" s="5">
        <f t="shared" si="386"/>
        <v>0</v>
      </c>
      <c r="EZ109" s="5">
        <f t="shared" si="387"/>
        <v>0</v>
      </c>
      <c r="FA109" s="5">
        <f t="shared" si="388"/>
        <v>0</v>
      </c>
      <c r="FB109" s="164">
        <f t="shared" si="389"/>
        <v>0</v>
      </c>
      <c r="FC109" s="1"/>
      <c r="FD109" s="5">
        <f t="shared" si="390"/>
        <v>0</v>
      </c>
      <c r="FE109" s="5">
        <f t="shared" si="391"/>
        <v>0</v>
      </c>
      <c r="FF109" s="5">
        <f t="shared" si="392"/>
        <v>0</v>
      </c>
      <c r="FG109" s="5">
        <f t="shared" si="393"/>
        <v>0</v>
      </c>
      <c r="FH109" s="5">
        <f t="shared" si="394"/>
        <v>0</v>
      </c>
      <c r="FI109" s="5">
        <f t="shared" si="395"/>
        <v>0</v>
      </c>
      <c r="FJ109" s="138">
        <f t="shared" si="396"/>
        <v>0</v>
      </c>
      <c r="FL109" s="5">
        <f t="shared" si="397"/>
        <v>0</v>
      </c>
      <c r="FM109" s="5">
        <f t="shared" si="398"/>
        <v>0</v>
      </c>
      <c r="FN109" s="5">
        <f t="shared" si="399"/>
        <v>0</v>
      </c>
      <c r="FO109" s="5">
        <f t="shared" si="400"/>
        <v>0</v>
      </c>
      <c r="FP109" s="5">
        <f t="shared" si="401"/>
        <v>0</v>
      </c>
      <c r="FQ109" s="5">
        <f t="shared" si="402"/>
        <v>0</v>
      </c>
      <c r="FR109" s="206">
        <f t="shared" si="403"/>
        <v>0</v>
      </c>
      <c r="FT109" s="5">
        <f t="shared" si="404"/>
        <v>0</v>
      </c>
      <c r="FU109" s="5">
        <f t="shared" si="405"/>
        <v>0</v>
      </c>
      <c r="FV109" s="5">
        <f t="shared" si="406"/>
        <v>0</v>
      </c>
      <c r="FW109" s="5">
        <f t="shared" si="407"/>
        <v>0</v>
      </c>
      <c r="FX109" s="5">
        <f t="shared" si="408"/>
        <v>0</v>
      </c>
      <c r="FY109" s="5">
        <f t="shared" si="409"/>
        <v>0</v>
      </c>
      <c r="FZ109" s="178">
        <f t="shared" si="410"/>
        <v>0</v>
      </c>
      <c r="GB109" s="5">
        <f t="shared" si="411"/>
        <v>0</v>
      </c>
      <c r="GC109" s="5">
        <f t="shared" si="412"/>
        <v>0</v>
      </c>
      <c r="GD109" s="5">
        <f t="shared" si="413"/>
        <v>0</v>
      </c>
      <c r="GE109" s="5">
        <f t="shared" si="414"/>
        <v>0</v>
      </c>
      <c r="GF109" s="5">
        <f t="shared" si="415"/>
        <v>0</v>
      </c>
      <c r="GG109" s="5">
        <f t="shared" si="416"/>
        <v>0</v>
      </c>
      <c r="GH109" s="150">
        <f t="shared" si="417"/>
        <v>0</v>
      </c>
      <c r="GJ109" s="5">
        <f t="shared" si="418"/>
        <v>0</v>
      </c>
      <c r="GK109" s="5">
        <f t="shared" si="419"/>
        <v>0</v>
      </c>
      <c r="GL109" s="5">
        <f t="shared" si="420"/>
        <v>0</v>
      </c>
      <c r="GM109" s="5">
        <f t="shared" si="421"/>
        <v>0</v>
      </c>
      <c r="GN109" s="5">
        <f t="shared" si="422"/>
        <v>0</v>
      </c>
      <c r="GO109" s="5">
        <f t="shared" si="423"/>
        <v>0</v>
      </c>
      <c r="GP109" s="192">
        <f t="shared" si="424"/>
        <v>0</v>
      </c>
      <c r="GR109" s="5"/>
      <c r="GS109" s="5"/>
      <c r="GT109" s="5"/>
      <c r="GU109" s="5"/>
      <c r="GV109" s="5"/>
      <c r="GW109" s="5"/>
      <c r="GX109" s="1102">
        <f t="shared" si="425"/>
        <v>0</v>
      </c>
      <c r="GZ109" s="572">
        <f t="shared" si="426"/>
        <v>0</v>
      </c>
      <c r="HA109" s="572">
        <f t="shared" si="427"/>
        <v>0</v>
      </c>
      <c r="HB109" s="572">
        <f t="shared" si="428"/>
        <v>0</v>
      </c>
      <c r="HC109" s="572">
        <f t="shared" si="429"/>
        <v>0</v>
      </c>
      <c r="HD109" s="572">
        <f t="shared" si="430"/>
        <v>0</v>
      </c>
      <c r="HE109" s="572">
        <f t="shared" si="431"/>
        <v>0</v>
      </c>
      <c r="HF109" s="989">
        <f t="shared" si="432"/>
        <v>0</v>
      </c>
      <c r="HG109" s="573">
        <f t="shared" ca="1" si="433"/>
        <v>0</v>
      </c>
      <c r="HH109" s="257"/>
    </row>
    <row r="110" spans="1:216" ht="15" hidden="1" customHeight="1" x14ac:dyDescent="0.25">
      <c r="A110" s="403"/>
      <c r="B110" s="3226"/>
      <c r="C110" s="92">
        <f ca="1">'Calc - SENIOR PERS'!$B$118</f>
        <v>0</v>
      </c>
      <c r="D110" s="5">
        <f ca="1">'Calc - SENIOR PERS'!$Q$123</f>
        <v>0</v>
      </c>
      <c r="E110" s="5">
        <f ca="1">'Calc - SENIOR PERS'!$Q$124</f>
        <v>0</v>
      </c>
      <c r="F110" s="5">
        <f ca="1">'Calc - SENIOR PERS'!$Q$125</f>
        <v>0</v>
      </c>
      <c r="G110" s="5">
        <f ca="1">'Calc - SENIOR PERS'!$Q$126</f>
        <v>0</v>
      </c>
      <c r="H110" s="5">
        <f ca="1">'Calc - SENIOR PERS'!$Q$127</f>
        <v>0</v>
      </c>
      <c r="I110" s="5">
        <f ca="1">'Calc - SENIOR PERS'!$Q$128</f>
        <v>0</v>
      </c>
      <c r="J110" s="88">
        <f t="shared" ca="1" si="355"/>
        <v>0</v>
      </c>
      <c r="K110" s="4"/>
      <c r="L110" s="4"/>
      <c r="M110" s="4"/>
      <c r="N110" s="5"/>
      <c r="O110" s="5"/>
      <c r="P110" s="5"/>
      <c r="Q110" s="5"/>
      <c r="R110" s="5"/>
      <c r="S110" s="5"/>
      <c r="T110" s="164">
        <f t="shared" si="356"/>
        <v>0</v>
      </c>
      <c r="U110" s="1"/>
      <c r="V110" s="5"/>
      <c r="W110" s="5"/>
      <c r="X110" s="5"/>
      <c r="Y110" s="5"/>
      <c r="Z110" s="5"/>
      <c r="AA110" s="5"/>
      <c r="AB110" s="138">
        <f t="shared" si="357"/>
        <v>0</v>
      </c>
      <c r="AD110" s="321"/>
      <c r="AE110" s="321"/>
      <c r="AF110" s="321"/>
      <c r="AG110" s="321"/>
      <c r="AH110" s="321"/>
      <c r="AI110" s="321"/>
      <c r="AJ110" s="385">
        <f t="shared" si="358"/>
        <v>0</v>
      </c>
      <c r="AL110" s="321"/>
      <c r="AM110" s="321"/>
      <c r="AN110" s="321"/>
      <c r="AO110" s="321"/>
      <c r="AP110" s="321"/>
      <c r="AQ110" s="321"/>
      <c r="AR110" s="384">
        <f t="shared" si="359"/>
        <v>0</v>
      </c>
      <c r="AT110" s="5"/>
      <c r="AU110" s="5"/>
      <c r="AV110" s="5"/>
      <c r="AW110" s="5"/>
      <c r="AX110" s="5"/>
      <c r="AY110" s="5"/>
      <c r="AZ110" s="150">
        <f t="shared" si="360"/>
        <v>0</v>
      </c>
      <c r="BB110" s="5"/>
      <c r="BC110" s="5"/>
      <c r="BD110" s="5"/>
      <c r="BE110" s="5"/>
      <c r="BF110" s="5"/>
      <c r="BG110" s="5"/>
      <c r="BH110" s="192">
        <f t="shared" si="361"/>
        <v>0</v>
      </c>
      <c r="BJ110" s="5"/>
      <c r="BK110" s="5"/>
      <c r="BL110" s="5"/>
      <c r="BM110" s="5"/>
      <c r="BN110" s="5"/>
      <c r="BO110" s="5"/>
      <c r="BP110" s="1102">
        <f t="shared" si="362"/>
        <v>0</v>
      </c>
      <c r="BR110" s="572">
        <f t="shared" si="363"/>
        <v>0</v>
      </c>
      <c r="BS110" s="572">
        <f t="shared" si="364"/>
        <v>0</v>
      </c>
      <c r="BT110" s="572">
        <f t="shared" si="365"/>
        <v>0</v>
      </c>
      <c r="BU110" s="572">
        <f t="shared" si="366"/>
        <v>0</v>
      </c>
      <c r="BV110" s="572">
        <f t="shared" si="367"/>
        <v>0</v>
      </c>
      <c r="BW110" s="572">
        <f t="shared" si="368"/>
        <v>0</v>
      </c>
      <c r="BX110" s="989">
        <f t="shared" si="369"/>
        <v>0</v>
      </c>
      <c r="BY110" s="573">
        <f t="shared" ca="1" si="370"/>
        <v>0</v>
      </c>
      <c r="BZ110" s="257"/>
      <c r="CB110" s="1182">
        <f t="shared" ca="1" si="434"/>
        <v>0</v>
      </c>
      <c r="CC110" s="387"/>
      <c r="CD110" s="56"/>
      <c r="CE110" s="56"/>
      <c r="CF110" s="56">
        <f ca="1">'Calc - SENIOR PERS'!$Q$124/3*0.5</f>
        <v>0</v>
      </c>
      <c r="CG110" s="1183">
        <f ca="1">'Calc - SENIOR PERS'!$Q$124/3*2.5</f>
        <v>0</v>
      </c>
      <c r="CH110" s="1184"/>
      <c r="CI110" s="1185"/>
      <c r="CJ110" s="1185"/>
      <c r="CK110" s="1185">
        <f ca="1">'Calc - SENIOR PERS'!$Q$125/3*0.5</f>
        <v>0</v>
      </c>
      <c r="CL110" s="1186">
        <f ca="1">'Calc - SENIOR PERS'!$Q$125/3*2.5</f>
        <v>0</v>
      </c>
      <c r="CM110" s="1187"/>
      <c r="CN110" s="1188"/>
      <c r="CO110" s="1189"/>
      <c r="CP110" s="1234">
        <f t="shared" ca="1" si="371"/>
        <v>0</v>
      </c>
      <c r="CS110" s="575"/>
      <c r="CT110" s="5"/>
      <c r="CU110" s="1180"/>
      <c r="CV110" s="575"/>
      <c r="CW110" s="5"/>
      <c r="CX110" s="1249"/>
      <c r="CY110" s="575"/>
      <c r="CZ110" s="5"/>
      <c r="DA110" s="1180"/>
      <c r="DB110" s="575"/>
      <c r="DC110" s="5"/>
      <c r="DD110" s="1180"/>
      <c r="DE110" s="1181">
        <f t="shared" si="372"/>
        <v>0</v>
      </c>
      <c r="DG110" s="575"/>
      <c r="DH110" s="5"/>
      <c r="DI110" s="1180"/>
      <c r="DJ110" s="575"/>
      <c r="DK110" s="5"/>
      <c r="DL110" s="1249"/>
      <c r="DM110" s="575"/>
      <c r="DN110" s="5"/>
      <c r="DO110" s="1180"/>
      <c r="DP110" s="575"/>
      <c r="DQ110" s="5"/>
      <c r="DR110" s="1180"/>
      <c r="DS110" s="1181">
        <f t="shared" si="373"/>
        <v>0</v>
      </c>
      <c r="DU110" s="575"/>
      <c r="DV110" s="5"/>
      <c r="DW110" s="1180"/>
      <c r="DX110" s="575"/>
      <c r="DY110" s="5"/>
      <c r="DZ110" s="1249"/>
      <c r="EA110" s="575"/>
      <c r="EB110" s="5"/>
      <c r="EC110" s="1180"/>
      <c r="ED110" s="575"/>
      <c r="EE110" s="5"/>
      <c r="EF110" s="1180"/>
      <c r="EG110" s="1181">
        <f t="shared" si="374"/>
        <v>0</v>
      </c>
      <c r="EI110" s="403"/>
      <c r="EJ110" s="3226"/>
      <c r="EK110" s="92">
        <f t="shared" ca="1" si="375"/>
        <v>0</v>
      </c>
      <c r="EL110" s="5">
        <f t="shared" ca="1" si="376"/>
        <v>0</v>
      </c>
      <c r="EM110" s="5">
        <f t="shared" ca="1" si="377"/>
        <v>0</v>
      </c>
      <c r="EN110" s="5">
        <f t="shared" ca="1" si="378"/>
        <v>0</v>
      </c>
      <c r="EO110" s="5">
        <f t="shared" ca="1" si="379"/>
        <v>0</v>
      </c>
      <c r="EP110" s="5">
        <f t="shared" ca="1" si="380"/>
        <v>0</v>
      </c>
      <c r="EQ110" s="5">
        <f t="shared" ca="1" si="381"/>
        <v>0</v>
      </c>
      <c r="ER110" s="88">
        <f t="shared" ca="1" si="382"/>
        <v>0</v>
      </c>
      <c r="ES110" s="4"/>
      <c r="ET110" s="4"/>
      <c r="EU110" s="4"/>
      <c r="EV110" s="5">
        <f t="shared" si="383"/>
        <v>0</v>
      </c>
      <c r="EW110" s="5">
        <f t="shared" si="384"/>
        <v>0</v>
      </c>
      <c r="EX110" s="5">
        <f t="shared" si="385"/>
        <v>0</v>
      </c>
      <c r="EY110" s="5">
        <f t="shared" si="386"/>
        <v>0</v>
      </c>
      <c r="EZ110" s="5">
        <f t="shared" si="387"/>
        <v>0</v>
      </c>
      <c r="FA110" s="5">
        <f t="shared" si="388"/>
        <v>0</v>
      </c>
      <c r="FB110" s="164">
        <f t="shared" si="389"/>
        <v>0</v>
      </c>
      <c r="FC110" s="1"/>
      <c r="FD110" s="5">
        <f t="shared" si="390"/>
        <v>0</v>
      </c>
      <c r="FE110" s="5">
        <f t="shared" si="391"/>
        <v>0</v>
      </c>
      <c r="FF110" s="5">
        <f t="shared" si="392"/>
        <v>0</v>
      </c>
      <c r="FG110" s="5">
        <f t="shared" si="393"/>
        <v>0</v>
      </c>
      <c r="FH110" s="5">
        <f t="shared" si="394"/>
        <v>0</v>
      </c>
      <c r="FI110" s="5">
        <f t="shared" si="395"/>
        <v>0</v>
      </c>
      <c r="FJ110" s="138">
        <f t="shared" si="396"/>
        <v>0</v>
      </c>
      <c r="FL110" s="321">
        <f t="shared" si="397"/>
        <v>0</v>
      </c>
      <c r="FM110" s="321">
        <f t="shared" si="398"/>
        <v>0</v>
      </c>
      <c r="FN110" s="321">
        <f t="shared" si="399"/>
        <v>0</v>
      </c>
      <c r="FO110" s="321">
        <f t="shared" si="400"/>
        <v>0</v>
      </c>
      <c r="FP110" s="321">
        <f t="shared" si="401"/>
        <v>0</v>
      </c>
      <c r="FQ110" s="321">
        <f t="shared" si="402"/>
        <v>0</v>
      </c>
      <c r="FR110" s="385">
        <f t="shared" si="403"/>
        <v>0</v>
      </c>
      <c r="FT110" s="321">
        <f t="shared" si="404"/>
        <v>0</v>
      </c>
      <c r="FU110" s="321">
        <f t="shared" si="405"/>
        <v>0</v>
      </c>
      <c r="FV110" s="321">
        <f t="shared" si="406"/>
        <v>0</v>
      </c>
      <c r="FW110" s="321">
        <f t="shared" si="407"/>
        <v>0</v>
      </c>
      <c r="FX110" s="321">
        <f t="shared" si="408"/>
        <v>0</v>
      </c>
      <c r="FY110" s="321">
        <f t="shared" si="409"/>
        <v>0</v>
      </c>
      <c r="FZ110" s="384">
        <f t="shared" si="410"/>
        <v>0</v>
      </c>
      <c r="GB110" s="5">
        <f t="shared" si="411"/>
        <v>0</v>
      </c>
      <c r="GC110" s="5">
        <f t="shared" si="412"/>
        <v>0</v>
      </c>
      <c r="GD110" s="5">
        <f t="shared" si="413"/>
        <v>0</v>
      </c>
      <c r="GE110" s="5">
        <f t="shared" si="414"/>
        <v>0</v>
      </c>
      <c r="GF110" s="5">
        <f t="shared" si="415"/>
        <v>0</v>
      </c>
      <c r="GG110" s="5">
        <f t="shared" si="416"/>
        <v>0</v>
      </c>
      <c r="GH110" s="150">
        <f t="shared" si="417"/>
        <v>0</v>
      </c>
      <c r="GJ110" s="5">
        <f t="shared" si="418"/>
        <v>0</v>
      </c>
      <c r="GK110" s="5">
        <f t="shared" si="419"/>
        <v>0</v>
      </c>
      <c r="GL110" s="5">
        <f t="shared" si="420"/>
        <v>0</v>
      </c>
      <c r="GM110" s="5">
        <f t="shared" si="421"/>
        <v>0</v>
      </c>
      <c r="GN110" s="5">
        <f t="shared" si="422"/>
        <v>0</v>
      </c>
      <c r="GO110" s="5">
        <f t="shared" si="423"/>
        <v>0</v>
      </c>
      <c r="GP110" s="192">
        <f t="shared" si="424"/>
        <v>0</v>
      </c>
      <c r="GR110" s="5"/>
      <c r="GS110" s="5"/>
      <c r="GT110" s="5"/>
      <c r="GU110" s="5"/>
      <c r="GV110" s="5"/>
      <c r="GW110" s="5"/>
      <c r="GX110" s="1102">
        <f t="shared" si="425"/>
        <v>0</v>
      </c>
      <c r="GZ110" s="572">
        <f t="shared" si="426"/>
        <v>0</v>
      </c>
      <c r="HA110" s="572">
        <f t="shared" si="427"/>
        <v>0</v>
      </c>
      <c r="HB110" s="572">
        <f t="shared" si="428"/>
        <v>0</v>
      </c>
      <c r="HC110" s="572">
        <f t="shared" si="429"/>
        <v>0</v>
      </c>
      <c r="HD110" s="572">
        <f t="shared" si="430"/>
        <v>0</v>
      </c>
      <c r="HE110" s="572">
        <f t="shared" si="431"/>
        <v>0</v>
      </c>
      <c r="HF110" s="989">
        <f t="shared" si="432"/>
        <v>0</v>
      </c>
      <c r="HG110" s="573">
        <f t="shared" ca="1" si="433"/>
        <v>0</v>
      </c>
      <c r="HH110" s="257"/>
    </row>
    <row r="111" spans="1:216" ht="15" hidden="1" customHeight="1" x14ac:dyDescent="0.25">
      <c r="A111" s="403"/>
      <c r="B111" s="3226"/>
      <c r="C111" s="92">
        <f ca="1">'Calc - SENIOR PERS'!$B$132</f>
        <v>0</v>
      </c>
      <c r="D111" s="5">
        <f ca="1">'Calc - SENIOR PERS'!$Q$137</f>
        <v>0</v>
      </c>
      <c r="E111" s="5">
        <f ca="1">'Calc - SENIOR PERS'!$Q$138</f>
        <v>0</v>
      </c>
      <c r="F111" s="5">
        <f ca="1">'Calc - SENIOR PERS'!$Q$139</f>
        <v>0</v>
      </c>
      <c r="G111" s="5">
        <f ca="1">'Calc - SENIOR PERS'!$Q$140</f>
        <v>0</v>
      </c>
      <c r="H111" s="5">
        <f ca="1">'Calc - SENIOR PERS'!$Q$141</f>
        <v>0</v>
      </c>
      <c r="I111" s="5">
        <f ca="1">'Calc - SENIOR PERS'!$Q$142</f>
        <v>0</v>
      </c>
      <c r="J111" s="88">
        <f t="shared" ca="1" si="355"/>
        <v>0</v>
      </c>
      <c r="K111" s="4"/>
      <c r="L111" s="4"/>
      <c r="M111" s="4"/>
      <c r="N111" s="321"/>
      <c r="O111" s="321"/>
      <c r="P111" s="321"/>
      <c r="Q111" s="321"/>
      <c r="R111" s="321"/>
      <c r="S111" s="321"/>
      <c r="T111" s="380">
        <f t="shared" si="356"/>
        <v>0</v>
      </c>
      <c r="U111" s="1"/>
      <c r="V111" s="5"/>
      <c r="W111" s="5"/>
      <c r="X111" s="5"/>
      <c r="Y111" s="5"/>
      <c r="Z111" s="5"/>
      <c r="AA111" s="5"/>
      <c r="AB111" s="48">
        <f t="shared" si="357"/>
        <v>0</v>
      </c>
      <c r="AD111" s="5"/>
      <c r="AE111" s="5"/>
      <c r="AF111" s="5"/>
      <c r="AG111" s="5"/>
      <c r="AH111" s="5"/>
      <c r="AI111" s="5"/>
      <c r="AJ111" s="209">
        <f t="shared" si="358"/>
        <v>0</v>
      </c>
      <c r="AL111" s="5"/>
      <c r="AM111" s="5"/>
      <c r="AN111" s="5"/>
      <c r="AO111" s="5"/>
      <c r="AP111" s="5"/>
      <c r="AQ111" s="5"/>
      <c r="AR111" s="181">
        <f t="shared" si="359"/>
        <v>0</v>
      </c>
      <c r="AT111" s="321"/>
      <c r="AU111" s="321"/>
      <c r="AV111" s="321"/>
      <c r="AW111" s="321"/>
      <c r="AX111" s="321"/>
      <c r="AY111" s="321"/>
      <c r="AZ111" s="383">
        <f t="shared" si="360"/>
        <v>0</v>
      </c>
      <c r="BB111" s="321"/>
      <c r="BC111" s="321"/>
      <c r="BD111" s="321"/>
      <c r="BE111" s="321"/>
      <c r="BF111" s="321"/>
      <c r="BG111" s="321"/>
      <c r="BH111" s="382">
        <f t="shared" si="361"/>
        <v>0</v>
      </c>
      <c r="BJ111" s="321"/>
      <c r="BK111" s="321"/>
      <c r="BL111" s="321"/>
      <c r="BM111" s="321"/>
      <c r="BN111" s="321"/>
      <c r="BO111" s="321"/>
      <c r="BP111" s="1107">
        <f t="shared" si="362"/>
        <v>0</v>
      </c>
      <c r="BR111" s="572">
        <f t="shared" si="363"/>
        <v>0</v>
      </c>
      <c r="BS111" s="572">
        <f t="shared" si="364"/>
        <v>0</v>
      </c>
      <c r="BT111" s="572">
        <f t="shared" si="365"/>
        <v>0</v>
      </c>
      <c r="BU111" s="572">
        <f t="shared" si="366"/>
        <v>0</v>
      </c>
      <c r="BV111" s="572">
        <f t="shared" si="367"/>
        <v>0</v>
      </c>
      <c r="BW111" s="572">
        <f t="shared" si="368"/>
        <v>0</v>
      </c>
      <c r="BX111" s="989">
        <f t="shared" si="369"/>
        <v>0</v>
      </c>
      <c r="BY111" s="573">
        <f t="shared" ca="1" si="370"/>
        <v>0</v>
      </c>
      <c r="BZ111" s="257"/>
      <c r="CB111" s="1182">
        <f t="shared" ca="1" si="434"/>
        <v>0</v>
      </c>
      <c r="CC111" s="387"/>
      <c r="CD111" s="56"/>
      <c r="CE111" s="56"/>
      <c r="CF111" s="56">
        <f ca="1">'Calc - SENIOR PERS'!$Q$138/3*0.5</f>
        <v>0</v>
      </c>
      <c r="CG111" s="1183">
        <f ca="1">'Calc - SENIOR PERS'!$Q$138/3*2.5</f>
        <v>0</v>
      </c>
      <c r="CH111" s="1184"/>
      <c r="CI111" s="1185"/>
      <c r="CJ111" s="1185"/>
      <c r="CK111" s="1185">
        <f ca="1">'Calc - SENIOR PERS'!$Q$139/3*0.5</f>
        <v>0</v>
      </c>
      <c r="CL111" s="1186">
        <f ca="1">'Calc - SENIOR PERS'!$Q$139/3*2.5</f>
        <v>0</v>
      </c>
      <c r="CM111" s="1187"/>
      <c r="CN111" s="1188"/>
      <c r="CO111" s="1189"/>
      <c r="CP111" s="1234">
        <f t="shared" ca="1" si="371"/>
        <v>0</v>
      </c>
      <c r="CS111" s="1034"/>
      <c r="CT111" s="321"/>
      <c r="CU111" s="1253"/>
      <c r="CV111" s="1034"/>
      <c r="CW111" s="321"/>
      <c r="CX111" s="1254"/>
      <c r="CY111" s="1034"/>
      <c r="CZ111" s="321"/>
      <c r="DA111" s="1253"/>
      <c r="DB111" s="1034"/>
      <c r="DC111" s="321"/>
      <c r="DD111" s="1253"/>
      <c r="DE111" s="1255">
        <f t="shared" si="372"/>
        <v>0</v>
      </c>
      <c r="DG111" s="1034"/>
      <c r="DH111" s="321"/>
      <c r="DI111" s="1253"/>
      <c r="DJ111" s="1034"/>
      <c r="DK111" s="321"/>
      <c r="DL111" s="1254"/>
      <c r="DM111" s="1034"/>
      <c r="DN111" s="321"/>
      <c r="DO111" s="1253"/>
      <c r="DP111" s="1034"/>
      <c r="DQ111" s="321"/>
      <c r="DR111" s="1253"/>
      <c r="DS111" s="1255">
        <f t="shared" si="373"/>
        <v>0</v>
      </c>
      <c r="DU111" s="1034"/>
      <c r="DV111" s="321"/>
      <c r="DW111" s="1253"/>
      <c r="DX111" s="1034"/>
      <c r="DY111" s="321"/>
      <c r="DZ111" s="1254"/>
      <c r="EA111" s="1034"/>
      <c r="EB111" s="321"/>
      <c r="EC111" s="1253"/>
      <c r="ED111" s="1034"/>
      <c r="EE111" s="321"/>
      <c r="EF111" s="1253"/>
      <c r="EG111" s="1255">
        <f t="shared" si="374"/>
        <v>0</v>
      </c>
      <c r="EI111" s="403"/>
      <c r="EJ111" s="3226"/>
      <c r="EK111" s="92">
        <f t="shared" ca="1" si="375"/>
        <v>0</v>
      </c>
      <c r="EL111" s="5">
        <f t="shared" ca="1" si="376"/>
        <v>0</v>
      </c>
      <c r="EM111" s="5">
        <f t="shared" ca="1" si="377"/>
        <v>0</v>
      </c>
      <c r="EN111" s="5">
        <f t="shared" ca="1" si="378"/>
        <v>0</v>
      </c>
      <c r="EO111" s="5">
        <f t="shared" ca="1" si="379"/>
        <v>0</v>
      </c>
      <c r="EP111" s="5">
        <f t="shared" ca="1" si="380"/>
        <v>0</v>
      </c>
      <c r="EQ111" s="5">
        <f t="shared" ca="1" si="381"/>
        <v>0</v>
      </c>
      <c r="ER111" s="88">
        <f t="shared" ca="1" si="382"/>
        <v>0</v>
      </c>
      <c r="ES111" s="4"/>
      <c r="ET111" s="4"/>
      <c r="EU111" s="4"/>
      <c r="EV111" s="5">
        <f t="shared" si="383"/>
        <v>0</v>
      </c>
      <c r="EW111" s="5">
        <f t="shared" si="384"/>
        <v>0</v>
      </c>
      <c r="EX111" s="5">
        <f t="shared" si="385"/>
        <v>0</v>
      </c>
      <c r="EY111" s="5">
        <f t="shared" si="386"/>
        <v>0</v>
      </c>
      <c r="EZ111" s="5">
        <f t="shared" si="387"/>
        <v>0</v>
      </c>
      <c r="FA111" s="5">
        <f t="shared" si="388"/>
        <v>0</v>
      </c>
      <c r="FB111" s="380">
        <f t="shared" si="389"/>
        <v>0</v>
      </c>
      <c r="FC111" s="1"/>
      <c r="FD111" s="5">
        <f t="shared" si="390"/>
        <v>0</v>
      </c>
      <c r="FE111" s="5">
        <f t="shared" si="391"/>
        <v>0</v>
      </c>
      <c r="FF111" s="5">
        <f t="shared" si="392"/>
        <v>0</v>
      </c>
      <c r="FG111" s="5">
        <f t="shared" si="393"/>
        <v>0</v>
      </c>
      <c r="FH111" s="5">
        <f t="shared" si="394"/>
        <v>0</v>
      </c>
      <c r="FI111" s="5">
        <f t="shared" si="395"/>
        <v>0</v>
      </c>
      <c r="FJ111" s="48">
        <f t="shared" si="396"/>
        <v>0</v>
      </c>
      <c r="FL111" s="5">
        <f t="shared" si="397"/>
        <v>0</v>
      </c>
      <c r="FM111" s="5">
        <f t="shared" si="398"/>
        <v>0</v>
      </c>
      <c r="FN111" s="5">
        <f t="shared" si="399"/>
        <v>0</v>
      </c>
      <c r="FO111" s="5">
        <f t="shared" si="400"/>
        <v>0</v>
      </c>
      <c r="FP111" s="5">
        <f t="shared" si="401"/>
        <v>0</v>
      </c>
      <c r="FQ111" s="5">
        <f t="shared" si="402"/>
        <v>0</v>
      </c>
      <c r="FR111" s="209">
        <f t="shared" si="403"/>
        <v>0</v>
      </c>
      <c r="FT111" s="5">
        <f t="shared" si="404"/>
        <v>0</v>
      </c>
      <c r="FU111" s="5">
        <f t="shared" si="405"/>
        <v>0</v>
      </c>
      <c r="FV111" s="5">
        <f t="shared" si="406"/>
        <v>0</v>
      </c>
      <c r="FW111" s="5">
        <f t="shared" si="407"/>
        <v>0</v>
      </c>
      <c r="FX111" s="5">
        <f t="shared" si="408"/>
        <v>0</v>
      </c>
      <c r="FY111" s="5">
        <f t="shared" si="409"/>
        <v>0</v>
      </c>
      <c r="FZ111" s="181">
        <f t="shared" si="410"/>
        <v>0</v>
      </c>
      <c r="GB111" s="321">
        <f t="shared" si="411"/>
        <v>0</v>
      </c>
      <c r="GC111" s="321">
        <f t="shared" si="412"/>
        <v>0</v>
      </c>
      <c r="GD111" s="321">
        <f t="shared" si="413"/>
        <v>0</v>
      </c>
      <c r="GE111" s="321">
        <f t="shared" si="414"/>
        <v>0</v>
      </c>
      <c r="GF111" s="321">
        <f t="shared" si="415"/>
        <v>0</v>
      </c>
      <c r="GG111" s="321">
        <f t="shared" si="416"/>
        <v>0</v>
      </c>
      <c r="GH111" s="383">
        <f t="shared" si="417"/>
        <v>0</v>
      </c>
      <c r="GJ111" s="321">
        <f t="shared" si="418"/>
        <v>0</v>
      </c>
      <c r="GK111" s="321">
        <f t="shared" si="419"/>
        <v>0</v>
      </c>
      <c r="GL111" s="321">
        <f t="shared" si="420"/>
        <v>0</v>
      </c>
      <c r="GM111" s="321">
        <f t="shared" si="421"/>
        <v>0</v>
      </c>
      <c r="GN111" s="321">
        <f t="shared" si="422"/>
        <v>0</v>
      </c>
      <c r="GO111" s="321">
        <f t="shared" si="423"/>
        <v>0</v>
      </c>
      <c r="GP111" s="382">
        <f t="shared" si="424"/>
        <v>0</v>
      </c>
      <c r="GR111" s="321"/>
      <c r="GS111" s="321"/>
      <c r="GT111" s="321"/>
      <c r="GU111" s="321"/>
      <c r="GV111" s="321"/>
      <c r="GW111" s="321"/>
      <c r="GX111" s="1107">
        <f t="shared" si="425"/>
        <v>0</v>
      </c>
      <c r="GZ111" s="572">
        <f t="shared" si="426"/>
        <v>0</v>
      </c>
      <c r="HA111" s="572">
        <f t="shared" si="427"/>
        <v>0</v>
      </c>
      <c r="HB111" s="572">
        <f t="shared" si="428"/>
        <v>0</v>
      </c>
      <c r="HC111" s="572">
        <f t="shared" si="429"/>
        <v>0</v>
      </c>
      <c r="HD111" s="572">
        <f t="shared" si="430"/>
        <v>0</v>
      </c>
      <c r="HE111" s="572">
        <f t="shared" si="431"/>
        <v>0</v>
      </c>
      <c r="HF111" s="989">
        <f t="shared" si="432"/>
        <v>0</v>
      </c>
      <c r="HG111" s="573">
        <f t="shared" ca="1" si="433"/>
        <v>0</v>
      </c>
      <c r="HH111" s="257"/>
    </row>
    <row r="112" spans="1:216" ht="15" hidden="1" customHeight="1" x14ac:dyDescent="0.25">
      <c r="A112" s="403"/>
      <c r="B112" s="3226"/>
      <c r="C112" s="92">
        <f ca="1">'Calc - SENIOR PERS'!$B$146</f>
        <v>0</v>
      </c>
      <c r="D112" s="5">
        <f ca="1">'Calc - SENIOR PERS'!$Q$151</f>
        <v>0</v>
      </c>
      <c r="E112" s="5">
        <f ca="1">'Calc - SENIOR PERS'!$Q$152</f>
        <v>0</v>
      </c>
      <c r="F112" s="5">
        <f ca="1">'Calc - SENIOR PERS'!$Q$153</f>
        <v>0</v>
      </c>
      <c r="G112" s="5">
        <f ca="1">'Calc - SENIOR PERS'!$Q$154</f>
        <v>0</v>
      </c>
      <c r="H112" s="5">
        <f ca="1">'Calc - SENIOR PERS'!$Q$155</f>
        <v>0</v>
      </c>
      <c r="I112" s="5">
        <f ca="1">'Calc - SENIOR PERS'!$Q$156</f>
        <v>0</v>
      </c>
      <c r="J112" s="88">
        <f t="shared" ca="1" si="355"/>
        <v>0</v>
      </c>
      <c r="K112" s="4"/>
      <c r="L112" s="4"/>
      <c r="M112" s="4"/>
      <c r="N112" s="5"/>
      <c r="O112" s="5"/>
      <c r="P112" s="5"/>
      <c r="Q112" s="5"/>
      <c r="R112" s="5"/>
      <c r="S112" s="5"/>
      <c r="T112" s="164">
        <f t="shared" si="356"/>
        <v>0</v>
      </c>
      <c r="U112" s="1"/>
      <c r="V112" s="5"/>
      <c r="W112" s="5"/>
      <c r="X112" s="5"/>
      <c r="Y112" s="5"/>
      <c r="Z112" s="5"/>
      <c r="AA112" s="5"/>
      <c r="AB112" s="138">
        <f t="shared" si="357"/>
        <v>0</v>
      </c>
      <c r="AD112" s="5"/>
      <c r="AE112" s="5"/>
      <c r="AF112" s="5"/>
      <c r="AG112" s="5"/>
      <c r="AH112" s="5"/>
      <c r="AI112" s="5"/>
      <c r="AJ112" s="206">
        <f t="shared" si="358"/>
        <v>0</v>
      </c>
      <c r="AL112" s="5"/>
      <c r="AM112" s="5"/>
      <c r="AN112" s="5"/>
      <c r="AO112" s="5"/>
      <c r="AP112" s="5"/>
      <c r="AQ112" s="5"/>
      <c r="AR112" s="178">
        <f t="shared" si="359"/>
        <v>0</v>
      </c>
      <c r="AT112" s="5"/>
      <c r="AU112" s="5"/>
      <c r="AV112" s="5"/>
      <c r="AW112" s="5"/>
      <c r="AX112" s="5"/>
      <c r="AY112" s="5"/>
      <c r="AZ112" s="150">
        <f t="shared" si="360"/>
        <v>0</v>
      </c>
      <c r="BB112" s="5"/>
      <c r="BC112" s="5"/>
      <c r="BD112" s="5"/>
      <c r="BE112" s="5"/>
      <c r="BF112" s="5"/>
      <c r="BG112" s="5"/>
      <c r="BH112" s="192">
        <f t="shared" si="361"/>
        <v>0</v>
      </c>
      <c r="BJ112" s="5"/>
      <c r="BK112" s="5"/>
      <c r="BL112" s="5"/>
      <c r="BM112" s="5"/>
      <c r="BN112" s="5"/>
      <c r="BO112" s="5"/>
      <c r="BP112" s="1102">
        <f t="shared" si="362"/>
        <v>0</v>
      </c>
      <c r="BR112" s="572">
        <f t="shared" si="363"/>
        <v>0</v>
      </c>
      <c r="BS112" s="572">
        <f t="shared" si="364"/>
        <v>0</v>
      </c>
      <c r="BT112" s="572">
        <f t="shared" si="365"/>
        <v>0</v>
      </c>
      <c r="BU112" s="572">
        <f t="shared" si="366"/>
        <v>0</v>
      </c>
      <c r="BV112" s="572">
        <f t="shared" si="367"/>
        <v>0</v>
      </c>
      <c r="BW112" s="572">
        <f t="shared" si="368"/>
        <v>0</v>
      </c>
      <c r="BX112" s="989">
        <f t="shared" si="369"/>
        <v>0</v>
      </c>
      <c r="BY112" s="573">
        <f t="shared" ca="1" si="370"/>
        <v>0</v>
      </c>
      <c r="BZ112" s="257"/>
      <c r="CB112" s="1182">
        <f t="shared" ca="1" si="434"/>
        <v>0</v>
      </c>
      <c r="CC112" s="387"/>
      <c r="CD112" s="56"/>
      <c r="CE112" s="56"/>
      <c r="CF112" s="56">
        <f ca="1">'Calc - SENIOR PERS'!$Q$152/3*0.5</f>
        <v>0</v>
      </c>
      <c r="CG112" s="1183">
        <f ca="1">'Calc - SENIOR PERS'!$Q$152/3*2.5</f>
        <v>0</v>
      </c>
      <c r="CH112" s="1184"/>
      <c r="CI112" s="1185"/>
      <c r="CJ112" s="1185"/>
      <c r="CK112" s="1185">
        <f ca="1">'Calc - SENIOR PERS'!$Q$153/3*0.5</f>
        <v>0</v>
      </c>
      <c r="CL112" s="1186">
        <f ca="1">'Calc - SENIOR PERS'!$Q$153/3*2.5</f>
        <v>0</v>
      </c>
      <c r="CM112" s="1187"/>
      <c r="CN112" s="1188"/>
      <c r="CO112" s="1189"/>
      <c r="CP112" s="1234">
        <f t="shared" ca="1" si="371"/>
        <v>0</v>
      </c>
      <c r="CS112" s="575"/>
      <c r="CT112" s="5"/>
      <c r="CU112" s="1180"/>
      <c r="CV112" s="575"/>
      <c r="CW112" s="5"/>
      <c r="CX112" s="1249"/>
      <c r="CY112" s="575"/>
      <c r="CZ112" s="5"/>
      <c r="DA112" s="1180"/>
      <c r="DB112" s="575"/>
      <c r="DC112" s="5"/>
      <c r="DD112" s="1180"/>
      <c r="DE112" s="1181">
        <f t="shared" si="372"/>
        <v>0</v>
      </c>
      <c r="DG112" s="575"/>
      <c r="DH112" s="5"/>
      <c r="DI112" s="1180"/>
      <c r="DJ112" s="575"/>
      <c r="DK112" s="5"/>
      <c r="DL112" s="1249"/>
      <c r="DM112" s="575"/>
      <c r="DN112" s="5"/>
      <c r="DO112" s="1180"/>
      <c r="DP112" s="575"/>
      <c r="DQ112" s="5"/>
      <c r="DR112" s="1180"/>
      <c r="DS112" s="1181">
        <f t="shared" si="373"/>
        <v>0</v>
      </c>
      <c r="DU112" s="575"/>
      <c r="DV112" s="5"/>
      <c r="DW112" s="1180"/>
      <c r="DX112" s="575"/>
      <c r="DY112" s="5"/>
      <c r="DZ112" s="1249"/>
      <c r="EA112" s="575"/>
      <c r="EB112" s="5"/>
      <c r="EC112" s="1180"/>
      <c r="ED112" s="575"/>
      <c r="EE112" s="5"/>
      <c r="EF112" s="1180"/>
      <c r="EG112" s="1181">
        <f t="shared" si="374"/>
        <v>0</v>
      </c>
      <c r="EI112" s="403"/>
      <c r="EJ112" s="3226"/>
      <c r="EK112" s="92">
        <f t="shared" ca="1" si="375"/>
        <v>0</v>
      </c>
      <c r="EL112" s="5">
        <f t="shared" ca="1" si="376"/>
        <v>0</v>
      </c>
      <c r="EM112" s="5">
        <f t="shared" ca="1" si="377"/>
        <v>0</v>
      </c>
      <c r="EN112" s="5">
        <f t="shared" ca="1" si="378"/>
        <v>0</v>
      </c>
      <c r="EO112" s="5">
        <f t="shared" ca="1" si="379"/>
        <v>0</v>
      </c>
      <c r="EP112" s="5">
        <f t="shared" ca="1" si="380"/>
        <v>0</v>
      </c>
      <c r="EQ112" s="5">
        <f t="shared" ca="1" si="381"/>
        <v>0</v>
      </c>
      <c r="ER112" s="88">
        <f t="shared" ca="1" si="382"/>
        <v>0</v>
      </c>
      <c r="ES112" s="4"/>
      <c r="ET112" s="4"/>
      <c r="EU112" s="4"/>
      <c r="EV112" s="5">
        <f t="shared" si="383"/>
        <v>0</v>
      </c>
      <c r="EW112" s="5">
        <f t="shared" si="384"/>
        <v>0</v>
      </c>
      <c r="EX112" s="5">
        <f t="shared" si="385"/>
        <v>0</v>
      </c>
      <c r="EY112" s="5">
        <f t="shared" si="386"/>
        <v>0</v>
      </c>
      <c r="EZ112" s="5">
        <f t="shared" si="387"/>
        <v>0</v>
      </c>
      <c r="FA112" s="5">
        <f t="shared" si="388"/>
        <v>0</v>
      </c>
      <c r="FB112" s="164">
        <f t="shared" si="389"/>
        <v>0</v>
      </c>
      <c r="FC112" s="1"/>
      <c r="FD112" s="5">
        <f t="shared" si="390"/>
        <v>0</v>
      </c>
      <c r="FE112" s="5">
        <f t="shared" si="391"/>
        <v>0</v>
      </c>
      <c r="FF112" s="5">
        <f t="shared" si="392"/>
        <v>0</v>
      </c>
      <c r="FG112" s="5">
        <f t="shared" si="393"/>
        <v>0</v>
      </c>
      <c r="FH112" s="5">
        <f t="shared" si="394"/>
        <v>0</v>
      </c>
      <c r="FI112" s="5">
        <f t="shared" si="395"/>
        <v>0</v>
      </c>
      <c r="FJ112" s="138">
        <f t="shared" si="396"/>
        <v>0</v>
      </c>
      <c r="FL112" s="5">
        <f t="shared" si="397"/>
        <v>0</v>
      </c>
      <c r="FM112" s="5">
        <f t="shared" si="398"/>
        <v>0</v>
      </c>
      <c r="FN112" s="5">
        <f t="shared" si="399"/>
        <v>0</v>
      </c>
      <c r="FO112" s="5">
        <f t="shared" si="400"/>
        <v>0</v>
      </c>
      <c r="FP112" s="5">
        <f t="shared" si="401"/>
        <v>0</v>
      </c>
      <c r="FQ112" s="5">
        <f t="shared" si="402"/>
        <v>0</v>
      </c>
      <c r="FR112" s="206">
        <f t="shared" si="403"/>
        <v>0</v>
      </c>
      <c r="FT112" s="5">
        <f t="shared" si="404"/>
        <v>0</v>
      </c>
      <c r="FU112" s="5">
        <f t="shared" si="405"/>
        <v>0</v>
      </c>
      <c r="FV112" s="5">
        <f t="shared" si="406"/>
        <v>0</v>
      </c>
      <c r="FW112" s="5">
        <f t="shared" si="407"/>
        <v>0</v>
      </c>
      <c r="FX112" s="5">
        <f t="shared" si="408"/>
        <v>0</v>
      </c>
      <c r="FY112" s="5">
        <f t="shared" si="409"/>
        <v>0</v>
      </c>
      <c r="FZ112" s="178">
        <f t="shared" si="410"/>
        <v>0</v>
      </c>
      <c r="GB112" s="5">
        <f t="shared" si="411"/>
        <v>0</v>
      </c>
      <c r="GC112" s="5">
        <f t="shared" si="412"/>
        <v>0</v>
      </c>
      <c r="GD112" s="5">
        <f t="shared" si="413"/>
        <v>0</v>
      </c>
      <c r="GE112" s="5">
        <f t="shared" si="414"/>
        <v>0</v>
      </c>
      <c r="GF112" s="5">
        <f t="shared" si="415"/>
        <v>0</v>
      </c>
      <c r="GG112" s="5">
        <f t="shared" si="416"/>
        <v>0</v>
      </c>
      <c r="GH112" s="150">
        <f t="shared" si="417"/>
        <v>0</v>
      </c>
      <c r="GJ112" s="5">
        <f t="shared" si="418"/>
        <v>0</v>
      </c>
      <c r="GK112" s="5">
        <f t="shared" si="419"/>
        <v>0</v>
      </c>
      <c r="GL112" s="5">
        <f t="shared" si="420"/>
        <v>0</v>
      </c>
      <c r="GM112" s="5">
        <f t="shared" si="421"/>
        <v>0</v>
      </c>
      <c r="GN112" s="5">
        <f t="shared" si="422"/>
        <v>0</v>
      </c>
      <c r="GO112" s="5">
        <f t="shared" si="423"/>
        <v>0</v>
      </c>
      <c r="GP112" s="192">
        <f t="shared" si="424"/>
        <v>0</v>
      </c>
      <c r="GR112" s="5"/>
      <c r="GS112" s="5"/>
      <c r="GT112" s="5"/>
      <c r="GU112" s="5"/>
      <c r="GV112" s="5"/>
      <c r="GW112" s="5"/>
      <c r="GX112" s="1102">
        <f t="shared" si="425"/>
        <v>0</v>
      </c>
      <c r="GZ112" s="572">
        <f t="shared" si="426"/>
        <v>0</v>
      </c>
      <c r="HA112" s="572">
        <f t="shared" si="427"/>
        <v>0</v>
      </c>
      <c r="HB112" s="572">
        <f t="shared" si="428"/>
        <v>0</v>
      </c>
      <c r="HC112" s="572">
        <f t="shared" si="429"/>
        <v>0</v>
      </c>
      <c r="HD112" s="572">
        <f t="shared" si="430"/>
        <v>0</v>
      </c>
      <c r="HE112" s="572">
        <f t="shared" si="431"/>
        <v>0</v>
      </c>
      <c r="HF112" s="989">
        <f t="shared" si="432"/>
        <v>0</v>
      </c>
      <c r="HG112" s="573">
        <f t="shared" ca="1" si="433"/>
        <v>0</v>
      </c>
      <c r="HH112" s="257"/>
    </row>
    <row r="113" spans="1:216" ht="15" hidden="1" customHeight="1" x14ac:dyDescent="0.25">
      <c r="A113" s="403"/>
      <c r="B113" s="3226"/>
      <c r="C113" s="92">
        <f ca="1">'Calc - SENIOR PERS'!$B$160</f>
        <v>0</v>
      </c>
      <c r="D113" s="5">
        <f ca="1">'Calc - SENIOR PERS'!$Q$165</f>
        <v>0</v>
      </c>
      <c r="E113" s="5">
        <f ca="1">'Calc - SENIOR PERS'!$Q$166</f>
        <v>0</v>
      </c>
      <c r="F113" s="5">
        <f ca="1">'Calc - SENIOR PERS'!$Q$167</f>
        <v>0</v>
      </c>
      <c r="G113" s="5">
        <f ca="1">'Calc - SENIOR PERS'!$Q$168</f>
        <v>0</v>
      </c>
      <c r="H113" s="5">
        <f ca="1">'Calc - SENIOR PERS'!$Q$169</f>
        <v>0</v>
      </c>
      <c r="I113" s="5">
        <f ca="1">'Calc - SENIOR PERS'!$Q$170</f>
        <v>0</v>
      </c>
      <c r="J113" s="88">
        <f t="shared" ca="1" si="355"/>
        <v>0</v>
      </c>
      <c r="K113" s="4"/>
      <c r="L113" s="4"/>
      <c r="M113" s="4"/>
      <c r="N113" s="5"/>
      <c r="O113" s="5"/>
      <c r="P113" s="5"/>
      <c r="Q113" s="5"/>
      <c r="R113" s="5"/>
      <c r="S113" s="5"/>
      <c r="T113" s="164">
        <f t="shared" si="356"/>
        <v>0</v>
      </c>
      <c r="U113" s="1"/>
      <c r="V113" s="5"/>
      <c r="W113" s="5"/>
      <c r="X113" s="5"/>
      <c r="Y113" s="5"/>
      <c r="Z113" s="5"/>
      <c r="AA113" s="5"/>
      <c r="AB113" s="138">
        <f t="shared" si="357"/>
        <v>0</v>
      </c>
      <c r="AD113" s="5"/>
      <c r="AE113" s="5"/>
      <c r="AF113" s="5"/>
      <c r="AG113" s="5"/>
      <c r="AH113" s="5"/>
      <c r="AI113" s="5"/>
      <c r="AJ113" s="206">
        <f t="shared" si="358"/>
        <v>0</v>
      </c>
      <c r="AL113" s="5"/>
      <c r="AM113" s="5"/>
      <c r="AN113" s="5"/>
      <c r="AO113" s="5"/>
      <c r="AP113" s="5"/>
      <c r="AQ113" s="5"/>
      <c r="AR113" s="178">
        <f t="shared" si="359"/>
        <v>0</v>
      </c>
      <c r="AT113" s="5"/>
      <c r="AU113" s="5"/>
      <c r="AV113" s="5"/>
      <c r="AW113" s="5"/>
      <c r="AX113" s="5"/>
      <c r="AY113" s="5"/>
      <c r="AZ113" s="150">
        <f t="shared" si="360"/>
        <v>0</v>
      </c>
      <c r="BB113" s="5"/>
      <c r="BC113" s="5"/>
      <c r="BD113" s="5"/>
      <c r="BE113" s="5"/>
      <c r="BF113" s="5"/>
      <c r="BG113" s="5"/>
      <c r="BH113" s="192">
        <f t="shared" si="361"/>
        <v>0</v>
      </c>
      <c r="BJ113" s="5"/>
      <c r="BK113" s="5"/>
      <c r="BL113" s="5"/>
      <c r="BM113" s="5"/>
      <c r="BN113" s="5"/>
      <c r="BO113" s="5"/>
      <c r="BP113" s="1102">
        <f t="shared" si="362"/>
        <v>0</v>
      </c>
      <c r="BR113" s="572">
        <f t="shared" si="363"/>
        <v>0</v>
      </c>
      <c r="BS113" s="572">
        <f t="shared" si="364"/>
        <v>0</v>
      </c>
      <c r="BT113" s="572">
        <f t="shared" si="365"/>
        <v>0</v>
      </c>
      <c r="BU113" s="572">
        <f t="shared" si="366"/>
        <v>0</v>
      </c>
      <c r="BV113" s="572">
        <f t="shared" si="367"/>
        <v>0</v>
      </c>
      <c r="BW113" s="572">
        <f t="shared" si="368"/>
        <v>0</v>
      </c>
      <c r="BX113" s="989">
        <f t="shared" si="369"/>
        <v>0</v>
      </c>
      <c r="BY113" s="573">
        <f t="shared" ca="1" si="370"/>
        <v>0</v>
      </c>
      <c r="BZ113" s="257"/>
      <c r="CB113" s="1182">
        <f t="shared" ca="1" si="434"/>
        <v>0</v>
      </c>
      <c r="CC113" s="387"/>
      <c r="CD113" s="56"/>
      <c r="CE113" s="56"/>
      <c r="CF113" s="56">
        <f ca="1">'Calc - SENIOR PERS'!$Q$166/3*0.5</f>
        <v>0</v>
      </c>
      <c r="CG113" s="1183">
        <f ca="1">'Calc - SENIOR PERS'!$Q$166/3*2.5</f>
        <v>0</v>
      </c>
      <c r="CH113" s="1184"/>
      <c r="CI113" s="1185"/>
      <c r="CJ113" s="1185"/>
      <c r="CK113" s="1185">
        <f ca="1">'Calc - SENIOR PERS'!$Q$167/3*0.5</f>
        <v>0</v>
      </c>
      <c r="CL113" s="1186">
        <f ca="1">'Calc - SENIOR PERS'!$Q$167/3*2.5</f>
        <v>0</v>
      </c>
      <c r="CM113" s="1187"/>
      <c r="CN113" s="1188"/>
      <c r="CO113" s="1189"/>
      <c r="CP113" s="1234">
        <f t="shared" ca="1" si="371"/>
        <v>0</v>
      </c>
      <c r="CS113" s="575"/>
      <c r="CT113" s="5"/>
      <c r="CU113" s="1180"/>
      <c r="CV113" s="575"/>
      <c r="CW113" s="5"/>
      <c r="CX113" s="1249"/>
      <c r="CY113" s="575"/>
      <c r="CZ113" s="5"/>
      <c r="DA113" s="1180"/>
      <c r="DB113" s="575"/>
      <c r="DC113" s="5"/>
      <c r="DD113" s="1180"/>
      <c r="DE113" s="1181">
        <f t="shared" si="372"/>
        <v>0</v>
      </c>
      <c r="DG113" s="575"/>
      <c r="DH113" s="5"/>
      <c r="DI113" s="1180"/>
      <c r="DJ113" s="575"/>
      <c r="DK113" s="5"/>
      <c r="DL113" s="1249"/>
      <c r="DM113" s="575"/>
      <c r="DN113" s="5"/>
      <c r="DO113" s="1180"/>
      <c r="DP113" s="575"/>
      <c r="DQ113" s="5"/>
      <c r="DR113" s="1180"/>
      <c r="DS113" s="1181">
        <f t="shared" si="373"/>
        <v>0</v>
      </c>
      <c r="DU113" s="575"/>
      <c r="DV113" s="5"/>
      <c r="DW113" s="1180"/>
      <c r="DX113" s="575"/>
      <c r="DY113" s="5"/>
      <c r="DZ113" s="1249"/>
      <c r="EA113" s="575"/>
      <c r="EB113" s="5"/>
      <c r="EC113" s="1180"/>
      <c r="ED113" s="575"/>
      <c r="EE113" s="5"/>
      <c r="EF113" s="1180"/>
      <c r="EG113" s="1181">
        <f t="shared" si="374"/>
        <v>0</v>
      </c>
      <c r="EI113" s="403"/>
      <c r="EJ113" s="3226"/>
      <c r="EK113" s="92">
        <f t="shared" ca="1" si="375"/>
        <v>0</v>
      </c>
      <c r="EL113" s="5">
        <f t="shared" ca="1" si="376"/>
        <v>0</v>
      </c>
      <c r="EM113" s="5">
        <f t="shared" ca="1" si="377"/>
        <v>0</v>
      </c>
      <c r="EN113" s="5">
        <f t="shared" ca="1" si="378"/>
        <v>0</v>
      </c>
      <c r="EO113" s="5">
        <f t="shared" ca="1" si="379"/>
        <v>0</v>
      </c>
      <c r="EP113" s="5">
        <f t="shared" ca="1" si="380"/>
        <v>0</v>
      </c>
      <c r="EQ113" s="5">
        <f t="shared" ca="1" si="381"/>
        <v>0</v>
      </c>
      <c r="ER113" s="88">
        <f t="shared" ca="1" si="382"/>
        <v>0</v>
      </c>
      <c r="ES113" s="4"/>
      <c r="ET113" s="4"/>
      <c r="EU113" s="4"/>
      <c r="EV113" s="5">
        <f t="shared" si="383"/>
        <v>0</v>
      </c>
      <c r="EW113" s="5">
        <f t="shared" si="384"/>
        <v>0</v>
      </c>
      <c r="EX113" s="5">
        <f t="shared" si="385"/>
        <v>0</v>
      </c>
      <c r="EY113" s="5">
        <f t="shared" si="386"/>
        <v>0</v>
      </c>
      <c r="EZ113" s="5">
        <f t="shared" si="387"/>
        <v>0</v>
      </c>
      <c r="FA113" s="5">
        <f t="shared" si="388"/>
        <v>0</v>
      </c>
      <c r="FB113" s="164">
        <f t="shared" si="389"/>
        <v>0</v>
      </c>
      <c r="FC113" s="1"/>
      <c r="FD113" s="5">
        <f t="shared" si="390"/>
        <v>0</v>
      </c>
      <c r="FE113" s="5">
        <f t="shared" si="391"/>
        <v>0</v>
      </c>
      <c r="FF113" s="5">
        <f t="shared" si="392"/>
        <v>0</v>
      </c>
      <c r="FG113" s="5">
        <f t="shared" si="393"/>
        <v>0</v>
      </c>
      <c r="FH113" s="5">
        <f t="shared" si="394"/>
        <v>0</v>
      </c>
      <c r="FI113" s="5">
        <f t="shared" si="395"/>
        <v>0</v>
      </c>
      <c r="FJ113" s="138">
        <f t="shared" si="396"/>
        <v>0</v>
      </c>
      <c r="FL113" s="5">
        <f t="shared" si="397"/>
        <v>0</v>
      </c>
      <c r="FM113" s="5">
        <f t="shared" si="398"/>
        <v>0</v>
      </c>
      <c r="FN113" s="5">
        <f t="shared" si="399"/>
        <v>0</v>
      </c>
      <c r="FO113" s="5">
        <f t="shared" si="400"/>
        <v>0</v>
      </c>
      <c r="FP113" s="5">
        <f t="shared" si="401"/>
        <v>0</v>
      </c>
      <c r="FQ113" s="5">
        <f t="shared" si="402"/>
        <v>0</v>
      </c>
      <c r="FR113" s="206">
        <f t="shared" si="403"/>
        <v>0</v>
      </c>
      <c r="FT113" s="5">
        <f t="shared" si="404"/>
        <v>0</v>
      </c>
      <c r="FU113" s="5">
        <f t="shared" si="405"/>
        <v>0</v>
      </c>
      <c r="FV113" s="5">
        <f t="shared" si="406"/>
        <v>0</v>
      </c>
      <c r="FW113" s="5">
        <f t="shared" si="407"/>
        <v>0</v>
      </c>
      <c r="FX113" s="5">
        <f t="shared" si="408"/>
        <v>0</v>
      </c>
      <c r="FY113" s="5">
        <f t="shared" si="409"/>
        <v>0</v>
      </c>
      <c r="FZ113" s="178">
        <f t="shared" si="410"/>
        <v>0</v>
      </c>
      <c r="GB113" s="5">
        <f t="shared" si="411"/>
        <v>0</v>
      </c>
      <c r="GC113" s="5">
        <f t="shared" si="412"/>
        <v>0</v>
      </c>
      <c r="GD113" s="5">
        <f t="shared" si="413"/>
        <v>0</v>
      </c>
      <c r="GE113" s="5">
        <f t="shared" si="414"/>
        <v>0</v>
      </c>
      <c r="GF113" s="5">
        <f t="shared" si="415"/>
        <v>0</v>
      </c>
      <c r="GG113" s="5">
        <f t="shared" si="416"/>
        <v>0</v>
      </c>
      <c r="GH113" s="150">
        <f t="shared" si="417"/>
        <v>0</v>
      </c>
      <c r="GJ113" s="5">
        <f t="shared" si="418"/>
        <v>0</v>
      </c>
      <c r="GK113" s="5">
        <f t="shared" si="419"/>
        <v>0</v>
      </c>
      <c r="GL113" s="5">
        <f t="shared" si="420"/>
        <v>0</v>
      </c>
      <c r="GM113" s="5">
        <f t="shared" si="421"/>
        <v>0</v>
      </c>
      <c r="GN113" s="5">
        <f t="shared" si="422"/>
        <v>0</v>
      </c>
      <c r="GO113" s="5">
        <f t="shared" si="423"/>
        <v>0</v>
      </c>
      <c r="GP113" s="192">
        <f t="shared" si="424"/>
        <v>0</v>
      </c>
      <c r="GR113" s="5"/>
      <c r="GS113" s="5"/>
      <c r="GT113" s="5"/>
      <c r="GU113" s="5"/>
      <c r="GV113" s="5"/>
      <c r="GW113" s="5"/>
      <c r="GX113" s="1102">
        <f t="shared" si="425"/>
        <v>0</v>
      </c>
      <c r="GZ113" s="572">
        <f t="shared" si="426"/>
        <v>0</v>
      </c>
      <c r="HA113" s="572">
        <f t="shared" si="427"/>
        <v>0</v>
      </c>
      <c r="HB113" s="572">
        <f t="shared" si="428"/>
        <v>0</v>
      </c>
      <c r="HC113" s="572">
        <f t="shared" si="429"/>
        <v>0</v>
      </c>
      <c r="HD113" s="572">
        <f t="shared" si="430"/>
        <v>0</v>
      </c>
      <c r="HE113" s="572">
        <f t="shared" si="431"/>
        <v>0</v>
      </c>
      <c r="HF113" s="989">
        <f t="shared" si="432"/>
        <v>0</v>
      </c>
      <c r="HG113" s="573">
        <f t="shared" ca="1" si="433"/>
        <v>0</v>
      </c>
      <c r="HH113" s="257"/>
    </row>
    <row r="114" spans="1:216" ht="15" hidden="1" customHeight="1" x14ac:dyDescent="0.25">
      <c r="A114" s="403"/>
      <c r="B114" s="3226"/>
      <c r="C114" s="92">
        <f ca="1">'Calc - SENIOR PERS'!$B$174</f>
        <v>0</v>
      </c>
      <c r="D114" s="5">
        <f ca="1">'Calc - SENIOR PERS'!$Q$179</f>
        <v>0</v>
      </c>
      <c r="E114" s="5">
        <f ca="1">'Calc - SENIOR PERS'!$Q$180</f>
        <v>0</v>
      </c>
      <c r="F114" s="5">
        <f ca="1">'Calc - SENIOR PERS'!$Q$181</f>
        <v>0</v>
      </c>
      <c r="G114" s="5">
        <f ca="1">'Calc - SENIOR PERS'!$Q$182</f>
        <v>0</v>
      </c>
      <c r="H114" s="5">
        <f ca="1">'Calc - SENIOR PERS'!$Q$183</f>
        <v>0</v>
      </c>
      <c r="I114" s="5">
        <f ca="1">'Calc - SENIOR PERS'!$Q$184</f>
        <v>0</v>
      </c>
      <c r="J114" s="88">
        <f t="shared" ca="1" si="355"/>
        <v>0</v>
      </c>
      <c r="K114" s="4"/>
      <c r="L114" s="4"/>
      <c r="M114" s="4"/>
      <c r="N114" s="5"/>
      <c r="O114" s="5"/>
      <c r="P114" s="5"/>
      <c r="Q114" s="5"/>
      <c r="R114" s="5"/>
      <c r="S114" s="5"/>
      <c r="T114" s="164">
        <f t="shared" si="356"/>
        <v>0</v>
      </c>
      <c r="U114" s="1"/>
      <c r="V114" s="5"/>
      <c r="W114" s="5"/>
      <c r="X114" s="5"/>
      <c r="Y114" s="5"/>
      <c r="Z114" s="5"/>
      <c r="AA114" s="5"/>
      <c r="AB114" s="138">
        <f t="shared" si="357"/>
        <v>0</v>
      </c>
      <c r="AD114" s="5"/>
      <c r="AE114" s="5"/>
      <c r="AF114" s="5"/>
      <c r="AG114" s="5"/>
      <c r="AH114" s="5"/>
      <c r="AI114" s="5"/>
      <c r="AJ114" s="206">
        <f t="shared" si="358"/>
        <v>0</v>
      </c>
      <c r="AL114" s="5"/>
      <c r="AM114" s="5"/>
      <c r="AN114" s="5"/>
      <c r="AO114" s="5"/>
      <c r="AP114" s="5"/>
      <c r="AQ114" s="5"/>
      <c r="AR114" s="178">
        <f t="shared" si="359"/>
        <v>0</v>
      </c>
      <c r="AT114" s="5"/>
      <c r="AU114" s="5"/>
      <c r="AV114" s="5"/>
      <c r="AW114" s="5"/>
      <c r="AX114" s="5"/>
      <c r="AY114" s="5"/>
      <c r="AZ114" s="150">
        <f t="shared" si="360"/>
        <v>0</v>
      </c>
      <c r="BB114" s="5"/>
      <c r="BC114" s="5"/>
      <c r="BD114" s="5"/>
      <c r="BE114" s="5"/>
      <c r="BF114" s="5"/>
      <c r="BG114" s="5"/>
      <c r="BH114" s="192">
        <f t="shared" si="361"/>
        <v>0</v>
      </c>
      <c r="BJ114" s="5"/>
      <c r="BK114" s="5"/>
      <c r="BL114" s="5"/>
      <c r="BM114" s="5"/>
      <c r="BN114" s="5"/>
      <c r="BO114" s="5"/>
      <c r="BP114" s="1102">
        <f t="shared" si="362"/>
        <v>0</v>
      </c>
      <c r="BR114" s="572">
        <f t="shared" si="363"/>
        <v>0</v>
      </c>
      <c r="BS114" s="572">
        <f t="shared" si="364"/>
        <v>0</v>
      </c>
      <c r="BT114" s="572">
        <f t="shared" si="365"/>
        <v>0</v>
      </c>
      <c r="BU114" s="572">
        <f t="shared" si="366"/>
        <v>0</v>
      </c>
      <c r="BV114" s="572">
        <f t="shared" si="367"/>
        <v>0</v>
      </c>
      <c r="BW114" s="572">
        <f t="shared" si="368"/>
        <v>0</v>
      </c>
      <c r="BX114" s="989">
        <f t="shared" si="369"/>
        <v>0</v>
      </c>
      <c r="BY114" s="573">
        <f t="shared" ca="1" si="370"/>
        <v>0</v>
      </c>
      <c r="BZ114" s="257"/>
      <c r="CB114" s="1182">
        <f t="shared" ca="1" si="434"/>
        <v>0</v>
      </c>
      <c r="CC114" s="387"/>
      <c r="CD114" s="56"/>
      <c r="CE114" s="56"/>
      <c r="CF114" s="56">
        <f ca="1">'Calc - SENIOR PERS'!$Q$180/3*0.5</f>
        <v>0</v>
      </c>
      <c r="CG114" s="1183">
        <f ca="1">'Calc - SENIOR PERS'!$Q$180/3*2.5</f>
        <v>0</v>
      </c>
      <c r="CH114" s="1184"/>
      <c r="CI114" s="1185"/>
      <c r="CJ114" s="1185"/>
      <c r="CK114" s="1185">
        <f ca="1">'Calc - SENIOR PERS'!$Q$181/3*0.5</f>
        <v>0</v>
      </c>
      <c r="CL114" s="1186">
        <f ca="1">'Calc - SENIOR PERS'!$Q$181/3*2.5</f>
        <v>0</v>
      </c>
      <c r="CM114" s="1187"/>
      <c r="CN114" s="1188"/>
      <c r="CO114" s="1189"/>
      <c r="CP114" s="1234">
        <f t="shared" ca="1" si="371"/>
        <v>0</v>
      </c>
      <c r="CS114" s="575"/>
      <c r="CT114" s="5"/>
      <c r="CU114" s="1180"/>
      <c r="CV114" s="575"/>
      <c r="CW114" s="5"/>
      <c r="CX114" s="1249"/>
      <c r="CY114" s="575"/>
      <c r="CZ114" s="5"/>
      <c r="DA114" s="1180"/>
      <c r="DB114" s="575"/>
      <c r="DC114" s="5"/>
      <c r="DD114" s="1180"/>
      <c r="DE114" s="1181">
        <f t="shared" si="372"/>
        <v>0</v>
      </c>
      <c r="DG114" s="575"/>
      <c r="DH114" s="5"/>
      <c r="DI114" s="1180"/>
      <c r="DJ114" s="575"/>
      <c r="DK114" s="5"/>
      <c r="DL114" s="1249"/>
      <c r="DM114" s="575"/>
      <c r="DN114" s="5"/>
      <c r="DO114" s="1180"/>
      <c r="DP114" s="575"/>
      <c r="DQ114" s="5"/>
      <c r="DR114" s="1180"/>
      <c r="DS114" s="1181">
        <f t="shared" si="373"/>
        <v>0</v>
      </c>
      <c r="DU114" s="575"/>
      <c r="DV114" s="5"/>
      <c r="DW114" s="1180"/>
      <c r="DX114" s="575"/>
      <c r="DY114" s="5"/>
      <c r="DZ114" s="1249"/>
      <c r="EA114" s="575"/>
      <c r="EB114" s="5"/>
      <c r="EC114" s="1180"/>
      <c r="ED114" s="575"/>
      <c r="EE114" s="5"/>
      <c r="EF114" s="1180"/>
      <c r="EG114" s="1181">
        <f t="shared" si="374"/>
        <v>0</v>
      </c>
      <c r="EI114" s="403"/>
      <c r="EJ114" s="3226"/>
      <c r="EK114" s="92">
        <f t="shared" ca="1" si="375"/>
        <v>0</v>
      </c>
      <c r="EL114" s="5">
        <f t="shared" ca="1" si="376"/>
        <v>0</v>
      </c>
      <c r="EM114" s="5">
        <f t="shared" ca="1" si="377"/>
        <v>0</v>
      </c>
      <c r="EN114" s="5">
        <f t="shared" ca="1" si="378"/>
        <v>0</v>
      </c>
      <c r="EO114" s="5">
        <f t="shared" ca="1" si="379"/>
        <v>0</v>
      </c>
      <c r="EP114" s="5">
        <f t="shared" ca="1" si="380"/>
        <v>0</v>
      </c>
      <c r="EQ114" s="5">
        <f t="shared" ca="1" si="381"/>
        <v>0</v>
      </c>
      <c r="ER114" s="88">
        <f t="shared" ca="1" si="382"/>
        <v>0</v>
      </c>
      <c r="ES114" s="4"/>
      <c r="ET114" s="4"/>
      <c r="EU114" s="4"/>
      <c r="EV114" s="5">
        <f t="shared" si="383"/>
        <v>0</v>
      </c>
      <c r="EW114" s="5">
        <f t="shared" si="384"/>
        <v>0</v>
      </c>
      <c r="EX114" s="5">
        <f t="shared" si="385"/>
        <v>0</v>
      </c>
      <c r="EY114" s="5">
        <f t="shared" si="386"/>
        <v>0</v>
      </c>
      <c r="EZ114" s="5">
        <f t="shared" si="387"/>
        <v>0</v>
      </c>
      <c r="FA114" s="5">
        <f t="shared" si="388"/>
        <v>0</v>
      </c>
      <c r="FB114" s="164">
        <f t="shared" si="389"/>
        <v>0</v>
      </c>
      <c r="FC114" s="1"/>
      <c r="FD114" s="5">
        <f t="shared" si="390"/>
        <v>0</v>
      </c>
      <c r="FE114" s="5">
        <f t="shared" si="391"/>
        <v>0</v>
      </c>
      <c r="FF114" s="5">
        <f t="shared" si="392"/>
        <v>0</v>
      </c>
      <c r="FG114" s="5">
        <f t="shared" si="393"/>
        <v>0</v>
      </c>
      <c r="FH114" s="5">
        <f t="shared" si="394"/>
        <v>0</v>
      </c>
      <c r="FI114" s="5">
        <f t="shared" si="395"/>
        <v>0</v>
      </c>
      <c r="FJ114" s="138">
        <f t="shared" si="396"/>
        <v>0</v>
      </c>
      <c r="FL114" s="5">
        <f t="shared" si="397"/>
        <v>0</v>
      </c>
      <c r="FM114" s="5">
        <f t="shared" si="398"/>
        <v>0</v>
      </c>
      <c r="FN114" s="5">
        <f t="shared" si="399"/>
        <v>0</v>
      </c>
      <c r="FO114" s="5">
        <f t="shared" si="400"/>
        <v>0</v>
      </c>
      <c r="FP114" s="5">
        <f t="shared" si="401"/>
        <v>0</v>
      </c>
      <c r="FQ114" s="5">
        <f t="shared" si="402"/>
        <v>0</v>
      </c>
      <c r="FR114" s="206">
        <f t="shared" si="403"/>
        <v>0</v>
      </c>
      <c r="FT114" s="5">
        <f t="shared" si="404"/>
        <v>0</v>
      </c>
      <c r="FU114" s="5">
        <f t="shared" si="405"/>
        <v>0</v>
      </c>
      <c r="FV114" s="5">
        <f t="shared" si="406"/>
        <v>0</v>
      </c>
      <c r="FW114" s="5">
        <f t="shared" si="407"/>
        <v>0</v>
      </c>
      <c r="FX114" s="5">
        <f t="shared" si="408"/>
        <v>0</v>
      </c>
      <c r="FY114" s="5">
        <f t="shared" si="409"/>
        <v>0</v>
      </c>
      <c r="FZ114" s="178">
        <f t="shared" si="410"/>
        <v>0</v>
      </c>
      <c r="GB114" s="5">
        <f t="shared" si="411"/>
        <v>0</v>
      </c>
      <c r="GC114" s="5">
        <f t="shared" si="412"/>
        <v>0</v>
      </c>
      <c r="GD114" s="5">
        <f t="shared" si="413"/>
        <v>0</v>
      </c>
      <c r="GE114" s="5">
        <f t="shared" si="414"/>
        <v>0</v>
      </c>
      <c r="GF114" s="5">
        <f t="shared" si="415"/>
        <v>0</v>
      </c>
      <c r="GG114" s="5">
        <f t="shared" si="416"/>
        <v>0</v>
      </c>
      <c r="GH114" s="150">
        <f t="shared" si="417"/>
        <v>0</v>
      </c>
      <c r="GJ114" s="5">
        <f t="shared" si="418"/>
        <v>0</v>
      </c>
      <c r="GK114" s="5">
        <f t="shared" si="419"/>
        <v>0</v>
      </c>
      <c r="GL114" s="5">
        <f t="shared" si="420"/>
        <v>0</v>
      </c>
      <c r="GM114" s="5">
        <f t="shared" si="421"/>
        <v>0</v>
      </c>
      <c r="GN114" s="5">
        <f t="shared" si="422"/>
        <v>0</v>
      </c>
      <c r="GO114" s="5">
        <f t="shared" si="423"/>
        <v>0</v>
      </c>
      <c r="GP114" s="192">
        <f t="shared" si="424"/>
        <v>0</v>
      </c>
      <c r="GR114" s="5"/>
      <c r="GS114" s="5"/>
      <c r="GT114" s="5"/>
      <c r="GU114" s="5"/>
      <c r="GV114" s="5"/>
      <c r="GW114" s="5"/>
      <c r="GX114" s="1102">
        <f t="shared" si="425"/>
        <v>0</v>
      </c>
      <c r="GZ114" s="572">
        <f t="shared" si="426"/>
        <v>0</v>
      </c>
      <c r="HA114" s="572">
        <f t="shared" si="427"/>
        <v>0</v>
      </c>
      <c r="HB114" s="572">
        <f t="shared" si="428"/>
        <v>0</v>
      </c>
      <c r="HC114" s="572">
        <f t="shared" si="429"/>
        <v>0</v>
      </c>
      <c r="HD114" s="572">
        <f t="shared" si="430"/>
        <v>0</v>
      </c>
      <c r="HE114" s="572">
        <f t="shared" si="431"/>
        <v>0</v>
      </c>
      <c r="HF114" s="989">
        <f t="shared" si="432"/>
        <v>0</v>
      </c>
      <c r="HG114" s="573">
        <f t="shared" ca="1" si="433"/>
        <v>0</v>
      </c>
      <c r="HH114" s="257"/>
    </row>
    <row r="115" spans="1:216" ht="15" hidden="1" customHeight="1" x14ac:dyDescent="0.25">
      <c r="A115" s="403"/>
      <c r="B115" s="3226"/>
      <c r="C115" s="92">
        <f ca="1">'Calc - SENIOR PERS'!$B$188</f>
        <v>0</v>
      </c>
      <c r="D115" s="5">
        <f ca="1">'Calc - SENIOR PERS'!$Q$193</f>
        <v>0</v>
      </c>
      <c r="E115" s="5">
        <f ca="1">'Calc - SENIOR PERS'!$Q$194</f>
        <v>0</v>
      </c>
      <c r="F115" s="5">
        <f ca="1">'Calc - SENIOR PERS'!$Q$195</f>
        <v>0</v>
      </c>
      <c r="G115" s="5">
        <f ca="1">'Calc - SENIOR PERS'!$Q$196</f>
        <v>0</v>
      </c>
      <c r="H115" s="5">
        <f ca="1">'Calc - SENIOR PERS'!$Q$197</f>
        <v>0</v>
      </c>
      <c r="I115" s="5">
        <f ca="1">'Calc - SENIOR PERS'!$Q$198</f>
        <v>0</v>
      </c>
      <c r="J115" s="88">
        <f t="shared" ca="1" si="355"/>
        <v>0</v>
      </c>
      <c r="K115" s="4"/>
      <c r="L115" s="4"/>
      <c r="M115" s="4"/>
      <c r="N115" s="5"/>
      <c r="O115" s="5"/>
      <c r="P115" s="5"/>
      <c r="Q115" s="5"/>
      <c r="R115" s="5"/>
      <c r="S115" s="5"/>
      <c r="T115" s="164">
        <f t="shared" si="356"/>
        <v>0</v>
      </c>
      <c r="U115" s="1"/>
      <c r="V115" s="5"/>
      <c r="W115" s="5"/>
      <c r="X115" s="5"/>
      <c r="Y115" s="5"/>
      <c r="Z115" s="5"/>
      <c r="AA115" s="5"/>
      <c r="AB115" s="138">
        <f t="shared" si="357"/>
        <v>0</v>
      </c>
      <c r="AD115" s="321"/>
      <c r="AE115" s="321"/>
      <c r="AF115" s="321"/>
      <c r="AG115" s="321"/>
      <c r="AH115" s="321"/>
      <c r="AI115" s="321"/>
      <c r="AJ115" s="385">
        <f t="shared" si="358"/>
        <v>0</v>
      </c>
      <c r="AL115" s="321"/>
      <c r="AM115" s="321"/>
      <c r="AN115" s="321"/>
      <c r="AO115" s="321"/>
      <c r="AP115" s="321"/>
      <c r="AQ115" s="321"/>
      <c r="AR115" s="384">
        <f t="shared" si="359"/>
        <v>0</v>
      </c>
      <c r="AT115" s="5"/>
      <c r="AU115" s="5"/>
      <c r="AV115" s="5"/>
      <c r="AW115" s="5"/>
      <c r="AX115" s="5"/>
      <c r="AY115" s="5"/>
      <c r="AZ115" s="150">
        <f t="shared" si="360"/>
        <v>0</v>
      </c>
      <c r="BB115" s="5"/>
      <c r="BC115" s="5"/>
      <c r="BD115" s="5"/>
      <c r="BE115" s="5"/>
      <c r="BF115" s="5"/>
      <c r="BG115" s="5"/>
      <c r="BH115" s="192">
        <f t="shared" si="361"/>
        <v>0</v>
      </c>
      <c r="BJ115" s="5"/>
      <c r="BK115" s="5"/>
      <c r="BL115" s="5"/>
      <c r="BM115" s="5"/>
      <c r="BN115" s="5"/>
      <c r="BO115" s="5"/>
      <c r="BP115" s="1102">
        <f t="shared" si="362"/>
        <v>0</v>
      </c>
      <c r="BR115" s="572">
        <f t="shared" si="363"/>
        <v>0</v>
      </c>
      <c r="BS115" s="572">
        <f t="shared" si="364"/>
        <v>0</v>
      </c>
      <c r="BT115" s="572">
        <f t="shared" si="365"/>
        <v>0</v>
      </c>
      <c r="BU115" s="572">
        <f t="shared" si="366"/>
        <v>0</v>
      </c>
      <c r="BV115" s="572">
        <f t="shared" si="367"/>
        <v>0</v>
      </c>
      <c r="BW115" s="572">
        <f t="shared" si="368"/>
        <v>0</v>
      </c>
      <c r="BX115" s="989">
        <f t="shared" si="369"/>
        <v>0</v>
      </c>
      <c r="BY115" s="573">
        <f t="shared" ca="1" si="370"/>
        <v>0</v>
      </c>
      <c r="BZ115" s="257"/>
      <c r="CB115" s="1182">
        <f t="shared" ca="1" si="434"/>
        <v>0</v>
      </c>
      <c r="CC115" s="387"/>
      <c r="CD115" s="56"/>
      <c r="CE115" s="56"/>
      <c r="CF115" s="56">
        <f ca="1">'Calc - SENIOR PERS'!$Q$194/3*0.5</f>
        <v>0</v>
      </c>
      <c r="CG115" s="1183">
        <f ca="1">'Calc - SENIOR PERS'!$Q$194/3*2.5</f>
        <v>0</v>
      </c>
      <c r="CH115" s="1184"/>
      <c r="CI115" s="1185"/>
      <c r="CJ115" s="1185"/>
      <c r="CK115" s="1185">
        <f ca="1">'Calc - SENIOR PERS'!$Q$195/3*0.5</f>
        <v>0</v>
      </c>
      <c r="CL115" s="1186">
        <f ca="1">'Calc - SENIOR PERS'!$Q$195/3*2.5</f>
        <v>0</v>
      </c>
      <c r="CM115" s="1187"/>
      <c r="CN115" s="1188"/>
      <c r="CO115" s="1189"/>
      <c r="CP115" s="1234">
        <f t="shared" ca="1" si="371"/>
        <v>0</v>
      </c>
      <c r="CS115" s="575"/>
      <c r="CT115" s="5"/>
      <c r="CU115" s="1180"/>
      <c r="CV115" s="575"/>
      <c r="CW115" s="5"/>
      <c r="CX115" s="1249"/>
      <c r="CY115" s="575"/>
      <c r="CZ115" s="5"/>
      <c r="DA115" s="1180"/>
      <c r="DB115" s="575"/>
      <c r="DC115" s="5"/>
      <c r="DD115" s="1180"/>
      <c r="DE115" s="1181">
        <f t="shared" si="372"/>
        <v>0</v>
      </c>
      <c r="DG115" s="575"/>
      <c r="DH115" s="5"/>
      <c r="DI115" s="1180"/>
      <c r="DJ115" s="575"/>
      <c r="DK115" s="5"/>
      <c r="DL115" s="1249"/>
      <c r="DM115" s="575"/>
      <c r="DN115" s="5"/>
      <c r="DO115" s="1180"/>
      <c r="DP115" s="575"/>
      <c r="DQ115" s="5"/>
      <c r="DR115" s="1180"/>
      <c r="DS115" s="1181">
        <f t="shared" si="373"/>
        <v>0</v>
      </c>
      <c r="DU115" s="575"/>
      <c r="DV115" s="5"/>
      <c r="DW115" s="1180"/>
      <c r="DX115" s="575"/>
      <c r="DY115" s="5"/>
      <c r="DZ115" s="1249"/>
      <c r="EA115" s="575"/>
      <c r="EB115" s="5"/>
      <c r="EC115" s="1180"/>
      <c r="ED115" s="575"/>
      <c r="EE115" s="5"/>
      <c r="EF115" s="1180"/>
      <c r="EG115" s="1181">
        <f t="shared" si="374"/>
        <v>0</v>
      </c>
      <c r="EI115" s="403"/>
      <c r="EJ115" s="3226"/>
      <c r="EK115" s="92">
        <f t="shared" ca="1" si="375"/>
        <v>0</v>
      </c>
      <c r="EL115" s="5">
        <f t="shared" ca="1" si="376"/>
        <v>0</v>
      </c>
      <c r="EM115" s="5">
        <f t="shared" ca="1" si="377"/>
        <v>0</v>
      </c>
      <c r="EN115" s="5">
        <f t="shared" ca="1" si="378"/>
        <v>0</v>
      </c>
      <c r="EO115" s="5">
        <f t="shared" ca="1" si="379"/>
        <v>0</v>
      </c>
      <c r="EP115" s="5">
        <f t="shared" ca="1" si="380"/>
        <v>0</v>
      </c>
      <c r="EQ115" s="5">
        <f t="shared" ca="1" si="381"/>
        <v>0</v>
      </c>
      <c r="ER115" s="88">
        <f t="shared" ca="1" si="382"/>
        <v>0</v>
      </c>
      <c r="ES115" s="4"/>
      <c r="ET115" s="4"/>
      <c r="EU115" s="4"/>
      <c r="EV115" s="5">
        <f t="shared" si="383"/>
        <v>0</v>
      </c>
      <c r="EW115" s="5">
        <f t="shared" si="384"/>
        <v>0</v>
      </c>
      <c r="EX115" s="5">
        <f t="shared" si="385"/>
        <v>0</v>
      </c>
      <c r="EY115" s="5">
        <f t="shared" si="386"/>
        <v>0</v>
      </c>
      <c r="EZ115" s="5">
        <f t="shared" si="387"/>
        <v>0</v>
      </c>
      <c r="FA115" s="5">
        <f t="shared" si="388"/>
        <v>0</v>
      </c>
      <c r="FB115" s="164">
        <f t="shared" si="389"/>
        <v>0</v>
      </c>
      <c r="FC115" s="1"/>
      <c r="FD115" s="5">
        <f t="shared" si="390"/>
        <v>0</v>
      </c>
      <c r="FE115" s="5">
        <f t="shared" si="391"/>
        <v>0</v>
      </c>
      <c r="FF115" s="5">
        <f t="shared" si="392"/>
        <v>0</v>
      </c>
      <c r="FG115" s="5">
        <f t="shared" si="393"/>
        <v>0</v>
      </c>
      <c r="FH115" s="5">
        <f t="shared" si="394"/>
        <v>0</v>
      </c>
      <c r="FI115" s="5">
        <f t="shared" si="395"/>
        <v>0</v>
      </c>
      <c r="FJ115" s="138">
        <f t="shared" si="396"/>
        <v>0</v>
      </c>
      <c r="FL115" s="321">
        <f t="shared" si="397"/>
        <v>0</v>
      </c>
      <c r="FM115" s="321">
        <f t="shared" si="398"/>
        <v>0</v>
      </c>
      <c r="FN115" s="321">
        <f t="shared" si="399"/>
        <v>0</v>
      </c>
      <c r="FO115" s="321">
        <f t="shared" si="400"/>
        <v>0</v>
      </c>
      <c r="FP115" s="321">
        <f t="shared" si="401"/>
        <v>0</v>
      </c>
      <c r="FQ115" s="321">
        <f t="shared" si="402"/>
        <v>0</v>
      </c>
      <c r="FR115" s="385">
        <f t="shared" si="403"/>
        <v>0</v>
      </c>
      <c r="FT115" s="321">
        <f t="shared" si="404"/>
        <v>0</v>
      </c>
      <c r="FU115" s="321">
        <f t="shared" si="405"/>
        <v>0</v>
      </c>
      <c r="FV115" s="321">
        <f t="shared" si="406"/>
        <v>0</v>
      </c>
      <c r="FW115" s="321">
        <f t="shared" si="407"/>
        <v>0</v>
      </c>
      <c r="FX115" s="321">
        <f t="shared" si="408"/>
        <v>0</v>
      </c>
      <c r="FY115" s="321">
        <f t="shared" si="409"/>
        <v>0</v>
      </c>
      <c r="FZ115" s="384">
        <f t="shared" si="410"/>
        <v>0</v>
      </c>
      <c r="GB115" s="5">
        <f t="shared" si="411"/>
        <v>0</v>
      </c>
      <c r="GC115" s="5">
        <f t="shared" si="412"/>
        <v>0</v>
      </c>
      <c r="GD115" s="5">
        <f t="shared" si="413"/>
        <v>0</v>
      </c>
      <c r="GE115" s="5">
        <f t="shared" si="414"/>
        <v>0</v>
      </c>
      <c r="GF115" s="5">
        <f t="shared" si="415"/>
        <v>0</v>
      </c>
      <c r="GG115" s="5">
        <f t="shared" si="416"/>
        <v>0</v>
      </c>
      <c r="GH115" s="150">
        <f t="shared" si="417"/>
        <v>0</v>
      </c>
      <c r="GJ115" s="5">
        <f t="shared" si="418"/>
        <v>0</v>
      </c>
      <c r="GK115" s="5">
        <f t="shared" si="419"/>
        <v>0</v>
      </c>
      <c r="GL115" s="5">
        <f t="shared" si="420"/>
        <v>0</v>
      </c>
      <c r="GM115" s="5">
        <f t="shared" si="421"/>
        <v>0</v>
      </c>
      <c r="GN115" s="5">
        <f t="shared" si="422"/>
        <v>0</v>
      </c>
      <c r="GO115" s="5">
        <f t="shared" si="423"/>
        <v>0</v>
      </c>
      <c r="GP115" s="192">
        <f t="shared" si="424"/>
        <v>0</v>
      </c>
      <c r="GR115" s="5"/>
      <c r="GS115" s="5"/>
      <c r="GT115" s="5"/>
      <c r="GU115" s="5"/>
      <c r="GV115" s="5"/>
      <c r="GW115" s="5"/>
      <c r="GX115" s="1102">
        <f t="shared" si="425"/>
        <v>0</v>
      </c>
      <c r="GZ115" s="572">
        <f t="shared" si="426"/>
        <v>0</v>
      </c>
      <c r="HA115" s="572">
        <f t="shared" si="427"/>
        <v>0</v>
      </c>
      <c r="HB115" s="572">
        <f t="shared" si="428"/>
        <v>0</v>
      </c>
      <c r="HC115" s="572">
        <f t="shared" si="429"/>
        <v>0</v>
      </c>
      <c r="HD115" s="572">
        <f t="shared" si="430"/>
        <v>0</v>
      </c>
      <c r="HE115" s="572">
        <f t="shared" si="431"/>
        <v>0</v>
      </c>
      <c r="HF115" s="989">
        <f t="shared" si="432"/>
        <v>0</v>
      </c>
      <c r="HG115" s="573">
        <f t="shared" ca="1" si="433"/>
        <v>0</v>
      </c>
      <c r="HH115" s="257"/>
    </row>
    <row r="116" spans="1:216" ht="15" hidden="1" customHeight="1" thickBot="1" x14ac:dyDescent="0.3">
      <c r="A116" s="403"/>
      <c r="B116" s="3227"/>
      <c r="C116" s="2143">
        <f ca="1">'Calc - SENIOR PERS'!$B$202</f>
        <v>0</v>
      </c>
      <c r="D116" s="42">
        <f ca="1">'Calc - SENIOR PERS'!$Q$207</f>
        <v>0</v>
      </c>
      <c r="E116" s="42">
        <f ca="1">'Calc - SENIOR PERS'!$Q$208</f>
        <v>0</v>
      </c>
      <c r="F116" s="42">
        <f ca="1">'Calc - SENIOR PERS'!$Q$209</f>
        <v>0</v>
      </c>
      <c r="G116" s="42">
        <f ca="1">'Calc - SENIOR PERS'!$Q$210</f>
        <v>0</v>
      </c>
      <c r="H116" s="42">
        <f ca="1">'Calc - SENIOR PERS'!$Q$211</f>
        <v>0</v>
      </c>
      <c r="I116" s="42">
        <f ca="1">'Calc - SENIOR PERS'!$Q$212</f>
        <v>0</v>
      </c>
      <c r="J116" s="90">
        <f t="shared" ca="1" si="355"/>
        <v>0</v>
      </c>
      <c r="K116" s="4"/>
      <c r="L116" s="4"/>
      <c r="M116" s="4"/>
      <c r="N116" s="321"/>
      <c r="O116" s="321"/>
      <c r="P116" s="321"/>
      <c r="Q116" s="321"/>
      <c r="R116" s="321"/>
      <c r="S116" s="321"/>
      <c r="T116" s="380">
        <f t="shared" si="356"/>
        <v>0</v>
      </c>
      <c r="U116" s="1"/>
      <c r="V116" s="5"/>
      <c r="W116" s="5"/>
      <c r="X116" s="5"/>
      <c r="Y116" s="5"/>
      <c r="Z116" s="5"/>
      <c r="AA116" s="5"/>
      <c r="AB116" s="48">
        <f t="shared" si="357"/>
        <v>0</v>
      </c>
      <c r="AD116" s="5"/>
      <c r="AE116" s="5"/>
      <c r="AF116" s="5"/>
      <c r="AG116" s="5"/>
      <c r="AH116" s="5"/>
      <c r="AI116" s="5"/>
      <c r="AJ116" s="209">
        <f t="shared" si="358"/>
        <v>0</v>
      </c>
      <c r="AL116" s="5"/>
      <c r="AM116" s="5"/>
      <c r="AN116" s="5"/>
      <c r="AO116" s="5"/>
      <c r="AP116" s="5"/>
      <c r="AQ116" s="5"/>
      <c r="AR116" s="181">
        <f t="shared" si="359"/>
        <v>0</v>
      </c>
      <c r="AT116" s="321"/>
      <c r="AU116" s="321"/>
      <c r="AV116" s="321"/>
      <c r="AW116" s="321"/>
      <c r="AX116" s="321"/>
      <c r="AY116" s="321"/>
      <c r="AZ116" s="383">
        <f t="shared" si="360"/>
        <v>0</v>
      </c>
      <c r="BB116" s="321"/>
      <c r="BC116" s="321"/>
      <c r="BD116" s="321"/>
      <c r="BE116" s="321"/>
      <c r="BF116" s="321"/>
      <c r="BG116" s="321"/>
      <c r="BH116" s="382">
        <f t="shared" si="361"/>
        <v>0</v>
      </c>
      <c r="BJ116" s="321"/>
      <c r="BK116" s="321"/>
      <c r="BL116" s="321"/>
      <c r="BM116" s="321"/>
      <c r="BN116" s="321"/>
      <c r="BO116" s="321"/>
      <c r="BP116" s="1107">
        <f t="shared" si="362"/>
        <v>0</v>
      </c>
      <c r="BR116" s="576">
        <f t="shared" si="363"/>
        <v>0</v>
      </c>
      <c r="BS116" s="576">
        <f t="shared" si="364"/>
        <v>0</v>
      </c>
      <c r="BT116" s="576">
        <f t="shared" si="365"/>
        <v>0</v>
      </c>
      <c r="BU116" s="576">
        <f t="shared" si="366"/>
        <v>0</v>
      </c>
      <c r="BV116" s="576">
        <f t="shared" si="367"/>
        <v>0</v>
      </c>
      <c r="BW116" s="576">
        <f t="shared" si="368"/>
        <v>0</v>
      </c>
      <c r="BX116" s="994">
        <f t="shared" si="369"/>
        <v>0</v>
      </c>
      <c r="BY116" s="577">
        <f t="shared" ca="1" si="370"/>
        <v>0</v>
      </c>
      <c r="BZ116" s="257"/>
      <c r="CB116" s="1200">
        <f t="shared" ca="1" si="434"/>
        <v>0</v>
      </c>
      <c r="CC116" s="1201"/>
      <c r="CD116" s="1202"/>
      <c r="CE116" s="1202"/>
      <c r="CF116" s="1202">
        <f ca="1">'Calc - SENIOR PERS'!$Q$208/3*0.5</f>
        <v>0</v>
      </c>
      <c r="CG116" s="1203">
        <f ca="1">'Calc - SENIOR PERS'!$Q$208/3*2.5</f>
        <v>0</v>
      </c>
      <c r="CH116" s="1204"/>
      <c r="CI116" s="1205"/>
      <c r="CJ116" s="1205"/>
      <c r="CK116" s="1205">
        <f ca="1">'Calc - SENIOR PERS'!$Q$209/3*0.5</f>
        <v>0</v>
      </c>
      <c r="CL116" s="1206">
        <f ca="1">'Calc - SENIOR PERS'!$Q$209/3*2.5</f>
        <v>0</v>
      </c>
      <c r="CM116" s="1207"/>
      <c r="CN116" s="1208"/>
      <c r="CO116" s="1209"/>
      <c r="CP116" s="1237">
        <f t="shared" ca="1" si="371"/>
        <v>0</v>
      </c>
      <c r="CS116" s="1034"/>
      <c r="CT116" s="321"/>
      <c r="CU116" s="1253"/>
      <c r="CV116" s="1034"/>
      <c r="CW116" s="321"/>
      <c r="CX116" s="1254"/>
      <c r="CY116" s="1034"/>
      <c r="CZ116" s="321"/>
      <c r="DA116" s="1253"/>
      <c r="DB116" s="1034"/>
      <c r="DC116" s="321"/>
      <c r="DD116" s="1253"/>
      <c r="DE116" s="1255">
        <f t="shared" si="372"/>
        <v>0</v>
      </c>
      <c r="DG116" s="1034"/>
      <c r="DH116" s="321"/>
      <c r="DI116" s="1253"/>
      <c r="DJ116" s="1034"/>
      <c r="DK116" s="321"/>
      <c r="DL116" s="1254"/>
      <c r="DM116" s="1034"/>
      <c r="DN116" s="321"/>
      <c r="DO116" s="1253"/>
      <c r="DP116" s="1034"/>
      <c r="DQ116" s="321"/>
      <c r="DR116" s="1253"/>
      <c r="DS116" s="1255">
        <f t="shared" si="373"/>
        <v>0</v>
      </c>
      <c r="DU116" s="1034"/>
      <c r="DV116" s="321"/>
      <c r="DW116" s="1253"/>
      <c r="DX116" s="1034"/>
      <c r="DY116" s="321"/>
      <c r="DZ116" s="1254"/>
      <c r="EA116" s="1034"/>
      <c r="EB116" s="321"/>
      <c r="EC116" s="1253"/>
      <c r="ED116" s="1034"/>
      <c r="EE116" s="321"/>
      <c r="EF116" s="1253"/>
      <c r="EG116" s="1255">
        <f t="shared" si="374"/>
        <v>0</v>
      </c>
      <c r="EI116" s="403"/>
      <c r="EJ116" s="3227"/>
      <c r="EK116" s="92">
        <f t="shared" ca="1" si="375"/>
        <v>0</v>
      </c>
      <c r="EL116" s="5">
        <f t="shared" ca="1" si="376"/>
        <v>0</v>
      </c>
      <c r="EM116" s="5">
        <f t="shared" ca="1" si="377"/>
        <v>0</v>
      </c>
      <c r="EN116" s="5">
        <f t="shared" ca="1" si="378"/>
        <v>0</v>
      </c>
      <c r="EO116" s="5">
        <f t="shared" ca="1" si="379"/>
        <v>0</v>
      </c>
      <c r="EP116" s="5">
        <f t="shared" ca="1" si="380"/>
        <v>0</v>
      </c>
      <c r="EQ116" s="5">
        <f t="shared" ca="1" si="381"/>
        <v>0</v>
      </c>
      <c r="ER116" s="90">
        <f t="shared" ca="1" si="382"/>
        <v>0</v>
      </c>
      <c r="ES116" s="4"/>
      <c r="ET116" s="4"/>
      <c r="EU116" s="4"/>
      <c r="EV116" s="5">
        <f t="shared" si="383"/>
        <v>0</v>
      </c>
      <c r="EW116" s="5">
        <f t="shared" si="384"/>
        <v>0</v>
      </c>
      <c r="EX116" s="5">
        <f t="shared" si="385"/>
        <v>0</v>
      </c>
      <c r="EY116" s="5">
        <f t="shared" si="386"/>
        <v>0</v>
      </c>
      <c r="EZ116" s="5">
        <f t="shared" si="387"/>
        <v>0</v>
      </c>
      <c r="FA116" s="5">
        <f t="shared" si="388"/>
        <v>0</v>
      </c>
      <c r="FB116" s="380">
        <f t="shared" si="389"/>
        <v>0</v>
      </c>
      <c r="FC116" s="1"/>
      <c r="FD116" s="5">
        <f t="shared" si="390"/>
        <v>0</v>
      </c>
      <c r="FE116" s="5">
        <f t="shared" si="391"/>
        <v>0</v>
      </c>
      <c r="FF116" s="5">
        <f t="shared" si="392"/>
        <v>0</v>
      </c>
      <c r="FG116" s="5">
        <f t="shared" si="393"/>
        <v>0</v>
      </c>
      <c r="FH116" s="5">
        <f t="shared" si="394"/>
        <v>0</v>
      </c>
      <c r="FI116" s="5">
        <f t="shared" si="395"/>
        <v>0</v>
      </c>
      <c r="FJ116" s="48">
        <f t="shared" si="396"/>
        <v>0</v>
      </c>
      <c r="FL116" s="5">
        <f t="shared" si="397"/>
        <v>0</v>
      </c>
      <c r="FM116" s="5">
        <f t="shared" si="398"/>
        <v>0</v>
      </c>
      <c r="FN116" s="5">
        <f t="shared" si="399"/>
        <v>0</v>
      </c>
      <c r="FO116" s="5">
        <f t="shared" si="400"/>
        <v>0</v>
      </c>
      <c r="FP116" s="5">
        <f t="shared" si="401"/>
        <v>0</v>
      </c>
      <c r="FQ116" s="5">
        <f t="shared" si="402"/>
        <v>0</v>
      </c>
      <c r="FR116" s="209">
        <f t="shared" si="403"/>
        <v>0</v>
      </c>
      <c r="FT116" s="5">
        <f t="shared" si="404"/>
        <v>0</v>
      </c>
      <c r="FU116" s="5">
        <f t="shared" si="405"/>
        <v>0</v>
      </c>
      <c r="FV116" s="5">
        <f t="shared" si="406"/>
        <v>0</v>
      </c>
      <c r="FW116" s="5">
        <f t="shared" si="407"/>
        <v>0</v>
      </c>
      <c r="FX116" s="5">
        <f t="shared" si="408"/>
        <v>0</v>
      </c>
      <c r="FY116" s="5">
        <f t="shared" si="409"/>
        <v>0</v>
      </c>
      <c r="FZ116" s="181">
        <f t="shared" si="410"/>
        <v>0</v>
      </c>
      <c r="GB116" s="321">
        <f t="shared" si="411"/>
        <v>0</v>
      </c>
      <c r="GC116" s="321">
        <f t="shared" si="412"/>
        <v>0</v>
      </c>
      <c r="GD116" s="321">
        <f t="shared" si="413"/>
        <v>0</v>
      </c>
      <c r="GE116" s="321">
        <f t="shared" si="414"/>
        <v>0</v>
      </c>
      <c r="GF116" s="321">
        <f t="shared" si="415"/>
        <v>0</v>
      </c>
      <c r="GG116" s="321">
        <f t="shared" si="416"/>
        <v>0</v>
      </c>
      <c r="GH116" s="383">
        <f t="shared" si="417"/>
        <v>0</v>
      </c>
      <c r="GJ116" s="321">
        <f t="shared" si="418"/>
        <v>0</v>
      </c>
      <c r="GK116" s="321">
        <f t="shared" si="419"/>
        <v>0</v>
      </c>
      <c r="GL116" s="321">
        <f t="shared" si="420"/>
        <v>0</v>
      </c>
      <c r="GM116" s="321">
        <f t="shared" si="421"/>
        <v>0</v>
      </c>
      <c r="GN116" s="321">
        <f t="shared" si="422"/>
        <v>0</v>
      </c>
      <c r="GO116" s="321">
        <f t="shared" si="423"/>
        <v>0</v>
      </c>
      <c r="GP116" s="382">
        <f t="shared" si="424"/>
        <v>0</v>
      </c>
      <c r="GR116" s="321"/>
      <c r="GS116" s="321"/>
      <c r="GT116" s="321"/>
      <c r="GU116" s="321"/>
      <c r="GV116" s="321"/>
      <c r="GW116" s="321"/>
      <c r="GX116" s="1107">
        <f t="shared" si="425"/>
        <v>0</v>
      </c>
      <c r="GZ116" s="576">
        <f t="shared" si="426"/>
        <v>0</v>
      </c>
      <c r="HA116" s="576">
        <f t="shared" si="427"/>
        <v>0</v>
      </c>
      <c r="HB116" s="576">
        <f t="shared" si="428"/>
        <v>0</v>
      </c>
      <c r="HC116" s="576">
        <f t="shared" si="429"/>
        <v>0</v>
      </c>
      <c r="HD116" s="576">
        <f t="shared" si="430"/>
        <v>0</v>
      </c>
      <c r="HE116" s="576">
        <f t="shared" si="431"/>
        <v>0</v>
      </c>
      <c r="HF116" s="994">
        <f t="shared" si="432"/>
        <v>0</v>
      </c>
      <c r="HG116" s="577">
        <f t="shared" ca="1" si="433"/>
        <v>0</v>
      </c>
      <c r="HH116" s="257"/>
    </row>
    <row r="117" spans="1:216" ht="15" customHeight="1" thickBot="1" x14ac:dyDescent="0.3">
      <c r="A117" s="403"/>
      <c r="B117" s="3233" t="s">
        <v>242</v>
      </c>
      <c r="C117" s="3234"/>
      <c r="D117" s="1635">
        <f t="shared" ref="D117:J117" ca="1" si="435">SUM(D87:D116)</f>
        <v>8508.4719719999994</v>
      </c>
      <c r="E117" s="1635">
        <f t="shared" ca="1" si="435"/>
        <v>0</v>
      </c>
      <c r="F117" s="1635">
        <f t="shared" ca="1" si="435"/>
        <v>0</v>
      </c>
      <c r="G117" s="1635">
        <f t="shared" ca="1" si="435"/>
        <v>0</v>
      </c>
      <c r="H117" s="1635">
        <f t="shared" ca="1" si="435"/>
        <v>0</v>
      </c>
      <c r="I117" s="1635">
        <f t="shared" ca="1" si="435"/>
        <v>0</v>
      </c>
      <c r="J117" s="1635">
        <f t="shared" ca="1" si="435"/>
        <v>8508.4719719999994</v>
      </c>
      <c r="K117" s="353">
        <f ca="1">SUM(D117:I117)</f>
        <v>8508.4719719999994</v>
      </c>
      <c r="L117" s="24"/>
      <c r="M117" s="4"/>
      <c r="N117" s="171">
        <f t="shared" ref="N117:T117" ca="1" si="436">SUM(N87:N116)</f>
        <v>0</v>
      </c>
      <c r="O117" s="171">
        <f t="shared" ca="1" si="436"/>
        <v>0</v>
      </c>
      <c r="P117" s="171">
        <f t="shared" ca="1" si="436"/>
        <v>0</v>
      </c>
      <c r="Q117" s="171">
        <f t="shared" ca="1" si="436"/>
        <v>0</v>
      </c>
      <c r="R117" s="171">
        <f t="shared" ca="1" si="436"/>
        <v>0</v>
      </c>
      <c r="S117" s="171">
        <f t="shared" ca="1" si="436"/>
        <v>0</v>
      </c>
      <c r="T117" s="167">
        <f t="shared" ca="1" si="436"/>
        <v>0</v>
      </c>
      <c r="U117" s="1"/>
      <c r="V117" s="144">
        <f t="shared" ref="V117:AB117" ca="1" si="437">SUM(V87:V116)</f>
        <v>0</v>
      </c>
      <c r="W117" s="144">
        <f t="shared" ca="1" si="437"/>
        <v>0</v>
      </c>
      <c r="X117" s="144">
        <f t="shared" ca="1" si="437"/>
        <v>0</v>
      </c>
      <c r="Y117" s="144">
        <f t="shared" ca="1" si="437"/>
        <v>0</v>
      </c>
      <c r="Z117" s="144">
        <f t="shared" ca="1" si="437"/>
        <v>0</v>
      </c>
      <c r="AA117" s="144">
        <f t="shared" ca="1" si="437"/>
        <v>0</v>
      </c>
      <c r="AB117" s="144">
        <f t="shared" ca="1" si="437"/>
        <v>0</v>
      </c>
      <c r="AD117" s="213">
        <f t="shared" ref="AD117:AJ117" ca="1" si="438">SUM(AD87:AD116)</f>
        <v>0</v>
      </c>
      <c r="AE117" s="213">
        <f t="shared" ca="1" si="438"/>
        <v>0</v>
      </c>
      <c r="AF117" s="213">
        <f t="shared" ca="1" si="438"/>
        <v>0</v>
      </c>
      <c r="AG117" s="213">
        <f t="shared" ca="1" si="438"/>
        <v>0</v>
      </c>
      <c r="AH117" s="213">
        <f t="shared" ca="1" si="438"/>
        <v>0</v>
      </c>
      <c r="AI117" s="213">
        <f t="shared" ca="1" si="438"/>
        <v>0</v>
      </c>
      <c r="AJ117" s="209">
        <f t="shared" ca="1" si="438"/>
        <v>0</v>
      </c>
      <c r="AL117" s="185">
        <f t="shared" ref="AL117:AR117" ca="1" si="439">SUM(AL87:AL116)</f>
        <v>0</v>
      </c>
      <c r="AM117" s="185">
        <f t="shared" ca="1" si="439"/>
        <v>0</v>
      </c>
      <c r="AN117" s="185">
        <f t="shared" ca="1" si="439"/>
        <v>0</v>
      </c>
      <c r="AO117" s="185">
        <f t="shared" ca="1" si="439"/>
        <v>0</v>
      </c>
      <c r="AP117" s="185">
        <f t="shared" ca="1" si="439"/>
        <v>0</v>
      </c>
      <c r="AQ117" s="185">
        <f t="shared" ca="1" si="439"/>
        <v>0</v>
      </c>
      <c r="AR117" s="181">
        <f t="shared" ca="1" si="439"/>
        <v>0</v>
      </c>
      <c r="AT117" s="157">
        <f t="shared" ref="AT117:AZ117" ca="1" si="440">SUM(AT87:AT116)</f>
        <v>0</v>
      </c>
      <c r="AU117" s="157">
        <f t="shared" ca="1" si="440"/>
        <v>0</v>
      </c>
      <c r="AV117" s="157">
        <f t="shared" ca="1" si="440"/>
        <v>0</v>
      </c>
      <c r="AW117" s="157">
        <f t="shared" ca="1" si="440"/>
        <v>0</v>
      </c>
      <c r="AX117" s="157">
        <f t="shared" ca="1" si="440"/>
        <v>0</v>
      </c>
      <c r="AY117" s="157">
        <f t="shared" ca="1" si="440"/>
        <v>0</v>
      </c>
      <c r="AZ117" s="153">
        <f t="shared" ca="1" si="440"/>
        <v>0</v>
      </c>
      <c r="BB117" s="199">
        <f t="shared" ref="BB117:BH117" ca="1" si="441">SUM(BB87:BB116)</f>
        <v>0</v>
      </c>
      <c r="BC117" s="199">
        <f t="shared" ca="1" si="441"/>
        <v>0</v>
      </c>
      <c r="BD117" s="199">
        <f t="shared" ca="1" si="441"/>
        <v>0</v>
      </c>
      <c r="BE117" s="199">
        <f t="shared" ca="1" si="441"/>
        <v>0</v>
      </c>
      <c r="BF117" s="199">
        <f t="shared" ca="1" si="441"/>
        <v>0</v>
      </c>
      <c r="BG117" s="199">
        <f t="shared" ca="1" si="441"/>
        <v>0</v>
      </c>
      <c r="BH117" s="195">
        <f t="shared" ca="1" si="441"/>
        <v>0</v>
      </c>
      <c r="BJ117" s="1108">
        <f t="shared" ref="BJ117:BP117" si="442">SUM(BJ87:BJ116)</f>
        <v>0</v>
      </c>
      <c r="BK117" s="1108">
        <f t="shared" si="442"/>
        <v>0</v>
      </c>
      <c r="BL117" s="1108">
        <f t="shared" si="442"/>
        <v>0</v>
      </c>
      <c r="BM117" s="1108">
        <f t="shared" si="442"/>
        <v>0</v>
      </c>
      <c r="BN117" s="1108">
        <f t="shared" si="442"/>
        <v>0</v>
      </c>
      <c r="BO117" s="1108">
        <f t="shared" si="442"/>
        <v>0</v>
      </c>
      <c r="BP117" s="1105">
        <f t="shared" si="442"/>
        <v>0</v>
      </c>
      <c r="BR117" s="991">
        <f t="shared" ref="BR117:BY117" ca="1" si="443">SUM(BR87:BR116)</f>
        <v>0</v>
      </c>
      <c r="BS117" s="991">
        <f t="shared" ca="1" si="443"/>
        <v>0</v>
      </c>
      <c r="BT117" s="991">
        <f t="shared" ca="1" si="443"/>
        <v>0</v>
      </c>
      <c r="BU117" s="991">
        <f t="shared" ca="1" si="443"/>
        <v>0</v>
      </c>
      <c r="BV117" s="991">
        <f t="shared" ca="1" si="443"/>
        <v>0</v>
      </c>
      <c r="BW117" s="991">
        <f t="shared" ca="1" si="443"/>
        <v>0</v>
      </c>
      <c r="BX117" s="991">
        <f t="shared" ca="1" si="443"/>
        <v>0</v>
      </c>
      <c r="BY117" s="573">
        <f t="shared" ca="1" si="443"/>
        <v>8508.4719719999994</v>
      </c>
      <c r="BZ117" s="257"/>
      <c r="CB117" s="1256">
        <f t="shared" ref="CB117:CO117" ca="1" si="444">SUM(CB87:CB116)</f>
        <v>0</v>
      </c>
      <c r="CC117" s="1257">
        <f t="shared" ca="1" si="444"/>
        <v>0</v>
      </c>
      <c r="CD117" s="1258">
        <f t="shared" ca="1" si="444"/>
        <v>0</v>
      </c>
      <c r="CE117" s="1258">
        <f t="shared" ca="1" si="444"/>
        <v>0</v>
      </c>
      <c r="CF117" s="1258">
        <f t="shared" ca="1" si="444"/>
        <v>0</v>
      </c>
      <c r="CG117" s="1259">
        <f t="shared" ca="1" si="444"/>
        <v>0</v>
      </c>
      <c r="CH117" s="1257">
        <f t="shared" ca="1" si="444"/>
        <v>0</v>
      </c>
      <c r="CI117" s="1258">
        <f t="shared" ca="1" si="444"/>
        <v>0</v>
      </c>
      <c r="CJ117" s="1258">
        <f t="shared" ca="1" si="444"/>
        <v>0</v>
      </c>
      <c r="CK117" s="1258">
        <f t="shared" ca="1" si="444"/>
        <v>0</v>
      </c>
      <c r="CL117" s="1260">
        <f t="shared" ca="1" si="444"/>
        <v>0</v>
      </c>
      <c r="CM117" s="1257">
        <f t="shared" ca="1" si="444"/>
        <v>0</v>
      </c>
      <c r="CN117" s="1258">
        <f t="shared" ca="1" si="444"/>
        <v>0</v>
      </c>
      <c r="CO117" s="1259">
        <f t="shared" ca="1" si="444"/>
        <v>0</v>
      </c>
      <c r="CP117" s="1237">
        <f t="shared" ca="1" si="371"/>
        <v>0</v>
      </c>
      <c r="CS117" s="1261">
        <f t="shared" ref="CS117:DE117" si="445">SUM(CS87:CS111)</f>
        <v>0</v>
      </c>
      <c r="CT117" s="1262">
        <f t="shared" si="445"/>
        <v>0</v>
      </c>
      <c r="CU117" s="1262">
        <f t="shared" si="445"/>
        <v>0</v>
      </c>
      <c r="CV117" s="1262">
        <f t="shared" si="445"/>
        <v>0</v>
      </c>
      <c r="CW117" s="1262">
        <f t="shared" si="445"/>
        <v>0</v>
      </c>
      <c r="CX117" s="1262">
        <f t="shared" si="445"/>
        <v>0</v>
      </c>
      <c r="CY117" s="1262">
        <f t="shared" si="445"/>
        <v>0</v>
      </c>
      <c r="CZ117" s="1262">
        <f t="shared" si="445"/>
        <v>0</v>
      </c>
      <c r="DA117" s="1262">
        <f t="shared" si="445"/>
        <v>0</v>
      </c>
      <c r="DB117" s="1262">
        <f t="shared" si="445"/>
        <v>0</v>
      </c>
      <c r="DC117" s="1262">
        <f t="shared" si="445"/>
        <v>0</v>
      </c>
      <c r="DD117" s="1262">
        <f t="shared" si="445"/>
        <v>0</v>
      </c>
      <c r="DE117" s="1262">
        <f t="shared" si="445"/>
        <v>0</v>
      </c>
      <c r="DG117" s="1261">
        <f t="shared" ref="DG117:DS117" si="446">SUM(DG87:DG111)</f>
        <v>0</v>
      </c>
      <c r="DH117" s="1262">
        <f t="shared" si="446"/>
        <v>0</v>
      </c>
      <c r="DI117" s="1262">
        <f t="shared" si="446"/>
        <v>0</v>
      </c>
      <c r="DJ117" s="1262">
        <f t="shared" si="446"/>
        <v>0</v>
      </c>
      <c r="DK117" s="1262">
        <f t="shared" si="446"/>
        <v>0</v>
      </c>
      <c r="DL117" s="1262">
        <f t="shared" si="446"/>
        <v>0</v>
      </c>
      <c r="DM117" s="1262">
        <f t="shared" si="446"/>
        <v>0</v>
      </c>
      <c r="DN117" s="1262">
        <f t="shared" si="446"/>
        <v>0</v>
      </c>
      <c r="DO117" s="1262">
        <f t="shared" si="446"/>
        <v>0</v>
      </c>
      <c r="DP117" s="1262">
        <f t="shared" si="446"/>
        <v>0</v>
      </c>
      <c r="DQ117" s="1262">
        <f t="shared" si="446"/>
        <v>0</v>
      </c>
      <c r="DR117" s="1262">
        <f t="shared" si="446"/>
        <v>0</v>
      </c>
      <c r="DS117" s="1262">
        <f t="shared" si="446"/>
        <v>0</v>
      </c>
      <c r="DU117" s="1261">
        <f t="shared" ref="DU117:EG117" si="447">SUM(DU87:DU111)</f>
        <v>0</v>
      </c>
      <c r="DV117" s="1262">
        <f t="shared" si="447"/>
        <v>0</v>
      </c>
      <c r="DW117" s="1262">
        <f t="shared" si="447"/>
        <v>0</v>
      </c>
      <c r="DX117" s="1262">
        <f t="shared" si="447"/>
        <v>0</v>
      </c>
      <c r="DY117" s="1262">
        <f t="shared" si="447"/>
        <v>0</v>
      </c>
      <c r="DZ117" s="1262">
        <f t="shared" si="447"/>
        <v>0</v>
      </c>
      <c r="EA117" s="1262">
        <f t="shared" si="447"/>
        <v>0</v>
      </c>
      <c r="EB117" s="1262">
        <f t="shared" si="447"/>
        <v>0</v>
      </c>
      <c r="EC117" s="1262">
        <f t="shared" si="447"/>
        <v>0</v>
      </c>
      <c r="ED117" s="1262">
        <f t="shared" si="447"/>
        <v>0</v>
      </c>
      <c r="EE117" s="1262">
        <f t="shared" si="447"/>
        <v>0</v>
      </c>
      <c r="EF117" s="1262">
        <f t="shared" si="447"/>
        <v>0</v>
      </c>
      <c r="EG117" s="1262">
        <f t="shared" si="447"/>
        <v>0</v>
      </c>
      <c r="EI117" s="403"/>
      <c r="EJ117" s="3233" t="s">
        <v>242</v>
      </c>
      <c r="EK117" s="3234"/>
      <c r="EL117" s="1635">
        <f t="shared" ref="EL117:ER117" ca="1" si="448">SUM(EL87:EL111)</f>
        <v>8508</v>
      </c>
      <c r="EM117" s="1635">
        <f t="shared" ca="1" si="448"/>
        <v>0</v>
      </c>
      <c r="EN117" s="1635">
        <f t="shared" ca="1" si="448"/>
        <v>0</v>
      </c>
      <c r="EO117" s="1635">
        <f t="shared" ca="1" si="448"/>
        <v>0</v>
      </c>
      <c r="EP117" s="1635">
        <f t="shared" ca="1" si="448"/>
        <v>0</v>
      </c>
      <c r="EQ117" s="1635">
        <f t="shared" ca="1" si="448"/>
        <v>0</v>
      </c>
      <c r="ER117" s="1636">
        <f t="shared" ca="1" si="448"/>
        <v>8508</v>
      </c>
      <c r="ES117" s="353">
        <f ca="1">SUM(EL117:EQ117)</f>
        <v>8508</v>
      </c>
      <c r="ET117" s="24"/>
      <c r="EU117" s="4"/>
      <c r="EV117" s="171">
        <f t="shared" ref="EV117:FB117" ca="1" si="449">SUM(EV87:EV116)</f>
        <v>0</v>
      </c>
      <c r="EW117" s="171">
        <f t="shared" ca="1" si="449"/>
        <v>0</v>
      </c>
      <c r="EX117" s="171">
        <f t="shared" ca="1" si="449"/>
        <v>0</v>
      </c>
      <c r="EY117" s="171">
        <f t="shared" ca="1" si="449"/>
        <v>0</v>
      </c>
      <c r="EZ117" s="171">
        <f t="shared" ca="1" si="449"/>
        <v>0</v>
      </c>
      <c r="FA117" s="171">
        <f t="shared" ca="1" si="449"/>
        <v>0</v>
      </c>
      <c r="FB117" s="167">
        <f t="shared" ca="1" si="449"/>
        <v>0</v>
      </c>
      <c r="FC117" s="1"/>
      <c r="FD117" s="144">
        <f t="shared" ref="FD117:FJ117" ca="1" si="450">SUM(FD87:FD116)</f>
        <v>0</v>
      </c>
      <c r="FE117" s="144">
        <f t="shared" ca="1" si="450"/>
        <v>0</v>
      </c>
      <c r="FF117" s="144">
        <f t="shared" ca="1" si="450"/>
        <v>0</v>
      </c>
      <c r="FG117" s="144">
        <f t="shared" ca="1" si="450"/>
        <v>0</v>
      </c>
      <c r="FH117" s="144">
        <f t="shared" ca="1" si="450"/>
        <v>0</v>
      </c>
      <c r="FI117" s="144">
        <f t="shared" ca="1" si="450"/>
        <v>0</v>
      </c>
      <c r="FJ117" s="144">
        <f t="shared" ca="1" si="450"/>
        <v>0</v>
      </c>
      <c r="FL117" s="213">
        <f t="shared" ref="FL117:FR117" ca="1" si="451">SUM(FL87:FL116)</f>
        <v>0</v>
      </c>
      <c r="FM117" s="213">
        <f t="shared" ca="1" si="451"/>
        <v>0</v>
      </c>
      <c r="FN117" s="213">
        <f t="shared" ca="1" si="451"/>
        <v>0</v>
      </c>
      <c r="FO117" s="213">
        <f t="shared" ca="1" si="451"/>
        <v>0</v>
      </c>
      <c r="FP117" s="213">
        <f t="shared" ca="1" si="451"/>
        <v>0</v>
      </c>
      <c r="FQ117" s="213">
        <f t="shared" ca="1" si="451"/>
        <v>0</v>
      </c>
      <c r="FR117" s="209">
        <f t="shared" ca="1" si="451"/>
        <v>0</v>
      </c>
      <c r="FT117" s="185">
        <f t="shared" ref="FT117:FZ117" ca="1" si="452">SUM(FT87:FT116)</f>
        <v>0</v>
      </c>
      <c r="FU117" s="185">
        <f t="shared" ca="1" si="452"/>
        <v>0</v>
      </c>
      <c r="FV117" s="185">
        <f t="shared" ca="1" si="452"/>
        <v>0</v>
      </c>
      <c r="FW117" s="185">
        <f t="shared" ca="1" si="452"/>
        <v>0</v>
      </c>
      <c r="FX117" s="185">
        <f t="shared" ca="1" si="452"/>
        <v>0</v>
      </c>
      <c r="FY117" s="185">
        <f t="shared" ca="1" si="452"/>
        <v>0</v>
      </c>
      <c r="FZ117" s="181">
        <f t="shared" ca="1" si="452"/>
        <v>0</v>
      </c>
      <c r="GB117" s="157">
        <f t="shared" ref="GB117:GH117" ca="1" si="453">SUM(GB87:GB116)</f>
        <v>0</v>
      </c>
      <c r="GC117" s="157">
        <f t="shared" ca="1" si="453"/>
        <v>0</v>
      </c>
      <c r="GD117" s="157">
        <f t="shared" ca="1" si="453"/>
        <v>0</v>
      </c>
      <c r="GE117" s="157">
        <f t="shared" ca="1" si="453"/>
        <v>0</v>
      </c>
      <c r="GF117" s="157">
        <f t="shared" ca="1" si="453"/>
        <v>0</v>
      </c>
      <c r="GG117" s="157">
        <f t="shared" ca="1" si="453"/>
        <v>0</v>
      </c>
      <c r="GH117" s="153">
        <f t="shared" ca="1" si="453"/>
        <v>0</v>
      </c>
      <c r="GJ117" s="199">
        <f t="shared" ref="GJ117:GP117" ca="1" si="454">SUM(GJ87:GJ116)</f>
        <v>0</v>
      </c>
      <c r="GK117" s="199">
        <f t="shared" ca="1" si="454"/>
        <v>0</v>
      </c>
      <c r="GL117" s="199">
        <f t="shared" ca="1" si="454"/>
        <v>0</v>
      </c>
      <c r="GM117" s="199">
        <f t="shared" ca="1" si="454"/>
        <v>0</v>
      </c>
      <c r="GN117" s="199">
        <f t="shared" ca="1" si="454"/>
        <v>0</v>
      </c>
      <c r="GO117" s="199">
        <f t="shared" ca="1" si="454"/>
        <v>0</v>
      </c>
      <c r="GP117" s="195">
        <f t="shared" ca="1" si="454"/>
        <v>0</v>
      </c>
      <c r="GR117" s="1108">
        <f t="shared" ref="GR117:GX117" si="455">SUM(GR87:GR116)</f>
        <v>0</v>
      </c>
      <c r="GS117" s="1108">
        <f t="shared" si="455"/>
        <v>0</v>
      </c>
      <c r="GT117" s="1108">
        <f t="shared" si="455"/>
        <v>0</v>
      </c>
      <c r="GU117" s="1108">
        <f t="shared" si="455"/>
        <v>0</v>
      </c>
      <c r="GV117" s="1108">
        <f t="shared" si="455"/>
        <v>0</v>
      </c>
      <c r="GW117" s="1108">
        <f t="shared" si="455"/>
        <v>0</v>
      </c>
      <c r="GX117" s="1105">
        <f t="shared" si="455"/>
        <v>0</v>
      </c>
      <c r="GZ117" s="991">
        <f t="shared" ref="GZ117:HG117" ca="1" si="456">SUM(GZ87:GZ116)</f>
        <v>0</v>
      </c>
      <c r="HA117" s="991">
        <f t="shared" ca="1" si="456"/>
        <v>0</v>
      </c>
      <c r="HB117" s="991">
        <f t="shared" ca="1" si="456"/>
        <v>0</v>
      </c>
      <c r="HC117" s="991">
        <f t="shared" ca="1" si="456"/>
        <v>0</v>
      </c>
      <c r="HD117" s="991">
        <f t="shared" ca="1" si="456"/>
        <v>0</v>
      </c>
      <c r="HE117" s="991">
        <f t="shared" ca="1" si="456"/>
        <v>0</v>
      </c>
      <c r="HF117" s="991">
        <f t="shared" ca="1" si="456"/>
        <v>0</v>
      </c>
      <c r="HG117" s="573">
        <f t="shared" ca="1" si="456"/>
        <v>8508</v>
      </c>
      <c r="HH117" s="257"/>
    </row>
    <row r="118" spans="1:216" ht="15" customHeight="1" thickBot="1" x14ac:dyDescent="0.3">
      <c r="A118" s="25"/>
      <c r="B118" s="1600" t="str">
        <f>'Calc - GRAD ASST'!C7</f>
        <v>EECS</v>
      </c>
      <c r="C118" s="346" t="str">
        <f>'Calc - GRAD ASST'!A6</f>
        <v>GA #01 / Sponsor Funds</v>
      </c>
      <c r="D118" s="347">
        <f ca="1">'Calc - GRAD ASST'!M11</f>
        <v>0</v>
      </c>
      <c r="E118" s="347">
        <f ca="1">'Calc - GRAD ASST'!M12</f>
        <v>0</v>
      </c>
      <c r="F118" s="347">
        <f ca="1">'Calc - GRAD ASST'!M13</f>
        <v>0</v>
      </c>
      <c r="G118" s="347">
        <f ca="1">'Calc - GRAD ASST'!M14</f>
        <v>0</v>
      </c>
      <c r="H118" s="347">
        <f ca="1">'Calc - GRAD ASST'!M15</f>
        <v>0</v>
      </c>
      <c r="I118" s="347">
        <f ca="1">'Calc - GRAD ASST'!M16</f>
        <v>0</v>
      </c>
      <c r="J118" s="87">
        <f t="shared" ref="J118:J132" ca="1" si="457">SUM(D118:I118)</f>
        <v>0</v>
      </c>
      <c r="K118" s="24"/>
      <c r="L118" s="24"/>
      <c r="M118" s="24"/>
      <c r="N118" s="344"/>
      <c r="O118" s="344"/>
      <c r="P118" s="344"/>
      <c r="Q118" s="344"/>
      <c r="R118" s="344"/>
      <c r="S118" s="344"/>
      <c r="T118" s="381">
        <f t="shared" ref="T118:T148" si="458">SUM(N118:S118)</f>
        <v>0</v>
      </c>
      <c r="U118" s="1"/>
      <c r="V118" s="29"/>
      <c r="W118" s="29"/>
      <c r="X118" s="29"/>
      <c r="Y118" s="29"/>
      <c r="Z118" s="29"/>
      <c r="AA118" s="29"/>
      <c r="AB118" s="48">
        <f t="shared" ref="AB118:AB148" si="459">SUM(V118:AA118)</f>
        <v>0</v>
      </c>
      <c r="AD118" s="29"/>
      <c r="AE118" s="29"/>
      <c r="AF118" s="29"/>
      <c r="AG118" s="29"/>
      <c r="AH118" s="29"/>
      <c r="AI118" s="29"/>
      <c r="AJ118" s="209">
        <f t="shared" ref="AJ118:AJ132" si="460">SUM(AD118:AI118)</f>
        <v>0</v>
      </c>
      <c r="AL118" s="29"/>
      <c r="AM118" s="29"/>
      <c r="AN118" s="29"/>
      <c r="AO118" s="29"/>
      <c r="AP118" s="29"/>
      <c r="AQ118" s="29"/>
      <c r="AR118" s="181">
        <f t="shared" ref="AR118:AR132" si="461">SUM(AL118:AQ118)</f>
        <v>0</v>
      </c>
      <c r="AT118" s="29"/>
      <c r="AU118" s="29"/>
      <c r="AV118" s="29"/>
      <c r="AW118" s="29"/>
      <c r="AX118" s="29"/>
      <c r="AY118" s="29"/>
      <c r="AZ118" s="153">
        <f t="shared" ref="AZ118:AZ132" si="462">SUM(AT118:AY118)</f>
        <v>0</v>
      </c>
      <c r="BB118" s="29"/>
      <c r="BC118" s="29"/>
      <c r="BD118" s="29"/>
      <c r="BE118" s="29"/>
      <c r="BF118" s="29"/>
      <c r="BG118" s="29"/>
      <c r="BH118" s="195">
        <f t="shared" ref="BH118:BH132" si="463">SUM(BB118:BG118)</f>
        <v>0</v>
      </c>
      <c r="BJ118" s="29"/>
      <c r="BK118" s="29"/>
      <c r="BL118" s="29"/>
      <c r="BM118" s="29"/>
      <c r="BN118" s="29"/>
      <c r="BO118" s="29"/>
      <c r="BP118" s="1105">
        <f t="shared" ref="BP118:BP132" si="464">SUM(BJ118:BO118)</f>
        <v>0</v>
      </c>
      <c r="BR118" s="575">
        <f t="shared" ref="BR118:BR148" si="465">SUM(N118,V118,AD118,AL118,AT118,BB118)</f>
        <v>0</v>
      </c>
      <c r="BS118" s="575">
        <f t="shared" ref="BS118:BS148" si="466">SUM(O118,W118,AE118,AM118,AU118,BC118)</f>
        <v>0</v>
      </c>
      <c r="BT118" s="575">
        <f t="shared" ref="BT118:BT148" si="467">SUM(P118,X118,AF118,AN118,AV118,BD118)</f>
        <v>0</v>
      </c>
      <c r="BU118" s="575">
        <f t="shared" ref="BU118:BU148" si="468">SUM(Q118,Y118,AG118,AO118,AW118,BE118)</f>
        <v>0</v>
      </c>
      <c r="BV118" s="575">
        <f t="shared" ref="BV118:BV148" si="469">SUM(R118,Z118,AH118,AP118,AX118,BF118)</f>
        <v>0</v>
      </c>
      <c r="BW118" s="575">
        <f t="shared" ref="BW118:BW148" si="470">SUM(S118,AA118,AI118,AQ118,AY118,BG118)</f>
        <v>0</v>
      </c>
      <c r="BX118" s="991">
        <f t="shared" ref="BX118:BX148" si="471">SUM(BR118:BW118)</f>
        <v>0</v>
      </c>
      <c r="BY118" s="573">
        <f t="shared" ref="BY118:BY156" ca="1" si="472">SUM(J118+BX118)</f>
        <v>0</v>
      </c>
      <c r="BZ118" s="257"/>
      <c r="CB118" s="1645">
        <f ca="1">'Calc - GRAD ASST'!$M$11</f>
        <v>0</v>
      </c>
      <c r="CC118" s="1263">
        <f ca="1">'Calc - GRAD ASST'!$M$12/12*3</f>
        <v>0</v>
      </c>
      <c r="CD118" s="1263">
        <f ca="1">'Calc - GRAD ASST'!$M$12/12*3</f>
        <v>0</v>
      </c>
      <c r="CE118" s="1263">
        <f ca="1">'Calc - GRAD ASST'!$M$12/12*2</f>
        <v>0</v>
      </c>
      <c r="CF118" s="1263">
        <f ca="1">'Calc - GRAD ASST'!$M$12/12*1</f>
        <v>0</v>
      </c>
      <c r="CG118" s="1263">
        <f ca="1">'Calc - GRAD ASST'!$M$12/12*3</f>
        <v>0</v>
      </c>
      <c r="CH118" s="1264">
        <f ca="1">'Calc - GRAD ASST'!$M$13/12*3</f>
        <v>0</v>
      </c>
      <c r="CI118" s="1264">
        <f ca="1">'Calc - GRAD ASST'!$M$13/12*3</f>
        <v>0</v>
      </c>
      <c r="CJ118" s="1264">
        <f ca="1">'Calc - GRAD ASST'!$M$13/12*2</f>
        <v>0</v>
      </c>
      <c r="CK118" s="1264">
        <f ca="1">'Calc - GRAD ASST'!$M$13/12*1</f>
        <v>0</v>
      </c>
      <c r="CL118" s="1264">
        <f ca="1">'Calc - GRAD ASST'!$M$13/12*3</f>
        <v>0</v>
      </c>
      <c r="CM118" s="1265">
        <f ca="1">'Calc - GRAD ASST'!$M$14/8*3</f>
        <v>0</v>
      </c>
      <c r="CN118" s="1265">
        <f ca="1">'Calc - GRAD ASST'!$M$14/8*3</f>
        <v>0</v>
      </c>
      <c r="CO118" s="1265">
        <f ca="1">'Calc - GRAD ASST'!$M$14/8*2</f>
        <v>0</v>
      </c>
      <c r="CP118" s="87">
        <f t="shared" ca="1" si="371"/>
        <v>0</v>
      </c>
      <c r="CS118" s="1244"/>
      <c r="CT118" s="41"/>
      <c r="CU118" s="1245"/>
      <c r="CV118" s="1244"/>
      <c r="CW118" s="41"/>
      <c r="CX118" s="1246"/>
      <c r="CY118" s="1244"/>
      <c r="CZ118" s="41"/>
      <c r="DA118" s="1245"/>
      <c r="DB118" s="1244"/>
      <c r="DC118" s="41"/>
      <c r="DD118" s="1245"/>
      <c r="DE118" s="1266">
        <f t="shared" ref="DE118:DE132" si="473">SUM(CS118:DD118)</f>
        <v>0</v>
      </c>
      <c r="DG118" s="1244"/>
      <c r="DH118" s="41"/>
      <c r="DI118" s="1245"/>
      <c r="DJ118" s="1244"/>
      <c r="DK118" s="41"/>
      <c r="DL118" s="1246"/>
      <c r="DM118" s="1244"/>
      <c r="DN118" s="41"/>
      <c r="DO118" s="1245"/>
      <c r="DP118" s="1244"/>
      <c r="DQ118" s="41"/>
      <c r="DR118" s="1245"/>
      <c r="DS118" s="1266">
        <f t="shared" ref="DS118:DS132" si="474">SUM(DG118:DR118)</f>
        <v>0</v>
      </c>
      <c r="DU118" s="1244"/>
      <c r="DV118" s="41"/>
      <c r="DW118" s="1245"/>
      <c r="DX118" s="1244"/>
      <c r="DY118" s="41"/>
      <c r="DZ118" s="1246"/>
      <c r="EA118" s="1244"/>
      <c r="EB118" s="41"/>
      <c r="EC118" s="1245"/>
      <c r="ED118" s="1244"/>
      <c r="EE118" s="41"/>
      <c r="EF118" s="1245"/>
      <c r="EG118" s="1266">
        <f t="shared" ref="EG118:EG132" si="475">SUM(DU118:EF118)</f>
        <v>0</v>
      </c>
      <c r="EI118" s="25"/>
      <c r="EJ118" s="1600" t="str">
        <f t="shared" ref="EJ118:EJ132" si="476">B118</f>
        <v>EECS</v>
      </c>
      <c r="EK118" s="346" t="str">
        <f t="shared" ref="EK118:EK132" si="477">C118</f>
        <v>GA #01 / Sponsor Funds</v>
      </c>
      <c r="EL118" s="347">
        <f t="shared" ref="EL118:EL132" ca="1" si="478">ROUND(D118,0)</f>
        <v>0</v>
      </c>
      <c r="EM118" s="347">
        <f t="shared" ref="EM118:EM132" ca="1" si="479">ROUND(E118,0)</f>
        <v>0</v>
      </c>
      <c r="EN118" s="347">
        <f t="shared" ref="EN118:EN132" ca="1" si="480">ROUND(F118,0)</f>
        <v>0</v>
      </c>
      <c r="EO118" s="347">
        <f t="shared" ref="EO118:EO132" ca="1" si="481">ROUND(G118,0)</f>
        <v>0</v>
      </c>
      <c r="EP118" s="347">
        <f t="shared" ref="EP118:EP132" ca="1" si="482">ROUND(H118,0)</f>
        <v>0</v>
      </c>
      <c r="EQ118" s="347">
        <f t="shared" ref="EQ118:EQ132" ca="1" si="483">ROUND(I118,0)</f>
        <v>0</v>
      </c>
      <c r="ER118" s="87">
        <f t="shared" ref="ER118:ER132" ca="1" si="484">SUM(EL118:EQ118)</f>
        <v>0</v>
      </c>
      <c r="ES118" s="24"/>
      <c r="ET118" s="24"/>
      <c r="EU118" s="24"/>
      <c r="EV118" s="344">
        <f t="shared" ref="EV118:EV132" si="485">ROUND(N118,0)</f>
        <v>0</v>
      </c>
      <c r="EW118" s="344">
        <f t="shared" ref="EW118:EW132" si="486">ROUND(O118,0)</f>
        <v>0</v>
      </c>
      <c r="EX118" s="344">
        <f t="shared" ref="EX118:EX132" si="487">ROUND(P118,0)</f>
        <v>0</v>
      </c>
      <c r="EY118" s="344">
        <f t="shared" ref="EY118:EY132" si="488">ROUND(Q118,0)</f>
        <v>0</v>
      </c>
      <c r="EZ118" s="344">
        <f t="shared" ref="EZ118:EZ132" si="489">ROUND(R118,0)</f>
        <v>0</v>
      </c>
      <c r="FA118" s="344">
        <f t="shared" ref="FA118:FA132" si="490">ROUND(S118,0)</f>
        <v>0</v>
      </c>
      <c r="FB118" s="381">
        <f t="shared" ref="FB118:FB148" si="491">SUM(EV118:FA118)</f>
        <v>0</v>
      </c>
      <c r="FC118" s="1"/>
      <c r="FD118" s="29">
        <f t="shared" ref="FD118:FD132" si="492">ROUND(V118,0)</f>
        <v>0</v>
      </c>
      <c r="FE118" s="29">
        <f t="shared" ref="FE118:FE132" si="493">ROUND(W118,0)</f>
        <v>0</v>
      </c>
      <c r="FF118" s="29">
        <f t="shared" ref="FF118:FF132" si="494">ROUND(X118,0)</f>
        <v>0</v>
      </c>
      <c r="FG118" s="29">
        <f t="shared" ref="FG118:FG132" si="495">ROUND(Y118,0)</f>
        <v>0</v>
      </c>
      <c r="FH118" s="29">
        <f t="shared" ref="FH118:FH132" si="496">ROUND(Z118,0)</f>
        <v>0</v>
      </c>
      <c r="FI118" s="29">
        <f t="shared" ref="FI118:FI132" si="497">ROUND(AA118,0)</f>
        <v>0</v>
      </c>
      <c r="FJ118" s="48">
        <f t="shared" ref="FJ118:FJ148" si="498">SUM(FD118:FI118)</f>
        <v>0</v>
      </c>
      <c r="FL118" s="29">
        <f t="shared" ref="FL118:FL132" si="499">ROUND(AD118,0)</f>
        <v>0</v>
      </c>
      <c r="FM118" s="29">
        <f t="shared" ref="FM118:FM132" si="500">ROUND(AE118,0)</f>
        <v>0</v>
      </c>
      <c r="FN118" s="29">
        <f t="shared" ref="FN118:FN132" si="501">ROUND(AF118,0)</f>
        <v>0</v>
      </c>
      <c r="FO118" s="29">
        <f t="shared" ref="FO118:FO132" si="502">ROUND(AG118,0)</f>
        <v>0</v>
      </c>
      <c r="FP118" s="29">
        <f t="shared" ref="FP118:FP132" si="503">ROUND(AH118,0)</f>
        <v>0</v>
      </c>
      <c r="FQ118" s="29">
        <f t="shared" ref="FQ118:FQ132" si="504">ROUND(AI118,0)</f>
        <v>0</v>
      </c>
      <c r="FR118" s="209">
        <f t="shared" ref="FR118:FR132" si="505">SUM(FL118:FQ118)</f>
        <v>0</v>
      </c>
      <c r="FT118" s="29">
        <f t="shared" ref="FT118:FT132" si="506">ROUND(AL118,0)</f>
        <v>0</v>
      </c>
      <c r="FU118" s="29">
        <f t="shared" ref="FU118:FU132" si="507">ROUND(AM118,0)</f>
        <v>0</v>
      </c>
      <c r="FV118" s="29">
        <f t="shared" ref="FV118:FV132" si="508">ROUND(AN118,0)</f>
        <v>0</v>
      </c>
      <c r="FW118" s="29">
        <f t="shared" ref="FW118:FW132" si="509">ROUND(AO118,0)</f>
        <v>0</v>
      </c>
      <c r="FX118" s="29">
        <f t="shared" ref="FX118:FX132" si="510">ROUND(AP118,0)</f>
        <v>0</v>
      </c>
      <c r="FY118" s="29">
        <f t="shared" ref="FY118:FY132" si="511">ROUND(AQ118,0)</f>
        <v>0</v>
      </c>
      <c r="FZ118" s="181">
        <f t="shared" ref="FZ118:FZ132" si="512">SUM(FT118:FY118)</f>
        <v>0</v>
      </c>
      <c r="GB118" s="29">
        <f t="shared" ref="GB118:GB132" si="513">ROUND(AT118,0)</f>
        <v>0</v>
      </c>
      <c r="GC118" s="29">
        <f t="shared" ref="GC118:GC132" si="514">ROUND(AU118,0)</f>
        <v>0</v>
      </c>
      <c r="GD118" s="29">
        <f t="shared" ref="GD118:GD132" si="515">ROUND(AV118,0)</f>
        <v>0</v>
      </c>
      <c r="GE118" s="29">
        <f t="shared" ref="GE118:GE132" si="516">ROUND(AW118,0)</f>
        <v>0</v>
      </c>
      <c r="GF118" s="29">
        <f t="shared" ref="GF118:GF132" si="517">ROUND(AX118,0)</f>
        <v>0</v>
      </c>
      <c r="GG118" s="29">
        <f t="shared" ref="GG118:GG132" si="518">ROUND(AY118,0)</f>
        <v>0</v>
      </c>
      <c r="GH118" s="153">
        <f t="shared" ref="GH118:GH132" si="519">SUM(GB118:GG118)</f>
        <v>0</v>
      </c>
      <c r="GJ118" s="29">
        <f t="shared" ref="GJ118:GJ132" si="520">ROUND(BB118,0)</f>
        <v>0</v>
      </c>
      <c r="GK118" s="29">
        <f t="shared" ref="GK118:GK132" si="521">ROUND(BC118,0)</f>
        <v>0</v>
      </c>
      <c r="GL118" s="29">
        <f t="shared" ref="GL118:GL132" si="522">ROUND(BD118,0)</f>
        <v>0</v>
      </c>
      <c r="GM118" s="29">
        <f t="shared" ref="GM118:GM132" si="523">ROUND(BE118,0)</f>
        <v>0</v>
      </c>
      <c r="GN118" s="29">
        <f t="shared" ref="GN118:GN132" si="524">ROUND(BF118,0)</f>
        <v>0</v>
      </c>
      <c r="GO118" s="29">
        <f t="shared" ref="GO118:GO132" si="525">ROUND(BG118,0)</f>
        <v>0</v>
      </c>
      <c r="GP118" s="195">
        <f t="shared" ref="GP118:GP132" si="526">SUM(GJ118:GO118)</f>
        <v>0</v>
      </c>
      <c r="GR118" s="29"/>
      <c r="GS118" s="29"/>
      <c r="GT118" s="29"/>
      <c r="GU118" s="29"/>
      <c r="GV118" s="29"/>
      <c r="GW118" s="29"/>
      <c r="GX118" s="1105">
        <f t="shared" ref="GX118:GX132" si="527">SUM(GR118:GW118)</f>
        <v>0</v>
      </c>
      <c r="GZ118" s="575">
        <f t="shared" ref="GZ118:GZ148" si="528">SUM(EV118,FD118,FL118,FT118,GB118,GJ118)</f>
        <v>0</v>
      </c>
      <c r="HA118" s="575">
        <f t="shared" ref="HA118:HA148" si="529">SUM(EW118,FE118,FM118,FU118,GC118,GK118)</f>
        <v>0</v>
      </c>
      <c r="HB118" s="575">
        <f t="shared" ref="HB118:HB148" si="530">SUM(EX118,FF118,FN118,FV118,GD118,GL118)</f>
        <v>0</v>
      </c>
      <c r="HC118" s="575">
        <f t="shared" ref="HC118:HC148" si="531">SUM(EY118,FG118,FO118,FW118,GE118,GM118)</f>
        <v>0</v>
      </c>
      <c r="HD118" s="575">
        <f t="shared" ref="HD118:HD148" si="532">SUM(EZ118,FH118,FP118,FX118,GF118,GN118)</f>
        <v>0</v>
      </c>
      <c r="HE118" s="575">
        <f t="shared" ref="HE118:HE148" si="533">SUM(FA118,FI118,FQ118,FY118,GG118,GO118)</f>
        <v>0</v>
      </c>
      <c r="HF118" s="991">
        <f t="shared" ref="HF118:HF148" si="534">SUM(GZ118:HE118)</f>
        <v>0</v>
      </c>
      <c r="HG118" s="573">
        <f t="shared" ref="HG118:HG156" ca="1" si="535">SUM(ER118+HF118)</f>
        <v>0</v>
      </c>
      <c r="HH118" s="257"/>
    </row>
    <row r="119" spans="1:216" ht="15" hidden="1" customHeight="1" thickBot="1" x14ac:dyDescent="0.3">
      <c r="A119" s="25"/>
      <c r="B119" s="348">
        <f>'Calc - GRAD ASST'!C36</f>
        <v>0</v>
      </c>
      <c r="C119" s="57" t="str">
        <f>'Calc - GRAD ASST'!A35</f>
        <v>GA #02 / Sponsor Funds</v>
      </c>
      <c r="D119" s="29">
        <f ca="1">'Calc - GRAD ASST'!M40</f>
        <v>0</v>
      </c>
      <c r="E119" s="29">
        <f ca="1">'Calc - GRAD ASST'!M41</f>
        <v>0</v>
      </c>
      <c r="F119" s="29">
        <f ca="1">'Calc - GRAD ASST'!M42</f>
        <v>0</v>
      </c>
      <c r="G119" s="29">
        <f ca="1">'Calc - GRAD ASST'!M43</f>
        <v>0</v>
      </c>
      <c r="H119" s="29">
        <f ca="1">'Calc - GRAD ASST'!M44</f>
        <v>0</v>
      </c>
      <c r="I119" s="29">
        <f ca="1">'Calc - GRAD ASST'!M45</f>
        <v>0</v>
      </c>
      <c r="J119" s="88">
        <f t="shared" ca="1" si="457"/>
        <v>0</v>
      </c>
      <c r="K119" s="24"/>
      <c r="L119" s="24"/>
      <c r="M119" s="24"/>
      <c r="N119" s="29"/>
      <c r="O119" s="29"/>
      <c r="P119" s="29"/>
      <c r="Q119" s="29"/>
      <c r="R119" s="29"/>
      <c r="S119" s="29"/>
      <c r="T119" s="167">
        <f t="shared" si="458"/>
        <v>0</v>
      </c>
      <c r="U119" s="1"/>
      <c r="V119" s="29"/>
      <c r="W119" s="29"/>
      <c r="X119" s="29"/>
      <c r="Y119" s="29"/>
      <c r="Z119" s="29"/>
      <c r="AA119" s="29"/>
      <c r="AB119" s="48">
        <f t="shared" si="459"/>
        <v>0</v>
      </c>
      <c r="AD119" s="29"/>
      <c r="AE119" s="29"/>
      <c r="AF119" s="29"/>
      <c r="AG119" s="29"/>
      <c r="AH119" s="29"/>
      <c r="AI119" s="29"/>
      <c r="AJ119" s="209">
        <f t="shared" si="460"/>
        <v>0</v>
      </c>
      <c r="AL119" s="29"/>
      <c r="AM119" s="29"/>
      <c r="AN119" s="29"/>
      <c r="AO119" s="29"/>
      <c r="AP119" s="29"/>
      <c r="AQ119" s="29"/>
      <c r="AR119" s="181">
        <f t="shared" si="461"/>
        <v>0</v>
      </c>
      <c r="AT119" s="29"/>
      <c r="AU119" s="29"/>
      <c r="AV119" s="29"/>
      <c r="AW119" s="29"/>
      <c r="AX119" s="29"/>
      <c r="AY119" s="29"/>
      <c r="AZ119" s="153">
        <f t="shared" si="462"/>
        <v>0</v>
      </c>
      <c r="BB119" s="29"/>
      <c r="BC119" s="29"/>
      <c r="BD119" s="29"/>
      <c r="BE119" s="29"/>
      <c r="BF119" s="29"/>
      <c r="BG119" s="29"/>
      <c r="BH119" s="195">
        <f t="shared" si="463"/>
        <v>0</v>
      </c>
      <c r="BJ119" s="29"/>
      <c r="BK119" s="29"/>
      <c r="BL119" s="29"/>
      <c r="BM119" s="29"/>
      <c r="BN119" s="29"/>
      <c r="BO119" s="29"/>
      <c r="BP119" s="1105">
        <f t="shared" si="464"/>
        <v>0</v>
      </c>
      <c r="BR119" s="575">
        <f t="shared" si="465"/>
        <v>0</v>
      </c>
      <c r="BS119" s="575">
        <f t="shared" si="466"/>
        <v>0</v>
      </c>
      <c r="BT119" s="575">
        <f t="shared" si="467"/>
        <v>0</v>
      </c>
      <c r="BU119" s="575">
        <f t="shared" si="468"/>
        <v>0</v>
      </c>
      <c r="BV119" s="575">
        <f t="shared" si="469"/>
        <v>0</v>
      </c>
      <c r="BW119" s="575">
        <f t="shared" si="470"/>
        <v>0</v>
      </c>
      <c r="BX119" s="991">
        <f t="shared" si="471"/>
        <v>0</v>
      </c>
      <c r="BY119" s="573">
        <f t="shared" ca="1" si="472"/>
        <v>0</v>
      </c>
      <c r="BZ119" s="257"/>
      <c r="CB119" s="1646">
        <f ca="1">'Calc - GRAD ASST'!$M$40</f>
        <v>0</v>
      </c>
      <c r="CC119" s="1269">
        <f ca="1">'Calc - GRAD ASST'!$M$41/12*3</f>
        <v>0</v>
      </c>
      <c r="CD119" s="1269">
        <f ca="1">'Calc - GRAD ASST'!$M$41/12*3</f>
        <v>0</v>
      </c>
      <c r="CE119" s="1269">
        <f ca="1">'Calc - GRAD ASST'!$M$41/12*2</f>
        <v>0</v>
      </c>
      <c r="CF119" s="1269">
        <f ca="1">'Calc - GRAD ASST'!$M$41/12*1</f>
        <v>0</v>
      </c>
      <c r="CG119" s="1269">
        <f ca="1">'Calc - GRAD ASST'!$M$41/12*3</f>
        <v>0</v>
      </c>
      <c r="CH119" s="1272">
        <f ca="1">'Calc - GRAD ASST'!$M$42/12*3</f>
        <v>0</v>
      </c>
      <c r="CI119" s="1272">
        <f ca="1">'Calc - GRAD ASST'!$M$42/12*3</f>
        <v>0</v>
      </c>
      <c r="CJ119" s="1272">
        <f ca="1">'Calc - GRAD ASST'!$M$42/12*2</f>
        <v>0</v>
      </c>
      <c r="CK119" s="1272">
        <f ca="1">'Calc - GRAD ASST'!$M$42/12*1</f>
        <v>0</v>
      </c>
      <c r="CL119" s="1272">
        <f ca="1">'Calc - GRAD ASST'!$M$42/12*3</f>
        <v>0</v>
      </c>
      <c r="CM119" s="1275">
        <f ca="1">'Calc - GRAD ASST'!$M$43/8*3</f>
        <v>0</v>
      </c>
      <c r="CN119" s="1275">
        <f ca="1">'Calc - GRAD ASST'!$M$43/8*3</f>
        <v>0</v>
      </c>
      <c r="CO119" s="1275">
        <f ca="1">'Calc - GRAD ASST'!$M$43/8*2</f>
        <v>0</v>
      </c>
      <c r="CP119" s="88">
        <f t="shared" ref="CP119:CP136" ca="1" si="536">SUM(CB119:CO119)</f>
        <v>0</v>
      </c>
      <c r="CS119" s="575"/>
      <c r="CT119" s="5"/>
      <c r="CU119" s="1180"/>
      <c r="CV119" s="575"/>
      <c r="CW119" s="5"/>
      <c r="CX119" s="1249"/>
      <c r="CY119" s="575"/>
      <c r="CZ119" s="5"/>
      <c r="DA119" s="1180"/>
      <c r="DB119" s="575"/>
      <c r="DC119" s="5"/>
      <c r="DD119" s="1180"/>
      <c r="DE119" s="1181">
        <f t="shared" si="473"/>
        <v>0</v>
      </c>
      <c r="DG119" s="575"/>
      <c r="DH119" s="5"/>
      <c r="DI119" s="1180"/>
      <c r="DJ119" s="575"/>
      <c r="DK119" s="5"/>
      <c r="DL119" s="1249"/>
      <c r="DM119" s="575"/>
      <c r="DN119" s="5"/>
      <c r="DO119" s="1180"/>
      <c r="DP119" s="575"/>
      <c r="DQ119" s="5"/>
      <c r="DR119" s="1180"/>
      <c r="DS119" s="1181">
        <f t="shared" si="474"/>
        <v>0</v>
      </c>
      <c r="DU119" s="575"/>
      <c r="DV119" s="5"/>
      <c r="DW119" s="1180"/>
      <c r="DX119" s="575"/>
      <c r="DY119" s="5"/>
      <c r="DZ119" s="1249"/>
      <c r="EA119" s="575"/>
      <c r="EB119" s="5"/>
      <c r="EC119" s="1180"/>
      <c r="ED119" s="575"/>
      <c r="EE119" s="5"/>
      <c r="EF119" s="1180"/>
      <c r="EG119" s="1181">
        <f t="shared" si="475"/>
        <v>0</v>
      </c>
      <c r="EI119" s="25"/>
      <c r="EJ119" s="348">
        <f t="shared" si="476"/>
        <v>0</v>
      </c>
      <c r="EK119" s="57" t="str">
        <f t="shared" si="477"/>
        <v>GA #02 / Sponsor Funds</v>
      </c>
      <c r="EL119" s="29">
        <f t="shared" ca="1" si="478"/>
        <v>0</v>
      </c>
      <c r="EM119" s="29">
        <f t="shared" ca="1" si="479"/>
        <v>0</v>
      </c>
      <c r="EN119" s="29">
        <f t="shared" ca="1" si="480"/>
        <v>0</v>
      </c>
      <c r="EO119" s="29">
        <f t="shared" ca="1" si="481"/>
        <v>0</v>
      </c>
      <c r="EP119" s="29">
        <f t="shared" ca="1" si="482"/>
        <v>0</v>
      </c>
      <c r="EQ119" s="29">
        <f t="shared" ca="1" si="483"/>
        <v>0</v>
      </c>
      <c r="ER119" s="88">
        <f t="shared" ca="1" si="484"/>
        <v>0</v>
      </c>
      <c r="ES119" s="24"/>
      <c r="ET119" s="24"/>
      <c r="EU119" s="24"/>
      <c r="EV119" s="29">
        <f t="shared" si="485"/>
        <v>0</v>
      </c>
      <c r="EW119" s="29">
        <f t="shared" si="486"/>
        <v>0</v>
      </c>
      <c r="EX119" s="29">
        <f t="shared" si="487"/>
        <v>0</v>
      </c>
      <c r="EY119" s="29">
        <f t="shared" si="488"/>
        <v>0</v>
      </c>
      <c r="EZ119" s="29">
        <f t="shared" si="489"/>
        <v>0</v>
      </c>
      <c r="FA119" s="29">
        <f t="shared" si="490"/>
        <v>0</v>
      </c>
      <c r="FB119" s="167">
        <f t="shared" si="491"/>
        <v>0</v>
      </c>
      <c r="FC119" s="1"/>
      <c r="FD119" s="29">
        <f t="shared" si="492"/>
        <v>0</v>
      </c>
      <c r="FE119" s="29">
        <f t="shared" si="493"/>
        <v>0</v>
      </c>
      <c r="FF119" s="29">
        <f t="shared" si="494"/>
        <v>0</v>
      </c>
      <c r="FG119" s="29">
        <f t="shared" si="495"/>
        <v>0</v>
      </c>
      <c r="FH119" s="29">
        <f t="shared" si="496"/>
        <v>0</v>
      </c>
      <c r="FI119" s="29">
        <f t="shared" si="497"/>
        <v>0</v>
      </c>
      <c r="FJ119" s="48">
        <f t="shared" si="498"/>
        <v>0</v>
      </c>
      <c r="FL119" s="29">
        <f t="shared" si="499"/>
        <v>0</v>
      </c>
      <c r="FM119" s="29">
        <f t="shared" si="500"/>
        <v>0</v>
      </c>
      <c r="FN119" s="29">
        <f t="shared" si="501"/>
        <v>0</v>
      </c>
      <c r="FO119" s="29">
        <f t="shared" si="502"/>
        <v>0</v>
      </c>
      <c r="FP119" s="29">
        <f t="shared" si="503"/>
        <v>0</v>
      </c>
      <c r="FQ119" s="29">
        <f t="shared" si="504"/>
        <v>0</v>
      </c>
      <c r="FR119" s="209">
        <f t="shared" si="505"/>
        <v>0</v>
      </c>
      <c r="FT119" s="29">
        <f t="shared" si="506"/>
        <v>0</v>
      </c>
      <c r="FU119" s="29">
        <f t="shared" si="507"/>
        <v>0</v>
      </c>
      <c r="FV119" s="29">
        <f t="shared" si="508"/>
        <v>0</v>
      </c>
      <c r="FW119" s="29">
        <f t="shared" si="509"/>
        <v>0</v>
      </c>
      <c r="FX119" s="29">
        <f t="shared" si="510"/>
        <v>0</v>
      </c>
      <c r="FY119" s="29">
        <f t="shared" si="511"/>
        <v>0</v>
      </c>
      <c r="FZ119" s="181">
        <f t="shared" si="512"/>
        <v>0</v>
      </c>
      <c r="GB119" s="29">
        <f t="shared" si="513"/>
        <v>0</v>
      </c>
      <c r="GC119" s="29">
        <f t="shared" si="514"/>
        <v>0</v>
      </c>
      <c r="GD119" s="29">
        <f t="shared" si="515"/>
        <v>0</v>
      </c>
      <c r="GE119" s="29">
        <f t="shared" si="516"/>
        <v>0</v>
      </c>
      <c r="GF119" s="29">
        <f t="shared" si="517"/>
        <v>0</v>
      </c>
      <c r="GG119" s="29">
        <f t="shared" si="518"/>
        <v>0</v>
      </c>
      <c r="GH119" s="153">
        <f t="shared" si="519"/>
        <v>0</v>
      </c>
      <c r="GJ119" s="29">
        <f t="shared" si="520"/>
        <v>0</v>
      </c>
      <c r="GK119" s="29">
        <f t="shared" si="521"/>
        <v>0</v>
      </c>
      <c r="GL119" s="29">
        <f t="shared" si="522"/>
        <v>0</v>
      </c>
      <c r="GM119" s="29">
        <f t="shared" si="523"/>
        <v>0</v>
      </c>
      <c r="GN119" s="29">
        <f t="shared" si="524"/>
        <v>0</v>
      </c>
      <c r="GO119" s="29">
        <f t="shared" si="525"/>
        <v>0</v>
      </c>
      <c r="GP119" s="195">
        <f t="shared" si="526"/>
        <v>0</v>
      </c>
      <c r="GR119" s="29"/>
      <c r="GS119" s="29"/>
      <c r="GT119" s="29"/>
      <c r="GU119" s="29"/>
      <c r="GV119" s="29"/>
      <c r="GW119" s="29"/>
      <c r="GX119" s="1105">
        <f t="shared" si="527"/>
        <v>0</v>
      </c>
      <c r="GZ119" s="575">
        <f t="shared" si="528"/>
        <v>0</v>
      </c>
      <c r="HA119" s="575">
        <f t="shared" si="529"/>
        <v>0</v>
      </c>
      <c r="HB119" s="575">
        <f t="shared" si="530"/>
        <v>0</v>
      </c>
      <c r="HC119" s="575">
        <f t="shared" si="531"/>
        <v>0</v>
      </c>
      <c r="HD119" s="575">
        <f t="shared" si="532"/>
        <v>0</v>
      </c>
      <c r="HE119" s="575">
        <f t="shared" si="533"/>
        <v>0</v>
      </c>
      <c r="HF119" s="991">
        <f t="shared" si="534"/>
        <v>0</v>
      </c>
      <c r="HG119" s="573">
        <f t="shared" ca="1" si="535"/>
        <v>0</v>
      </c>
      <c r="HH119" s="257"/>
    </row>
    <row r="120" spans="1:216" ht="15" hidden="1" customHeight="1" x14ac:dyDescent="0.25">
      <c r="A120" s="25"/>
      <c r="B120" s="348">
        <f>'Calc - GRAD ASST'!C65</f>
        <v>0</v>
      </c>
      <c r="C120" s="57" t="str">
        <f>'Calc - GRAD ASST'!A64</f>
        <v>GA #03 / Sponsor Funds</v>
      </c>
      <c r="D120" s="29">
        <f ca="1">'Calc - GRAD ASST'!M69</f>
        <v>0</v>
      </c>
      <c r="E120" s="29">
        <f ca="1">'Calc - GRAD ASST'!M70</f>
        <v>0</v>
      </c>
      <c r="F120" s="29">
        <f ca="1">'Calc - GRAD ASST'!M71</f>
        <v>0</v>
      </c>
      <c r="G120" s="29">
        <f ca="1">'Calc - GRAD ASST'!M72</f>
        <v>0</v>
      </c>
      <c r="H120" s="29">
        <f ca="1">'Calc - GRAD ASST'!M73</f>
        <v>0</v>
      </c>
      <c r="I120" s="29">
        <f ca="1">'Calc - GRAD ASST'!M74</f>
        <v>0</v>
      </c>
      <c r="J120" s="88">
        <f t="shared" ca="1" si="457"/>
        <v>0</v>
      </c>
      <c r="K120" s="24"/>
      <c r="L120" s="24"/>
      <c r="M120" s="24"/>
      <c r="N120" s="29"/>
      <c r="O120" s="29"/>
      <c r="P120" s="29"/>
      <c r="Q120" s="29"/>
      <c r="R120" s="29"/>
      <c r="S120" s="29"/>
      <c r="T120" s="167">
        <f t="shared" si="458"/>
        <v>0</v>
      </c>
      <c r="U120" s="1"/>
      <c r="V120" s="29"/>
      <c r="W120" s="29"/>
      <c r="X120" s="29"/>
      <c r="Y120" s="29"/>
      <c r="Z120" s="29"/>
      <c r="AA120" s="29"/>
      <c r="AB120" s="48">
        <f t="shared" si="459"/>
        <v>0</v>
      </c>
      <c r="AD120" s="29"/>
      <c r="AE120" s="29"/>
      <c r="AF120" s="29"/>
      <c r="AG120" s="29"/>
      <c r="AH120" s="29"/>
      <c r="AI120" s="29"/>
      <c r="AJ120" s="209">
        <f t="shared" si="460"/>
        <v>0</v>
      </c>
      <c r="AL120" s="29"/>
      <c r="AM120" s="29"/>
      <c r="AN120" s="29"/>
      <c r="AO120" s="29"/>
      <c r="AP120" s="29"/>
      <c r="AQ120" s="29"/>
      <c r="AR120" s="181">
        <f t="shared" si="461"/>
        <v>0</v>
      </c>
      <c r="AT120" s="29"/>
      <c r="AU120" s="29"/>
      <c r="AV120" s="29"/>
      <c r="AW120" s="29"/>
      <c r="AX120" s="29"/>
      <c r="AY120" s="29"/>
      <c r="AZ120" s="153">
        <f t="shared" si="462"/>
        <v>0</v>
      </c>
      <c r="BB120" s="29"/>
      <c r="BC120" s="29"/>
      <c r="BD120" s="29"/>
      <c r="BE120" s="29"/>
      <c r="BF120" s="29"/>
      <c r="BG120" s="29"/>
      <c r="BH120" s="195">
        <f t="shared" si="463"/>
        <v>0</v>
      </c>
      <c r="BJ120" s="29"/>
      <c r="BK120" s="29"/>
      <c r="BL120" s="29"/>
      <c r="BM120" s="29"/>
      <c r="BN120" s="29"/>
      <c r="BO120" s="29"/>
      <c r="BP120" s="1105">
        <f t="shared" si="464"/>
        <v>0</v>
      </c>
      <c r="BR120" s="575">
        <f t="shared" si="465"/>
        <v>0</v>
      </c>
      <c r="BS120" s="575">
        <f t="shared" si="466"/>
        <v>0</v>
      </c>
      <c r="BT120" s="575">
        <f t="shared" si="467"/>
        <v>0</v>
      </c>
      <c r="BU120" s="575">
        <f t="shared" si="468"/>
        <v>0</v>
      </c>
      <c r="BV120" s="575">
        <f t="shared" si="469"/>
        <v>0</v>
      </c>
      <c r="BW120" s="575">
        <f t="shared" si="470"/>
        <v>0</v>
      </c>
      <c r="BX120" s="991">
        <f t="shared" si="471"/>
        <v>0</v>
      </c>
      <c r="BY120" s="573">
        <f t="shared" ca="1" si="472"/>
        <v>0</v>
      </c>
      <c r="BZ120" s="257"/>
      <c r="CB120" s="1646">
        <f ca="1">'Calc - GRAD ASST'!$M$69</f>
        <v>0</v>
      </c>
      <c r="CC120" s="1269">
        <f ca="1">'Calc - GRAD ASST'!$M$70/12*3</f>
        <v>0</v>
      </c>
      <c r="CD120" s="1269">
        <f ca="1">'Calc - GRAD ASST'!$M$70/12*3</f>
        <v>0</v>
      </c>
      <c r="CE120" s="1269">
        <f ca="1">'Calc - GRAD ASST'!$M$70/12*2</f>
        <v>0</v>
      </c>
      <c r="CF120" s="1269">
        <f ca="1">'Calc - GRAD ASST'!$M$70/12*1</f>
        <v>0</v>
      </c>
      <c r="CG120" s="1269">
        <f ca="1">'Calc - GRAD ASST'!$M$70/12*3</f>
        <v>0</v>
      </c>
      <c r="CH120" s="1272">
        <f ca="1">'Calc - GRAD ASST'!$M$71/12*3</f>
        <v>0</v>
      </c>
      <c r="CI120" s="1272">
        <f ca="1">'Calc - GRAD ASST'!$M$71/12*3</f>
        <v>0</v>
      </c>
      <c r="CJ120" s="1272">
        <f ca="1">'Calc - GRAD ASST'!$M$71/12*2</f>
        <v>0</v>
      </c>
      <c r="CK120" s="1272">
        <f ca="1">'Calc - GRAD ASST'!$M$71/12*1</f>
        <v>0</v>
      </c>
      <c r="CL120" s="1272">
        <f ca="1">'Calc - GRAD ASST'!$M$71/12*3</f>
        <v>0</v>
      </c>
      <c r="CM120" s="1275">
        <f ca="1">'Calc - GRAD ASST'!$M$72/8*3</f>
        <v>0</v>
      </c>
      <c r="CN120" s="1275">
        <f ca="1">'Calc - GRAD ASST'!$M$72/8*3</f>
        <v>0</v>
      </c>
      <c r="CO120" s="1275">
        <f ca="1">'Calc - GRAD ASST'!$M$72/8*2</f>
        <v>0</v>
      </c>
      <c r="CP120" s="88">
        <f t="shared" ca="1" si="536"/>
        <v>0</v>
      </c>
      <c r="CS120" s="575"/>
      <c r="CT120" s="5"/>
      <c r="CU120" s="1180"/>
      <c r="CV120" s="575"/>
      <c r="CW120" s="5"/>
      <c r="CX120" s="1249"/>
      <c r="CY120" s="575"/>
      <c r="CZ120" s="5"/>
      <c r="DA120" s="1180"/>
      <c r="DB120" s="575"/>
      <c r="DC120" s="5"/>
      <c r="DD120" s="1180"/>
      <c r="DE120" s="1181">
        <f t="shared" si="473"/>
        <v>0</v>
      </c>
      <c r="DG120" s="575"/>
      <c r="DH120" s="5"/>
      <c r="DI120" s="1180"/>
      <c r="DJ120" s="575"/>
      <c r="DK120" s="5"/>
      <c r="DL120" s="1249"/>
      <c r="DM120" s="575"/>
      <c r="DN120" s="5"/>
      <c r="DO120" s="1180"/>
      <c r="DP120" s="575"/>
      <c r="DQ120" s="5"/>
      <c r="DR120" s="1180"/>
      <c r="DS120" s="1181">
        <f t="shared" si="474"/>
        <v>0</v>
      </c>
      <c r="DU120" s="575"/>
      <c r="DV120" s="5"/>
      <c r="DW120" s="1180"/>
      <c r="DX120" s="575"/>
      <c r="DY120" s="5"/>
      <c r="DZ120" s="1249"/>
      <c r="EA120" s="575"/>
      <c r="EB120" s="5"/>
      <c r="EC120" s="1180"/>
      <c r="ED120" s="575"/>
      <c r="EE120" s="5"/>
      <c r="EF120" s="1180"/>
      <c r="EG120" s="1181">
        <f t="shared" si="475"/>
        <v>0</v>
      </c>
      <c r="EI120" s="25"/>
      <c r="EJ120" s="348">
        <f t="shared" si="476"/>
        <v>0</v>
      </c>
      <c r="EK120" s="57" t="str">
        <f t="shared" si="477"/>
        <v>GA #03 / Sponsor Funds</v>
      </c>
      <c r="EL120" s="29">
        <f t="shared" ca="1" si="478"/>
        <v>0</v>
      </c>
      <c r="EM120" s="29">
        <f t="shared" ca="1" si="479"/>
        <v>0</v>
      </c>
      <c r="EN120" s="29">
        <f t="shared" ca="1" si="480"/>
        <v>0</v>
      </c>
      <c r="EO120" s="29">
        <f t="shared" ca="1" si="481"/>
        <v>0</v>
      </c>
      <c r="EP120" s="29">
        <f t="shared" ca="1" si="482"/>
        <v>0</v>
      </c>
      <c r="EQ120" s="29">
        <f t="shared" ca="1" si="483"/>
        <v>0</v>
      </c>
      <c r="ER120" s="88">
        <f t="shared" ca="1" si="484"/>
        <v>0</v>
      </c>
      <c r="ES120" s="24"/>
      <c r="ET120" s="24"/>
      <c r="EU120" s="24"/>
      <c r="EV120" s="29">
        <f t="shared" si="485"/>
        <v>0</v>
      </c>
      <c r="EW120" s="29">
        <f t="shared" si="486"/>
        <v>0</v>
      </c>
      <c r="EX120" s="29">
        <f t="shared" si="487"/>
        <v>0</v>
      </c>
      <c r="EY120" s="29">
        <f t="shared" si="488"/>
        <v>0</v>
      </c>
      <c r="EZ120" s="29">
        <f t="shared" si="489"/>
        <v>0</v>
      </c>
      <c r="FA120" s="29">
        <f t="shared" si="490"/>
        <v>0</v>
      </c>
      <c r="FB120" s="167">
        <f t="shared" si="491"/>
        <v>0</v>
      </c>
      <c r="FC120" s="1"/>
      <c r="FD120" s="29">
        <f t="shared" si="492"/>
        <v>0</v>
      </c>
      <c r="FE120" s="29">
        <f t="shared" si="493"/>
        <v>0</v>
      </c>
      <c r="FF120" s="29">
        <f t="shared" si="494"/>
        <v>0</v>
      </c>
      <c r="FG120" s="29">
        <f t="shared" si="495"/>
        <v>0</v>
      </c>
      <c r="FH120" s="29">
        <f t="shared" si="496"/>
        <v>0</v>
      </c>
      <c r="FI120" s="29">
        <f t="shared" si="497"/>
        <v>0</v>
      </c>
      <c r="FJ120" s="48">
        <f t="shared" si="498"/>
        <v>0</v>
      </c>
      <c r="FL120" s="29">
        <f t="shared" si="499"/>
        <v>0</v>
      </c>
      <c r="FM120" s="29">
        <f t="shared" si="500"/>
        <v>0</v>
      </c>
      <c r="FN120" s="29">
        <f t="shared" si="501"/>
        <v>0</v>
      </c>
      <c r="FO120" s="29">
        <f t="shared" si="502"/>
        <v>0</v>
      </c>
      <c r="FP120" s="29">
        <f t="shared" si="503"/>
        <v>0</v>
      </c>
      <c r="FQ120" s="29">
        <f t="shared" si="504"/>
        <v>0</v>
      </c>
      <c r="FR120" s="209">
        <f t="shared" si="505"/>
        <v>0</v>
      </c>
      <c r="FT120" s="29">
        <f t="shared" si="506"/>
        <v>0</v>
      </c>
      <c r="FU120" s="29">
        <f t="shared" si="507"/>
        <v>0</v>
      </c>
      <c r="FV120" s="29">
        <f t="shared" si="508"/>
        <v>0</v>
      </c>
      <c r="FW120" s="29">
        <f t="shared" si="509"/>
        <v>0</v>
      </c>
      <c r="FX120" s="29">
        <f t="shared" si="510"/>
        <v>0</v>
      </c>
      <c r="FY120" s="29">
        <f t="shared" si="511"/>
        <v>0</v>
      </c>
      <c r="FZ120" s="181">
        <f t="shared" si="512"/>
        <v>0</v>
      </c>
      <c r="GB120" s="29">
        <f t="shared" si="513"/>
        <v>0</v>
      </c>
      <c r="GC120" s="29">
        <f t="shared" si="514"/>
        <v>0</v>
      </c>
      <c r="GD120" s="29">
        <f t="shared" si="515"/>
        <v>0</v>
      </c>
      <c r="GE120" s="29">
        <f t="shared" si="516"/>
        <v>0</v>
      </c>
      <c r="GF120" s="29">
        <f t="shared" si="517"/>
        <v>0</v>
      </c>
      <c r="GG120" s="29">
        <f t="shared" si="518"/>
        <v>0</v>
      </c>
      <c r="GH120" s="153">
        <f t="shared" si="519"/>
        <v>0</v>
      </c>
      <c r="GJ120" s="29">
        <f t="shared" si="520"/>
        <v>0</v>
      </c>
      <c r="GK120" s="29">
        <f t="shared" si="521"/>
        <v>0</v>
      </c>
      <c r="GL120" s="29">
        <f t="shared" si="522"/>
        <v>0</v>
      </c>
      <c r="GM120" s="29">
        <f t="shared" si="523"/>
        <v>0</v>
      </c>
      <c r="GN120" s="29">
        <f t="shared" si="524"/>
        <v>0</v>
      </c>
      <c r="GO120" s="29">
        <f t="shared" si="525"/>
        <v>0</v>
      </c>
      <c r="GP120" s="195">
        <f t="shared" si="526"/>
        <v>0</v>
      </c>
      <c r="GR120" s="29"/>
      <c r="GS120" s="29"/>
      <c r="GT120" s="29"/>
      <c r="GU120" s="29"/>
      <c r="GV120" s="29"/>
      <c r="GW120" s="29"/>
      <c r="GX120" s="1105">
        <f t="shared" si="527"/>
        <v>0</v>
      </c>
      <c r="GZ120" s="575">
        <f t="shared" si="528"/>
        <v>0</v>
      </c>
      <c r="HA120" s="575">
        <f t="shared" si="529"/>
        <v>0</v>
      </c>
      <c r="HB120" s="575">
        <f t="shared" si="530"/>
        <v>0</v>
      </c>
      <c r="HC120" s="575">
        <f t="shared" si="531"/>
        <v>0</v>
      </c>
      <c r="HD120" s="575">
        <f t="shared" si="532"/>
        <v>0</v>
      </c>
      <c r="HE120" s="575">
        <f t="shared" si="533"/>
        <v>0</v>
      </c>
      <c r="HF120" s="991">
        <f t="shared" si="534"/>
        <v>0</v>
      </c>
      <c r="HG120" s="573">
        <f t="shared" ca="1" si="535"/>
        <v>0</v>
      </c>
      <c r="HH120" s="257"/>
    </row>
    <row r="121" spans="1:216" ht="15" hidden="1" customHeight="1" x14ac:dyDescent="0.25">
      <c r="A121" s="25"/>
      <c r="B121" s="348">
        <f>'Calc - GRAD ASST'!C94</f>
        <v>0</v>
      </c>
      <c r="C121" s="57" t="str">
        <f>'Calc - GRAD ASST'!A93</f>
        <v>GA #04 / Sponsor Funds</v>
      </c>
      <c r="D121" s="29">
        <f ca="1">'Calc - GRAD ASST'!M98</f>
        <v>0</v>
      </c>
      <c r="E121" s="29">
        <f ca="1">'Calc - GRAD ASST'!M99</f>
        <v>0</v>
      </c>
      <c r="F121" s="29">
        <f ca="1">'Calc - GRAD ASST'!M100</f>
        <v>0</v>
      </c>
      <c r="G121" s="29">
        <f ca="1">'Calc - GRAD ASST'!M101</f>
        <v>0</v>
      </c>
      <c r="H121" s="29">
        <f ca="1">'Calc - GRAD ASST'!M102</f>
        <v>0</v>
      </c>
      <c r="I121" s="29">
        <f ca="1">'Calc - GRAD ASST'!M103</f>
        <v>0</v>
      </c>
      <c r="J121" s="88">
        <f t="shared" ca="1" si="457"/>
        <v>0</v>
      </c>
      <c r="K121" s="24"/>
      <c r="L121" s="24"/>
      <c r="M121" s="24"/>
      <c r="N121" s="29"/>
      <c r="O121" s="29"/>
      <c r="P121" s="29"/>
      <c r="Q121" s="29"/>
      <c r="R121" s="29"/>
      <c r="S121" s="29"/>
      <c r="T121" s="167">
        <f t="shared" si="458"/>
        <v>0</v>
      </c>
      <c r="U121" s="1"/>
      <c r="V121" s="29"/>
      <c r="W121" s="29"/>
      <c r="X121" s="29"/>
      <c r="Y121" s="29"/>
      <c r="Z121" s="29"/>
      <c r="AA121" s="29"/>
      <c r="AB121" s="48">
        <f t="shared" si="459"/>
        <v>0</v>
      </c>
      <c r="AD121" s="29"/>
      <c r="AE121" s="29"/>
      <c r="AF121" s="29"/>
      <c r="AG121" s="29"/>
      <c r="AH121" s="29"/>
      <c r="AI121" s="29"/>
      <c r="AJ121" s="209">
        <f t="shared" si="460"/>
        <v>0</v>
      </c>
      <c r="AL121" s="29"/>
      <c r="AM121" s="29"/>
      <c r="AN121" s="29"/>
      <c r="AO121" s="29"/>
      <c r="AP121" s="29"/>
      <c r="AQ121" s="29"/>
      <c r="AR121" s="181">
        <f t="shared" si="461"/>
        <v>0</v>
      </c>
      <c r="AT121" s="29"/>
      <c r="AU121" s="29"/>
      <c r="AV121" s="29"/>
      <c r="AW121" s="29"/>
      <c r="AX121" s="29"/>
      <c r="AY121" s="29"/>
      <c r="AZ121" s="153">
        <f t="shared" si="462"/>
        <v>0</v>
      </c>
      <c r="BB121" s="29"/>
      <c r="BC121" s="29"/>
      <c r="BD121" s="29"/>
      <c r="BE121" s="29"/>
      <c r="BF121" s="29"/>
      <c r="BG121" s="29"/>
      <c r="BH121" s="195">
        <f t="shared" si="463"/>
        <v>0</v>
      </c>
      <c r="BJ121" s="29"/>
      <c r="BK121" s="29"/>
      <c r="BL121" s="29"/>
      <c r="BM121" s="29"/>
      <c r="BN121" s="29"/>
      <c r="BO121" s="29"/>
      <c r="BP121" s="1105">
        <f t="shared" si="464"/>
        <v>0</v>
      </c>
      <c r="BR121" s="575">
        <f t="shared" si="465"/>
        <v>0</v>
      </c>
      <c r="BS121" s="575">
        <f t="shared" si="466"/>
        <v>0</v>
      </c>
      <c r="BT121" s="575">
        <f t="shared" si="467"/>
        <v>0</v>
      </c>
      <c r="BU121" s="575">
        <f t="shared" si="468"/>
        <v>0</v>
      </c>
      <c r="BV121" s="575">
        <f t="shared" si="469"/>
        <v>0</v>
      </c>
      <c r="BW121" s="575">
        <f t="shared" si="470"/>
        <v>0</v>
      </c>
      <c r="BX121" s="991">
        <f t="shared" si="471"/>
        <v>0</v>
      </c>
      <c r="BY121" s="573">
        <f t="shared" ca="1" si="472"/>
        <v>0</v>
      </c>
      <c r="BZ121" s="257"/>
      <c r="CB121" s="1646">
        <f ca="1">'Calc - GRAD ASST'!$M$98</f>
        <v>0</v>
      </c>
      <c r="CC121" s="1269">
        <f ca="1">'Calc - GRAD ASST'!$M$99/12*3</f>
        <v>0</v>
      </c>
      <c r="CD121" s="1269">
        <f ca="1">'Calc - GRAD ASST'!$M$99/12*3</f>
        <v>0</v>
      </c>
      <c r="CE121" s="1269">
        <f ca="1">'Calc - GRAD ASST'!$M$99/12*2</f>
        <v>0</v>
      </c>
      <c r="CF121" s="1269">
        <f ca="1">'Calc - GRAD ASST'!$M$99/12*1</f>
        <v>0</v>
      </c>
      <c r="CG121" s="1269">
        <f ca="1">'Calc - GRAD ASST'!$M$99/12*3</f>
        <v>0</v>
      </c>
      <c r="CH121" s="1272">
        <f ca="1">'Calc - GRAD ASST'!$M$100/12*3</f>
        <v>0</v>
      </c>
      <c r="CI121" s="1272">
        <f ca="1">'Calc - GRAD ASST'!$M$100/12*3</f>
        <v>0</v>
      </c>
      <c r="CJ121" s="1272">
        <f ca="1">'Calc - GRAD ASST'!$M$100/12*2</f>
        <v>0</v>
      </c>
      <c r="CK121" s="1272">
        <f ca="1">'Calc - GRAD ASST'!$M$100/12*1</f>
        <v>0</v>
      </c>
      <c r="CL121" s="1272">
        <f ca="1">'Calc - GRAD ASST'!$M$100/12*3</f>
        <v>0</v>
      </c>
      <c r="CM121" s="1275">
        <f ca="1">'Calc - GRAD ASST'!$M$101/8*3</f>
        <v>0</v>
      </c>
      <c r="CN121" s="1275">
        <f ca="1">'Calc - GRAD ASST'!$M$101/8*3</f>
        <v>0</v>
      </c>
      <c r="CO121" s="1275">
        <f ca="1">'Calc - GRAD ASST'!$M$101/8*2</f>
        <v>0</v>
      </c>
      <c r="CP121" s="88">
        <f t="shared" ca="1" si="536"/>
        <v>0</v>
      </c>
      <c r="CS121" s="575"/>
      <c r="CT121" s="5"/>
      <c r="CU121" s="1180"/>
      <c r="CV121" s="575"/>
      <c r="CW121" s="5"/>
      <c r="CX121" s="1249"/>
      <c r="CY121" s="575"/>
      <c r="CZ121" s="5"/>
      <c r="DA121" s="1180"/>
      <c r="DB121" s="575"/>
      <c r="DC121" s="5"/>
      <c r="DD121" s="1180"/>
      <c r="DE121" s="1181">
        <f t="shared" si="473"/>
        <v>0</v>
      </c>
      <c r="DG121" s="575"/>
      <c r="DH121" s="5"/>
      <c r="DI121" s="1180"/>
      <c r="DJ121" s="575"/>
      <c r="DK121" s="5"/>
      <c r="DL121" s="1249"/>
      <c r="DM121" s="575"/>
      <c r="DN121" s="5"/>
      <c r="DO121" s="1180"/>
      <c r="DP121" s="575"/>
      <c r="DQ121" s="5"/>
      <c r="DR121" s="1180"/>
      <c r="DS121" s="1181">
        <f t="shared" si="474"/>
        <v>0</v>
      </c>
      <c r="DU121" s="575"/>
      <c r="DV121" s="5"/>
      <c r="DW121" s="1180"/>
      <c r="DX121" s="575"/>
      <c r="DY121" s="5"/>
      <c r="DZ121" s="1249"/>
      <c r="EA121" s="575"/>
      <c r="EB121" s="5"/>
      <c r="EC121" s="1180"/>
      <c r="ED121" s="575"/>
      <c r="EE121" s="5"/>
      <c r="EF121" s="1180"/>
      <c r="EG121" s="1181">
        <f t="shared" si="475"/>
        <v>0</v>
      </c>
      <c r="EI121" s="25"/>
      <c r="EJ121" s="348">
        <f t="shared" si="476"/>
        <v>0</v>
      </c>
      <c r="EK121" s="57" t="str">
        <f t="shared" si="477"/>
        <v>GA #04 / Sponsor Funds</v>
      </c>
      <c r="EL121" s="29">
        <f t="shared" ca="1" si="478"/>
        <v>0</v>
      </c>
      <c r="EM121" s="29">
        <f t="shared" ca="1" si="479"/>
        <v>0</v>
      </c>
      <c r="EN121" s="29">
        <f t="shared" ca="1" si="480"/>
        <v>0</v>
      </c>
      <c r="EO121" s="29">
        <f t="shared" ca="1" si="481"/>
        <v>0</v>
      </c>
      <c r="EP121" s="29">
        <f t="shared" ca="1" si="482"/>
        <v>0</v>
      </c>
      <c r="EQ121" s="29">
        <f t="shared" ca="1" si="483"/>
        <v>0</v>
      </c>
      <c r="ER121" s="88">
        <f t="shared" ca="1" si="484"/>
        <v>0</v>
      </c>
      <c r="ES121" s="24"/>
      <c r="ET121" s="24"/>
      <c r="EU121" s="24"/>
      <c r="EV121" s="29">
        <f t="shared" si="485"/>
        <v>0</v>
      </c>
      <c r="EW121" s="29">
        <f t="shared" si="486"/>
        <v>0</v>
      </c>
      <c r="EX121" s="29">
        <f t="shared" si="487"/>
        <v>0</v>
      </c>
      <c r="EY121" s="29">
        <f t="shared" si="488"/>
        <v>0</v>
      </c>
      <c r="EZ121" s="29">
        <f t="shared" si="489"/>
        <v>0</v>
      </c>
      <c r="FA121" s="29">
        <f t="shared" si="490"/>
        <v>0</v>
      </c>
      <c r="FB121" s="167">
        <f t="shared" si="491"/>
        <v>0</v>
      </c>
      <c r="FC121" s="1"/>
      <c r="FD121" s="29">
        <f t="shared" si="492"/>
        <v>0</v>
      </c>
      <c r="FE121" s="29">
        <f t="shared" si="493"/>
        <v>0</v>
      </c>
      <c r="FF121" s="29">
        <f t="shared" si="494"/>
        <v>0</v>
      </c>
      <c r="FG121" s="29">
        <f t="shared" si="495"/>
        <v>0</v>
      </c>
      <c r="FH121" s="29">
        <f t="shared" si="496"/>
        <v>0</v>
      </c>
      <c r="FI121" s="29">
        <f t="shared" si="497"/>
        <v>0</v>
      </c>
      <c r="FJ121" s="48">
        <f t="shared" si="498"/>
        <v>0</v>
      </c>
      <c r="FL121" s="29">
        <f t="shared" si="499"/>
        <v>0</v>
      </c>
      <c r="FM121" s="29">
        <f t="shared" si="500"/>
        <v>0</v>
      </c>
      <c r="FN121" s="29">
        <f t="shared" si="501"/>
        <v>0</v>
      </c>
      <c r="FO121" s="29">
        <f t="shared" si="502"/>
        <v>0</v>
      </c>
      <c r="FP121" s="29">
        <f t="shared" si="503"/>
        <v>0</v>
      </c>
      <c r="FQ121" s="29">
        <f t="shared" si="504"/>
        <v>0</v>
      </c>
      <c r="FR121" s="209">
        <f t="shared" si="505"/>
        <v>0</v>
      </c>
      <c r="FT121" s="29">
        <f t="shared" si="506"/>
        <v>0</v>
      </c>
      <c r="FU121" s="29">
        <f t="shared" si="507"/>
        <v>0</v>
      </c>
      <c r="FV121" s="29">
        <f t="shared" si="508"/>
        <v>0</v>
      </c>
      <c r="FW121" s="29">
        <f t="shared" si="509"/>
        <v>0</v>
      </c>
      <c r="FX121" s="29">
        <f t="shared" si="510"/>
        <v>0</v>
      </c>
      <c r="FY121" s="29">
        <f t="shared" si="511"/>
        <v>0</v>
      </c>
      <c r="FZ121" s="181">
        <f t="shared" si="512"/>
        <v>0</v>
      </c>
      <c r="GB121" s="29">
        <f t="shared" si="513"/>
        <v>0</v>
      </c>
      <c r="GC121" s="29">
        <f t="shared" si="514"/>
        <v>0</v>
      </c>
      <c r="GD121" s="29">
        <f t="shared" si="515"/>
        <v>0</v>
      </c>
      <c r="GE121" s="29">
        <f t="shared" si="516"/>
        <v>0</v>
      </c>
      <c r="GF121" s="29">
        <f t="shared" si="517"/>
        <v>0</v>
      </c>
      <c r="GG121" s="29">
        <f t="shared" si="518"/>
        <v>0</v>
      </c>
      <c r="GH121" s="153">
        <f t="shared" si="519"/>
        <v>0</v>
      </c>
      <c r="GJ121" s="29">
        <f t="shared" si="520"/>
        <v>0</v>
      </c>
      <c r="GK121" s="29">
        <f t="shared" si="521"/>
        <v>0</v>
      </c>
      <c r="GL121" s="29">
        <f t="shared" si="522"/>
        <v>0</v>
      </c>
      <c r="GM121" s="29">
        <f t="shared" si="523"/>
        <v>0</v>
      </c>
      <c r="GN121" s="29">
        <f t="shared" si="524"/>
        <v>0</v>
      </c>
      <c r="GO121" s="29">
        <f t="shared" si="525"/>
        <v>0</v>
      </c>
      <c r="GP121" s="195">
        <f t="shared" si="526"/>
        <v>0</v>
      </c>
      <c r="GR121" s="29"/>
      <c r="GS121" s="29"/>
      <c r="GT121" s="29"/>
      <c r="GU121" s="29"/>
      <c r="GV121" s="29"/>
      <c r="GW121" s="29"/>
      <c r="GX121" s="1105">
        <f t="shared" si="527"/>
        <v>0</v>
      </c>
      <c r="GZ121" s="575">
        <f t="shared" si="528"/>
        <v>0</v>
      </c>
      <c r="HA121" s="575">
        <f t="shared" si="529"/>
        <v>0</v>
      </c>
      <c r="HB121" s="575">
        <f t="shared" si="530"/>
        <v>0</v>
      </c>
      <c r="HC121" s="575">
        <f t="shared" si="531"/>
        <v>0</v>
      </c>
      <c r="HD121" s="575">
        <f t="shared" si="532"/>
        <v>0</v>
      </c>
      <c r="HE121" s="575">
        <f t="shared" si="533"/>
        <v>0</v>
      </c>
      <c r="HF121" s="991">
        <f t="shared" si="534"/>
        <v>0</v>
      </c>
      <c r="HG121" s="573">
        <f t="shared" ca="1" si="535"/>
        <v>0</v>
      </c>
      <c r="HH121" s="257"/>
    </row>
    <row r="122" spans="1:216" ht="15" hidden="1" customHeight="1" x14ac:dyDescent="0.25">
      <c r="A122" s="25"/>
      <c r="B122" s="348">
        <f>'Calc - GRAD ASST'!C123</f>
        <v>0</v>
      </c>
      <c r="C122" s="57" t="str">
        <f>'Calc - GRAD ASST'!A122</f>
        <v>GA #05 / Sponsor Funds</v>
      </c>
      <c r="D122" s="29">
        <f ca="1">'Calc - GRAD ASST'!M127</f>
        <v>0</v>
      </c>
      <c r="E122" s="29">
        <f ca="1">'Calc - GRAD ASST'!M128</f>
        <v>0</v>
      </c>
      <c r="F122" s="29">
        <f ca="1">'Calc - GRAD ASST'!M129</f>
        <v>0</v>
      </c>
      <c r="G122" s="29">
        <f ca="1">'Calc - GRAD ASST'!M130</f>
        <v>0</v>
      </c>
      <c r="H122" s="29">
        <f ca="1">'Calc - GRAD ASST'!M131</f>
        <v>0</v>
      </c>
      <c r="I122" s="29">
        <f ca="1">'Calc - GRAD ASST'!M132</f>
        <v>0</v>
      </c>
      <c r="J122" s="88">
        <f t="shared" ca="1" si="457"/>
        <v>0</v>
      </c>
      <c r="K122" s="24"/>
      <c r="L122" s="4"/>
      <c r="M122" s="24"/>
      <c r="N122" s="29"/>
      <c r="O122" s="29"/>
      <c r="P122" s="29"/>
      <c r="Q122" s="29"/>
      <c r="R122" s="29"/>
      <c r="S122" s="29"/>
      <c r="T122" s="167">
        <f t="shared" si="458"/>
        <v>0</v>
      </c>
      <c r="U122" s="1"/>
      <c r="V122" s="29"/>
      <c r="W122" s="29"/>
      <c r="X122" s="29"/>
      <c r="Y122" s="29"/>
      <c r="Z122" s="29"/>
      <c r="AA122" s="29"/>
      <c r="AB122" s="48">
        <f t="shared" si="459"/>
        <v>0</v>
      </c>
      <c r="AD122" s="29"/>
      <c r="AE122" s="29"/>
      <c r="AF122" s="29"/>
      <c r="AG122" s="29"/>
      <c r="AH122" s="29"/>
      <c r="AI122" s="29"/>
      <c r="AJ122" s="209">
        <f t="shared" si="460"/>
        <v>0</v>
      </c>
      <c r="AL122" s="29"/>
      <c r="AM122" s="29"/>
      <c r="AN122" s="29"/>
      <c r="AO122" s="29"/>
      <c r="AP122" s="29"/>
      <c r="AQ122" s="29"/>
      <c r="AR122" s="181">
        <f t="shared" si="461"/>
        <v>0</v>
      </c>
      <c r="AT122" s="29"/>
      <c r="AU122" s="29"/>
      <c r="AV122" s="29"/>
      <c r="AW122" s="29"/>
      <c r="AX122" s="29"/>
      <c r="AY122" s="29"/>
      <c r="AZ122" s="153">
        <f t="shared" si="462"/>
        <v>0</v>
      </c>
      <c r="BB122" s="29"/>
      <c r="BC122" s="29"/>
      <c r="BD122" s="29"/>
      <c r="BE122" s="29"/>
      <c r="BF122" s="29"/>
      <c r="BG122" s="29"/>
      <c r="BH122" s="195">
        <f t="shared" si="463"/>
        <v>0</v>
      </c>
      <c r="BJ122" s="29"/>
      <c r="BK122" s="29"/>
      <c r="BL122" s="29"/>
      <c r="BM122" s="29"/>
      <c r="BN122" s="29"/>
      <c r="BO122" s="29"/>
      <c r="BP122" s="1105">
        <f t="shared" si="464"/>
        <v>0</v>
      </c>
      <c r="BR122" s="575">
        <f t="shared" si="465"/>
        <v>0</v>
      </c>
      <c r="BS122" s="575">
        <f t="shared" si="466"/>
        <v>0</v>
      </c>
      <c r="BT122" s="575">
        <f t="shared" si="467"/>
        <v>0</v>
      </c>
      <c r="BU122" s="575">
        <f t="shared" si="468"/>
        <v>0</v>
      </c>
      <c r="BV122" s="575">
        <f t="shared" si="469"/>
        <v>0</v>
      </c>
      <c r="BW122" s="575">
        <f t="shared" si="470"/>
        <v>0</v>
      </c>
      <c r="BX122" s="991">
        <f t="shared" si="471"/>
        <v>0</v>
      </c>
      <c r="BY122" s="573">
        <f t="shared" ca="1" si="472"/>
        <v>0</v>
      </c>
      <c r="BZ122" s="257"/>
      <c r="CB122" s="1646">
        <f ca="1">'Calc - GRAD ASST'!$M$127</f>
        <v>0</v>
      </c>
      <c r="CC122" s="1269">
        <f ca="1">'Calc - GRAD ASST'!$M$128/12*3</f>
        <v>0</v>
      </c>
      <c r="CD122" s="1269">
        <f ca="1">'Calc - GRAD ASST'!$M$128/12*3</f>
        <v>0</v>
      </c>
      <c r="CE122" s="1269">
        <f ca="1">'Calc - GRAD ASST'!$M$128/12*2</f>
        <v>0</v>
      </c>
      <c r="CF122" s="1269">
        <f ca="1">'Calc - GRAD ASST'!$M$128/12*1</f>
        <v>0</v>
      </c>
      <c r="CG122" s="1269">
        <f ca="1">'Calc - GRAD ASST'!$M$128/12*3</f>
        <v>0</v>
      </c>
      <c r="CH122" s="1272">
        <f ca="1">'Calc - GRAD ASST'!$M$129/12*3</f>
        <v>0</v>
      </c>
      <c r="CI122" s="1272">
        <f ca="1">'Calc - GRAD ASST'!$M$129/12*3</f>
        <v>0</v>
      </c>
      <c r="CJ122" s="1272">
        <f ca="1">'Calc - GRAD ASST'!$M$129/12*2</f>
        <v>0</v>
      </c>
      <c r="CK122" s="1272">
        <f ca="1">'Calc - GRAD ASST'!$M$129/12*1</f>
        <v>0</v>
      </c>
      <c r="CL122" s="1272">
        <f ca="1">'Calc - GRAD ASST'!$M$129/12*3</f>
        <v>0</v>
      </c>
      <c r="CM122" s="1275">
        <f ca="1">'Calc - GRAD ASST'!$M$130/8*3</f>
        <v>0</v>
      </c>
      <c r="CN122" s="1275">
        <f ca="1">'Calc - GRAD ASST'!$M$130/8*3</f>
        <v>0</v>
      </c>
      <c r="CO122" s="1275">
        <f ca="1">'Calc - GRAD ASST'!$M$130/8*2</f>
        <v>0</v>
      </c>
      <c r="CP122" s="88">
        <f t="shared" ca="1" si="536"/>
        <v>0</v>
      </c>
      <c r="CS122" s="575"/>
      <c r="CT122" s="5"/>
      <c r="CU122" s="1180"/>
      <c r="CV122" s="575"/>
      <c r="CW122" s="5"/>
      <c r="CX122" s="1249"/>
      <c r="CY122" s="575"/>
      <c r="CZ122" s="5"/>
      <c r="DA122" s="1180"/>
      <c r="DB122" s="575"/>
      <c r="DC122" s="5"/>
      <c r="DD122" s="1180"/>
      <c r="DE122" s="1181">
        <f t="shared" si="473"/>
        <v>0</v>
      </c>
      <c r="DG122" s="575"/>
      <c r="DH122" s="5"/>
      <c r="DI122" s="1180"/>
      <c r="DJ122" s="575"/>
      <c r="DK122" s="5"/>
      <c r="DL122" s="1249"/>
      <c r="DM122" s="575"/>
      <c r="DN122" s="5"/>
      <c r="DO122" s="1180"/>
      <c r="DP122" s="575"/>
      <c r="DQ122" s="5"/>
      <c r="DR122" s="1180"/>
      <c r="DS122" s="1181">
        <f t="shared" si="474"/>
        <v>0</v>
      </c>
      <c r="DU122" s="575"/>
      <c r="DV122" s="5"/>
      <c r="DW122" s="1180"/>
      <c r="DX122" s="575"/>
      <c r="DY122" s="5"/>
      <c r="DZ122" s="1249"/>
      <c r="EA122" s="575"/>
      <c r="EB122" s="5"/>
      <c r="EC122" s="1180"/>
      <c r="ED122" s="575"/>
      <c r="EE122" s="5"/>
      <c r="EF122" s="1180"/>
      <c r="EG122" s="1181">
        <f t="shared" si="475"/>
        <v>0</v>
      </c>
      <c r="EI122" s="25"/>
      <c r="EJ122" s="348">
        <f t="shared" si="476"/>
        <v>0</v>
      </c>
      <c r="EK122" s="57" t="str">
        <f t="shared" si="477"/>
        <v>GA #05 / Sponsor Funds</v>
      </c>
      <c r="EL122" s="29">
        <f t="shared" ca="1" si="478"/>
        <v>0</v>
      </c>
      <c r="EM122" s="29">
        <f t="shared" ca="1" si="479"/>
        <v>0</v>
      </c>
      <c r="EN122" s="29">
        <f t="shared" ca="1" si="480"/>
        <v>0</v>
      </c>
      <c r="EO122" s="29">
        <f t="shared" ca="1" si="481"/>
        <v>0</v>
      </c>
      <c r="EP122" s="29">
        <f t="shared" ca="1" si="482"/>
        <v>0</v>
      </c>
      <c r="EQ122" s="29">
        <f t="shared" ca="1" si="483"/>
        <v>0</v>
      </c>
      <c r="ER122" s="88">
        <f t="shared" ca="1" si="484"/>
        <v>0</v>
      </c>
      <c r="ES122" s="24"/>
      <c r="ET122" s="4"/>
      <c r="EU122" s="24"/>
      <c r="EV122" s="29">
        <f t="shared" si="485"/>
        <v>0</v>
      </c>
      <c r="EW122" s="29">
        <f t="shared" si="486"/>
        <v>0</v>
      </c>
      <c r="EX122" s="29">
        <f t="shared" si="487"/>
        <v>0</v>
      </c>
      <c r="EY122" s="29">
        <f t="shared" si="488"/>
        <v>0</v>
      </c>
      <c r="EZ122" s="29">
        <f t="shared" si="489"/>
        <v>0</v>
      </c>
      <c r="FA122" s="29">
        <f t="shared" si="490"/>
        <v>0</v>
      </c>
      <c r="FB122" s="167">
        <f t="shared" si="491"/>
        <v>0</v>
      </c>
      <c r="FC122" s="1"/>
      <c r="FD122" s="29">
        <f t="shared" si="492"/>
        <v>0</v>
      </c>
      <c r="FE122" s="29">
        <f t="shared" si="493"/>
        <v>0</v>
      </c>
      <c r="FF122" s="29">
        <f t="shared" si="494"/>
        <v>0</v>
      </c>
      <c r="FG122" s="29">
        <f t="shared" si="495"/>
        <v>0</v>
      </c>
      <c r="FH122" s="29">
        <f t="shared" si="496"/>
        <v>0</v>
      </c>
      <c r="FI122" s="29">
        <f t="shared" si="497"/>
        <v>0</v>
      </c>
      <c r="FJ122" s="48">
        <f t="shared" si="498"/>
        <v>0</v>
      </c>
      <c r="FL122" s="29">
        <f t="shared" si="499"/>
        <v>0</v>
      </c>
      <c r="FM122" s="29">
        <f t="shared" si="500"/>
        <v>0</v>
      </c>
      <c r="FN122" s="29">
        <f t="shared" si="501"/>
        <v>0</v>
      </c>
      <c r="FO122" s="29">
        <f t="shared" si="502"/>
        <v>0</v>
      </c>
      <c r="FP122" s="29">
        <f t="shared" si="503"/>
        <v>0</v>
      </c>
      <c r="FQ122" s="29">
        <f t="shared" si="504"/>
        <v>0</v>
      </c>
      <c r="FR122" s="209">
        <f t="shared" si="505"/>
        <v>0</v>
      </c>
      <c r="FT122" s="29">
        <f t="shared" si="506"/>
        <v>0</v>
      </c>
      <c r="FU122" s="29">
        <f t="shared" si="507"/>
        <v>0</v>
      </c>
      <c r="FV122" s="29">
        <f t="shared" si="508"/>
        <v>0</v>
      </c>
      <c r="FW122" s="29">
        <f t="shared" si="509"/>
        <v>0</v>
      </c>
      <c r="FX122" s="29">
        <f t="shared" si="510"/>
        <v>0</v>
      </c>
      <c r="FY122" s="29">
        <f t="shared" si="511"/>
        <v>0</v>
      </c>
      <c r="FZ122" s="181">
        <f t="shared" si="512"/>
        <v>0</v>
      </c>
      <c r="GB122" s="29">
        <f t="shared" si="513"/>
        <v>0</v>
      </c>
      <c r="GC122" s="29">
        <f t="shared" si="514"/>
        <v>0</v>
      </c>
      <c r="GD122" s="29">
        <f t="shared" si="515"/>
        <v>0</v>
      </c>
      <c r="GE122" s="29">
        <f t="shared" si="516"/>
        <v>0</v>
      </c>
      <c r="GF122" s="29">
        <f t="shared" si="517"/>
        <v>0</v>
      </c>
      <c r="GG122" s="29">
        <f t="shared" si="518"/>
        <v>0</v>
      </c>
      <c r="GH122" s="153">
        <f t="shared" si="519"/>
        <v>0</v>
      </c>
      <c r="GJ122" s="29">
        <f t="shared" si="520"/>
        <v>0</v>
      </c>
      <c r="GK122" s="29">
        <f t="shared" si="521"/>
        <v>0</v>
      </c>
      <c r="GL122" s="29">
        <f t="shared" si="522"/>
        <v>0</v>
      </c>
      <c r="GM122" s="29">
        <f t="shared" si="523"/>
        <v>0</v>
      </c>
      <c r="GN122" s="29">
        <f t="shared" si="524"/>
        <v>0</v>
      </c>
      <c r="GO122" s="29">
        <f t="shared" si="525"/>
        <v>0</v>
      </c>
      <c r="GP122" s="195">
        <f t="shared" si="526"/>
        <v>0</v>
      </c>
      <c r="GR122" s="29"/>
      <c r="GS122" s="29"/>
      <c r="GT122" s="29"/>
      <c r="GU122" s="29"/>
      <c r="GV122" s="29"/>
      <c r="GW122" s="29"/>
      <c r="GX122" s="1105">
        <f t="shared" si="527"/>
        <v>0</v>
      </c>
      <c r="GZ122" s="575">
        <f t="shared" si="528"/>
        <v>0</v>
      </c>
      <c r="HA122" s="575">
        <f t="shared" si="529"/>
        <v>0</v>
      </c>
      <c r="HB122" s="575">
        <f t="shared" si="530"/>
        <v>0</v>
      </c>
      <c r="HC122" s="575">
        <f t="shared" si="531"/>
        <v>0</v>
      </c>
      <c r="HD122" s="575">
        <f t="shared" si="532"/>
        <v>0</v>
      </c>
      <c r="HE122" s="575">
        <f t="shared" si="533"/>
        <v>0</v>
      </c>
      <c r="HF122" s="991">
        <f t="shared" si="534"/>
        <v>0</v>
      </c>
      <c r="HG122" s="573">
        <f t="shared" ca="1" si="535"/>
        <v>0</v>
      </c>
      <c r="HH122" s="257"/>
    </row>
    <row r="123" spans="1:216" ht="15" hidden="1" customHeight="1" x14ac:dyDescent="0.25">
      <c r="A123" s="25"/>
      <c r="B123" s="348">
        <f>'Calc - GRAD ASST'!C152</f>
        <v>0</v>
      </c>
      <c r="C123" s="57" t="str">
        <f>'Calc - GRAD ASST'!A151</f>
        <v>GA #06 / Sponsor Funds</v>
      </c>
      <c r="D123" s="29">
        <f ca="1">'Calc - GRAD ASST'!$M$156</f>
        <v>0</v>
      </c>
      <c r="E123" s="29">
        <f ca="1">'Calc - GRAD ASST'!$M$157</f>
        <v>0</v>
      </c>
      <c r="F123" s="29">
        <f ca="1">'Calc - GRAD ASST'!$M$158</f>
        <v>0</v>
      </c>
      <c r="G123" s="29">
        <f ca="1">'Calc - GRAD ASST'!$M$159</f>
        <v>0</v>
      </c>
      <c r="H123" s="29">
        <f ca="1">'Calc - GRAD ASST'!$M$160</f>
        <v>0</v>
      </c>
      <c r="I123" s="29">
        <f ca="1">'Calc - GRAD ASST'!$M$161</f>
        <v>0</v>
      </c>
      <c r="J123" s="88">
        <f t="shared" ca="1" si="457"/>
        <v>0</v>
      </c>
      <c r="K123" s="24"/>
      <c r="L123" s="24"/>
      <c r="M123" s="24"/>
      <c r="N123" s="344"/>
      <c r="O123" s="344"/>
      <c r="P123" s="344"/>
      <c r="Q123" s="344"/>
      <c r="R123" s="344"/>
      <c r="S123" s="344"/>
      <c r="T123" s="381">
        <f t="shared" si="458"/>
        <v>0</v>
      </c>
      <c r="U123" s="1"/>
      <c r="V123" s="29"/>
      <c r="W123" s="29"/>
      <c r="X123" s="29"/>
      <c r="Y123" s="29"/>
      <c r="Z123" s="29"/>
      <c r="AA123" s="29"/>
      <c r="AB123" s="48">
        <f t="shared" si="459"/>
        <v>0</v>
      </c>
      <c r="AD123" s="29"/>
      <c r="AE123" s="29"/>
      <c r="AF123" s="29"/>
      <c r="AG123" s="29"/>
      <c r="AH123" s="29"/>
      <c r="AI123" s="29"/>
      <c r="AJ123" s="209">
        <f t="shared" si="460"/>
        <v>0</v>
      </c>
      <c r="AL123" s="29"/>
      <c r="AM123" s="29"/>
      <c r="AN123" s="29"/>
      <c r="AO123" s="29"/>
      <c r="AP123" s="29"/>
      <c r="AQ123" s="29"/>
      <c r="AR123" s="181">
        <f t="shared" si="461"/>
        <v>0</v>
      </c>
      <c r="AT123" s="29"/>
      <c r="AU123" s="29"/>
      <c r="AV123" s="29"/>
      <c r="AW123" s="29"/>
      <c r="AX123" s="29"/>
      <c r="AY123" s="29"/>
      <c r="AZ123" s="153">
        <f t="shared" si="462"/>
        <v>0</v>
      </c>
      <c r="BB123" s="29"/>
      <c r="BC123" s="29"/>
      <c r="BD123" s="29"/>
      <c r="BE123" s="29"/>
      <c r="BF123" s="29"/>
      <c r="BG123" s="29"/>
      <c r="BH123" s="195">
        <f t="shared" si="463"/>
        <v>0</v>
      </c>
      <c r="BJ123" s="29"/>
      <c r="BK123" s="29"/>
      <c r="BL123" s="29"/>
      <c r="BM123" s="29"/>
      <c r="BN123" s="29"/>
      <c r="BO123" s="29"/>
      <c r="BP123" s="1105">
        <f t="shared" si="464"/>
        <v>0</v>
      </c>
      <c r="BR123" s="575">
        <f t="shared" si="465"/>
        <v>0</v>
      </c>
      <c r="BS123" s="575">
        <f t="shared" si="466"/>
        <v>0</v>
      </c>
      <c r="BT123" s="575">
        <f t="shared" si="467"/>
        <v>0</v>
      </c>
      <c r="BU123" s="575">
        <f t="shared" si="468"/>
        <v>0</v>
      </c>
      <c r="BV123" s="575">
        <f t="shared" si="469"/>
        <v>0</v>
      </c>
      <c r="BW123" s="575">
        <f t="shared" si="470"/>
        <v>0</v>
      </c>
      <c r="BX123" s="991">
        <f t="shared" si="471"/>
        <v>0</v>
      </c>
      <c r="BY123" s="573">
        <f t="shared" ca="1" si="472"/>
        <v>0</v>
      </c>
      <c r="BZ123" s="257"/>
      <c r="CB123" s="1646">
        <f ca="1">'Calc - GRAD ASST'!$M$156</f>
        <v>0</v>
      </c>
      <c r="CC123" s="1269">
        <f ca="1">'Calc - GRAD ASST'!$M$157/12*3</f>
        <v>0</v>
      </c>
      <c r="CD123" s="1269">
        <f ca="1">'Calc - GRAD ASST'!$M$157/12*3</f>
        <v>0</v>
      </c>
      <c r="CE123" s="1269">
        <f ca="1">'Calc - GRAD ASST'!$M$157/12*2</f>
        <v>0</v>
      </c>
      <c r="CF123" s="1269">
        <f ca="1">'Calc - GRAD ASST'!$M$157/12*1</f>
        <v>0</v>
      </c>
      <c r="CG123" s="1269">
        <f ca="1">'Calc - GRAD ASST'!$M$157/12*3</f>
        <v>0</v>
      </c>
      <c r="CH123" s="1272">
        <f ca="1">'Calc - GRAD ASST'!$M$158/12*3</f>
        <v>0</v>
      </c>
      <c r="CI123" s="1272">
        <f ca="1">'Calc - GRAD ASST'!$M$158/12*3</f>
        <v>0</v>
      </c>
      <c r="CJ123" s="1272">
        <f ca="1">'Calc - GRAD ASST'!$M$158/12*2</f>
        <v>0</v>
      </c>
      <c r="CK123" s="1272">
        <f ca="1">'Calc - GRAD ASST'!$M$158/12*1</f>
        <v>0</v>
      </c>
      <c r="CL123" s="1272">
        <f ca="1">'Calc - GRAD ASST'!$M$158/12*3</f>
        <v>0</v>
      </c>
      <c r="CM123" s="1275">
        <f ca="1">'Calc - GRAD ASST'!$M$159/8*3</f>
        <v>0</v>
      </c>
      <c r="CN123" s="1275">
        <f ca="1">'Calc - GRAD ASST'!$M$159/8*3</f>
        <v>0</v>
      </c>
      <c r="CO123" s="1275">
        <f ca="1">'Calc - GRAD ASST'!$M$159/8*2</f>
        <v>0</v>
      </c>
      <c r="CP123" s="88">
        <f t="shared" ca="1" si="536"/>
        <v>0</v>
      </c>
      <c r="CS123" s="1244"/>
      <c r="CT123" s="41"/>
      <c r="CU123" s="1245"/>
      <c r="CV123" s="1244"/>
      <c r="CW123" s="41"/>
      <c r="CX123" s="1246"/>
      <c r="CY123" s="1244"/>
      <c r="CZ123" s="41"/>
      <c r="DA123" s="1245"/>
      <c r="DB123" s="1244"/>
      <c r="DC123" s="41"/>
      <c r="DD123" s="1245"/>
      <c r="DE123" s="1266">
        <f t="shared" si="473"/>
        <v>0</v>
      </c>
      <c r="DG123" s="1244"/>
      <c r="DH123" s="41"/>
      <c r="DI123" s="1245"/>
      <c r="DJ123" s="1244"/>
      <c r="DK123" s="41"/>
      <c r="DL123" s="1246"/>
      <c r="DM123" s="1244"/>
      <c r="DN123" s="41"/>
      <c r="DO123" s="1245"/>
      <c r="DP123" s="1244"/>
      <c r="DQ123" s="41"/>
      <c r="DR123" s="1245"/>
      <c r="DS123" s="1266">
        <f t="shared" si="474"/>
        <v>0</v>
      </c>
      <c r="DU123" s="1244"/>
      <c r="DV123" s="41"/>
      <c r="DW123" s="1245"/>
      <c r="DX123" s="1244"/>
      <c r="DY123" s="41"/>
      <c r="DZ123" s="1246"/>
      <c r="EA123" s="1244"/>
      <c r="EB123" s="41"/>
      <c r="EC123" s="1245"/>
      <c r="ED123" s="1244"/>
      <c r="EE123" s="41"/>
      <c r="EF123" s="1245"/>
      <c r="EG123" s="1266">
        <f t="shared" si="475"/>
        <v>0</v>
      </c>
      <c r="EI123" s="25"/>
      <c r="EJ123" s="348">
        <f t="shared" si="476"/>
        <v>0</v>
      </c>
      <c r="EK123" s="57" t="str">
        <f t="shared" si="477"/>
        <v>GA #06 / Sponsor Funds</v>
      </c>
      <c r="EL123" s="29">
        <f t="shared" ca="1" si="478"/>
        <v>0</v>
      </c>
      <c r="EM123" s="29">
        <f t="shared" ca="1" si="479"/>
        <v>0</v>
      </c>
      <c r="EN123" s="29">
        <f t="shared" ca="1" si="480"/>
        <v>0</v>
      </c>
      <c r="EO123" s="29">
        <f t="shared" ca="1" si="481"/>
        <v>0</v>
      </c>
      <c r="EP123" s="29">
        <f t="shared" ca="1" si="482"/>
        <v>0</v>
      </c>
      <c r="EQ123" s="29">
        <f t="shared" ca="1" si="483"/>
        <v>0</v>
      </c>
      <c r="ER123" s="88">
        <f t="shared" ca="1" si="484"/>
        <v>0</v>
      </c>
      <c r="ES123" s="24"/>
      <c r="ET123" s="24"/>
      <c r="EU123" s="24"/>
      <c r="EV123" s="29">
        <f t="shared" si="485"/>
        <v>0</v>
      </c>
      <c r="EW123" s="29">
        <f t="shared" si="486"/>
        <v>0</v>
      </c>
      <c r="EX123" s="29">
        <f t="shared" si="487"/>
        <v>0</v>
      </c>
      <c r="EY123" s="29">
        <f t="shared" si="488"/>
        <v>0</v>
      </c>
      <c r="EZ123" s="29">
        <f t="shared" si="489"/>
        <v>0</v>
      </c>
      <c r="FA123" s="29">
        <f t="shared" si="490"/>
        <v>0</v>
      </c>
      <c r="FB123" s="381">
        <f t="shared" si="491"/>
        <v>0</v>
      </c>
      <c r="FC123" s="1"/>
      <c r="FD123" s="29">
        <f t="shared" si="492"/>
        <v>0</v>
      </c>
      <c r="FE123" s="29">
        <f t="shared" si="493"/>
        <v>0</v>
      </c>
      <c r="FF123" s="29">
        <f t="shared" si="494"/>
        <v>0</v>
      </c>
      <c r="FG123" s="29">
        <f t="shared" si="495"/>
        <v>0</v>
      </c>
      <c r="FH123" s="29">
        <f t="shared" si="496"/>
        <v>0</v>
      </c>
      <c r="FI123" s="29">
        <f t="shared" si="497"/>
        <v>0</v>
      </c>
      <c r="FJ123" s="48">
        <f t="shared" si="498"/>
        <v>0</v>
      </c>
      <c r="FL123" s="29">
        <f t="shared" si="499"/>
        <v>0</v>
      </c>
      <c r="FM123" s="29">
        <f t="shared" si="500"/>
        <v>0</v>
      </c>
      <c r="FN123" s="29">
        <f t="shared" si="501"/>
        <v>0</v>
      </c>
      <c r="FO123" s="29">
        <f t="shared" si="502"/>
        <v>0</v>
      </c>
      <c r="FP123" s="29">
        <f t="shared" si="503"/>
        <v>0</v>
      </c>
      <c r="FQ123" s="29">
        <f t="shared" si="504"/>
        <v>0</v>
      </c>
      <c r="FR123" s="209">
        <f t="shared" si="505"/>
        <v>0</v>
      </c>
      <c r="FT123" s="29">
        <f t="shared" si="506"/>
        <v>0</v>
      </c>
      <c r="FU123" s="29">
        <f t="shared" si="507"/>
        <v>0</v>
      </c>
      <c r="FV123" s="29">
        <f t="shared" si="508"/>
        <v>0</v>
      </c>
      <c r="FW123" s="29">
        <f t="shared" si="509"/>
        <v>0</v>
      </c>
      <c r="FX123" s="29">
        <f t="shared" si="510"/>
        <v>0</v>
      </c>
      <c r="FY123" s="29">
        <f t="shared" si="511"/>
        <v>0</v>
      </c>
      <c r="FZ123" s="181">
        <f t="shared" si="512"/>
        <v>0</v>
      </c>
      <c r="GB123" s="29">
        <f t="shared" si="513"/>
        <v>0</v>
      </c>
      <c r="GC123" s="29">
        <f t="shared" si="514"/>
        <v>0</v>
      </c>
      <c r="GD123" s="29">
        <f t="shared" si="515"/>
        <v>0</v>
      </c>
      <c r="GE123" s="29">
        <f t="shared" si="516"/>
        <v>0</v>
      </c>
      <c r="GF123" s="29">
        <f t="shared" si="517"/>
        <v>0</v>
      </c>
      <c r="GG123" s="29">
        <f t="shared" si="518"/>
        <v>0</v>
      </c>
      <c r="GH123" s="153">
        <f t="shared" si="519"/>
        <v>0</v>
      </c>
      <c r="GJ123" s="29">
        <f t="shared" si="520"/>
        <v>0</v>
      </c>
      <c r="GK123" s="29">
        <f t="shared" si="521"/>
        <v>0</v>
      </c>
      <c r="GL123" s="29">
        <f t="shared" si="522"/>
        <v>0</v>
      </c>
      <c r="GM123" s="29">
        <f t="shared" si="523"/>
        <v>0</v>
      </c>
      <c r="GN123" s="29">
        <f t="shared" si="524"/>
        <v>0</v>
      </c>
      <c r="GO123" s="29">
        <f t="shared" si="525"/>
        <v>0</v>
      </c>
      <c r="GP123" s="195">
        <f t="shared" si="526"/>
        <v>0</v>
      </c>
      <c r="GR123" s="29"/>
      <c r="GS123" s="29"/>
      <c r="GT123" s="29"/>
      <c r="GU123" s="29"/>
      <c r="GV123" s="29"/>
      <c r="GW123" s="29"/>
      <c r="GX123" s="1105">
        <f t="shared" si="527"/>
        <v>0</v>
      </c>
      <c r="GZ123" s="575">
        <f t="shared" si="528"/>
        <v>0</v>
      </c>
      <c r="HA123" s="575">
        <f t="shared" si="529"/>
        <v>0</v>
      </c>
      <c r="HB123" s="575">
        <f t="shared" si="530"/>
        <v>0</v>
      </c>
      <c r="HC123" s="575">
        <f t="shared" si="531"/>
        <v>0</v>
      </c>
      <c r="HD123" s="575">
        <f t="shared" si="532"/>
        <v>0</v>
      </c>
      <c r="HE123" s="575">
        <f t="shared" si="533"/>
        <v>0</v>
      </c>
      <c r="HF123" s="991">
        <f t="shared" si="534"/>
        <v>0</v>
      </c>
      <c r="HG123" s="573">
        <f t="shared" ca="1" si="535"/>
        <v>0</v>
      </c>
      <c r="HH123" s="257"/>
    </row>
    <row r="124" spans="1:216" ht="15" hidden="1" customHeight="1" x14ac:dyDescent="0.25">
      <c r="A124" s="25"/>
      <c r="B124" s="348">
        <f>'Calc - GRAD ASST'!C181</f>
        <v>0</v>
      </c>
      <c r="C124" s="57" t="str">
        <f>'Calc - GRAD ASST'!A180</f>
        <v>GA #07 / Sponsor Funds</v>
      </c>
      <c r="D124" s="29">
        <f ca="1">'Calc - GRAD ASST'!$M$185</f>
        <v>0</v>
      </c>
      <c r="E124" s="29">
        <f ca="1">'Calc - GRAD ASST'!$M$186</f>
        <v>0</v>
      </c>
      <c r="F124" s="29">
        <f ca="1">'Calc - GRAD ASST'!$M$187</f>
        <v>0</v>
      </c>
      <c r="G124" s="29">
        <f ca="1">'Calc - GRAD ASST'!$M$188</f>
        <v>0</v>
      </c>
      <c r="H124" s="29">
        <f ca="1">'Calc - GRAD ASST'!$M$189</f>
        <v>0</v>
      </c>
      <c r="I124" s="29">
        <f ca="1">'Calc - GRAD ASST'!$M$190</f>
        <v>0</v>
      </c>
      <c r="J124" s="88">
        <f t="shared" ca="1" si="457"/>
        <v>0</v>
      </c>
      <c r="K124" s="24"/>
      <c r="L124" s="24"/>
      <c r="M124" s="24"/>
      <c r="N124" s="29"/>
      <c r="O124" s="29"/>
      <c r="P124" s="29"/>
      <c r="Q124" s="29"/>
      <c r="R124" s="29"/>
      <c r="S124" s="29"/>
      <c r="T124" s="167">
        <f t="shared" si="458"/>
        <v>0</v>
      </c>
      <c r="U124" s="1"/>
      <c r="V124" s="29"/>
      <c r="W124" s="29"/>
      <c r="X124" s="29"/>
      <c r="Y124" s="29"/>
      <c r="Z124" s="29"/>
      <c r="AA124" s="29"/>
      <c r="AB124" s="48">
        <f t="shared" si="459"/>
        <v>0</v>
      </c>
      <c r="AD124" s="29"/>
      <c r="AE124" s="29"/>
      <c r="AF124" s="29"/>
      <c r="AG124" s="29"/>
      <c r="AH124" s="29"/>
      <c r="AI124" s="29"/>
      <c r="AJ124" s="209">
        <f t="shared" si="460"/>
        <v>0</v>
      </c>
      <c r="AL124" s="29"/>
      <c r="AM124" s="29"/>
      <c r="AN124" s="29"/>
      <c r="AO124" s="29"/>
      <c r="AP124" s="29"/>
      <c r="AQ124" s="29"/>
      <c r="AR124" s="181">
        <f t="shared" si="461"/>
        <v>0</v>
      </c>
      <c r="AT124" s="29"/>
      <c r="AU124" s="29"/>
      <c r="AV124" s="29"/>
      <c r="AW124" s="29"/>
      <c r="AX124" s="29"/>
      <c r="AY124" s="29"/>
      <c r="AZ124" s="153">
        <f t="shared" si="462"/>
        <v>0</v>
      </c>
      <c r="BB124" s="29"/>
      <c r="BC124" s="29"/>
      <c r="BD124" s="29"/>
      <c r="BE124" s="29"/>
      <c r="BF124" s="29"/>
      <c r="BG124" s="29"/>
      <c r="BH124" s="195">
        <f t="shared" si="463"/>
        <v>0</v>
      </c>
      <c r="BJ124" s="29"/>
      <c r="BK124" s="29"/>
      <c r="BL124" s="29"/>
      <c r="BM124" s="29"/>
      <c r="BN124" s="29"/>
      <c r="BO124" s="29"/>
      <c r="BP124" s="1105">
        <f t="shared" si="464"/>
        <v>0</v>
      </c>
      <c r="BR124" s="575">
        <f t="shared" si="465"/>
        <v>0</v>
      </c>
      <c r="BS124" s="575">
        <f t="shared" si="466"/>
        <v>0</v>
      </c>
      <c r="BT124" s="575">
        <f t="shared" si="467"/>
        <v>0</v>
      </c>
      <c r="BU124" s="575">
        <f t="shared" si="468"/>
        <v>0</v>
      </c>
      <c r="BV124" s="575">
        <f t="shared" si="469"/>
        <v>0</v>
      </c>
      <c r="BW124" s="575">
        <f t="shared" si="470"/>
        <v>0</v>
      </c>
      <c r="BX124" s="991">
        <f t="shared" si="471"/>
        <v>0</v>
      </c>
      <c r="BY124" s="573">
        <f t="shared" ca="1" si="472"/>
        <v>0</v>
      </c>
      <c r="BZ124" s="257"/>
      <c r="CB124" s="1646">
        <f ca="1">'Calc - GRAD ASST'!$M$185</f>
        <v>0</v>
      </c>
      <c r="CC124" s="1269">
        <f ca="1">'Calc - GRAD ASST'!$M$186/12*3</f>
        <v>0</v>
      </c>
      <c r="CD124" s="1269">
        <f ca="1">'Calc - GRAD ASST'!$M$186/12*3</f>
        <v>0</v>
      </c>
      <c r="CE124" s="1269">
        <f ca="1">'Calc - GRAD ASST'!$M$186/12*2</f>
        <v>0</v>
      </c>
      <c r="CF124" s="1269">
        <f ca="1">'Calc - GRAD ASST'!$M$186/12*1</f>
        <v>0</v>
      </c>
      <c r="CG124" s="1269">
        <f ca="1">'Calc - GRAD ASST'!$M$186/12*3</f>
        <v>0</v>
      </c>
      <c r="CH124" s="1272">
        <f ca="1">'Calc - GRAD ASST'!$M$187/12*3</f>
        <v>0</v>
      </c>
      <c r="CI124" s="1272">
        <f ca="1">'Calc - GRAD ASST'!$M$187/12*3</f>
        <v>0</v>
      </c>
      <c r="CJ124" s="1272">
        <f ca="1">'Calc - GRAD ASST'!$M$187/12*2</f>
        <v>0</v>
      </c>
      <c r="CK124" s="1272">
        <f ca="1">'Calc - GRAD ASST'!$M$187/12*1</f>
        <v>0</v>
      </c>
      <c r="CL124" s="1272">
        <f ca="1">'Calc - GRAD ASST'!$M$187/12*3</f>
        <v>0</v>
      </c>
      <c r="CM124" s="1275">
        <f ca="1">'Calc - GRAD ASST'!$M$188/8*3</f>
        <v>0</v>
      </c>
      <c r="CN124" s="1275">
        <f ca="1">'Calc - GRAD ASST'!$M$188/8*3</f>
        <v>0</v>
      </c>
      <c r="CO124" s="1275">
        <f ca="1">'Calc - GRAD ASST'!$M$188/8*2</f>
        <v>0</v>
      </c>
      <c r="CP124" s="88">
        <f t="shared" ca="1" si="536"/>
        <v>0</v>
      </c>
      <c r="CS124" s="575"/>
      <c r="CT124" s="5"/>
      <c r="CU124" s="1180"/>
      <c r="CV124" s="575"/>
      <c r="CW124" s="5"/>
      <c r="CX124" s="1249"/>
      <c r="CY124" s="575"/>
      <c r="CZ124" s="5"/>
      <c r="DA124" s="1180"/>
      <c r="DB124" s="575"/>
      <c r="DC124" s="5"/>
      <c r="DD124" s="1180"/>
      <c r="DE124" s="1181">
        <f t="shared" si="473"/>
        <v>0</v>
      </c>
      <c r="DG124" s="575"/>
      <c r="DH124" s="5"/>
      <c r="DI124" s="1180"/>
      <c r="DJ124" s="575"/>
      <c r="DK124" s="5"/>
      <c r="DL124" s="1249"/>
      <c r="DM124" s="575"/>
      <c r="DN124" s="5"/>
      <c r="DO124" s="1180"/>
      <c r="DP124" s="575"/>
      <c r="DQ124" s="5"/>
      <c r="DR124" s="1180"/>
      <c r="DS124" s="1181">
        <f t="shared" si="474"/>
        <v>0</v>
      </c>
      <c r="DU124" s="575"/>
      <c r="DV124" s="5"/>
      <c r="DW124" s="1180"/>
      <c r="DX124" s="575"/>
      <c r="DY124" s="5"/>
      <c r="DZ124" s="1249"/>
      <c r="EA124" s="575"/>
      <c r="EB124" s="5"/>
      <c r="EC124" s="1180"/>
      <c r="ED124" s="575"/>
      <c r="EE124" s="5"/>
      <c r="EF124" s="1180"/>
      <c r="EG124" s="1181">
        <f t="shared" si="475"/>
        <v>0</v>
      </c>
      <c r="EI124" s="25"/>
      <c r="EJ124" s="348">
        <f t="shared" si="476"/>
        <v>0</v>
      </c>
      <c r="EK124" s="57" t="str">
        <f t="shared" si="477"/>
        <v>GA #07 / Sponsor Funds</v>
      </c>
      <c r="EL124" s="29">
        <f t="shared" ca="1" si="478"/>
        <v>0</v>
      </c>
      <c r="EM124" s="29">
        <f t="shared" ca="1" si="479"/>
        <v>0</v>
      </c>
      <c r="EN124" s="29">
        <f t="shared" ca="1" si="480"/>
        <v>0</v>
      </c>
      <c r="EO124" s="29">
        <f t="shared" ca="1" si="481"/>
        <v>0</v>
      </c>
      <c r="EP124" s="29">
        <f t="shared" ca="1" si="482"/>
        <v>0</v>
      </c>
      <c r="EQ124" s="29">
        <f t="shared" ca="1" si="483"/>
        <v>0</v>
      </c>
      <c r="ER124" s="88">
        <f t="shared" ca="1" si="484"/>
        <v>0</v>
      </c>
      <c r="ES124" s="24"/>
      <c r="ET124" s="24"/>
      <c r="EU124" s="24"/>
      <c r="EV124" s="29">
        <f t="shared" si="485"/>
        <v>0</v>
      </c>
      <c r="EW124" s="29">
        <f t="shared" si="486"/>
        <v>0</v>
      </c>
      <c r="EX124" s="29">
        <f t="shared" si="487"/>
        <v>0</v>
      </c>
      <c r="EY124" s="29">
        <f t="shared" si="488"/>
        <v>0</v>
      </c>
      <c r="EZ124" s="29">
        <f t="shared" si="489"/>
        <v>0</v>
      </c>
      <c r="FA124" s="29">
        <f t="shared" si="490"/>
        <v>0</v>
      </c>
      <c r="FB124" s="167">
        <f t="shared" si="491"/>
        <v>0</v>
      </c>
      <c r="FC124" s="1"/>
      <c r="FD124" s="29">
        <f t="shared" si="492"/>
        <v>0</v>
      </c>
      <c r="FE124" s="29">
        <f t="shared" si="493"/>
        <v>0</v>
      </c>
      <c r="FF124" s="29">
        <f t="shared" si="494"/>
        <v>0</v>
      </c>
      <c r="FG124" s="29">
        <f t="shared" si="495"/>
        <v>0</v>
      </c>
      <c r="FH124" s="29">
        <f t="shared" si="496"/>
        <v>0</v>
      </c>
      <c r="FI124" s="29">
        <f t="shared" si="497"/>
        <v>0</v>
      </c>
      <c r="FJ124" s="48">
        <f t="shared" si="498"/>
        <v>0</v>
      </c>
      <c r="FL124" s="29">
        <f t="shared" si="499"/>
        <v>0</v>
      </c>
      <c r="FM124" s="29">
        <f t="shared" si="500"/>
        <v>0</v>
      </c>
      <c r="FN124" s="29">
        <f t="shared" si="501"/>
        <v>0</v>
      </c>
      <c r="FO124" s="29">
        <f t="shared" si="502"/>
        <v>0</v>
      </c>
      <c r="FP124" s="29">
        <f t="shared" si="503"/>
        <v>0</v>
      </c>
      <c r="FQ124" s="29">
        <f t="shared" si="504"/>
        <v>0</v>
      </c>
      <c r="FR124" s="209">
        <f t="shared" si="505"/>
        <v>0</v>
      </c>
      <c r="FT124" s="29">
        <f t="shared" si="506"/>
        <v>0</v>
      </c>
      <c r="FU124" s="29">
        <f t="shared" si="507"/>
        <v>0</v>
      </c>
      <c r="FV124" s="29">
        <f t="shared" si="508"/>
        <v>0</v>
      </c>
      <c r="FW124" s="29">
        <f t="shared" si="509"/>
        <v>0</v>
      </c>
      <c r="FX124" s="29">
        <f t="shared" si="510"/>
        <v>0</v>
      </c>
      <c r="FY124" s="29">
        <f t="shared" si="511"/>
        <v>0</v>
      </c>
      <c r="FZ124" s="181">
        <f t="shared" si="512"/>
        <v>0</v>
      </c>
      <c r="GB124" s="29">
        <f t="shared" si="513"/>
        <v>0</v>
      </c>
      <c r="GC124" s="29">
        <f t="shared" si="514"/>
        <v>0</v>
      </c>
      <c r="GD124" s="29">
        <f t="shared" si="515"/>
        <v>0</v>
      </c>
      <c r="GE124" s="29">
        <f t="shared" si="516"/>
        <v>0</v>
      </c>
      <c r="GF124" s="29">
        <f t="shared" si="517"/>
        <v>0</v>
      </c>
      <c r="GG124" s="29">
        <f t="shared" si="518"/>
        <v>0</v>
      </c>
      <c r="GH124" s="153">
        <f t="shared" si="519"/>
        <v>0</v>
      </c>
      <c r="GJ124" s="29">
        <f t="shared" si="520"/>
        <v>0</v>
      </c>
      <c r="GK124" s="29">
        <f t="shared" si="521"/>
        <v>0</v>
      </c>
      <c r="GL124" s="29">
        <f t="shared" si="522"/>
        <v>0</v>
      </c>
      <c r="GM124" s="29">
        <f t="shared" si="523"/>
        <v>0</v>
      </c>
      <c r="GN124" s="29">
        <f t="shared" si="524"/>
        <v>0</v>
      </c>
      <c r="GO124" s="29">
        <f t="shared" si="525"/>
        <v>0</v>
      </c>
      <c r="GP124" s="195">
        <f t="shared" si="526"/>
        <v>0</v>
      </c>
      <c r="GR124" s="29"/>
      <c r="GS124" s="29"/>
      <c r="GT124" s="29"/>
      <c r="GU124" s="29"/>
      <c r="GV124" s="29"/>
      <c r="GW124" s="29"/>
      <c r="GX124" s="1105">
        <f t="shared" si="527"/>
        <v>0</v>
      </c>
      <c r="GZ124" s="575">
        <f t="shared" si="528"/>
        <v>0</v>
      </c>
      <c r="HA124" s="575">
        <f t="shared" si="529"/>
        <v>0</v>
      </c>
      <c r="HB124" s="575">
        <f t="shared" si="530"/>
        <v>0</v>
      </c>
      <c r="HC124" s="575">
        <f t="shared" si="531"/>
        <v>0</v>
      </c>
      <c r="HD124" s="575">
        <f t="shared" si="532"/>
        <v>0</v>
      </c>
      <c r="HE124" s="575">
        <f t="shared" si="533"/>
        <v>0</v>
      </c>
      <c r="HF124" s="991">
        <f t="shared" si="534"/>
        <v>0</v>
      </c>
      <c r="HG124" s="573">
        <f t="shared" ca="1" si="535"/>
        <v>0</v>
      </c>
      <c r="HH124" s="257"/>
    </row>
    <row r="125" spans="1:216" ht="15" hidden="1" customHeight="1" x14ac:dyDescent="0.25">
      <c r="A125" s="25"/>
      <c r="B125" s="348">
        <f>'Calc - GRAD ASST'!C210</f>
        <v>0</v>
      </c>
      <c r="C125" s="57" t="str">
        <f>'Calc - GRAD ASST'!A209</f>
        <v>GA #08 / Sponsor Funds</v>
      </c>
      <c r="D125" s="29">
        <f ca="1">'Calc - GRAD ASST'!$M$214</f>
        <v>0</v>
      </c>
      <c r="E125" s="29">
        <f ca="1">'Calc - GRAD ASST'!$M$215</f>
        <v>0</v>
      </c>
      <c r="F125" s="29">
        <f ca="1">'Calc - GRAD ASST'!$M$216</f>
        <v>0</v>
      </c>
      <c r="G125" s="29">
        <f ca="1">'Calc - GRAD ASST'!$M$217</f>
        <v>0</v>
      </c>
      <c r="H125" s="29">
        <f ca="1">'Calc - GRAD ASST'!$M$218</f>
        <v>0</v>
      </c>
      <c r="I125" s="29">
        <f ca="1">'Calc - GRAD ASST'!$M$219</f>
        <v>0</v>
      </c>
      <c r="J125" s="88">
        <f t="shared" ca="1" si="457"/>
        <v>0</v>
      </c>
      <c r="K125" s="24"/>
      <c r="L125" s="24"/>
      <c r="M125" s="24"/>
      <c r="N125" s="29"/>
      <c r="O125" s="29"/>
      <c r="P125" s="29"/>
      <c r="Q125" s="29"/>
      <c r="R125" s="29"/>
      <c r="S125" s="29"/>
      <c r="T125" s="167">
        <f t="shared" si="458"/>
        <v>0</v>
      </c>
      <c r="U125" s="1"/>
      <c r="V125" s="29"/>
      <c r="W125" s="29"/>
      <c r="X125" s="29"/>
      <c r="Y125" s="29"/>
      <c r="Z125" s="29"/>
      <c r="AA125" s="29"/>
      <c r="AB125" s="48">
        <f t="shared" si="459"/>
        <v>0</v>
      </c>
      <c r="AD125" s="29"/>
      <c r="AE125" s="29"/>
      <c r="AF125" s="29"/>
      <c r="AG125" s="29"/>
      <c r="AH125" s="29"/>
      <c r="AI125" s="29"/>
      <c r="AJ125" s="209">
        <f t="shared" si="460"/>
        <v>0</v>
      </c>
      <c r="AL125" s="29"/>
      <c r="AM125" s="29"/>
      <c r="AN125" s="29"/>
      <c r="AO125" s="29"/>
      <c r="AP125" s="29"/>
      <c r="AQ125" s="29"/>
      <c r="AR125" s="181">
        <f t="shared" si="461"/>
        <v>0</v>
      </c>
      <c r="AT125" s="29"/>
      <c r="AU125" s="29"/>
      <c r="AV125" s="29"/>
      <c r="AW125" s="29"/>
      <c r="AX125" s="29"/>
      <c r="AY125" s="29"/>
      <c r="AZ125" s="153">
        <f t="shared" si="462"/>
        <v>0</v>
      </c>
      <c r="BB125" s="29"/>
      <c r="BC125" s="29"/>
      <c r="BD125" s="29"/>
      <c r="BE125" s="29"/>
      <c r="BF125" s="29"/>
      <c r="BG125" s="29"/>
      <c r="BH125" s="195">
        <f t="shared" si="463"/>
        <v>0</v>
      </c>
      <c r="BJ125" s="29"/>
      <c r="BK125" s="29"/>
      <c r="BL125" s="29"/>
      <c r="BM125" s="29"/>
      <c r="BN125" s="29"/>
      <c r="BO125" s="29"/>
      <c r="BP125" s="1105">
        <f t="shared" si="464"/>
        <v>0</v>
      </c>
      <c r="BR125" s="575">
        <f t="shared" si="465"/>
        <v>0</v>
      </c>
      <c r="BS125" s="575">
        <f t="shared" si="466"/>
        <v>0</v>
      </c>
      <c r="BT125" s="575">
        <f t="shared" si="467"/>
        <v>0</v>
      </c>
      <c r="BU125" s="575">
        <f t="shared" si="468"/>
        <v>0</v>
      </c>
      <c r="BV125" s="575">
        <f t="shared" si="469"/>
        <v>0</v>
      </c>
      <c r="BW125" s="575">
        <f t="shared" si="470"/>
        <v>0</v>
      </c>
      <c r="BX125" s="991">
        <f t="shared" si="471"/>
        <v>0</v>
      </c>
      <c r="BY125" s="573">
        <f t="shared" ca="1" si="472"/>
        <v>0</v>
      </c>
      <c r="BZ125" s="257"/>
      <c r="CB125" s="1646">
        <f ca="1">'Calc - GRAD ASST'!$M$214</f>
        <v>0</v>
      </c>
      <c r="CC125" s="1269">
        <f ca="1">'Calc - GRAD ASST'!$M$215/12*3</f>
        <v>0</v>
      </c>
      <c r="CD125" s="1269">
        <f ca="1">'Calc - GRAD ASST'!$M$215/12*3</f>
        <v>0</v>
      </c>
      <c r="CE125" s="1269">
        <f ca="1">'Calc - GRAD ASST'!$M$215/12*2</f>
        <v>0</v>
      </c>
      <c r="CF125" s="1269">
        <f ca="1">'Calc - GRAD ASST'!$M$215/12*1</f>
        <v>0</v>
      </c>
      <c r="CG125" s="1269">
        <f ca="1">'Calc - GRAD ASST'!$M$215/12*3</f>
        <v>0</v>
      </c>
      <c r="CH125" s="1272">
        <f ca="1">'Calc - GRAD ASST'!$M$216/12*3</f>
        <v>0</v>
      </c>
      <c r="CI125" s="1272">
        <f ca="1">'Calc - GRAD ASST'!$M$216/12*3</f>
        <v>0</v>
      </c>
      <c r="CJ125" s="1272">
        <f ca="1">'Calc - GRAD ASST'!$M$216/12*2</f>
        <v>0</v>
      </c>
      <c r="CK125" s="1272">
        <f ca="1">'Calc - GRAD ASST'!$M$216/12*1</f>
        <v>0</v>
      </c>
      <c r="CL125" s="1272">
        <f ca="1">'Calc - GRAD ASST'!$M$216/12*3</f>
        <v>0</v>
      </c>
      <c r="CM125" s="1275">
        <f ca="1">'Calc - GRAD ASST'!$M$217/8*3</f>
        <v>0</v>
      </c>
      <c r="CN125" s="1275">
        <f ca="1">'Calc - GRAD ASST'!$M$217/8*3</f>
        <v>0</v>
      </c>
      <c r="CO125" s="1275">
        <f ca="1">'Calc - GRAD ASST'!$M$217/8*2</f>
        <v>0</v>
      </c>
      <c r="CP125" s="88">
        <f t="shared" ca="1" si="536"/>
        <v>0</v>
      </c>
      <c r="CS125" s="575"/>
      <c r="CT125" s="5"/>
      <c r="CU125" s="1180"/>
      <c r="CV125" s="575"/>
      <c r="CW125" s="5"/>
      <c r="CX125" s="1249"/>
      <c r="CY125" s="575"/>
      <c r="CZ125" s="5"/>
      <c r="DA125" s="1180"/>
      <c r="DB125" s="575"/>
      <c r="DC125" s="5"/>
      <c r="DD125" s="1180"/>
      <c r="DE125" s="1181">
        <f t="shared" si="473"/>
        <v>0</v>
      </c>
      <c r="DG125" s="575"/>
      <c r="DH125" s="5"/>
      <c r="DI125" s="1180"/>
      <c r="DJ125" s="575"/>
      <c r="DK125" s="5"/>
      <c r="DL125" s="1249"/>
      <c r="DM125" s="575"/>
      <c r="DN125" s="5"/>
      <c r="DO125" s="1180"/>
      <c r="DP125" s="575"/>
      <c r="DQ125" s="5"/>
      <c r="DR125" s="1180"/>
      <c r="DS125" s="1181">
        <f t="shared" si="474"/>
        <v>0</v>
      </c>
      <c r="DU125" s="575"/>
      <c r="DV125" s="5"/>
      <c r="DW125" s="1180"/>
      <c r="DX125" s="575"/>
      <c r="DY125" s="5"/>
      <c r="DZ125" s="1249"/>
      <c r="EA125" s="575"/>
      <c r="EB125" s="5"/>
      <c r="EC125" s="1180"/>
      <c r="ED125" s="575"/>
      <c r="EE125" s="5"/>
      <c r="EF125" s="1180"/>
      <c r="EG125" s="1181">
        <f t="shared" si="475"/>
        <v>0</v>
      </c>
      <c r="EI125" s="25"/>
      <c r="EJ125" s="348">
        <f t="shared" si="476"/>
        <v>0</v>
      </c>
      <c r="EK125" s="57" t="str">
        <f t="shared" si="477"/>
        <v>GA #08 / Sponsor Funds</v>
      </c>
      <c r="EL125" s="29">
        <f t="shared" ca="1" si="478"/>
        <v>0</v>
      </c>
      <c r="EM125" s="29">
        <f t="shared" ca="1" si="479"/>
        <v>0</v>
      </c>
      <c r="EN125" s="29">
        <f t="shared" ca="1" si="480"/>
        <v>0</v>
      </c>
      <c r="EO125" s="29">
        <f t="shared" ca="1" si="481"/>
        <v>0</v>
      </c>
      <c r="EP125" s="29">
        <f t="shared" ca="1" si="482"/>
        <v>0</v>
      </c>
      <c r="EQ125" s="29">
        <f t="shared" ca="1" si="483"/>
        <v>0</v>
      </c>
      <c r="ER125" s="88">
        <f t="shared" ca="1" si="484"/>
        <v>0</v>
      </c>
      <c r="ES125" s="24"/>
      <c r="ET125" s="24"/>
      <c r="EU125" s="24"/>
      <c r="EV125" s="29">
        <f t="shared" si="485"/>
        <v>0</v>
      </c>
      <c r="EW125" s="29">
        <f t="shared" si="486"/>
        <v>0</v>
      </c>
      <c r="EX125" s="29">
        <f t="shared" si="487"/>
        <v>0</v>
      </c>
      <c r="EY125" s="29">
        <f t="shared" si="488"/>
        <v>0</v>
      </c>
      <c r="EZ125" s="29">
        <f t="shared" si="489"/>
        <v>0</v>
      </c>
      <c r="FA125" s="29">
        <f t="shared" si="490"/>
        <v>0</v>
      </c>
      <c r="FB125" s="167">
        <f t="shared" si="491"/>
        <v>0</v>
      </c>
      <c r="FC125" s="1"/>
      <c r="FD125" s="29">
        <f t="shared" si="492"/>
        <v>0</v>
      </c>
      <c r="FE125" s="29">
        <f t="shared" si="493"/>
        <v>0</v>
      </c>
      <c r="FF125" s="29">
        <f t="shared" si="494"/>
        <v>0</v>
      </c>
      <c r="FG125" s="29">
        <f t="shared" si="495"/>
        <v>0</v>
      </c>
      <c r="FH125" s="29">
        <f t="shared" si="496"/>
        <v>0</v>
      </c>
      <c r="FI125" s="29">
        <f t="shared" si="497"/>
        <v>0</v>
      </c>
      <c r="FJ125" s="48">
        <f t="shared" si="498"/>
        <v>0</v>
      </c>
      <c r="FL125" s="29">
        <f t="shared" si="499"/>
        <v>0</v>
      </c>
      <c r="FM125" s="29">
        <f t="shared" si="500"/>
        <v>0</v>
      </c>
      <c r="FN125" s="29">
        <f t="shared" si="501"/>
        <v>0</v>
      </c>
      <c r="FO125" s="29">
        <f t="shared" si="502"/>
        <v>0</v>
      </c>
      <c r="FP125" s="29">
        <f t="shared" si="503"/>
        <v>0</v>
      </c>
      <c r="FQ125" s="29">
        <f t="shared" si="504"/>
        <v>0</v>
      </c>
      <c r="FR125" s="209">
        <f t="shared" si="505"/>
        <v>0</v>
      </c>
      <c r="FT125" s="29">
        <f t="shared" si="506"/>
        <v>0</v>
      </c>
      <c r="FU125" s="29">
        <f t="shared" si="507"/>
        <v>0</v>
      </c>
      <c r="FV125" s="29">
        <f t="shared" si="508"/>
        <v>0</v>
      </c>
      <c r="FW125" s="29">
        <f t="shared" si="509"/>
        <v>0</v>
      </c>
      <c r="FX125" s="29">
        <f t="shared" si="510"/>
        <v>0</v>
      </c>
      <c r="FY125" s="29">
        <f t="shared" si="511"/>
        <v>0</v>
      </c>
      <c r="FZ125" s="181">
        <f t="shared" si="512"/>
        <v>0</v>
      </c>
      <c r="GB125" s="29">
        <f t="shared" si="513"/>
        <v>0</v>
      </c>
      <c r="GC125" s="29">
        <f t="shared" si="514"/>
        <v>0</v>
      </c>
      <c r="GD125" s="29">
        <f t="shared" si="515"/>
        <v>0</v>
      </c>
      <c r="GE125" s="29">
        <f t="shared" si="516"/>
        <v>0</v>
      </c>
      <c r="GF125" s="29">
        <f t="shared" si="517"/>
        <v>0</v>
      </c>
      <c r="GG125" s="29">
        <f t="shared" si="518"/>
        <v>0</v>
      </c>
      <c r="GH125" s="153">
        <f t="shared" si="519"/>
        <v>0</v>
      </c>
      <c r="GJ125" s="29">
        <f t="shared" si="520"/>
        <v>0</v>
      </c>
      <c r="GK125" s="29">
        <f t="shared" si="521"/>
        <v>0</v>
      </c>
      <c r="GL125" s="29">
        <f t="shared" si="522"/>
        <v>0</v>
      </c>
      <c r="GM125" s="29">
        <f t="shared" si="523"/>
        <v>0</v>
      </c>
      <c r="GN125" s="29">
        <f t="shared" si="524"/>
        <v>0</v>
      </c>
      <c r="GO125" s="29">
        <f t="shared" si="525"/>
        <v>0</v>
      </c>
      <c r="GP125" s="195">
        <f t="shared" si="526"/>
        <v>0</v>
      </c>
      <c r="GR125" s="29"/>
      <c r="GS125" s="29"/>
      <c r="GT125" s="29"/>
      <c r="GU125" s="29"/>
      <c r="GV125" s="29"/>
      <c r="GW125" s="29"/>
      <c r="GX125" s="1105">
        <f t="shared" si="527"/>
        <v>0</v>
      </c>
      <c r="GZ125" s="575">
        <f t="shared" si="528"/>
        <v>0</v>
      </c>
      <c r="HA125" s="575">
        <f t="shared" si="529"/>
        <v>0</v>
      </c>
      <c r="HB125" s="575">
        <f t="shared" si="530"/>
        <v>0</v>
      </c>
      <c r="HC125" s="575">
        <f t="shared" si="531"/>
        <v>0</v>
      </c>
      <c r="HD125" s="575">
        <f t="shared" si="532"/>
        <v>0</v>
      </c>
      <c r="HE125" s="575">
        <f t="shared" si="533"/>
        <v>0</v>
      </c>
      <c r="HF125" s="991">
        <f t="shared" si="534"/>
        <v>0</v>
      </c>
      <c r="HG125" s="573">
        <f t="shared" ca="1" si="535"/>
        <v>0</v>
      </c>
      <c r="HH125" s="257"/>
    </row>
    <row r="126" spans="1:216" ht="15" hidden="1" customHeight="1" x14ac:dyDescent="0.25">
      <c r="A126" s="25"/>
      <c r="B126" s="348">
        <f>'Calc - GRAD ASST'!C239</f>
        <v>0</v>
      </c>
      <c r="C126" s="57" t="str">
        <f>'Calc - GRAD ASST'!A238</f>
        <v>GA #09 / Sponsor Funds</v>
      </c>
      <c r="D126" s="29">
        <f ca="1">'Calc - GRAD ASST'!$M$243</f>
        <v>0</v>
      </c>
      <c r="E126" s="29">
        <f ca="1">'Calc - GRAD ASST'!$M$244</f>
        <v>0</v>
      </c>
      <c r="F126" s="29">
        <f ca="1">'Calc - GRAD ASST'!$M$245</f>
        <v>0</v>
      </c>
      <c r="G126" s="29">
        <f ca="1">'Calc - GRAD ASST'!$M$246</f>
        <v>0</v>
      </c>
      <c r="H126" s="29">
        <f ca="1">'Calc - GRAD ASST'!$M$247</f>
        <v>0</v>
      </c>
      <c r="I126" s="29">
        <f ca="1">'Calc - GRAD ASST'!$M$248</f>
        <v>0</v>
      </c>
      <c r="J126" s="88">
        <f t="shared" ca="1" si="457"/>
        <v>0</v>
      </c>
      <c r="K126" s="24"/>
      <c r="L126" s="24"/>
      <c r="M126" s="24"/>
      <c r="N126" s="29"/>
      <c r="O126" s="29"/>
      <c r="P126" s="29"/>
      <c r="Q126" s="29"/>
      <c r="R126" s="29"/>
      <c r="S126" s="29"/>
      <c r="T126" s="167">
        <f t="shared" si="458"/>
        <v>0</v>
      </c>
      <c r="U126" s="1"/>
      <c r="V126" s="29"/>
      <c r="W126" s="29"/>
      <c r="X126" s="29"/>
      <c r="Y126" s="29"/>
      <c r="Z126" s="29"/>
      <c r="AA126" s="29"/>
      <c r="AB126" s="48">
        <f t="shared" si="459"/>
        <v>0</v>
      </c>
      <c r="AD126" s="29"/>
      <c r="AE126" s="29"/>
      <c r="AF126" s="29"/>
      <c r="AG126" s="29"/>
      <c r="AH126" s="29"/>
      <c r="AI126" s="29"/>
      <c r="AJ126" s="209">
        <f t="shared" si="460"/>
        <v>0</v>
      </c>
      <c r="AL126" s="29"/>
      <c r="AM126" s="29"/>
      <c r="AN126" s="29"/>
      <c r="AO126" s="29"/>
      <c r="AP126" s="29"/>
      <c r="AQ126" s="29"/>
      <c r="AR126" s="181">
        <f t="shared" si="461"/>
        <v>0</v>
      </c>
      <c r="AT126" s="29"/>
      <c r="AU126" s="29"/>
      <c r="AV126" s="29"/>
      <c r="AW126" s="29"/>
      <c r="AX126" s="29"/>
      <c r="AY126" s="29"/>
      <c r="AZ126" s="153">
        <f t="shared" si="462"/>
        <v>0</v>
      </c>
      <c r="BB126" s="29"/>
      <c r="BC126" s="29"/>
      <c r="BD126" s="29"/>
      <c r="BE126" s="29"/>
      <c r="BF126" s="29"/>
      <c r="BG126" s="29"/>
      <c r="BH126" s="195">
        <f t="shared" si="463"/>
        <v>0</v>
      </c>
      <c r="BJ126" s="29"/>
      <c r="BK126" s="29"/>
      <c r="BL126" s="29"/>
      <c r="BM126" s="29"/>
      <c r="BN126" s="29"/>
      <c r="BO126" s="29"/>
      <c r="BP126" s="1105">
        <f t="shared" si="464"/>
        <v>0</v>
      </c>
      <c r="BR126" s="575">
        <f t="shared" si="465"/>
        <v>0</v>
      </c>
      <c r="BS126" s="575">
        <f t="shared" si="466"/>
        <v>0</v>
      </c>
      <c r="BT126" s="575">
        <f t="shared" si="467"/>
        <v>0</v>
      </c>
      <c r="BU126" s="575">
        <f t="shared" si="468"/>
        <v>0</v>
      </c>
      <c r="BV126" s="575">
        <f t="shared" si="469"/>
        <v>0</v>
      </c>
      <c r="BW126" s="575">
        <f t="shared" si="470"/>
        <v>0</v>
      </c>
      <c r="BX126" s="991">
        <f t="shared" si="471"/>
        <v>0</v>
      </c>
      <c r="BY126" s="573">
        <f t="shared" ca="1" si="472"/>
        <v>0</v>
      </c>
      <c r="BZ126" s="257"/>
      <c r="CB126" s="1646">
        <f ca="1">'Calc - GRAD ASST'!$M$243</f>
        <v>0</v>
      </c>
      <c r="CC126" s="1269">
        <f ca="1">'Calc - GRAD ASST'!$M$244/12*3</f>
        <v>0</v>
      </c>
      <c r="CD126" s="1269">
        <f ca="1">'Calc - GRAD ASST'!$M$244/12*3</f>
        <v>0</v>
      </c>
      <c r="CE126" s="1269">
        <f ca="1">'Calc - GRAD ASST'!$M$244/12*2</f>
        <v>0</v>
      </c>
      <c r="CF126" s="1269">
        <f ca="1">'Calc - GRAD ASST'!$M$244/12*1</f>
        <v>0</v>
      </c>
      <c r="CG126" s="1269">
        <f ca="1">'Calc - GRAD ASST'!$M$244/12*3</f>
        <v>0</v>
      </c>
      <c r="CH126" s="1272">
        <f ca="1">'Calc - GRAD ASST'!$M$245/12*3</f>
        <v>0</v>
      </c>
      <c r="CI126" s="1272">
        <f ca="1">'Calc - GRAD ASST'!$M$245/12*3</f>
        <v>0</v>
      </c>
      <c r="CJ126" s="1272">
        <f ca="1">'Calc - GRAD ASST'!$M$245/12*2</f>
        <v>0</v>
      </c>
      <c r="CK126" s="1272">
        <f ca="1">'Calc - GRAD ASST'!$M$245/12*1</f>
        <v>0</v>
      </c>
      <c r="CL126" s="1272">
        <f ca="1">'Calc - GRAD ASST'!$M$245/12*3</f>
        <v>0</v>
      </c>
      <c r="CM126" s="1275">
        <f ca="1">'Calc - GRAD ASST'!$M$246/8*3</f>
        <v>0</v>
      </c>
      <c r="CN126" s="1275">
        <f ca="1">'Calc - GRAD ASST'!$M$246/8*3</f>
        <v>0</v>
      </c>
      <c r="CO126" s="1275">
        <f ca="1">'Calc - GRAD ASST'!$M$246/8*2</f>
        <v>0</v>
      </c>
      <c r="CP126" s="88">
        <f t="shared" ca="1" si="536"/>
        <v>0</v>
      </c>
      <c r="CS126" s="575"/>
      <c r="CT126" s="5"/>
      <c r="CU126" s="1180"/>
      <c r="CV126" s="575"/>
      <c r="CW126" s="5"/>
      <c r="CX126" s="1249"/>
      <c r="CY126" s="575"/>
      <c r="CZ126" s="5"/>
      <c r="DA126" s="1180"/>
      <c r="DB126" s="575"/>
      <c r="DC126" s="5"/>
      <c r="DD126" s="1180"/>
      <c r="DE126" s="1181">
        <f t="shared" si="473"/>
        <v>0</v>
      </c>
      <c r="DG126" s="575"/>
      <c r="DH126" s="5"/>
      <c r="DI126" s="1180"/>
      <c r="DJ126" s="575"/>
      <c r="DK126" s="5"/>
      <c r="DL126" s="1249"/>
      <c r="DM126" s="575"/>
      <c r="DN126" s="5"/>
      <c r="DO126" s="1180"/>
      <c r="DP126" s="575"/>
      <c r="DQ126" s="5"/>
      <c r="DR126" s="1180"/>
      <c r="DS126" s="1181">
        <f t="shared" si="474"/>
        <v>0</v>
      </c>
      <c r="DU126" s="575"/>
      <c r="DV126" s="5"/>
      <c r="DW126" s="1180"/>
      <c r="DX126" s="575"/>
      <c r="DY126" s="5"/>
      <c r="DZ126" s="1249"/>
      <c r="EA126" s="575"/>
      <c r="EB126" s="5"/>
      <c r="EC126" s="1180"/>
      <c r="ED126" s="575"/>
      <c r="EE126" s="5"/>
      <c r="EF126" s="1180"/>
      <c r="EG126" s="1181">
        <f t="shared" si="475"/>
        <v>0</v>
      </c>
      <c r="EI126" s="25"/>
      <c r="EJ126" s="348">
        <f t="shared" si="476"/>
        <v>0</v>
      </c>
      <c r="EK126" s="57" t="str">
        <f t="shared" si="477"/>
        <v>GA #09 / Sponsor Funds</v>
      </c>
      <c r="EL126" s="29">
        <f t="shared" ca="1" si="478"/>
        <v>0</v>
      </c>
      <c r="EM126" s="29">
        <f t="shared" ca="1" si="479"/>
        <v>0</v>
      </c>
      <c r="EN126" s="29">
        <f t="shared" ca="1" si="480"/>
        <v>0</v>
      </c>
      <c r="EO126" s="29">
        <f t="shared" ca="1" si="481"/>
        <v>0</v>
      </c>
      <c r="EP126" s="29">
        <f t="shared" ca="1" si="482"/>
        <v>0</v>
      </c>
      <c r="EQ126" s="29">
        <f t="shared" ca="1" si="483"/>
        <v>0</v>
      </c>
      <c r="ER126" s="88">
        <f t="shared" ca="1" si="484"/>
        <v>0</v>
      </c>
      <c r="ES126" s="24"/>
      <c r="ET126" s="24"/>
      <c r="EU126" s="24"/>
      <c r="EV126" s="29">
        <f t="shared" si="485"/>
        <v>0</v>
      </c>
      <c r="EW126" s="29">
        <f t="shared" si="486"/>
        <v>0</v>
      </c>
      <c r="EX126" s="29">
        <f t="shared" si="487"/>
        <v>0</v>
      </c>
      <c r="EY126" s="29">
        <f t="shared" si="488"/>
        <v>0</v>
      </c>
      <c r="EZ126" s="29">
        <f t="shared" si="489"/>
        <v>0</v>
      </c>
      <c r="FA126" s="29">
        <f t="shared" si="490"/>
        <v>0</v>
      </c>
      <c r="FB126" s="167">
        <f t="shared" si="491"/>
        <v>0</v>
      </c>
      <c r="FC126" s="1"/>
      <c r="FD126" s="29">
        <f t="shared" si="492"/>
        <v>0</v>
      </c>
      <c r="FE126" s="29">
        <f t="shared" si="493"/>
        <v>0</v>
      </c>
      <c r="FF126" s="29">
        <f t="shared" si="494"/>
        <v>0</v>
      </c>
      <c r="FG126" s="29">
        <f t="shared" si="495"/>
        <v>0</v>
      </c>
      <c r="FH126" s="29">
        <f t="shared" si="496"/>
        <v>0</v>
      </c>
      <c r="FI126" s="29">
        <f t="shared" si="497"/>
        <v>0</v>
      </c>
      <c r="FJ126" s="48">
        <f t="shared" si="498"/>
        <v>0</v>
      </c>
      <c r="FL126" s="29">
        <f t="shared" si="499"/>
        <v>0</v>
      </c>
      <c r="FM126" s="29">
        <f t="shared" si="500"/>
        <v>0</v>
      </c>
      <c r="FN126" s="29">
        <f t="shared" si="501"/>
        <v>0</v>
      </c>
      <c r="FO126" s="29">
        <f t="shared" si="502"/>
        <v>0</v>
      </c>
      <c r="FP126" s="29">
        <f t="shared" si="503"/>
        <v>0</v>
      </c>
      <c r="FQ126" s="29">
        <f t="shared" si="504"/>
        <v>0</v>
      </c>
      <c r="FR126" s="209">
        <f t="shared" si="505"/>
        <v>0</v>
      </c>
      <c r="FT126" s="29">
        <f t="shared" si="506"/>
        <v>0</v>
      </c>
      <c r="FU126" s="29">
        <f t="shared" si="507"/>
        <v>0</v>
      </c>
      <c r="FV126" s="29">
        <f t="shared" si="508"/>
        <v>0</v>
      </c>
      <c r="FW126" s="29">
        <f t="shared" si="509"/>
        <v>0</v>
      </c>
      <c r="FX126" s="29">
        <f t="shared" si="510"/>
        <v>0</v>
      </c>
      <c r="FY126" s="29">
        <f t="shared" si="511"/>
        <v>0</v>
      </c>
      <c r="FZ126" s="181">
        <f t="shared" si="512"/>
        <v>0</v>
      </c>
      <c r="GB126" s="29">
        <f t="shared" si="513"/>
        <v>0</v>
      </c>
      <c r="GC126" s="29">
        <f t="shared" si="514"/>
        <v>0</v>
      </c>
      <c r="GD126" s="29">
        <f t="shared" si="515"/>
        <v>0</v>
      </c>
      <c r="GE126" s="29">
        <f t="shared" si="516"/>
        <v>0</v>
      </c>
      <c r="GF126" s="29">
        <f t="shared" si="517"/>
        <v>0</v>
      </c>
      <c r="GG126" s="29">
        <f t="shared" si="518"/>
        <v>0</v>
      </c>
      <c r="GH126" s="153">
        <f t="shared" si="519"/>
        <v>0</v>
      </c>
      <c r="GJ126" s="29">
        <f t="shared" si="520"/>
        <v>0</v>
      </c>
      <c r="GK126" s="29">
        <f t="shared" si="521"/>
        <v>0</v>
      </c>
      <c r="GL126" s="29">
        <f t="shared" si="522"/>
        <v>0</v>
      </c>
      <c r="GM126" s="29">
        <f t="shared" si="523"/>
        <v>0</v>
      </c>
      <c r="GN126" s="29">
        <f t="shared" si="524"/>
        <v>0</v>
      </c>
      <c r="GO126" s="29">
        <f t="shared" si="525"/>
        <v>0</v>
      </c>
      <c r="GP126" s="195">
        <f t="shared" si="526"/>
        <v>0</v>
      </c>
      <c r="GR126" s="29"/>
      <c r="GS126" s="29"/>
      <c r="GT126" s="29"/>
      <c r="GU126" s="29"/>
      <c r="GV126" s="29"/>
      <c r="GW126" s="29"/>
      <c r="GX126" s="1105">
        <f t="shared" si="527"/>
        <v>0</v>
      </c>
      <c r="GZ126" s="575">
        <f t="shared" si="528"/>
        <v>0</v>
      </c>
      <c r="HA126" s="575">
        <f t="shared" si="529"/>
        <v>0</v>
      </c>
      <c r="HB126" s="575">
        <f t="shared" si="530"/>
        <v>0</v>
      </c>
      <c r="HC126" s="575">
        <f t="shared" si="531"/>
        <v>0</v>
      </c>
      <c r="HD126" s="575">
        <f t="shared" si="532"/>
        <v>0</v>
      </c>
      <c r="HE126" s="575">
        <f t="shared" si="533"/>
        <v>0</v>
      </c>
      <c r="HF126" s="991">
        <f t="shared" si="534"/>
        <v>0</v>
      </c>
      <c r="HG126" s="573">
        <f t="shared" ca="1" si="535"/>
        <v>0</v>
      </c>
      <c r="HH126" s="257"/>
    </row>
    <row r="127" spans="1:216" ht="15" hidden="1" customHeight="1" x14ac:dyDescent="0.25">
      <c r="A127" s="25"/>
      <c r="B127" s="348">
        <f>'Calc - GRAD ASST'!C268</f>
        <v>0</v>
      </c>
      <c r="C127" s="57" t="str">
        <f>'Calc - GRAD ASST'!A267</f>
        <v>GA #10 / Sponsor Funds</v>
      </c>
      <c r="D127" s="29">
        <f ca="1">'Calc - GRAD ASST'!$M$272</f>
        <v>0</v>
      </c>
      <c r="E127" s="29">
        <f ca="1">'Calc - GRAD ASST'!$M$273</f>
        <v>0</v>
      </c>
      <c r="F127" s="29">
        <f ca="1">'Calc - GRAD ASST'!$M$274</f>
        <v>0</v>
      </c>
      <c r="G127" s="29">
        <f ca="1">'Calc - GRAD ASST'!$M$275</f>
        <v>0</v>
      </c>
      <c r="H127" s="29">
        <f ca="1">'Calc - GRAD ASST'!$M$276</f>
        <v>0</v>
      </c>
      <c r="I127" s="29">
        <f ca="1">'Calc - GRAD ASST'!$M$277</f>
        <v>0</v>
      </c>
      <c r="J127" s="88">
        <f t="shared" ca="1" si="457"/>
        <v>0</v>
      </c>
      <c r="K127" s="24"/>
      <c r="L127" s="4"/>
      <c r="M127" s="24"/>
      <c r="N127" s="29"/>
      <c r="O127" s="29"/>
      <c r="P127" s="29"/>
      <c r="Q127" s="29"/>
      <c r="R127" s="29"/>
      <c r="S127" s="29"/>
      <c r="T127" s="167">
        <f t="shared" si="458"/>
        <v>0</v>
      </c>
      <c r="U127" s="1"/>
      <c r="V127" s="29"/>
      <c r="W127" s="29"/>
      <c r="X127" s="29"/>
      <c r="Y127" s="29"/>
      <c r="Z127" s="29"/>
      <c r="AA127" s="29"/>
      <c r="AB127" s="48">
        <f t="shared" si="459"/>
        <v>0</v>
      </c>
      <c r="AD127" s="29"/>
      <c r="AE127" s="29"/>
      <c r="AF127" s="29"/>
      <c r="AG127" s="29"/>
      <c r="AH127" s="29"/>
      <c r="AI127" s="29"/>
      <c r="AJ127" s="209">
        <f t="shared" si="460"/>
        <v>0</v>
      </c>
      <c r="AL127" s="29"/>
      <c r="AM127" s="29"/>
      <c r="AN127" s="29"/>
      <c r="AO127" s="29"/>
      <c r="AP127" s="29"/>
      <c r="AQ127" s="29"/>
      <c r="AR127" s="181">
        <f t="shared" si="461"/>
        <v>0</v>
      </c>
      <c r="AT127" s="29"/>
      <c r="AU127" s="29"/>
      <c r="AV127" s="29"/>
      <c r="AW127" s="29"/>
      <c r="AX127" s="29"/>
      <c r="AY127" s="29"/>
      <c r="AZ127" s="153">
        <f t="shared" si="462"/>
        <v>0</v>
      </c>
      <c r="BB127" s="29"/>
      <c r="BC127" s="29"/>
      <c r="BD127" s="29"/>
      <c r="BE127" s="29"/>
      <c r="BF127" s="29"/>
      <c r="BG127" s="29"/>
      <c r="BH127" s="195">
        <f t="shared" si="463"/>
        <v>0</v>
      </c>
      <c r="BJ127" s="29"/>
      <c r="BK127" s="29"/>
      <c r="BL127" s="29"/>
      <c r="BM127" s="29"/>
      <c r="BN127" s="29"/>
      <c r="BO127" s="29"/>
      <c r="BP127" s="1105">
        <f t="shared" si="464"/>
        <v>0</v>
      </c>
      <c r="BR127" s="575">
        <f t="shared" si="465"/>
        <v>0</v>
      </c>
      <c r="BS127" s="575">
        <f t="shared" si="466"/>
        <v>0</v>
      </c>
      <c r="BT127" s="575">
        <f t="shared" si="467"/>
        <v>0</v>
      </c>
      <c r="BU127" s="575">
        <f t="shared" si="468"/>
        <v>0</v>
      </c>
      <c r="BV127" s="575">
        <f t="shared" si="469"/>
        <v>0</v>
      </c>
      <c r="BW127" s="575">
        <f t="shared" si="470"/>
        <v>0</v>
      </c>
      <c r="BX127" s="991">
        <f t="shared" si="471"/>
        <v>0</v>
      </c>
      <c r="BY127" s="573">
        <f t="shared" ca="1" si="472"/>
        <v>0</v>
      </c>
      <c r="BZ127" s="257"/>
      <c r="CB127" s="1646">
        <f ca="1">'Calc - GRAD ASST'!$M$272</f>
        <v>0</v>
      </c>
      <c r="CC127" s="1269">
        <f ca="1">'Calc - GRAD ASST'!$M$273/12*3</f>
        <v>0</v>
      </c>
      <c r="CD127" s="1269">
        <f ca="1">'Calc - GRAD ASST'!$M$273/12*3</f>
        <v>0</v>
      </c>
      <c r="CE127" s="1269">
        <f ca="1">'Calc - GRAD ASST'!$M$273/12*2</f>
        <v>0</v>
      </c>
      <c r="CF127" s="1269">
        <f ca="1">'Calc - GRAD ASST'!$M$273/12*1</f>
        <v>0</v>
      </c>
      <c r="CG127" s="1269">
        <f ca="1">'Calc - GRAD ASST'!$M$273/12*3</f>
        <v>0</v>
      </c>
      <c r="CH127" s="1272">
        <f ca="1">'Calc - GRAD ASST'!$M$274/12*3</f>
        <v>0</v>
      </c>
      <c r="CI127" s="1272">
        <f ca="1">'Calc - GRAD ASST'!$M$274/12*3</f>
        <v>0</v>
      </c>
      <c r="CJ127" s="1272">
        <f ca="1">'Calc - GRAD ASST'!$M$274/12*2</f>
        <v>0</v>
      </c>
      <c r="CK127" s="1272">
        <f ca="1">'Calc - GRAD ASST'!$M$274/12*1</f>
        <v>0</v>
      </c>
      <c r="CL127" s="1272">
        <f ca="1">'Calc - GRAD ASST'!$M$274/12*3</f>
        <v>0</v>
      </c>
      <c r="CM127" s="1275">
        <f ca="1">'Calc - GRAD ASST'!$M$275/8*3</f>
        <v>0</v>
      </c>
      <c r="CN127" s="1275">
        <f ca="1">'Calc - GRAD ASST'!$M$275/8*3</f>
        <v>0</v>
      </c>
      <c r="CO127" s="1275">
        <f ca="1">'Calc - GRAD ASST'!$M$275/8*2</f>
        <v>0</v>
      </c>
      <c r="CP127" s="88">
        <f t="shared" ca="1" si="536"/>
        <v>0</v>
      </c>
      <c r="CS127" s="575"/>
      <c r="CT127" s="5"/>
      <c r="CU127" s="1180"/>
      <c r="CV127" s="575"/>
      <c r="CW127" s="5"/>
      <c r="CX127" s="1249"/>
      <c r="CY127" s="575"/>
      <c r="CZ127" s="5"/>
      <c r="DA127" s="1180"/>
      <c r="DB127" s="575"/>
      <c r="DC127" s="5"/>
      <c r="DD127" s="1180"/>
      <c r="DE127" s="1181">
        <f t="shared" si="473"/>
        <v>0</v>
      </c>
      <c r="DG127" s="575"/>
      <c r="DH127" s="5"/>
      <c r="DI127" s="1180"/>
      <c r="DJ127" s="575"/>
      <c r="DK127" s="5"/>
      <c r="DL127" s="1249"/>
      <c r="DM127" s="575"/>
      <c r="DN127" s="5"/>
      <c r="DO127" s="1180"/>
      <c r="DP127" s="575"/>
      <c r="DQ127" s="5"/>
      <c r="DR127" s="1180"/>
      <c r="DS127" s="1181">
        <f t="shared" si="474"/>
        <v>0</v>
      </c>
      <c r="DU127" s="575"/>
      <c r="DV127" s="5"/>
      <c r="DW127" s="1180"/>
      <c r="DX127" s="575"/>
      <c r="DY127" s="5"/>
      <c r="DZ127" s="1249"/>
      <c r="EA127" s="575"/>
      <c r="EB127" s="5"/>
      <c r="EC127" s="1180"/>
      <c r="ED127" s="575"/>
      <c r="EE127" s="5"/>
      <c r="EF127" s="1180"/>
      <c r="EG127" s="1181">
        <f t="shared" si="475"/>
        <v>0</v>
      </c>
      <c r="EI127" s="25"/>
      <c r="EJ127" s="348">
        <f t="shared" si="476"/>
        <v>0</v>
      </c>
      <c r="EK127" s="57" t="str">
        <f t="shared" si="477"/>
        <v>GA #10 / Sponsor Funds</v>
      </c>
      <c r="EL127" s="29">
        <f t="shared" ca="1" si="478"/>
        <v>0</v>
      </c>
      <c r="EM127" s="29">
        <f t="shared" ca="1" si="479"/>
        <v>0</v>
      </c>
      <c r="EN127" s="29">
        <f t="shared" ca="1" si="480"/>
        <v>0</v>
      </c>
      <c r="EO127" s="29">
        <f t="shared" ca="1" si="481"/>
        <v>0</v>
      </c>
      <c r="EP127" s="29">
        <f t="shared" ca="1" si="482"/>
        <v>0</v>
      </c>
      <c r="EQ127" s="29">
        <f t="shared" ca="1" si="483"/>
        <v>0</v>
      </c>
      <c r="ER127" s="88">
        <f t="shared" ca="1" si="484"/>
        <v>0</v>
      </c>
      <c r="ES127" s="24"/>
      <c r="ET127" s="4"/>
      <c r="EU127" s="24"/>
      <c r="EV127" s="29">
        <f t="shared" si="485"/>
        <v>0</v>
      </c>
      <c r="EW127" s="29">
        <f t="shared" si="486"/>
        <v>0</v>
      </c>
      <c r="EX127" s="29">
        <f t="shared" si="487"/>
        <v>0</v>
      </c>
      <c r="EY127" s="29">
        <f t="shared" si="488"/>
        <v>0</v>
      </c>
      <c r="EZ127" s="29">
        <f t="shared" si="489"/>
        <v>0</v>
      </c>
      <c r="FA127" s="29">
        <f t="shared" si="490"/>
        <v>0</v>
      </c>
      <c r="FB127" s="167">
        <f t="shared" si="491"/>
        <v>0</v>
      </c>
      <c r="FC127" s="1"/>
      <c r="FD127" s="29">
        <f t="shared" si="492"/>
        <v>0</v>
      </c>
      <c r="FE127" s="29">
        <f t="shared" si="493"/>
        <v>0</v>
      </c>
      <c r="FF127" s="29">
        <f t="shared" si="494"/>
        <v>0</v>
      </c>
      <c r="FG127" s="29">
        <f t="shared" si="495"/>
        <v>0</v>
      </c>
      <c r="FH127" s="29">
        <f t="shared" si="496"/>
        <v>0</v>
      </c>
      <c r="FI127" s="29">
        <f t="shared" si="497"/>
        <v>0</v>
      </c>
      <c r="FJ127" s="48">
        <f t="shared" si="498"/>
        <v>0</v>
      </c>
      <c r="FL127" s="29">
        <f t="shared" si="499"/>
        <v>0</v>
      </c>
      <c r="FM127" s="29">
        <f t="shared" si="500"/>
        <v>0</v>
      </c>
      <c r="FN127" s="29">
        <f t="shared" si="501"/>
        <v>0</v>
      </c>
      <c r="FO127" s="29">
        <f t="shared" si="502"/>
        <v>0</v>
      </c>
      <c r="FP127" s="29">
        <f t="shared" si="503"/>
        <v>0</v>
      </c>
      <c r="FQ127" s="29">
        <f t="shared" si="504"/>
        <v>0</v>
      </c>
      <c r="FR127" s="209">
        <f t="shared" si="505"/>
        <v>0</v>
      </c>
      <c r="FT127" s="29">
        <f t="shared" si="506"/>
        <v>0</v>
      </c>
      <c r="FU127" s="29">
        <f t="shared" si="507"/>
        <v>0</v>
      </c>
      <c r="FV127" s="29">
        <f t="shared" si="508"/>
        <v>0</v>
      </c>
      <c r="FW127" s="29">
        <f t="shared" si="509"/>
        <v>0</v>
      </c>
      <c r="FX127" s="29">
        <f t="shared" si="510"/>
        <v>0</v>
      </c>
      <c r="FY127" s="29">
        <f t="shared" si="511"/>
        <v>0</v>
      </c>
      <c r="FZ127" s="181">
        <f t="shared" si="512"/>
        <v>0</v>
      </c>
      <c r="GB127" s="29">
        <f t="shared" si="513"/>
        <v>0</v>
      </c>
      <c r="GC127" s="29">
        <f t="shared" si="514"/>
        <v>0</v>
      </c>
      <c r="GD127" s="29">
        <f t="shared" si="515"/>
        <v>0</v>
      </c>
      <c r="GE127" s="29">
        <f t="shared" si="516"/>
        <v>0</v>
      </c>
      <c r="GF127" s="29">
        <f t="shared" si="517"/>
        <v>0</v>
      </c>
      <c r="GG127" s="29">
        <f t="shared" si="518"/>
        <v>0</v>
      </c>
      <c r="GH127" s="153">
        <f t="shared" si="519"/>
        <v>0</v>
      </c>
      <c r="GJ127" s="29">
        <f t="shared" si="520"/>
        <v>0</v>
      </c>
      <c r="GK127" s="29">
        <f t="shared" si="521"/>
        <v>0</v>
      </c>
      <c r="GL127" s="29">
        <f t="shared" si="522"/>
        <v>0</v>
      </c>
      <c r="GM127" s="29">
        <f t="shared" si="523"/>
        <v>0</v>
      </c>
      <c r="GN127" s="29">
        <f t="shared" si="524"/>
        <v>0</v>
      </c>
      <c r="GO127" s="29">
        <f t="shared" si="525"/>
        <v>0</v>
      </c>
      <c r="GP127" s="195">
        <f t="shared" si="526"/>
        <v>0</v>
      </c>
      <c r="GR127" s="29"/>
      <c r="GS127" s="29"/>
      <c r="GT127" s="29"/>
      <c r="GU127" s="29"/>
      <c r="GV127" s="29"/>
      <c r="GW127" s="29"/>
      <c r="GX127" s="1105">
        <f t="shared" si="527"/>
        <v>0</v>
      </c>
      <c r="GZ127" s="575">
        <f t="shared" si="528"/>
        <v>0</v>
      </c>
      <c r="HA127" s="575">
        <f t="shared" si="529"/>
        <v>0</v>
      </c>
      <c r="HB127" s="575">
        <f t="shared" si="530"/>
        <v>0</v>
      </c>
      <c r="HC127" s="575">
        <f t="shared" si="531"/>
        <v>0</v>
      </c>
      <c r="HD127" s="575">
        <f t="shared" si="532"/>
        <v>0</v>
      </c>
      <c r="HE127" s="575">
        <f t="shared" si="533"/>
        <v>0</v>
      </c>
      <c r="HF127" s="991">
        <f t="shared" si="534"/>
        <v>0</v>
      </c>
      <c r="HG127" s="573">
        <f t="shared" ca="1" si="535"/>
        <v>0</v>
      </c>
      <c r="HH127" s="257"/>
    </row>
    <row r="128" spans="1:216" ht="15" hidden="1" customHeight="1" x14ac:dyDescent="0.25">
      <c r="A128" s="25"/>
      <c r="B128" s="348">
        <f>'Calc - GRAD ASST'!C297</f>
        <v>0</v>
      </c>
      <c r="C128" s="57" t="str">
        <f>'Calc - GRAD ASST'!A296</f>
        <v>GA #11 / Sponsor Funds</v>
      </c>
      <c r="D128" s="29">
        <f ca="1">'Calc - GRAD ASST'!$M$301</f>
        <v>0</v>
      </c>
      <c r="E128" s="29">
        <f ca="1">'Calc - GRAD ASST'!$M$302</f>
        <v>0</v>
      </c>
      <c r="F128" s="29">
        <f ca="1">'Calc - GRAD ASST'!$M$303</f>
        <v>0</v>
      </c>
      <c r="G128" s="29">
        <f ca="1">'Calc - GRAD ASST'!$M$304</f>
        <v>0</v>
      </c>
      <c r="H128" s="29">
        <f ca="1">'Calc - GRAD ASST'!$M$305</f>
        <v>0</v>
      </c>
      <c r="I128" s="29">
        <f ca="1">'Calc - GRAD ASST'!$M$306</f>
        <v>0</v>
      </c>
      <c r="J128" s="88">
        <f t="shared" ca="1" si="457"/>
        <v>0</v>
      </c>
      <c r="K128" s="24"/>
      <c r="L128" s="24"/>
      <c r="M128" s="24"/>
      <c r="N128" s="344"/>
      <c r="O128" s="344"/>
      <c r="P128" s="344"/>
      <c r="Q128" s="344"/>
      <c r="R128" s="344"/>
      <c r="S128" s="344"/>
      <c r="T128" s="381">
        <f t="shared" si="458"/>
        <v>0</v>
      </c>
      <c r="U128" s="1"/>
      <c r="V128" s="29"/>
      <c r="W128" s="29"/>
      <c r="X128" s="29"/>
      <c r="Y128" s="29"/>
      <c r="Z128" s="29"/>
      <c r="AA128" s="29"/>
      <c r="AB128" s="48">
        <f t="shared" si="459"/>
        <v>0</v>
      </c>
      <c r="AD128" s="29"/>
      <c r="AE128" s="29"/>
      <c r="AF128" s="29"/>
      <c r="AG128" s="29"/>
      <c r="AH128" s="29"/>
      <c r="AI128" s="29"/>
      <c r="AJ128" s="209">
        <f t="shared" si="460"/>
        <v>0</v>
      </c>
      <c r="AL128" s="29"/>
      <c r="AM128" s="29"/>
      <c r="AN128" s="29"/>
      <c r="AO128" s="29"/>
      <c r="AP128" s="29"/>
      <c r="AQ128" s="29"/>
      <c r="AR128" s="181">
        <f t="shared" si="461"/>
        <v>0</v>
      </c>
      <c r="AT128" s="29"/>
      <c r="AU128" s="29"/>
      <c r="AV128" s="29"/>
      <c r="AW128" s="29"/>
      <c r="AX128" s="29"/>
      <c r="AY128" s="29"/>
      <c r="AZ128" s="153">
        <f t="shared" si="462"/>
        <v>0</v>
      </c>
      <c r="BB128" s="29"/>
      <c r="BC128" s="29"/>
      <c r="BD128" s="29"/>
      <c r="BE128" s="29"/>
      <c r="BF128" s="29"/>
      <c r="BG128" s="29"/>
      <c r="BH128" s="195">
        <f t="shared" si="463"/>
        <v>0</v>
      </c>
      <c r="BJ128" s="29"/>
      <c r="BK128" s="29"/>
      <c r="BL128" s="29"/>
      <c r="BM128" s="29"/>
      <c r="BN128" s="29"/>
      <c r="BO128" s="29"/>
      <c r="BP128" s="1105">
        <f t="shared" si="464"/>
        <v>0</v>
      </c>
      <c r="BR128" s="575">
        <f t="shared" si="465"/>
        <v>0</v>
      </c>
      <c r="BS128" s="575">
        <f t="shared" si="466"/>
        <v>0</v>
      </c>
      <c r="BT128" s="575">
        <f t="shared" si="467"/>
        <v>0</v>
      </c>
      <c r="BU128" s="575">
        <f t="shared" si="468"/>
        <v>0</v>
      </c>
      <c r="BV128" s="575">
        <f t="shared" si="469"/>
        <v>0</v>
      </c>
      <c r="BW128" s="575">
        <f t="shared" si="470"/>
        <v>0</v>
      </c>
      <c r="BX128" s="991">
        <f t="shared" si="471"/>
        <v>0</v>
      </c>
      <c r="BY128" s="573">
        <f t="shared" ca="1" si="472"/>
        <v>0</v>
      </c>
      <c r="BZ128" s="257"/>
      <c r="CB128" s="1646">
        <f ca="1">'Calc - GRAD ASST'!$M$301</f>
        <v>0</v>
      </c>
      <c r="CC128" s="1269">
        <f ca="1">'Calc - GRAD ASST'!$M$302/12*3</f>
        <v>0</v>
      </c>
      <c r="CD128" s="1269">
        <f ca="1">'Calc - GRAD ASST'!$M$302/12*3</f>
        <v>0</v>
      </c>
      <c r="CE128" s="1269">
        <f ca="1">'Calc - GRAD ASST'!$M$302/12*2</f>
        <v>0</v>
      </c>
      <c r="CF128" s="1269">
        <f ca="1">'Calc - GRAD ASST'!$M$302/12*1</f>
        <v>0</v>
      </c>
      <c r="CG128" s="1269">
        <f ca="1">'Calc - GRAD ASST'!$M$302/12*3</f>
        <v>0</v>
      </c>
      <c r="CH128" s="1272">
        <f ca="1">'Calc - GRAD ASST'!$M$303/12*3</f>
        <v>0</v>
      </c>
      <c r="CI128" s="1272">
        <f ca="1">'Calc - GRAD ASST'!$M$303/12*3</f>
        <v>0</v>
      </c>
      <c r="CJ128" s="1272">
        <f ca="1">'Calc - GRAD ASST'!$M$303/12*2</f>
        <v>0</v>
      </c>
      <c r="CK128" s="1272">
        <f ca="1">'Calc - GRAD ASST'!$M$303/12*1</f>
        <v>0</v>
      </c>
      <c r="CL128" s="1272">
        <f ca="1">'Calc - GRAD ASST'!$M$303/12*3</f>
        <v>0</v>
      </c>
      <c r="CM128" s="1275">
        <f ca="1">'Calc - GRAD ASST'!$M$304/8*3</f>
        <v>0</v>
      </c>
      <c r="CN128" s="1275">
        <f ca="1">'Calc - GRAD ASST'!$M$304/8*3</f>
        <v>0</v>
      </c>
      <c r="CO128" s="1275">
        <f ca="1">'Calc - GRAD ASST'!$M$304/8*2</f>
        <v>0</v>
      </c>
      <c r="CP128" s="88">
        <f t="shared" ca="1" si="536"/>
        <v>0</v>
      </c>
      <c r="CS128" s="1244"/>
      <c r="CT128" s="41"/>
      <c r="CU128" s="1245"/>
      <c r="CV128" s="1244"/>
      <c r="CW128" s="41"/>
      <c r="CX128" s="1246"/>
      <c r="CY128" s="1244"/>
      <c r="CZ128" s="41"/>
      <c r="DA128" s="1245"/>
      <c r="DB128" s="1244"/>
      <c r="DC128" s="41"/>
      <c r="DD128" s="1245"/>
      <c r="DE128" s="1266">
        <f t="shared" si="473"/>
        <v>0</v>
      </c>
      <c r="DG128" s="1244"/>
      <c r="DH128" s="41"/>
      <c r="DI128" s="1245"/>
      <c r="DJ128" s="1244"/>
      <c r="DK128" s="41"/>
      <c r="DL128" s="1246"/>
      <c r="DM128" s="1244"/>
      <c r="DN128" s="41"/>
      <c r="DO128" s="1245"/>
      <c r="DP128" s="1244"/>
      <c r="DQ128" s="41"/>
      <c r="DR128" s="1245"/>
      <c r="DS128" s="1266">
        <f t="shared" si="474"/>
        <v>0</v>
      </c>
      <c r="DU128" s="1244"/>
      <c r="DV128" s="41"/>
      <c r="DW128" s="1245"/>
      <c r="DX128" s="1244"/>
      <c r="DY128" s="41"/>
      <c r="DZ128" s="1246"/>
      <c r="EA128" s="1244"/>
      <c r="EB128" s="41"/>
      <c r="EC128" s="1245"/>
      <c r="ED128" s="1244"/>
      <c r="EE128" s="41"/>
      <c r="EF128" s="1245"/>
      <c r="EG128" s="1266">
        <f t="shared" si="475"/>
        <v>0</v>
      </c>
      <c r="EI128" s="25"/>
      <c r="EJ128" s="348">
        <f t="shared" si="476"/>
        <v>0</v>
      </c>
      <c r="EK128" s="57" t="str">
        <f t="shared" si="477"/>
        <v>GA #11 / Sponsor Funds</v>
      </c>
      <c r="EL128" s="29">
        <f t="shared" ca="1" si="478"/>
        <v>0</v>
      </c>
      <c r="EM128" s="29">
        <f t="shared" ca="1" si="479"/>
        <v>0</v>
      </c>
      <c r="EN128" s="29">
        <f t="shared" ca="1" si="480"/>
        <v>0</v>
      </c>
      <c r="EO128" s="29">
        <f t="shared" ca="1" si="481"/>
        <v>0</v>
      </c>
      <c r="EP128" s="29">
        <f t="shared" ca="1" si="482"/>
        <v>0</v>
      </c>
      <c r="EQ128" s="29">
        <f t="shared" ca="1" si="483"/>
        <v>0</v>
      </c>
      <c r="ER128" s="88">
        <f t="shared" ca="1" si="484"/>
        <v>0</v>
      </c>
      <c r="ES128" s="24"/>
      <c r="ET128" s="24"/>
      <c r="EU128" s="24"/>
      <c r="EV128" s="29">
        <f t="shared" si="485"/>
        <v>0</v>
      </c>
      <c r="EW128" s="29">
        <f t="shared" si="486"/>
        <v>0</v>
      </c>
      <c r="EX128" s="29">
        <f t="shared" si="487"/>
        <v>0</v>
      </c>
      <c r="EY128" s="29">
        <f t="shared" si="488"/>
        <v>0</v>
      </c>
      <c r="EZ128" s="29">
        <f t="shared" si="489"/>
        <v>0</v>
      </c>
      <c r="FA128" s="29">
        <f t="shared" si="490"/>
        <v>0</v>
      </c>
      <c r="FB128" s="381">
        <f t="shared" si="491"/>
        <v>0</v>
      </c>
      <c r="FC128" s="1"/>
      <c r="FD128" s="29">
        <f t="shared" si="492"/>
        <v>0</v>
      </c>
      <c r="FE128" s="29">
        <f t="shared" si="493"/>
        <v>0</v>
      </c>
      <c r="FF128" s="29">
        <f t="shared" si="494"/>
        <v>0</v>
      </c>
      <c r="FG128" s="29">
        <f t="shared" si="495"/>
        <v>0</v>
      </c>
      <c r="FH128" s="29">
        <f t="shared" si="496"/>
        <v>0</v>
      </c>
      <c r="FI128" s="29">
        <f t="shared" si="497"/>
        <v>0</v>
      </c>
      <c r="FJ128" s="48">
        <f t="shared" si="498"/>
        <v>0</v>
      </c>
      <c r="FL128" s="29">
        <f t="shared" si="499"/>
        <v>0</v>
      </c>
      <c r="FM128" s="29">
        <f t="shared" si="500"/>
        <v>0</v>
      </c>
      <c r="FN128" s="29">
        <f t="shared" si="501"/>
        <v>0</v>
      </c>
      <c r="FO128" s="29">
        <f t="shared" si="502"/>
        <v>0</v>
      </c>
      <c r="FP128" s="29">
        <f t="shared" si="503"/>
        <v>0</v>
      </c>
      <c r="FQ128" s="29">
        <f t="shared" si="504"/>
        <v>0</v>
      </c>
      <c r="FR128" s="209">
        <f t="shared" si="505"/>
        <v>0</v>
      </c>
      <c r="FT128" s="29">
        <f t="shared" si="506"/>
        <v>0</v>
      </c>
      <c r="FU128" s="29">
        <f t="shared" si="507"/>
        <v>0</v>
      </c>
      <c r="FV128" s="29">
        <f t="shared" si="508"/>
        <v>0</v>
      </c>
      <c r="FW128" s="29">
        <f t="shared" si="509"/>
        <v>0</v>
      </c>
      <c r="FX128" s="29">
        <f t="shared" si="510"/>
        <v>0</v>
      </c>
      <c r="FY128" s="29">
        <f t="shared" si="511"/>
        <v>0</v>
      </c>
      <c r="FZ128" s="181">
        <f t="shared" si="512"/>
        <v>0</v>
      </c>
      <c r="GB128" s="29">
        <f t="shared" si="513"/>
        <v>0</v>
      </c>
      <c r="GC128" s="29">
        <f t="shared" si="514"/>
        <v>0</v>
      </c>
      <c r="GD128" s="29">
        <f t="shared" si="515"/>
        <v>0</v>
      </c>
      <c r="GE128" s="29">
        <f t="shared" si="516"/>
        <v>0</v>
      </c>
      <c r="GF128" s="29">
        <f t="shared" si="517"/>
        <v>0</v>
      </c>
      <c r="GG128" s="29">
        <f t="shared" si="518"/>
        <v>0</v>
      </c>
      <c r="GH128" s="153">
        <f t="shared" si="519"/>
        <v>0</v>
      </c>
      <c r="GJ128" s="29">
        <f t="shared" si="520"/>
        <v>0</v>
      </c>
      <c r="GK128" s="29">
        <f t="shared" si="521"/>
        <v>0</v>
      </c>
      <c r="GL128" s="29">
        <f t="shared" si="522"/>
        <v>0</v>
      </c>
      <c r="GM128" s="29">
        <f t="shared" si="523"/>
        <v>0</v>
      </c>
      <c r="GN128" s="29">
        <f t="shared" si="524"/>
        <v>0</v>
      </c>
      <c r="GO128" s="29">
        <f t="shared" si="525"/>
        <v>0</v>
      </c>
      <c r="GP128" s="195">
        <f t="shared" si="526"/>
        <v>0</v>
      </c>
      <c r="GR128" s="29"/>
      <c r="GS128" s="29"/>
      <c r="GT128" s="29"/>
      <c r="GU128" s="29"/>
      <c r="GV128" s="29"/>
      <c r="GW128" s="29"/>
      <c r="GX128" s="1105">
        <f t="shared" si="527"/>
        <v>0</v>
      </c>
      <c r="GZ128" s="575">
        <f t="shared" si="528"/>
        <v>0</v>
      </c>
      <c r="HA128" s="575">
        <f t="shared" si="529"/>
        <v>0</v>
      </c>
      <c r="HB128" s="575">
        <f t="shared" si="530"/>
        <v>0</v>
      </c>
      <c r="HC128" s="575">
        <f t="shared" si="531"/>
        <v>0</v>
      </c>
      <c r="HD128" s="575">
        <f t="shared" si="532"/>
        <v>0</v>
      </c>
      <c r="HE128" s="575">
        <f t="shared" si="533"/>
        <v>0</v>
      </c>
      <c r="HF128" s="991">
        <f t="shared" si="534"/>
        <v>0</v>
      </c>
      <c r="HG128" s="573">
        <f t="shared" ca="1" si="535"/>
        <v>0</v>
      </c>
      <c r="HH128" s="257"/>
    </row>
    <row r="129" spans="1:216" ht="15" hidden="1" customHeight="1" x14ac:dyDescent="0.25">
      <c r="A129" s="25"/>
      <c r="B129" s="348">
        <f>'Calc - GRAD ASST'!C326</f>
        <v>0</v>
      </c>
      <c r="C129" s="57" t="str">
        <f>'Calc - GRAD ASST'!A325</f>
        <v>GA #12 / Sponsor Funds</v>
      </c>
      <c r="D129" s="29">
        <f ca="1">'Calc - GRAD ASST'!$M$330</f>
        <v>0</v>
      </c>
      <c r="E129" s="29">
        <f ca="1">'Calc - GRAD ASST'!$M$331</f>
        <v>0</v>
      </c>
      <c r="F129" s="29">
        <f ca="1">'Calc - GRAD ASST'!$M$332</f>
        <v>0</v>
      </c>
      <c r="G129" s="29">
        <f ca="1">'Calc - GRAD ASST'!$M$333</f>
        <v>0</v>
      </c>
      <c r="H129" s="29">
        <f ca="1">'Calc - GRAD ASST'!$M$334</f>
        <v>0</v>
      </c>
      <c r="I129" s="29">
        <f ca="1">'Calc - GRAD ASST'!$M$335</f>
        <v>0</v>
      </c>
      <c r="J129" s="88">
        <f t="shared" ca="1" si="457"/>
        <v>0</v>
      </c>
      <c r="K129" s="24"/>
      <c r="L129" s="24"/>
      <c r="M129" s="24"/>
      <c r="N129" s="29"/>
      <c r="O129" s="29"/>
      <c r="P129" s="29"/>
      <c r="Q129" s="29"/>
      <c r="R129" s="29"/>
      <c r="S129" s="29"/>
      <c r="T129" s="167">
        <f t="shared" si="458"/>
        <v>0</v>
      </c>
      <c r="U129" s="1"/>
      <c r="V129" s="29"/>
      <c r="W129" s="29"/>
      <c r="X129" s="29"/>
      <c r="Y129" s="29"/>
      <c r="Z129" s="29"/>
      <c r="AA129" s="29"/>
      <c r="AB129" s="48">
        <f t="shared" si="459"/>
        <v>0</v>
      </c>
      <c r="AD129" s="29"/>
      <c r="AE129" s="29"/>
      <c r="AF129" s="29"/>
      <c r="AG129" s="29"/>
      <c r="AH129" s="29"/>
      <c r="AI129" s="29"/>
      <c r="AJ129" s="209">
        <f t="shared" si="460"/>
        <v>0</v>
      </c>
      <c r="AL129" s="29"/>
      <c r="AM129" s="29"/>
      <c r="AN129" s="29"/>
      <c r="AO129" s="29"/>
      <c r="AP129" s="29"/>
      <c r="AQ129" s="29"/>
      <c r="AR129" s="181">
        <f t="shared" si="461"/>
        <v>0</v>
      </c>
      <c r="AT129" s="29"/>
      <c r="AU129" s="29"/>
      <c r="AV129" s="29"/>
      <c r="AW129" s="29"/>
      <c r="AX129" s="29"/>
      <c r="AY129" s="29"/>
      <c r="AZ129" s="153">
        <f t="shared" si="462"/>
        <v>0</v>
      </c>
      <c r="BB129" s="29"/>
      <c r="BC129" s="29"/>
      <c r="BD129" s="29"/>
      <c r="BE129" s="29"/>
      <c r="BF129" s="29"/>
      <c r="BG129" s="29"/>
      <c r="BH129" s="195">
        <f t="shared" si="463"/>
        <v>0</v>
      </c>
      <c r="BJ129" s="29"/>
      <c r="BK129" s="29"/>
      <c r="BL129" s="29"/>
      <c r="BM129" s="29"/>
      <c r="BN129" s="29"/>
      <c r="BO129" s="29"/>
      <c r="BP129" s="1105">
        <f t="shared" si="464"/>
        <v>0</v>
      </c>
      <c r="BR129" s="575">
        <f t="shared" si="465"/>
        <v>0</v>
      </c>
      <c r="BS129" s="575">
        <f t="shared" si="466"/>
        <v>0</v>
      </c>
      <c r="BT129" s="575">
        <f t="shared" si="467"/>
        <v>0</v>
      </c>
      <c r="BU129" s="575">
        <f t="shared" si="468"/>
        <v>0</v>
      </c>
      <c r="BV129" s="575">
        <f t="shared" si="469"/>
        <v>0</v>
      </c>
      <c r="BW129" s="575">
        <f t="shared" si="470"/>
        <v>0</v>
      </c>
      <c r="BX129" s="991">
        <f t="shared" si="471"/>
        <v>0</v>
      </c>
      <c r="BY129" s="573">
        <f t="shared" ca="1" si="472"/>
        <v>0</v>
      </c>
      <c r="BZ129" s="257"/>
      <c r="CB129" s="1646">
        <f ca="1">'Calc - GRAD ASST'!$M$330</f>
        <v>0</v>
      </c>
      <c r="CC129" s="1269">
        <f ca="1">'Calc - GRAD ASST'!$M$331/12*3</f>
        <v>0</v>
      </c>
      <c r="CD129" s="1269">
        <f ca="1">'Calc - GRAD ASST'!$M$331/12*3</f>
        <v>0</v>
      </c>
      <c r="CE129" s="1269">
        <f ca="1">'Calc - GRAD ASST'!$M$331/12*2</f>
        <v>0</v>
      </c>
      <c r="CF129" s="1269">
        <f ca="1">'Calc - GRAD ASST'!$M$331/12*1</f>
        <v>0</v>
      </c>
      <c r="CG129" s="1269">
        <f ca="1">'Calc - GRAD ASST'!$M$331/12*3</f>
        <v>0</v>
      </c>
      <c r="CH129" s="1272">
        <f ca="1">'Calc - GRAD ASST'!$M$332/12*3</f>
        <v>0</v>
      </c>
      <c r="CI129" s="1272">
        <f ca="1">'Calc - GRAD ASST'!$M$332/12*3</f>
        <v>0</v>
      </c>
      <c r="CJ129" s="1272">
        <f ca="1">'Calc - GRAD ASST'!$M$332/12*2</f>
        <v>0</v>
      </c>
      <c r="CK129" s="1272">
        <f ca="1">'Calc - GRAD ASST'!$M$332/12*1</f>
        <v>0</v>
      </c>
      <c r="CL129" s="1272">
        <f ca="1">'Calc - GRAD ASST'!$M$332/12*3</f>
        <v>0</v>
      </c>
      <c r="CM129" s="1275">
        <f ca="1">'Calc - GRAD ASST'!$M$333/8*3</f>
        <v>0</v>
      </c>
      <c r="CN129" s="1275">
        <f ca="1">'Calc - GRAD ASST'!$M$333/8*3</f>
        <v>0</v>
      </c>
      <c r="CO129" s="1275">
        <f ca="1">'Calc - GRAD ASST'!$M$333/8*2</f>
        <v>0</v>
      </c>
      <c r="CP129" s="88">
        <f t="shared" ca="1" si="536"/>
        <v>0</v>
      </c>
      <c r="CS129" s="575"/>
      <c r="CT129" s="5"/>
      <c r="CU129" s="1180"/>
      <c r="CV129" s="575"/>
      <c r="CW129" s="5"/>
      <c r="CX129" s="1249"/>
      <c r="CY129" s="575"/>
      <c r="CZ129" s="5"/>
      <c r="DA129" s="1180"/>
      <c r="DB129" s="575"/>
      <c r="DC129" s="5"/>
      <c r="DD129" s="1180"/>
      <c r="DE129" s="1181">
        <f t="shared" si="473"/>
        <v>0</v>
      </c>
      <c r="DG129" s="575"/>
      <c r="DH129" s="5"/>
      <c r="DI129" s="1180"/>
      <c r="DJ129" s="575"/>
      <c r="DK129" s="5"/>
      <c r="DL129" s="1249"/>
      <c r="DM129" s="575"/>
      <c r="DN129" s="5"/>
      <c r="DO129" s="1180"/>
      <c r="DP129" s="575"/>
      <c r="DQ129" s="5"/>
      <c r="DR129" s="1180"/>
      <c r="DS129" s="1181">
        <f t="shared" si="474"/>
        <v>0</v>
      </c>
      <c r="DU129" s="575"/>
      <c r="DV129" s="5"/>
      <c r="DW129" s="1180"/>
      <c r="DX129" s="575"/>
      <c r="DY129" s="5"/>
      <c r="DZ129" s="1249"/>
      <c r="EA129" s="575"/>
      <c r="EB129" s="5"/>
      <c r="EC129" s="1180"/>
      <c r="ED129" s="575"/>
      <c r="EE129" s="5"/>
      <c r="EF129" s="1180"/>
      <c r="EG129" s="1181">
        <f t="shared" si="475"/>
        <v>0</v>
      </c>
      <c r="EI129" s="25"/>
      <c r="EJ129" s="348">
        <f t="shared" si="476"/>
        <v>0</v>
      </c>
      <c r="EK129" s="57" t="str">
        <f t="shared" si="477"/>
        <v>GA #12 / Sponsor Funds</v>
      </c>
      <c r="EL129" s="29">
        <f t="shared" ca="1" si="478"/>
        <v>0</v>
      </c>
      <c r="EM129" s="29">
        <f t="shared" ca="1" si="479"/>
        <v>0</v>
      </c>
      <c r="EN129" s="29">
        <f t="shared" ca="1" si="480"/>
        <v>0</v>
      </c>
      <c r="EO129" s="29">
        <f t="shared" ca="1" si="481"/>
        <v>0</v>
      </c>
      <c r="EP129" s="29">
        <f t="shared" ca="1" si="482"/>
        <v>0</v>
      </c>
      <c r="EQ129" s="29">
        <f t="shared" ca="1" si="483"/>
        <v>0</v>
      </c>
      <c r="ER129" s="88">
        <f t="shared" ca="1" si="484"/>
        <v>0</v>
      </c>
      <c r="ES129" s="24"/>
      <c r="ET129" s="24"/>
      <c r="EU129" s="24"/>
      <c r="EV129" s="29">
        <f t="shared" si="485"/>
        <v>0</v>
      </c>
      <c r="EW129" s="29">
        <f t="shared" si="486"/>
        <v>0</v>
      </c>
      <c r="EX129" s="29">
        <f t="shared" si="487"/>
        <v>0</v>
      </c>
      <c r="EY129" s="29">
        <f t="shared" si="488"/>
        <v>0</v>
      </c>
      <c r="EZ129" s="29">
        <f t="shared" si="489"/>
        <v>0</v>
      </c>
      <c r="FA129" s="29">
        <f t="shared" si="490"/>
        <v>0</v>
      </c>
      <c r="FB129" s="167">
        <f t="shared" si="491"/>
        <v>0</v>
      </c>
      <c r="FC129" s="1"/>
      <c r="FD129" s="29">
        <f t="shared" si="492"/>
        <v>0</v>
      </c>
      <c r="FE129" s="29">
        <f t="shared" si="493"/>
        <v>0</v>
      </c>
      <c r="FF129" s="29">
        <f t="shared" si="494"/>
        <v>0</v>
      </c>
      <c r="FG129" s="29">
        <f t="shared" si="495"/>
        <v>0</v>
      </c>
      <c r="FH129" s="29">
        <f t="shared" si="496"/>
        <v>0</v>
      </c>
      <c r="FI129" s="29">
        <f t="shared" si="497"/>
        <v>0</v>
      </c>
      <c r="FJ129" s="48">
        <f t="shared" si="498"/>
        <v>0</v>
      </c>
      <c r="FL129" s="29">
        <f t="shared" si="499"/>
        <v>0</v>
      </c>
      <c r="FM129" s="29">
        <f t="shared" si="500"/>
        <v>0</v>
      </c>
      <c r="FN129" s="29">
        <f t="shared" si="501"/>
        <v>0</v>
      </c>
      <c r="FO129" s="29">
        <f t="shared" si="502"/>
        <v>0</v>
      </c>
      <c r="FP129" s="29">
        <f t="shared" si="503"/>
        <v>0</v>
      </c>
      <c r="FQ129" s="29">
        <f t="shared" si="504"/>
        <v>0</v>
      </c>
      <c r="FR129" s="209">
        <f t="shared" si="505"/>
        <v>0</v>
      </c>
      <c r="FT129" s="29">
        <f t="shared" si="506"/>
        <v>0</v>
      </c>
      <c r="FU129" s="29">
        <f t="shared" si="507"/>
        <v>0</v>
      </c>
      <c r="FV129" s="29">
        <f t="shared" si="508"/>
        <v>0</v>
      </c>
      <c r="FW129" s="29">
        <f t="shared" si="509"/>
        <v>0</v>
      </c>
      <c r="FX129" s="29">
        <f t="shared" si="510"/>
        <v>0</v>
      </c>
      <c r="FY129" s="29">
        <f t="shared" si="511"/>
        <v>0</v>
      </c>
      <c r="FZ129" s="181">
        <f t="shared" si="512"/>
        <v>0</v>
      </c>
      <c r="GB129" s="29">
        <f t="shared" si="513"/>
        <v>0</v>
      </c>
      <c r="GC129" s="29">
        <f t="shared" si="514"/>
        <v>0</v>
      </c>
      <c r="GD129" s="29">
        <f t="shared" si="515"/>
        <v>0</v>
      </c>
      <c r="GE129" s="29">
        <f t="shared" si="516"/>
        <v>0</v>
      </c>
      <c r="GF129" s="29">
        <f t="shared" si="517"/>
        <v>0</v>
      </c>
      <c r="GG129" s="29">
        <f t="shared" si="518"/>
        <v>0</v>
      </c>
      <c r="GH129" s="153">
        <f t="shared" si="519"/>
        <v>0</v>
      </c>
      <c r="GJ129" s="29">
        <f t="shared" si="520"/>
        <v>0</v>
      </c>
      <c r="GK129" s="29">
        <f t="shared" si="521"/>
        <v>0</v>
      </c>
      <c r="GL129" s="29">
        <f t="shared" si="522"/>
        <v>0</v>
      </c>
      <c r="GM129" s="29">
        <f t="shared" si="523"/>
        <v>0</v>
      </c>
      <c r="GN129" s="29">
        <f t="shared" si="524"/>
        <v>0</v>
      </c>
      <c r="GO129" s="29">
        <f t="shared" si="525"/>
        <v>0</v>
      </c>
      <c r="GP129" s="195">
        <f t="shared" si="526"/>
        <v>0</v>
      </c>
      <c r="GR129" s="29"/>
      <c r="GS129" s="29"/>
      <c r="GT129" s="29"/>
      <c r="GU129" s="29"/>
      <c r="GV129" s="29"/>
      <c r="GW129" s="29"/>
      <c r="GX129" s="1105">
        <f t="shared" si="527"/>
        <v>0</v>
      </c>
      <c r="GZ129" s="575">
        <f t="shared" si="528"/>
        <v>0</v>
      </c>
      <c r="HA129" s="575">
        <f t="shared" si="529"/>
        <v>0</v>
      </c>
      <c r="HB129" s="575">
        <f t="shared" si="530"/>
        <v>0</v>
      </c>
      <c r="HC129" s="575">
        <f t="shared" si="531"/>
        <v>0</v>
      </c>
      <c r="HD129" s="575">
        <f t="shared" si="532"/>
        <v>0</v>
      </c>
      <c r="HE129" s="575">
        <f t="shared" si="533"/>
        <v>0</v>
      </c>
      <c r="HF129" s="991">
        <f t="shared" si="534"/>
        <v>0</v>
      </c>
      <c r="HG129" s="573">
        <f t="shared" ca="1" si="535"/>
        <v>0</v>
      </c>
      <c r="HH129" s="257"/>
    </row>
    <row r="130" spans="1:216" ht="15" hidden="1" customHeight="1" x14ac:dyDescent="0.25">
      <c r="A130" s="25"/>
      <c r="B130" s="348">
        <f>'Calc - GRAD ASST'!C355</f>
        <v>0</v>
      </c>
      <c r="C130" s="57" t="str">
        <f>'Calc - GRAD ASST'!A354</f>
        <v>GA #13 / Sponsor Funds</v>
      </c>
      <c r="D130" s="29">
        <f ca="1">'Calc - GRAD ASST'!$M$359</f>
        <v>0</v>
      </c>
      <c r="E130" s="29">
        <f ca="1">'Calc - GRAD ASST'!$M$360</f>
        <v>0</v>
      </c>
      <c r="F130" s="29">
        <f ca="1">'Calc - GRAD ASST'!$M$361</f>
        <v>0</v>
      </c>
      <c r="G130" s="29">
        <f ca="1">'Calc - GRAD ASST'!$M$362</f>
        <v>0</v>
      </c>
      <c r="H130" s="29">
        <f ca="1">'Calc - GRAD ASST'!$M$363</f>
        <v>0</v>
      </c>
      <c r="I130" s="29">
        <f ca="1">'Calc - GRAD ASST'!$M$364</f>
        <v>0</v>
      </c>
      <c r="J130" s="88">
        <f t="shared" ca="1" si="457"/>
        <v>0</v>
      </c>
      <c r="K130" s="24"/>
      <c r="L130" s="24"/>
      <c r="M130" s="24"/>
      <c r="N130" s="29"/>
      <c r="O130" s="29"/>
      <c r="P130" s="29"/>
      <c r="Q130" s="29"/>
      <c r="R130" s="29"/>
      <c r="S130" s="29"/>
      <c r="T130" s="167">
        <f t="shared" si="458"/>
        <v>0</v>
      </c>
      <c r="U130" s="1"/>
      <c r="V130" s="29"/>
      <c r="W130" s="29"/>
      <c r="X130" s="29"/>
      <c r="Y130" s="29"/>
      <c r="Z130" s="29"/>
      <c r="AA130" s="29"/>
      <c r="AB130" s="48">
        <f t="shared" si="459"/>
        <v>0</v>
      </c>
      <c r="AD130" s="29"/>
      <c r="AE130" s="29"/>
      <c r="AF130" s="29"/>
      <c r="AG130" s="29"/>
      <c r="AH130" s="29"/>
      <c r="AI130" s="29"/>
      <c r="AJ130" s="209">
        <f t="shared" si="460"/>
        <v>0</v>
      </c>
      <c r="AL130" s="29"/>
      <c r="AM130" s="29"/>
      <c r="AN130" s="29"/>
      <c r="AO130" s="29"/>
      <c r="AP130" s="29"/>
      <c r="AQ130" s="29"/>
      <c r="AR130" s="181">
        <f t="shared" si="461"/>
        <v>0</v>
      </c>
      <c r="AT130" s="29"/>
      <c r="AU130" s="29"/>
      <c r="AV130" s="29"/>
      <c r="AW130" s="29"/>
      <c r="AX130" s="29"/>
      <c r="AY130" s="29"/>
      <c r="AZ130" s="153">
        <f t="shared" si="462"/>
        <v>0</v>
      </c>
      <c r="BB130" s="29"/>
      <c r="BC130" s="29"/>
      <c r="BD130" s="29"/>
      <c r="BE130" s="29"/>
      <c r="BF130" s="29"/>
      <c r="BG130" s="29"/>
      <c r="BH130" s="195">
        <f t="shared" si="463"/>
        <v>0</v>
      </c>
      <c r="BJ130" s="29"/>
      <c r="BK130" s="29"/>
      <c r="BL130" s="29"/>
      <c r="BM130" s="29"/>
      <c r="BN130" s="29"/>
      <c r="BO130" s="29"/>
      <c r="BP130" s="1105">
        <f t="shared" si="464"/>
        <v>0</v>
      </c>
      <c r="BR130" s="575">
        <f t="shared" si="465"/>
        <v>0</v>
      </c>
      <c r="BS130" s="575">
        <f t="shared" si="466"/>
        <v>0</v>
      </c>
      <c r="BT130" s="575">
        <f t="shared" si="467"/>
        <v>0</v>
      </c>
      <c r="BU130" s="575">
        <f t="shared" si="468"/>
        <v>0</v>
      </c>
      <c r="BV130" s="575">
        <f t="shared" si="469"/>
        <v>0</v>
      </c>
      <c r="BW130" s="575">
        <f t="shared" si="470"/>
        <v>0</v>
      </c>
      <c r="BX130" s="991">
        <f t="shared" si="471"/>
        <v>0</v>
      </c>
      <c r="BY130" s="573">
        <f t="shared" ca="1" si="472"/>
        <v>0</v>
      </c>
      <c r="BZ130" s="257"/>
      <c r="CB130" s="1646">
        <f ca="1">'Calc - GRAD ASST'!$M$359</f>
        <v>0</v>
      </c>
      <c r="CC130" s="1269">
        <f ca="1">'Calc - GRAD ASST'!$M$360/12*3</f>
        <v>0</v>
      </c>
      <c r="CD130" s="1269">
        <f ca="1">'Calc - GRAD ASST'!$M$360/12*3</f>
        <v>0</v>
      </c>
      <c r="CE130" s="1269">
        <f ca="1">'Calc - GRAD ASST'!$M$360/12*2</f>
        <v>0</v>
      </c>
      <c r="CF130" s="1269">
        <f ca="1">'Calc - GRAD ASST'!$M$360/12*1</f>
        <v>0</v>
      </c>
      <c r="CG130" s="1269">
        <f ca="1">'Calc - GRAD ASST'!$M$360/12*3</f>
        <v>0</v>
      </c>
      <c r="CH130" s="1272">
        <f ca="1">'Calc - GRAD ASST'!$M$361/12*3</f>
        <v>0</v>
      </c>
      <c r="CI130" s="1272">
        <f ca="1">'Calc - GRAD ASST'!$M$361/12*3</f>
        <v>0</v>
      </c>
      <c r="CJ130" s="1272">
        <f ca="1">'Calc - GRAD ASST'!$M$361/12*2</f>
        <v>0</v>
      </c>
      <c r="CK130" s="1272">
        <f ca="1">'Calc - GRAD ASST'!$M$361/12*1</f>
        <v>0</v>
      </c>
      <c r="CL130" s="1272">
        <f ca="1">'Calc - GRAD ASST'!$M$361/12*3</f>
        <v>0</v>
      </c>
      <c r="CM130" s="1275">
        <f ca="1">'Calc - GRAD ASST'!$M$362/8*3</f>
        <v>0</v>
      </c>
      <c r="CN130" s="1275">
        <f ca="1">'Calc - GRAD ASST'!$M$362/8*3</f>
        <v>0</v>
      </c>
      <c r="CO130" s="1275">
        <f ca="1">'Calc - GRAD ASST'!$M$362/8*2</f>
        <v>0</v>
      </c>
      <c r="CP130" s="88">
        <f t="shared" ca="1" si="536"/>
        <v>0</v>
      </c>
      <c r="CS130" s="575"/>
      <c r="CT130" s="5"/>
      <c r="CU130" s="1180"/>
      <c r="CV130" s="575"/>
      <c r="CW130" s="5"/>
      <c r="CX130" s="1249"/>
      <c r="CY130" s="575"/>
      <c r="CZ130" s="5"/>
      <c r="DA130" s="1180"/>
      <c r="DB130" s="575"/>
      <c r="DC130" s="5"/>
      <c r="DD130" s="1180"/>
      <c r="DE130" s="1181">
        <f t="shared" si="473"/>
        <v>0</v>
      </c>
      <c r="DG130" s="575"/>
      <c r="DH130" s="5"/>
      <c r="DI130" s="1180"/>
      <c r="DJ130" s="575"/>
      <c r="DK130" s="5"/>
      <c r="DL130" s="1249"/>
      <c r="DM130" s="575"/>
      <c r="DN130" s="5"/>
      <c r="DO130" s="1180"/>
      <c r="DP130" s="575"/>
      <c r="DQ130" s="5"/>
      <c r="DR130" s="1180"/>
      <c r="DS130" s="1181">
        <f t="shared" si="474"/>
        <v>0</v>
      </c>
      <c r="DU130" s="575"/>
      <c r="DV130" s="5"/>
      <c r="DW130" s="1180"/>
      <c r="DX130" s="575"/>
      <c r="DY130" s="5"/>
      <c r="DZ130" s="1249"/>
      <c r="EA130" s="575"/>
      <c r="EB130" s="5"/>
      <c r="EC130" s="1180"/>
      <c r="ED130" s="575"/>
      <c r="EE130" s="5"/>
      <c r="EF130" s="1180"/>
      <c r="EG130" s="1181">
        <f t="shared" si="475"/>
        <v>0</v>
      </c>
      <c r="EI130" s="25"/>
      <c r="EJ130" s="348">
        <f t="shared" si="476"/>
        <v>0</v>
      </c>
      <c r="EK130" s="57" t="str">
        <f t="shared" si="477"/>
        <v>GA #13 / Sponsor Funds</v>
      </c>
      <c r="EL130" s="29">
        <f t="shared" ca="1" si="478"/>
        <v>0</v>
      </c>
      <c r="EM130" s="29">
        <f t="shared" ca="1" si="479"/>
        <v>0</v>
      </c>
      <c r="EN130" s="29">
        <f t="shared" ca="1" si="480"/>
        <v>0</v>
      </c>
      <c r="EO130" s="29">
        <f t="shared" ca="1" si="481"/>
        <v>0</v>
      </c>
      <c r="EP130" s="29">
        <f t="shared" ca="1" si="482"/>
        <v>0</v>
      </c>
      <c r="EQ130" s="29">
        <f t="shared" ca="1" si="483"/>
        <v>0</v>
      </c>
      <c r="ER130" s="88">
        <f t="shared" ca="1" si="484"/>
        <v>0</v>
      </c>
      <c r="ES130" s="24"/>
      <c r="ET130" s="24"/>
      <c r="EU130" s="24"/>
      <c r="EV130" s="29">
        <f t="shared" si="485"/>
        <v>0</v>
      </c>
      <c r="EW130" s="29">
        <f t="shared" si="486"/>
        <v>0</v>
      </c>
      <c r="EX130" s="29">
        <f t="shared" si="487"/>
        <v>0</v>
      </c>
      <c r="EY130" s="29">
        <f t="shared" si="488"/>
        <v>0</v>
      </c>
      <c r="EZ130" s="29">
        <f t="shared" si="489"/>
        <v>0</v>
      </c>
      <c r="FA130" s="29">
        <f t="shared" si="490"/>
        <v>0</v>
      </c>
      <c r="FB130" s="167">
        <f t="shared" si="491"/>
        <v>0</v>
      </c>
      <c r="FC130" s="1"/>
      <c r="FD130" s="29">
        <f t="shared" si="492"/>
        <v>0</v>
      </c>
      <c r="FE130" s="29">
        <f t="shared" si="493"/>
        <v>0</v>
      </c>
      <c r="FF130" s="29">
        <f t="shared" si="494"/>
        <v>0</v>
      </c>
      <c r="FG130" s="29">
        <f t="shared" si="495"/>
        <v>0</v>
      </c>
      <c r="FH130" s="29">
        <f t="shared" si="496"/>
        <v>0</v>
      </c>
      <c r="FI130" s="29">
        <f t="shared" si="497"/>
        <v>0</v>
      </c>
      <c r="FJ130" s="48">
        <f t="shared" si="498"/>
        <v>0</v>
      </c>
      <c r="FL130" s="29">
        <f t="shared" si="499"/>
        <v>0</v>
      </c>
      <c r="FM130" s="29">
        <f t="shared" si="500"/>
        <v>0</v>
      </c>
      <c r="FN130" s="29">
        <f t="shared" si="501"/>
        <v>0</v>
      </c>
      <c r="FO130" s="29">
        <f t="shared" si="502"/>
        <v>0</v>
      </c>
      <c r="FP130" s="29">
        <f t="shared" si="503"/>
        <v>0</v>
      </c>
      <c r="FQ130" s="29">
        <f t="shared" si="504"/>
        <v>0</v>
      </c>
      <c r="FR130" s="209">
        <f t="shared" si="505"/>
        <v>0</v>
      </c>
      <c r="FT130" s="29">
        <f t="shared" si="506"/>
        <v>0</v>
      </c>
      <c r="FU130" s="29">
        <f t="shared" si="507"/>
        <v>0</v>
      </c>
      <c r="FV130" s="29">
        <f t="shared" si="508"/>
        <v>0</v>
      </c>
      <c r="FW130" s="29">
        <f t="shared" si="509"/>
        <v>0</v>
      </c>
      <c r="FX130" s="29">
        <f t="shared" si="510"/>
        <v>0</v>
      </c>
      <c r="FY130" s="29">
        <f t="shared" si="511"/>
        <v>0</v>
      </c>
      <c r="FZ130" s="181">
        <f t="shared" si="512"/>
        <v>0</v>
      </c>
      <c r="GB130" s="29">
        <f t="shared" si="513"/>
        <v>0</v>
      </c>
      <c r="GC130" s="29">
        <f t="shared" si="514"/>
        <v>0</v>
      </c>
      <c r="GD130" s="29">
        <f t="shared" si="515"/>
        <v>0</v>
      </c>
      <c r="GE130" s="29">
        <f t="shared" si="516"/>
        <v>0</v>
      </c>
      <c r="GF130" s="29">
        <f t="shared" si="517"/>
        <v>0</v>
      </c>
      <c r="GG130" s="29">
        <f t="shared" si="518"/>
        <v>0</v>
      </c>
      <c r="GH130" s="153">
        <f t="shared" si="519"/>
        <v>0</v>
      </c>
      <c r="GJ130" s="29">
        <f t="shared" si="520"/>
        <v>0</v>
      </c>
      <c r="GK130" s="29">
        <f t="shared" si="521"/>
        <v>0</v>
      </c>
      <c r="GL130" s="29">
        <f t="shared" si="522"/>
        <v>0</v>
      </c>
      <c r="GM130" s="29">
        <f t="shared" si="523"/>
        <v>0</v>
      </c>
      <c r="GN130" s="29">
        <f t="shared" si="524"/>
        <v>0</v>
      </c>
      <c r="GO130" s="29">
        <f t="shared" si="525"/>
        <v>0</v>
      </c>
      <c r="GP130" s="195">
        <f t="shared" si="526"/>
        <v>0</v>
      </c>
      <c r="GR130" s="29"/>
      <c r="GS130" s="29"/>
      <c r="GT130" s="29"/>
      <c r="GU130" s="29"/>
      <c r="GV130" s="29"/>
      <c r="GW130" s="29"/>
      <c r="GX130" s="1105">
        <f t="shared" si="527"/>
        <v>0</v>
      </c>
      <c r="GZ130" s="575">
        <f t="shared" si="528"/>
        <v>0</v>
      </c>
      <c r="HA130" s="575">
        <f t="shared" si="529"/>
        <v>0</v>
      </c>
      <c r="HB130" s="575">
        <f t="shared" si="530"/>
        <v>0</v>
      </c>
      <c r="HC130" s="575">
        <f t="shared" si="531"/>
        <v>0</v>
      </c>
      <c r="HD130" s="575">
        <f t="shared" si="532"/>
        <v>0</v>
      </c>
      <c r="HE130" s="575">
        <f t="shared" si="533"/>
        <v>0</v>
      </c>
      <c r="HF130" s="991">
        <f t="shared" si="534"/>
        <v>0</v>
      </c>
      <c r="HG130" s="573">
        <f t="shared" ca="1" si="535"/>
        <v>0</v>
      </c>
      <c r="HH130" s="257"/>
    </row>
    <row r="131" spans="1:216" ht="15" hidden="1" customHeight="1" x14ac:dyDescent="0.25">
      <c r="A131" s="25"/>
      <c r="B131" s="348">
        <f>'Calc - GRAD ASST'!C384</f>
        <v>0</v>
      </c>
      <c r="C131" s="57" t="str">
        <f>'Calc - GRAD ASST'!A383</f>
        <v>GA #14 / Sponsor Funds</v>
      </c>
      <c r="D131" s="29">
        <f ca="1">'Calc - GRAD ASST'!$M$388</f>
        <v>0</v>
      </c>
      <c r="E131" s="29">
        <f ca="1">'Calc - GRAD ASST'!$M$389</f>
        <v>0</v>
      </c>
      <c r="F131" s="29">
        <f ca="1">'Calc - GRAD ASST'!$M$390</f>
        <v>0</v>
      </c>
      <c r="G131" s="29">
        <f ca="1">'Calc - GRAD ASST'!$M$391</f>
        <v>0</v>
      </c>
      <c r="H131" s="29">
        <f ca="1">'Calc - GRAD ASST'!$M$392</f>
        <v>0</v>
      </c>
      <c r="I131" s="29">
        <f ca="1">'Calc - GRAD ASST'!$M$393</f>
        <v>0</v>
      </c>
      <c r="J131" s="88">
        <f t="shared" ca="1" si="457"/>
        <v>0</v>
      </c>
      <c r="K131" s="24"/>
      <c r="L131" s="24"/>
      <c r="M131" s="24"/>
      <c r="N131" s="29"/>
      <c r="O131" s="29"/>
      <c r="P131" s="29"/>
      <c r="Q131" s="29"/>
      <c r="R131" s="29"/>
      <c r="S131" s="29"/>
      <c r="T131" s="167">
        <f t="shared" si="458"/>
        <v>0</v>
      </c>
      <c r="U131" s="1"/>
      <c r="V131" s="29"/>
      <c r="W131" s="29"/>
      <c r="X131" s="29"/>
      <c r="Y131" s="29"/>
      <c r="Z131" s="29"/>
      <c r="AA131" s="29"/>
      <c r="AB131" s="48">
        <f t="shared" si="459"/>
        <v>0</v>
      </c>
      <c r="AD131" s="29"/>
      <c r="AE131" s="29"/>
      <c r="AF131" s="29"/>
      <c r="AG131" s="29"/>
      <c r="AH131" s="29"/>
      <c r="AI131" s="29"/>
      <c r="AJ131" s="209">
        <f t="shared" si="460"/>
        <v>0</v>
      </c>
      <c r="AL131" s="29"/>
      <c r="AM131" s="29"/>
      <c r="AN131" s="29"/>
      <c r="AO131" s="29"/>
      <c r="AP131" s="29"/>
      <c r="AQ131" s="29"/>
      <c r="AR131" s="181">
        <f t="shared" si="461"/>
        <v>0</v>
      </c>
      <c r="AT131" s="29"/>
      <c r="AU131" s="29"/>
      <c r="AV131" s="29"/>
      <c r="AW131" s="29"/>
      <c r="AX131" s="29"/>
      <c r="AY131" s="29"/>
      <c r="AZ131" s="153">
        <f t="shared" si="462"/>
        <v>0</v>
      </c>
      <c r="BB131" s="29"/>
      <c r="BC131" s="29"/>
      <c r="BD131" s="29"/>
      <c r="BE131" s="29"/>
      <c r="BF131" s="29"/>
      <c r="BG131" s="29"/>
      <c r="BH131" s="195">
        <f t="shared" si="463"/>
        <v>0</v>
      </c>
      <c r="BJ131" s="29"/>
      <c r="BK131" s="29"/>
      <c r="BL131" s="29"/>
      <c r="BM131" s="29"/>
      <c r="BN131" s="29"/>
      <c r="BO131" s="29"/>
      <c r="BP131" s="1105">
        <f t="shared" si="464"/>
        <v>0</v>
      </c>
      <c r="BR131" s="575">
        <f t="shared" si="465"/>
        <v>0</v>
      </c>
      <c r="BS131" s="575">
        <f t="shared" si="466"/>
        <v>0</v>
      </c>
      <c r="BT131" s="575">
        <f t="shared" si="467"/>
        <v>0</v>
      </c>
      <c r="BU131" s="575">
        <f t="shared" si="468"/>
        <v>0</v>
      </c>
      <c r="BV131" s="575">
        <f t="shared" si="469"/>
        <v>0</v>
      </c>
      <c r="BW131" s="575">
        <f t="shared" si="470"/>
        <v>0</v>
      </c>
      <c r="BX131" s="991">
        <f t="shared" si="471"/>
        <v>0</v>
      </c>
      <c r="BY131" s="573">
        <f t="shared" ca="1" si="472"/>
        <v>0</v>
      </c>
      <c r="BZ131" s="257"/>
      <c r="CB131" s="1646">
        <f ca="1">'Calc - GRAD ASST'!$M$388</f>
        <v>0</v>
      </c>
      <c r="CC131" s="1269">
        <f ca="1">'Calc - GRAD ASST'!$M$389/12*3</f>
        <v>0</v>
      </c>
      <c r="CD131" s="1269">
        <f ca="1">'Calc - GRAD ASST'!$M$389/12*3</f>
        <v>0</v>
      </c>
      <c r="CE131" s="1269">
        <f ca="1">'Calc - GRAD ASST'!$M$389/12*2</f>
        <v>0</v>
      </c>
      <c r="CF131" s="1269">
        <f ca="1">'Calc - GRAD ASST'!$M$389/12*1</f>
        <v>0</v>
      </c>
      <c r="CG131" s="1269">
        <f ca="1">'Calc - GRAD ASST'!$M$389/12*3</f>
        <v>0</v>
      </c>
      <c r="CH131" s="1272">
        <f ca="1">'Calc - GRAD ASST'!$M$390/12*3</f>
        <v>0</v>
      </c>
      <c r="CI131" s="1272">
        <f ca="1">'Calc - GRAD ASST'!$M$390/12*3</f>
        <v>0</v>
      </c>
      <c r="CJ131" s="1272">
        <f ca="1">'Calc - GRAD ASST'!$M$390/12*2</f>
        <v>0</v>
      </c>
      <c r="CK131" s="1272">
        <f ca="1">'Calc - GRAD ASST'!$M$390/12*1</f>
        <v>0</v>
      </c>
      <c r="CL131" s="1272">
        <f ca="1">'Calc - GRAD ASST'!$M$390/12*3</f>
        <v>0</v>
      </c>
      <c r="CM131" s="1275">
        <f ca="1">'Calc - GRAD ASST'!$M$391/8*3</f>
        <v>0</v>
      </c>
      <c r="CN131" s="1275">
        <f ca="1">'Calc - GRAD ASST'!$M$391/8*3</f>
        <v>0</v>
      </c>
      <c r="CO131" s="1275">
        <f ca="1">'Calc - GRAD ASST'!$M$391/8*2</f>
        <v>0</v>
      </c>
      <c r="CP131" s="88">
        <f t="shared" ca="1" si="536"/>
        <v>0</v>
      </c>
      <c r="CS131" s="575"/>
      <c r="CT131" s="5"/>
      <c r="CU131" s="1180"/>
      <c r="CV131" s="575"/>
      <c r="CW131" s="5"/>
      <c r="CX131" s="1249"/>
      <c r="CY131" s="575"/>
      <c r="CZ131" s="5"/>
      <c r="DA131" s="1180"/>
      <c r="DB131" s="575"/>
      <c r="DC131" s="5"/>
      <c r="DD131" s="1180"/>
      <c r="DE131" s="1181">
        <f t="shared" si="473"/>
        <v>0</v>
      </c>
      <c r="DG131" s="575"/>
      <c r="DH131" s="5"/>
      <c r="DI131" s="1180"/>
      <c r="DJ131" s="575"/>
      <c r="DK131" s="5"/>
      <c r="DL131" s="1249"/>
      <c r="DM131" s="575"/>
      <c r="DN131" s="5"/>
      <c r="DO131" s="1180"/>
      <c r="DP131" s="575"/>
      <c r="DQ131" s="5"/>
      <c r="DR131" s="1180"/>
      <c r="DS131" s="1181">
        <f t="shared" si="474"/>
        <v>0</v>
      </c>
      <c r="DU131" s="575"/>
      <c r="DV131" s="5"/>
      <c r="DW131" s="1180"/>
      <c r="DX131" s="575"/>
      <c r="DY131" s="5"/>
      <c r="DZ131" s="1249"/>
      <c r="EA131" s="575"/>
      <c r="EB131" s="5"/>
      <c r="EC131" s="1180"/>
      <c r="ED131" s="575"/>
      <c r="EE131" s="5"/>
      <c r="EF131" s="1180"/>
      <c r="EG131" s="1181">
        <f t="shared" si="475"/>
        <v>0</v>
      </c>
      <c r="EI131" s="25"/>
      <c r="EJ131" s="348">
        <f t="shared" si="476"/>
        <v>0</v>
      </c>
      <c r="EK131" s="57" t="str">
        <f t="shared" si="477"/>
        <v>GA #14 / Sponsor Funds</v>
      </c>
      <c r="EL131" s="29">
        <f t="shared" ca="1" si="478"/>
        <v>0</v>
      </c>
      <c r="EM131" s="29">
        <f t="shared" ca="1" si="479"/>
        <v>0</v>
      </c>
      <c r="EN131" s="29">
        <f t="shared" ca="1" si="480"/>
        <v>0</v>
      </c>
      <c r="EO131" s="29">
        <f t="shared" ca="1" si="481"/>
        <v>0</v>
      </c>
      <c r="EP131" s="29">
        <f t="shared" ca="1" si="482"/>
        <v>0</v>
      </c>
      <c r="EQ131" s="29">
        <f t="shared" ca="1" si="483"/>
        <v>0</v>
      </c>
      <c r="ER131" s="88">
        <f t="shared" ca="1" si="484"/>
        <v>0</v>
      </c>
      <c r="ES131" s="24"/>
      <c r="ET131" s="24"/>
      <c r="EU131" s="24"/>
      <c r="EV131" s="29">
        <f t="shared" si="485"/>
        <v>0</v>
      </c>
      <c r="EW131" s="29">
        <f t="shared" si="486"/>
        <v>0</v>
      </c>
      <c r="EX131" s="29">
        <f t="shared" si="487"/>
        <v>0</v>
      </c>
      <c r="EY131" s="29">
        <f t="shared" si="488"/>
        <v>0</v>
      </c>
      <c r="EZ131" s="29">
        <f t="shared" si="489"/>
        <v>0</v>
      </c>
      <c r="FA131" s="29">
        <f t="shared" si="490"/>
        <v>0</v>
      </c>
      <c r="FB131" s="167">
        <f t="shared" si="491"/>
        <v>0</v>
      </c>
      <c r="FC131" s="1"/>
      <c r="FD131" s="29">
        <f t="shared" si="492"/>
        <v>0</v>
      </c>
      <c r="FE131" s="29">
        <f t="shared" si="493"/>
        <v>0</v>
      </c>
      <c r="FF131" s="29">
        <f t="shared" si="494"/>
        <v>0</v>
      </c>
      <c r="FG131" s="29">
        <f t="shared" si="495"/>
        <v>0</v>
      </c>
      <c r="FH131" s="29">
        <f t="shared" si="496"/>
        <v>0</v>
      </c>
      <c r="FI131" s="29">
        <f t="shared" si="497"/>
        <v>0</v>
      </c>
      <c r="FJ131" s="48">
        <f t="shared" si="498"/>
        <v>0</v>
      </c>
      <c r="FL131" s="29">
        <f t="shared" si="499"/>
        <v>0</v>
      </c>
      <c r="FM131" s="29">
        <f t="shared" si="500"/>
        <v>0</v>
      </c>
      <c r="FN131" s="29">
        <f t="shared" si="501"/>
        <v>0</v>
      </c>
      <c r="FO131" s="29">
        <f t="shared" si="502"/>
        <v>0</v>
      </c>
      <c r="FP131" s="29">
        <f t="shared" si="503"/>
        <v>0</v>
      </c>
      <c r="FQ131" s="29">
        <f t="shared" si="504"/>
        <v>0</v>
      </c>
      <c r="FR131" s="209">
        <f t="shared" si="505"/>
        <v>0</v>
      </c>
      <c r="FT131" s="29">
        <f t="shared" si="506"/>
        <v>0</v>
      </c>
      <c r="FU131" s="29">
        <f t="shared" si="507"/>
        <v>0</v>
      </c>
      <c r="FV131" s="29">
        <f t="shared" si="508"/>
        <v>0</v>
      </c>
      <c r="FW131" s="29">
        <f t="shared" si="509"/>
        <v>0</v>
      </c>
      <c r="FX131" s="29">
        <f t="shared" si="510"/>
        <v>0</v>
      </c>
      <c r="FY131" s="29">
        <f t="shared" si="511"/>
        <v>0</v>
      </c>
      <c r="FZ131" s="181">
        <f t="shared" si="512"/>
        <v>0</v>
      </c>
      <c r="GB131" s="29">
        <f t="shared" si="513"/>
        <v>0</v>
      </c>
      <c r="GC131" s="29">
        <f t="shared" si="514"/>
        <v>0</v>
      </c>
      <c r="GD131" s="29">
        <f t="shared" si="515"/>
        <v>0</v>
      </c>
      <c r="GE131" s="29">
        <f t="shared" si="516"/>
        <v>0</v>
      </c>
      <c r="GF131" s="29">
        <f t="shared" si="517"/>
        <v>0</v>
      </c>
      <c r="GG131" s="29">
        <f t="shared" si="518"/>
        <v>0</v>
      </c>
      <c r="GH131" s="153">
        <f t="shared" si="519"/>
        <v>0</v>
      </c>
      <c r="GJ131" s="29">
        <f t="shared" si="520"/>
        <v>0</v>
      </c>
      <c r="GK131" s="29">
        <f t="shared" si="521"/>
        <v>0</v>
      </c>
      <c r="GL131" s="29">
        <f t="shared" si="522"/>
        <v>0</v>
      </c>
      <c r="GM131" s="29">
        <f t="shared" si="523"/>
        <v>0</v>
      </c>
      <c r="GN131" s="29">
        <f t="shared" si="524"/>
        <v>0</v>
      </c>
      <c r="GO131" s="29">
        <f t="shared" si="525"/>
        <v>0</v>
      </c>
      <c r="GP131" s="195">
        <f t="shared" si="526"/>
        <v>0</v>
      </c>
      <c r="GR131" s="29"/>
      <c r="GS131" s="29"/>
      <c r="GT131" s="29"/>
      <c r="GU131" s="29"/>
      <c r="GV131" s="29"/>
      <c r="GW131" s="29"/>
      <c r="GX131" s="1105">
        <f t="shared" si="527"/>
        <v>0</v>
      </c>
      <c r="GZ131" s="575">
        <f t="shared" si="528"/>
        <v>0</v>
      </c>
      <c r="HA131" s="575">
        <f t="shared" si="529"/>
        <v>0</v>
      </c>
      <c r="HB131" s="575">
        <f t="shared" si="530"/>
        <v>0</v>
      </c>
      <c r="HC131" s="575">
        <f t="shared" si="531"/>
        <v>0</v>
      </c>
      <c r="HD131" s="575">
        <f t="shared" si="532"/>
        <v>0</v>
      </c>
      <c r="HE131" s="575">
        <f t="shared" si="533"/>
        <v>0</v>
      </c>
      <c r="HF131" s="991">
        <f t="shared" si="534"/>
        <v>0</v>
      </c>
      <c r="HG131" s="573">
        <f t="shared" ca="1" si="535"/>
        <v>0</v>
      </c>
      <c r="HH131" s="257"/>
    </row>
    <row r="132" spans="1:216" ht="15" hidden="1" customHeight="1" thickBot="1" x14ac:dyDescent="0.3">
      <c r="A132" s="25"/>
      <c r="B132" s="1602">
        <f>'Calc - GRAD ASST'!C413</f>
        <v>0</v>
      </c>
      <c r="C132" s="349" t="str">
        <f>'Calc - GRAD ASST'!A412</f>
        <v>GA #15 / Sponsor Funds</v>
      </c>
      <c r="D132" s="350">
        <f ca="1">'Calc - GRAD ASST'!$M$417</f>
        <v>0</v>
      </c>
      <c r="E132" s="350">
        <f ca="1">'Calc - GRAD ASST'!$M$418</f>
        <v>0</v>
      </c>
      <c r="F132" s="350">
        <f ca="1">'Calc - GRAD ASST'!$M$419</f>
        <v>0</v>
      </c>
      <c r="G132" s="350">
        <f ca="1">'Calc - GRAD ASST'!$M$420</f>
        <v>0</v>
      </c>
      <c r="H132" s="350">
        <f ca="1">'Calc - GRAD ASST'!$M$421</f>
        <v>0</v>
      </c>
      <c r="I132" s="350">
        <f ca="1">'Calc - GRAD ASST'!$M$422</f>
        <v>0</v>
      </c>
      <c r="J132" s="90">
        <f t="shared" ca="1" si="457"/>
        <v>0</v>
      </c>
      <c r="K132" s="24"/>
      <c r="L132" s="4"/>
      <c r="M132" s="24"/>
      <c r="N132" s="29"/>
      <c r="O132" s="29"/>
      <c r="P132" s="29"/>
      <c r="Q132" s="29"/>
      <c r="R132" s="29"/>
      <c r="S132" s="29"/>
      <c r="T132" s="167">
        <f t="shared" si="458"/>
        <v>0</v>
      </c>
      <c r="U132" s="1"/>
      <c r="V132" s="29"/>
      <c r="W132" s="29"/>
      <c r="X132" s="29"/>
      <c r="Y132" s="29"/>
      <c r="Z132" s="29"/>
      <c r="AA132" s="29"/>
      <c r="AB132" s="48">
        <f t="shared" si="459"/>
        <v>0</v>
      </c>
      <c r="AD132" s="29"/>
      <c r="AE132" s="29"/>
      <c r="AF132" s="29"/>
      <c r="AG132" s="29"/>
      <c r="AH132" s="29"/>
      <c r="AI132" s="29"/>
      <c r="AJ132" s="209">
        <f t="shared" si="460"/>
        <v>0</v>
      </c>
      <c r="AL132" s="29"/>
      <c r="AM132" s="29"/>
      <c r="AN132" s="29"/>
      <c r="AO132" s="29"/>
      <c r="AP132" s="29"/>
      <c r="AQ132" s="29"/>
      <c r="AR132" s="181">
        <f t="shared" si="461"/>
        <v>0</v>
      </c>
      <c r="AT132" s="29"/>
      <c r="AU132" s="29"/>
      <c r="AV132" s="29"/>
      <c r="AW132" s="29"/>
      <c r="AX132" s="29"/>
      <c r="AY132" s="29"/>
      <c r="AZ132" s="153">
        <f t="shared" si="462"/>
        <v>0</v>
      </c>
      <c r="BB132" s="29"/>
      <c r="BC132" s="29"/>
      <c r="BD132" s="29"/>
      <c r="BE132" s="29"/>
      <c r="BF132" s="29"/>
      <c r="BG132" s="29"/>
      <c r="BH132" s="195">
        <f t="shared" si="463"/>
        <v>0</v>
      </c>
      <c r="BJ132" s="29"/>
      <c r="BK132" s="29"/>
      <c r="BL132" s="29"/>
      <c r="BM132" s="29"/>
      <c r="BN132" s="29"/>
      <c r="BO132" s="29"/>
      <c r="BP132" s="1105">
        <f t="shared" si="464"/>
        <v>0</v>
      </c>
      <c r="BR132" s="575">
        <f t="shared" si="465"/>
        <v>0</v>
      </c>
      <c r="BS132" s="575">
        <f t="shared" si="466"/>
        <v>0</v>
      </c>
      <c r="BT132" s="575">
        <f t="shared" si="467"/>
        <v>0</v>
      </c>
      <c r="BU132" s="575">
        <f t="shared" si="468"/>
        <v>0</v>
      </c>
      <c r="BV132" s="575">
        <f t="shared" si="469"/>
        <v>0</v>
      </c>
      <c r="BW132" s="575">
        <f t="shared" si="470"/>
        <v>0</v>
      </c>
      <c r="BX132" s="991">
        <f t="shared" si="471"/>
        <v>0</v>
      </c>
      <c r="BY132" s="573">
        <f t="shared" ca="1" si="472"/>
        <v>0</v>
      </c>
      <c r="BZ132" s="257"/>
      <c r="CB132" s="1647">
        <f ca="1">'Calc - GRAD ASST'!$M$417</f>
        <v>0</v>
      </c>
      <c r="CC132" s="1648">
        <f ca="1">'Calc - GRAD ASST'!$M$418/12*3</f>
        <v>0</v>
      </c>
      <c r="CD132" s="1648">
        <f ca="1">'Calc - GRAD ASST'!$M$418/12*3</f>
        <v>0</v>
      </c>
      <c r="CE132" s="1648">
        <f ca="1">'Calc - GRAD ASST'!$M$418/12*2</f>
        <v>0</v>
      </c>
      <c r="CF132" s="1648">
        <f ca="1">'Calc - GRAD ASST'!$M$418/12*1</f>
        <v>0</v>
      </c>
      <c r="CG132" s="1648">
        <f ca="1">'Calc - GRAD ASST'!$M$418/12*3</f>
        <v>0</v>
      </c>
      <c r="CH132" s="1649">
        <f ca="1">'Calc - GRAD ASST'!$M$419/12*3</f>
        <v>0</v>
      </c>
      <c r="CI132" s="1649">
        <f ca="1">'Calc - GRAD ASST'!$M$419/12*3</f>
        <v>0</v>
      </c>
      <c r="CJ132" s="1649">
        <f ca="1">'Calc - GRAD ASST'!$M$419/12*2</f>
        <v>0</v>
      </c>
      <c r="CK132" s="1649">
        <f ca="1">'Calc - GRAD ASST'!$M$419/12*1</f>
        <v>0</v>
      </c>
      <c r="CL132" s="1649">
        <f ca="1">'Calc - GRAD ASST'!$M$419/12*3</f>
        <v>0</v>
      </c>
      <c r="CM132" s="1650">
        <f ca="1">'Calc - GRAD ASST'!$M$420/8*3</f>
        <v>0</v>
      </c>
      <c r="CN132" s="1650">
        <f ca="1">'Calc - GRAD ASST'!$M$420/8*3</f>
        <v>0</v>
      </c>
      <c r="CO132" s="1650">
        <f ca="1">'Calc - GRAD ASST'!$M$420/8*2</f>
        <v>0</v>
      </c>
      <c r="CP132" s="90">
        <f t="shared" ca="1" si="536"/>
        <v>0</v>
      </c>
      <c r="CS132" s="575"/>
      <c r="CT132" s="5"/>
      <c r="CU132" s="1180"/>
      <c r="CV132" s="575"/>
      <c r="CW132" s="5"/>
      <c r="CX132" s="1249"/>
      <c r="CY132" s="575"/>
      <c r="CZ132" s="5"/>
      <c r="DA132" s="1180"/>
      <c r="DB132" s="575"/>
      <c r="DC132" s="5"/>
      <c r="DD132" s="1180"/>
      <c r="DE132" s="1181">
        <f t="shared" si="473"/>
        <v>0</v>
      </c>
      <c r="DG132" s="575"/>
      <c r="DH132" s="5"/>
      <c r="DI132" s="1180"/>
      <c r="DJ132" s="575"/>
      <c r="DK132" s="5"/>
      <c r="DL132" s="1249"/>
      <c r="DM132" s="575"/>
      <c r="DN132" s="5"/>
      <c r="DO132" s="1180"/>
      <c r="DP132" s="575"/>
      <c r="DQ132" s="5"/>
      <c r="DR132" s="1180"/>
      <c r="DS132" s="1181">
        <f t="shared" si="474"/>
        <v>0</v>
      </c>
      <c r="DU132" s="575"/>
      <c r="DV132" s="5"/>
      <c r="DW132" s="1180"/>
      <c r="DX132" s="575"/>
      <c r="DY132" s="5"/>
      <c r="DZ132" s="1249"/>
      <c r="EA132" s="575"/>
      <c r="EB132" s="5"/>
      <c r="EC132" s="1180"/>
      <c r="ED132" s="575"/>
      <c r="EE132" s="5"/>
      <c r="EF132" s="1180"/>
      <c r="EG132" s="1181">
        <f t="shared" si="475"/>
        <v>0</v>
      </c>
      <c r="EI132" s="25"/>
      <c r="EJ132" s="348">
        <f t="shared" si="476"/>
        <v>0</v>
      </c>
      <c r="EK132" s="57" t="str">
        <f t="shared" si="477"/>
        <v>GA #15 / Sponsor Funds</v>
      </c>
      <c r="EL132" s="29">
        <f t="shared" ca="1" si="478"/>
        <v>0</v>
      </c>
      <c r="EM132" s="29">
        <f t="shared" ca="1" si="479"/>
        <v>0</v>
      </c>
      <c r="EN132" s="29">
        <f t="shared" ca="1" si="480"/>
        <v>0</v>
      </c>
      <c r="EO132" s="29">
        <f t="shared" ca="1" si="481"/>
        <v>0</v>
      </c>
      <c r="EP132" s="29">
        <f t="shared" ca="1" si="482"/>
        <v>0</v>
      </c>
      <c r="EQ132" s="29">
        <f t="shared" ca="1" si="483"/>
        <v>0</v>
      </c>
      <c r="ER132" s="90">
        <f t="shared" ca="1" si="484"/>
        <v>0</v>
      </c>
      <c r="ES132" s="24"/>
      <c r="ET132" s="4"/>
      <c r="EU132" s="24"/>
      <c r="EV132" s="29">
        <f t="shared" si="485"/>
        <v>0</v>
      </c>
      <c r="EW132" s="29">
        <f t="shared" si="486"/>
        <v>0</v>
      </c>
      <c r="EX132" s="29">
        <f t="shared" si="487"/>
        <v>0</v>
      </c>
      <c r="EY132" s="29">
        <f t="shared" si="488"/>
        <v>0</v>
      </c>
      <c r="EZ132" s="29">
        <f t="shared" si="489"/>
        <v>0</v>
      </c>
      <c r="FA132" s="29">
        <f t="shared" si="490"/>
        <v>0</v>
      </c>
      <c r="FB132" s="167">
        <f t="shared" si="491"/>
        <v>0</v>
      </c>
      <c r="FC132" s="1"/>
      <c r="FD132" s="29">
        <f t="shared" si="492"/>
        <v>0</v>
      </c>
      <c r="FE132" s="29">
        <f t="shared" si="493"/>
        <v>0</v>
      </c>
      <c r="FF132" s="29">
        <f t="shared" si="494"/>
        <v>0</v>
      </c>
      <c r="FG132" s="29">
        <f t="shared" si="495"/>
        <v>0</v>
      </c>
      <c r="FH132" s="29">
        <f t="shared" si="496"/>
        <v>0</v>
      </c>
      <c r="FI132" s="29">
        <f t="shared" si="497"/>
        <v>0</v>
      </c>
      <c r="FJ132" s="48">
        <f t="shared" si="498"/>
        <v>0</v>
      </c>
      <c r="FL132" s="29">
        <f t="shared" si="499"/>
        <v>0</v>
      </c>
      <c r="FM132" s="29">
        <f t="shared" si="500"/>
        <v>0</v>
      </c>
      <c r="FN132" s="29">
        <f t="shared" si="501"/>
        <v>0</v>
      </c>
      <c r="FO132" s="29">
        <f t="shared" si="502"/>
        <v>0</v>
      </c>
      <c r="FP132" s="29">
        <f t="shared" si="503"/>
        <v>0</v>
      </c>
      <c r="FQ132" s="29">
        <f t="shared" si="504"/>
        <v>0</v>
      </c>
      <c r="FR132" s="209">
        <f t="shared" si="505"/>
        <v>0</v>
      </c>
      <c r="FT132" s="29">
        <f t="shared" si="506"/>
        <v>0</v>
      </c>
      <c r="FU132" s="29">
        <f t="shared" si="507"/>
        <v>0</v>
      </c>
      <c r="FV132" s="29">
        <f t="shared" si="508"/>
        <v>0</v>
      </c>
      <c r="FW132" s="29">
        <f t="shared" si="509"/>
        <v>0</v>
      </c>
      <c r="FX132" s="29">
        <f t="shared" si="510"/>
        <v>0</v>
      </c>
      <c r="FY132" s="29">
        <f t="shared" si="511"/>
        <v>0</v>
      </c>
      <c r="FZ132" s="181">
        <f t="shared" si="512"/>
        <v>0</v>
      </c>
      <c r="GB132" s="29">
        <f t="shared" si="513"/>
        <v>0</v>
      </c>
      <c r="GC132" s="29">
        <f t="shared" si="514"/>
        <v>0</v>
      </c>
      <c r="GD132" s="29">
        <f t="shared" si="515"/>
        <v>0</v>
      </c>
      <c r="GE132" s="29">
        <f t="shared" si="516"/>
        <v>0</v>
      </c>
      <c r="GF132" s="29">
        <f t="shared" si="517"/>
        <v>0</v>
      </c>
      <c r="GG132" s="29">
        <f t="shared" si="518"/>
        <v>0</v>
      </c>
      <c r="GH132" s="153">
        <f t="shared" si="519"/>
        <v>0</v>
      </c>
      <c r="GJ132" s="29">
        <f t="shared" si="520"/>
        <v>0</v>
      </c>
      <c r="GK132" s="29">
        <f t="shared" si="521"/>
        <v>0</v>
      </c>
      <c r="GL132" s="29">
        <f t="shared" si="522"/>
        <v>0</v>
      </c>
      <c r="GM132" s="29">
        <f t="shared" si="523"/>
        <v>0</v>
      </c>
      <c r="GN132" s="29">
        <f t="shared" si="524"/>
        <v>0</v>
      </c>
      <c r="GO132" s="29">
        <f t="shared" si="525"/>
        <v>0</v>
      </c>
      <c r="GP132" s="195">
        <f t="shared" si="526"/>
        <v>0</v>
      </c>
      <c r="GR132" s="29"/>
      <c r="GS132" s="29"/>
      <c r="GT132" s="29"/>
      <c r="GU132" s="29"/>
      <c r="GV132" s="29"/>
      <c r="GW132" s="29"/>
      <c r="GX132" s="1105">
        <f t="shared" si="527"/>
        <v>0</v>
      </c>
      <c r="GZ132" s="575">
        <f t="shared" si="528"/>
        <v>0</v>
      </c>
      <c r="HA132" s="575">
        <f t="shared" si="529"/>
        <v>0</v>
      </c>
      <c r="HB132" s="575">
        <f t="shared" si="530"/>
        <v>0</v>
      </c>
      <c r="HC132" s="575">
        <f t="shared" si="531"/>
        <v>0</v>
      </c>
      <c r="HD132" s="575">
        <f t="shared" si="532"/>
        <v>0</v>
      </c>
      <c r="HE132" s="575">
        <f t="shared" si="533"/>
        <v>0</v>
      </c>
      <c r="HF132" s="991">
        <f t="shared" si="534"/>
        <v>0</v>
      </c>
      <c r="HG132" s="573">
        <f t="shared" ca="1" si="535"/>
        <v>0</v>
      </c>
      <c r="HH132" s="257"/>
    </row>
    <row r="133" spans="1:216" ht="15" customHeight="1" thickBot="1" x14ac:dyDescent="0.3">
      <c r="A133" s="25"/>
      <c r="B133" s="3235" t="s">
        <v>243</v>
      </c>
      <c r="C133" s="3236"/>
      <c r="D133" s="354">
        <f t="shared" ref="D133:J133" ca="1" si="537">SUM(D118:D132)</f>
        <v>0</v>
      </c>
      <c r="E133" s="354">
        <f t="shared" ca="1" si="537"/>
        <v>0</v>
      </c>
      <c r="F133" s="354">
        <f t="shared" ca="1" si="537"/>
        <v>0</v>
      </c>
      <c r="G133" s="354">
        <f t="shared" ca="1" si="537"/>
        <v>0</v>
      </c>
      <c r="H133" s="354">
        <f t="shared" ca="1" si="537"/>
        <v>0</v>
      </c>
      <c r="I133" s="354">
        <f t="shared" ca="1" si="537"/>
        <v>0</v>
      </c>
      <c r="J133" s="354">
        <f t="shared" ca="1" si="537"/>
        <v>0</v>
      </c>
      <c r="K133" s="353">
        <f ca="1">SUM(D133:I133)</f>
        <v>0</v>
      </c>
      <c r="L133" s="24"/>
      <c r="M133" s="4"/>
      <c r="N133" s="2219">
        <f t="shared" ref="N133:S133" si="538">SUM(N118:N132)</f>
        <v>0</v>
      </c>
      <c r="O133" s="2219">
        <f t="shared" si="538"/>
        <v>0</v>
      </c>
      <c r="P133" s="2219">
        <f t="shared" si="538"/>
        <v>0</v>
      </c>
      <c r="Q133" s="2219">
        <f t="shared" si="538"/>
        <v>0</v>
      </c>
      <c r="R133" s="2219">
        <f t="shared" si="538"/>
        <v>0</v>
      </c>
      <c r="S133" s="2219">
        <f t="shared" si="538"/>
        <v>0</v>
      </c>
      <c r="T133" s="380">
        <f t="shared" si="458"/>
        <v>0</v>
      </c>
      <c r="U133" s="1"/>
      <c r="V133" s="2218">
        <f t="shared" ref="V133:AA133" si="539">SUM(V118:V132)</f>
        <v>0</v>
      </c>
      <c r="W133" s="2218">
        <f t="shared" si="539"/>
        <v>0</v>
      </c>
      <c r="X133" s="2218">
        <f t="shared" si="539"/>
        <v>0</v>
      </c>
      <c r="Y133" s="2218">
        <f t="shared" si="539"/>
        <v>0</v>
      </c>
      <c r="Z133" s="2218">
        <f t="shared" si="539"/>
        <v>0</v>
      </c>
      <c r="AA133" s="2218">
        <f t="shared" si="539"/>
        <v>0</v>
      </c>
      <c r="AB133" s="362">
        <f t="shared" si="459"/>
        <v>0</v>
      </c>
      <c r="AD133" s="2217">
        <f t="shared" ref="AD133:AJ133" si="540">SUM(AD118:AD132)</f>
        <v>0</v>
      </c>
      <c r="AE133" s="2217">
        <f t="shared" si="540"/>
        <v>0</v>
      </c>
      <c r="AF133" s="2217">
        <f t="shared" si="540"/>
        <v>0</v>
      </c>
      <c r="AG133" s="2217">
        <f t="shared" si="540"/>
        <v>0</v>
      </c>
      <c r="AH133" s="2217">
        <f t="shared" si="540"/>
        <v>0</v>
      </c>
      <c r="AI133" s="2217">
        <f t="shared" si="540"/>
        <v>0</v>
      </c>
      <c r="AJ133" s="363">
        <f t="shared" si="540"/>
        <v>0</v>
      </c>
      <c r="AL133" s="2226">
        <f t="shared" ref="AL133:AR133" si="541">SUM(AL118:AL132)</f>
        <v>0</v>
      </c>
      <c r="AM133" s="2226">
        <f t="shared" si="541"/>
        <v>0</v>
      </c>
      <c r="AN133" s="2226">
        <f t="shared" si="541"/>
        <v>0</v>
      </c>
      <c r="AO133" s="2226">
        <f t="shared" si="541"/>
        <v>0</v>
      </c>
      <c r="AP133" s="2226">
        <f t="shared" si="541"/>
        <v>0</v>
      </c>
      <c r="AQ133" s="2226">
        <f t="shared" si="541"/>
        <v>0</v>
      </c>
      <c r="AR133" s="364">
        <f t="shared" si="541"/>
        <v>0</v>
      </c>
      <c r="AT133" s="2227">
        <f t="shared" ref="AT133:AZ133" si="542">SUM(AT118:AT132)</f>
        <v>0</v>
      </c>
      <c r="AU133" s="2227">
        <f t="shared" si="542"/>
        <v>0</v>
      </c>
      <c r="AV133" s="2227">
        <f t="shared" si="542"/>
        <v>0</v>
      </c>
      <c r="AW133" s="2227">
        <f t="shared" si="542"/>
        <v>0</v>
      </c>
      <c r="AX133" s="2227">
        <f t="shared" si="542"/>
        <v>0</v>
      </c>
      <c r="AY133" s="2227">
        <f t="shared" si="542"/>
        <v>0</v>
      </c>
      <c r="AZ133" s="365">
        <f t="shared" si="542"/>
        <v>0</v>
      </c>
      <c r="BB133" s="2230">
        <f t="shared" ref="BB133:BH133" si="543">SUM(BB118:BB132)</f>
        <v>0</v>
      </c>
      <c r="BC133" s="2230">
        <f t="shared" si="543"/>
        <v>0</v>
      </c>
      <c r="BD133" s="2230">
        <f t="shared" si="543"/>
        <v>0</v>
      </c>
      <c r="BE133" s="2230">
        <f t="shared" si="543"/>
        <v>0</v>
      </c>
      <c r="BF133" s="2230">
        <f t="shared" si="543"/>
        <v>0</v>
      </c>
      <c r="BG133" s="2230">
        <f t="shared" si="543"/>
        <v>0</v>
      </c>
      <c r="BH133" s="366">
        <f t="shared" si="543"/>
        <v>0</v>
      </c>
      <c r="BJ133" s="2296">
        <f t="shared" ref="BJ133:BP133" si="544">SUM(BJ118:BJ132)</f>
        <v>0</v>
      </c>
      <c r="BK133" s="2296">
        <f t="shared" si="544"/>
        <v>0</v>
      </c>
      <c r="BL133" s="2296">
        <f t="shared" si="544"/>
        <v>0</v>
      </c>
      <c r="BM133" s="2296">
        <f t="shared" si="544"/>
        <v>0</v>
      </c>
      <c r="BN133" s="2296">
        <f t="shared" si="544"/>
        <v>0</v>
      </c>
      <c r="BO133" s="2296">
        <f t="shared" si="544"/>
        <v>0</v>
      </c>
      <c r="BP133" s="1110">
        <f t="shared" si="544"/>
        <v>0</v>
      </c>
      <c r="BR133" s="1215">
        <f t="shared" si="465"/>
        <v>0</v>
      </c>
      <c r="BS133" s="1216">
        <f t="shared" si="466"/>
        <v>0</v>
      </c>
      <c r="BT133" s="1216">
        <f t="shared" si="467"/>
        <v>0</v>
      </c>
      <c r="BU133" s="1216">
        <f t="shared" si="468"/>
        <v>0</v>
      </c>
      <c r="BV133" s="1216">
        <f t="shared" si="469"/>
        <v>0</v>
      </c>
      <c r="BW133" s="1216">
        <f t="shared" si="470"/>
        <v>0</v>
      </c>
      <c r="BX133" s="1216">
        <f t="shared" si="471"/>
        <v>0</v>
      </c>
      <c r="BY133" s="275">
        <f t="shared" ca="1" si="472"/>
        <v>0</v>
      </c>
      <c r="BZ133" s="257"/>
      <c r="CB133" s="1642">
        <f t="shared" ref="CB133:CO133" ca="1" si="545">SUM(CB118:CB132)</f>
        <v>0</v>
      </c>
      <c r="CC133" s="1643">
        <f t="shared" ca="1" si="545"/>
        <v>0</v>
      </c>
      <c r="CD133" s="1643">
        <f t="shared" ca="1" si="545"/>
        <v>0</v>
      </c>
      <c r="CE133" s="1643">
        <f t="shared" ca="1" si="545"/>
        <v>0</v>
      </c>
      <c r="CF133" s="1643">
        <f t="shared" ca="1" si="545"/>
        <v>0</v>
      </c>
      <c r="CG133" s="1643">
        <f t="shared" ca="1" si="545"/>
        <v>0</v>
      </c>
      <c r="CH133" s="1643">
        <f t="shared" ca="1" si="545"/>
        <v>0</v>
      </c>
      <c r="CI133" s="1643">
        <f t="shared" ca="1" si="545"/>
        <v>0</v>
      </c>
      <c r="CJ133" s="1643">
        <f t="shared" ca="1" si="545"/>
        <v>0</v>
      </c>
      <c r="CK133" s="1643">
        <f t="shared" ca="1" si="545"/>
        <v>0</v>
      </c>
      <c r="CL133" s="1643">
        <f t="shared" ca="1" si="545"/>
        <v>0</v>
      </c>
      <c r="CM133" s="1643">
        <f t="shared" ca="1" si="545"/>
        <v>0</v>
      </c>
      <c r="CN133" s="1643">
        <f t="shared" ca="1" si="545"/>
        <v>0</v>
      </c>
      <c r="CO133" s="1643">
        <f t="shared" ca="1" si="545"/>
        <v>0</v>
      </c>
      <c r="CP133" s="1644">
        <f t="shared" ca="1" si="536"/>
        <v>0</v>
      </c>
      <c r="CS133" s="1277">
        <f t="shared" ref="CS133:DE133" si="546">SUM(CS118:CS132)</f>
        <v>0</v>
      </c>
      <c r="CT133" s="1277">
        <f t="shared" si="546"/>
        <v>0</v>
      </c>
      <c r="CU133" s="1277">
        <f t="shared" si="546"/>
        <v>0</v>
      </c>
      <c r="CV133" s="1277">
        <f t="shared" si="546"/>
        <v>0</v>
      </c>
      <c r="CW133" s="1277">
        <f t="shared" si="546"/>
        <v>0</v>
      </c>
      <c r="CX133" s="1277">
        <f t="shared" si="546"/>
        <v>0</v>
      </c>
      <c r="CY133" s="1277">
        <f t="shared" si="546"/>
        <v>0</v>
      </c>
      <c r="CZ133" s="1277">
        <f t="shared" si="546"/>
        <v>0</v>
      </c>
      <c r="DA133" s="1277">
        <f t="shared" si="546"/>
        <v>0</v>
      </c>
      <c r="DB133" s="1277">
        <f t="shared" si="546"/>
        <v>0</v>
      </c>
      <c r="DC133" s="1277">
        <f t="shared" si="546"/>
        <v>0</v>
      </c>
      <c r="DD133" s="1277">
        <f t="shared" si="546"/>
        <v>0</v>
      </c>
      <c r="DE133" s="1277">
        <f t="shared" si="546"/>
        <v>0</v>
      </c>
      <c r="DG133" s="1277">
        <f t="shared" ref="DG133:DS133" si="547">SUM(DG118:DG132)</f>
        <v>0</v>
      </c>
      <c r="DH133" s="1277">
        <f t="shared" si="547"/>
        <v>0</v>
      </c>
      <c r="DI133" s="1277">
        <f t="shared" si="547"/>
        <v>0</v>
      </c>
      <c r="DJ133" s="1277">
        <f t="shared" si="547"/>
        <v>0</v>
      </c>
      <c r="DK133" s="1277">
        <f t="shared" si="547"/>
        <v>0</v>
      </c>
      <c r="DL133" s="1277">
        <f t="shared" si="547"/>
        <v>0</v>
      </c>
      <c r="DM133" s="1277">
        <f t="shared" si="547"/>
        <v>0</v>
      </c>
      <c r="DN133" s="1277">
        <f t="shared" si="547"/>
        <v>0</v>
      </c>
      <c r="DO133" s="1277">
        <f t="shared" si="547"/>
        <v>0</v>
      </c>
      <c r="DP133" s="1277">
        <f t="shared" si="547"/>
        <v>0</v>
      </c>
      <c r="DQ133" s="1277">
        <f t="shared" si="547"/>
        <v>0</v>
      </c>
      <c r="DR133" s="1277">
        <f t="shared" si="547"/>
        <v>0</v>
      </c>
      <c r="DS133" s="1277">
        <f t="shared" si="547"/>
        <v>0</v>
      </c>
      <c r="DU133" s="1277">
        <f t="shared" ref="DU133:EG133" si="548">SUM(DU118:DU132)</f>
        <v>0</v>
      </c>
      <c r="DV133" s="1277">
        <f t="shared" si="548"/>
        <v>0</v>
      </c>
      <c r="DW133" s="1277">
        <f t="shared" si="548"/>
        <v>0</v>
      </c>
      <c r="DX133" s="1277">
        <f t="shared" si="548"/>
        <v>0</v>
      </c>
      <c r="DY133" s="1277">
        <f t="shared" si="548"/>
        <v>0</v>
      </c>
      <c r="DZ133" s="1277">
        <f t="shared" si="548"/>
        <v>0</v>
      </c>
      <c r="EA133" s="1277">
        <f t="shared" si="548"/>
        <v>0</v>
      </c>
      <c r="EB133" s="1277">
        <f t="shared" si="548"/>
        <v>0</v>
      </c>
      <c r="EC133" s="1277">
        <f t="shared" si="548"/>
        <v>0</v>
      </c>
      <c r="ED133" s="1277">
        <f t="shared" si="548"/>
        <v>0</v>
      </c>
      <c r="EE133" s="1277">
        <f t="shared" si="548"/>
        <v>0</v>
      </c>
      <c r="EF133" s="1277">
        <f t="shared" si="548"/>
        <v>0</v>
      </c>
      <c r="EG133" s="1277">
        <f t="shared" si="548"/>
        <v>0</v>
      </c>
      <c r="EI133" s="25"/>
      <c r="EJ133" s="3235" t="s">
        <v>243</v>
      </c>
      <c r="EK133" s="3236"/>
      <c r="EL133" s="354">
        <f t="shared" ref="EL133:ER133" ca="1" si="549">SUM(EL118:EL132)</f>
        <v>0</v>
      </c>
      <c r="EM133" s="354">
        <f t="shared" ca="1" si="549"/>
        <v>0</v>
      </c>
      <c r="EN133" s="354">
        <f t="shared" ca="1" si="549"/>
        <v>0</v>
      </c>
      <c r="EO133" s="354">
        <f t="shared" ca="1" si="549"/>
        <v>0</v>
      </c>
      <c r="EP133" s="354">
        <f t="shared" ca="1" si="549"/>
        <v>0</v>
      </c>
      <c r="EQ133" s="354">
        <f t="shared" ca="1" si="549"/>
        <v>0</v>
      </c>
      <c r="ER133" s="354">
        <f t="shared" ca="1" si="549"/>
        <v>0</v>
      </c>
      <c r="ES133" s="353">
        <f ca="1">SUM(EL133:EQ133)</f>
        <v>0</v>
      </c>
      <c r="ET133" s="24"/>
      <c r="EU133" s="4"/>
      <c r="EV133" s="2219">
        <f t="shared" ref="EV133:FA133" si="550">SUM(EV118:EV132)</f>
        <v>0</v>
      </c>
      <c r="EW133" s="2219">
        <f t="shared" si="550"/>
        <v>0</v>
      </c>
      <c r="EX133" s="2219">
        <f t="shared" si="550"/>
        <v>0</v>
      </c>
      <c r="EY133" s="2219">
        <f t="shared" si="550"/>
        <v>0</v>
      </c>
      <c r="EZ133" s="2219">
        <f t="shared" si="550"/>
        <v>0</v>
      </c>
      <c r="FA133" s="2219">
        <f t="shared" si="550"/>
        <v>0</v>
      </c>
      <c r="FB133" s="380">
        <f t="shared" si="491"/>
        <v>0</v>
      </c>
      <c r="FC133" s="1"/>
      <c r="FD133" s="2218">
        <f t="shared" ref="FD133:FI133" si="551">SUM(FD118:FD132)</f>
        <v>0</v>
      </c>
      <c r="FE133" s="2218">
        <f t="shared" si="551"/>
        <v>0</v>
      </c>
      <c r="FF133" s="2218">
        <f t="shared" si="551"/>
        <v>0</v>
      </c>
      <c r="FG133" s="2218">
        <f t="shared" si="551"/>
        <v>0</v>
      </c>
      <c r="FH133" s="2218">
        <f t="shared" si="551"/>
        <v>0</v>
      </c>
      <c r="FI133" s="2218">
        <f t="shared" si="551"/>
        <v>0</v>
      </c>
      <c r="FJ133" s="362">
        <f t="shared" si="498"/>
        <v>0</v>
      </c>
      <c r="FL133" s="2217">
        <f t="shared" ref="FL133:FR133" si="552">SUM(FL118:FL132)</f>
        <v>0</v>
      </c>
      <c r="FM133" s="2217">
        <f t="shared" si="552"/>
        <v>0</v>
      </c>
      <c r="FN133" s="2217">
        <f t="shared" si="552"/>
        <v>0</v>
      </c>
      <c r="FO133" s="2217">
        <f t="shared" si="552"/>
        <v>0</v>
      </c>
      <c r="FP133" s="2217">
        <f t="shared" si="552"/>
        <v>0</v>
      </c>
      <c r="FQ133" s="2217">
        <f t="shared" si="552"/>
        <v>0</v>
      </c>
      <c r="FR133" s="363">
        <f t="shared" si="552"/>
        <v>0</v>
      </c>
      <c r="FT133" s="2226">
        <f t="shared" ref="FT133:FZ133" si="553">SUM(FT118:FT132)</f>
        <v>0</v>
      </c>
      <c r="FU133" s="2226">
        <f t="shared" si="553"/>
        <v>0</v>
      </c>
      <c r="FV133" s="2226">
        <f t="shared" si="553"/>
        <v>0</v>
      </c>
      <c r="FW133" s="2226">
        <f t="shared" si="553"/>
        <v>0</v>
      </c>
      <c r="FX133" s="2226">
        <f t="shared" si="553"/>
        <v>0</v>
      </c>
      <c r="FY133" s="2226">
        <f t="shared" si="553"/>
        <v>0</v>
      </c>
      <c r="FZ133" s="364">
        <f t="shared" si="553"/>
        <v>0</v>
      </c>
      <c r="GB133" s="2227">
        <f t="shared" ref="GB133:GH133" si="554">SUM(GB118:GB132)</f>
        <v>0</v>
      </c>
      <c r="GC133" s="2227">
        <f t="shared" si="554"/>
        <v>0</v>
      </c>
      <c r="GD133" s="2227">
        <f t="shared" si="554"/>
        <v>0</v>
      </c>
      <c r="GE133" s="2227">
        <f t="shared" si="554"/>
        <v>0</v>
      </c>
      <c r="GF133" s="2227">
        <f t="shared" si="554"/>
        <v>0</v>
      </c>
      <c r="GG133" s="2227">
        <f t="shared" si="554"/>
        <v>0</v>
      </c>
      <c r="GH133" s="365">
        <f t="shared" si="554"/>
        <v>0</v>
      </c>
      <c r="GJ133" s="2230">
        <f t="shared" ref="GJ133:GP133" si="555">SUM(GJ118:GJ132)</f>
        <v>0</v>
      </c>
      <c r="GK133" s="2230">
        <f t="shared" si="555"/>
        <v>0</v>
      </c>
      <c r="GL133" s="2230">
        <f t="shared" si="555"/>
        <v>0</v>
      </c>
      <c r="GM133" s="2230">
        <f t="shared" si="555"/>
        <v>0</v>
      </c>
      <c r="GN133" s="2230">
        <f t="shared" si="555"/>
        <v>0</v>
      </c>
      <c r="GO133" s="2230">
        <f t="shared" si="555"/>
        <v>0</v>
      </c>
      <c r="GP133" s="366">
        <f t="shared" si="555"/>
        <v>0</v>
      </c>
      <c r="GR133" s="2296">
        <f t="shared" ref="GR133:GX133" si="556">SUM(GR118:GR132)</f>
        <v>0</v>
      </c>
      <c r="GS133" s="2296">
        <f t="shared" si="556"/>
        <v>0</v>
      </c>
      <c r="GT133" s="2296">
        <f t="shared" si="556"/>
        <v>0</v>
      </c>
      <c r="GU133" s="2296">
        <f t="shared" si="556"/>
        <v>0</v>
      </c>
      <c r="GV133" s="2296">
        <f t="shared" si="556"/>
        <v>0</v>
      </c>
      <c r="GW133" s="2296">
        <f t="shared" si="556"/>
        <v>0</v>
      </c>
      <c r="GX133" s="1110">
        <f t="shared" si="556"/>
        <v>0</v>
      </c>
      <c r="GZ133" s="1215">
        <f t="shared" si="528"/>
        <v>0</v>
      </c>
      <c r="HA133" s="1216">
        <f t="shared" si="529"/>
        <v>0</v>
      </c>
      <c r="HB133" s="1216">
        <f t="shared" si="530"/>
        <v>0</v>
      </c>
      <c r="HC133" s="1216">
        <f t="shared" si="531"/>
        <v>0</v>
      </c>
      <c r="HD133" s="1216">
        <f t="shared" si="532"/>
        <v>0</v>
      </c>
      <c r="HE133" s="1216">
        <f t="shared" si="533"/>
        <v>0</v>
      </c>
      <c r="HF133" s="1216">
        <f t="shared" si="534"/>
        <v>0</v>
      </c>
      <c r="HG133" s="275">
        <f t="shared" ca="1" si="535"/>
        <v>0</v>
      </c>
      <c r="HH133" s="257"/>
    </row>
    <row r="134" spans="1:216" ht="15" hidden="1" customHeight="1" x14ac:dyDescent="0.25">
      <c r="A134" s="25"/>
      <c r="B134" s="3211" t="s">
        <v>133</v>
      </c>
      <c r="C134" s="123" t="str">
        <f>('DATA INPUT'!B51&amp;" "&amp;"-"&amp;" "&amp;'DATA INPUT'!H51)</f>
        <v>TBD - Part Time &amp; Temporary</v>
      </c>
      <c r="D134" s="347">
        <f ca="1">'Calc - OTHER PERS'!L11</f>
        <v>5070</v>
      </c>
      <c r="E134" s="347">
        <f ca="1">'Calc - OTHER PERS'!L12</f>
        <v>0</v>
      </c>
      <c r="F134" s="347">
        <f ca="1">'Calc - OTHER PERS'!L13</f>
        <v>0</v>
      </c>
      <c r="G134" s="347">
        <f ca="1">'Calc - OTHER PERS'!L14</f>
        <v>0</v>
      </c>
      <c r="H134" s="347">
        <f ca="1">'Calc - OTHER PERS'!L15</f>
        <v>0</v>
      </c>
      <c r="I134" s="347">
        <f ca="1">'Calc - OTHER PERS'!L16</f>
        <v>0</v>
      </c>
      <c r="J134" s="87">
        <f t="shared" ref="J134:J148" ca="1" si="557">SUM(D134:I134)</f>
        <v>5070</v>
      </c>
      <c r="K134" s="24"/>
      <c r="L134" s="8"/>
      <c r="M134" s="24"/>
      <c r="N134" s="2220">
        <f ca="1">IF(AND((OFFSET('DATA INPUT'!$C$51, ROW()-ROW($N$134),0)=$N$10),
 (OFFSET('DATA INPUT'!$V$51,ROW()-ROW($N$134),0)=3)),
OFFSET('Calc - OTHER PERS'!$S$11,COLUMN()-COLUMN($N$134) + (ROW()-ROW($N$134))*14,0),0)</f>
        <v>0</v>
      </c>
      <c r="O134" s="347">
        <f ca="1">IF(AND((OFFSET('DATA INPUT'!$C$51, ROW()-ROW($N$134),0)=$N$10),
 (OFFSET('DATA INPUT'!$V$51,ROW()-ROW($N$134),0)=3)),
OFFSET('Calc - OTHER PERS'!$S$11,COLUMN()-COLUMN($N$134) + (ROW()-ROW($N$134))*14,0),0)</f>
        <v>0</v>
      </c>
      <c r="P134" s="347">
        <f ca="1">IF(AND((OFFSET('DATA INPUT'!$C$51, ROW()-ROW($N$134),0)=$N$10),
 (OFFSET('DATA INPUT'!$V$51,ROW()-ROW($N$134),0)=3)),
OFFSET('Calc - OTHER PERS'!$S$11,COLUMN()-COLUMN($N$134) + (ROW()-ROW($N$134))*14,0),0)</f>
        <v>0</v>
      </c>
      <c r="Q134" s="347">
        <f ca="1">IF(AND((OFFSET('DATA INPUT'!$C$51, ROW()-ROW($N$134),0)=$N$10),
 (OFFSET('DATA INPUT'!$V$51,ROW()-ROW($N$134),0)=3)),
OFFSET('Calc - OTHER PERS'!$S$11,COLUMN()-COLUMN($N$134) + (ROW()-ROW($N$134))*14,0),0)</f>
        <v>0</v>
      </c>
      <c r="R134" s="347">
        <f ca="1">IF(AND((OFFSET('DATA INPUT'!$C$51, ROW()-ROW($N$134),0)=$N$10),
 (OFFSET('DATA INPUT'!$V$51,ROW()-ROW($N$134),0)=3)),
OFFSET('Calc - OTHER PERS'!$S$11,COLUMN()-COLUMN($N$134) + (ROW()-ROW($N$134))*14,0),0)</f>
        <v>0</v>
      </c>
      <c r="S134" s="347">
        <f ca="1">IF(AND((OFFSET('DATA INPUT'!$C$51, ROW()-ROW($N$134),0)=$N$10),
 (OFFSET('DATA INPUT'!$V$51,ROW()-ROW($N$134),0)=3)),
OFFSET('Calc - OTHER PERS'!$S$11,COLUMN()-COLUMN($N$134) + (ROW()-ROW($N$134))*14,0),0)</f>
        <v>0</v>
      </c>
      <c r="T134" s="166">
        <f t="shared" ca="1" si="458"/>
        <v>0</v>
      </c>
      <c r="U134" s="1"/>
      <c r="V134" s="2220">
        <f ca="1">IF(AND((OFFSET('DATA INPUT'!$C$51, ROW()-ROW($V$134),0)=$V$10),
 (OFFSET('DATA INPUT'!$V$51,ROW()-ROW($V$134),0)=3)),
OFFSET('Calc - OTHER PERS'!$S$11,COLUMN()-COLUMN($V$134) + (ROW()-ROW($V$134))*14,0),0)</f>
        <v>0</v>
      </c>
      <c r="W134" s="347">
        <f ca="1">IF(AND((OFFSET('DATA INPUT'!$C$51, ROW()-ROW($V$134),0)=$V$10),
 (OFFSET('DATA INPUT'!$V$51,ROW()-ROW($V$134),0)=3)),
OFFSET('Calc - OTHER PERS'!$S$11,COLUMN()-COLUMN($V$134) + (ROW()-ROW($V$134))*14,0),0)</f>
        <v>0</v>
      </c>
      <c r="X134" s="347">
        <f ca="1">IF(AND((OFFSET('DATA INPUT'!$C$51, ROW()-ROW($V$134),0)=$V$10),
 (OFFSET('DATA INPUT'!$V$51,ROW()-ROW($V$134),0)=3)),
OFFSET('Calc - OTHER PERS'!$S$11,COLUMN()-COLUMN($V$134) + (ROW()-ROW($V$134))*14,0),0)</f>
        <v>0</v>
      </c>
      <c r="Y134" s="347">
        <f ca="1">IF(AND((OFFSET('DATA INPUT'!$C$51, ROW()-ROW($V$134),0)=$V$10),
 (OFFSET('DATA INPUT'!$V$51,ROW()-ROW($V$134),0)=3)),
OFFSET('Calc - OTHER PERS'!$S$11,COLUMN()-COLUMN($V$134) + (ROW()-ROW($V$134))*14,0),0)</f>
        <v>0</v>
      </c>
      <c r="Z134" s="347">
        <f ca="1">IF(AND((OFFSET('DATA INPUT'!$C$51, ROW()-ROW($V$134),0)=$V$10),
 (OFFSET('DATA INPUT'!$V$51,ROW()-ROW($V$134),0)=3)),
OFFSET('Calc - OTHER PERS'!$S$11,COLUMN()-COLUMN($V$134) + (ROW()-ROW($V$134))*14,0),0)</f>
        <v>0</v>
      </c>
      <c r="AA134" s="347">
        <f ca="1">IF(AND((OFFSET('DATA INPUT'!$C$51, ROW()-ROW($V$134),0)=$V$10),
 (OFFSET('DATA INPUT'!$V$51,ROW()-ROW($V$134),0)=3)),
OFFSET('Calc - OTHER PERS'!$S$11,COLUMN()-COLUMN($V$134) + (ROW()-ROW($V$134))*14,0),0)</f>
        <v>0</v>
      </c>
      <c r="AB134" s="140">
        <f t="shared" ca="1" si="459"/>
        <v>0</v>
      </c>
      <c r="AD134" s="2220">
        <f ca="1">IF(AND((OFFSET('DATA INPUT'!$C$51, ROW()-ROW($AD$134),0)=$AD$10),
 (OFFSET('DATA INPUT'!$V$51,ROW()-ROW($AD$134),0)=3)),
OFFSET('Calc - OTHER PERS'!$S$11,COLUMN()-COLUMN($AD$134) + (ROW()-ROW($AD$134))*14,0),0)</f>
        <v>0</v>
      </c>
      <c r="AE134" s="347">
        <f ca="1">IF(AND((OFFSET('DATA INPUT'!$C$51, ROW()-ROW($AD$134),0)=$AD$10),
 (OFFSET('DATA INPUT'!$V$51,ROW()-ROW($AD$134),0)=3)),
OFFSET('Calc - OTHER PERS'!$S$11,COLUMN()-COLUMN($AD$134) + (ROW()-ROW($AD$134))*14,0),0)</f>
        <v>0</v>
      </c>
      <c r="AF134" s="347">
        <f ca="1">IF(AND((OFFSET('DATA INPUT'!$C$51, ROW()-ROW($AD$134),0)=$AD$10),
 (OFFSET('DATA INPUT'!$V$51,ROW()-ROW($AD$134),0)=3)),
OFFSET('Calc - OTHER PERS'!$S$11,COLUMN()-COLUMN($AD$134) + (ROW()-ROW($AD$134))*14,0),0)</f>
        <v>0</v>
      </c>
      <c r="AG134" s="347">
        <f ca="1">IF(AND((OFFSET('DATA INPUT'!$C$51, ROW()-ROW($AD$134),0)=$AD$10),
 (OFFSET('DATA INPUT'!$V$51,ROW()-ROW($AD$134),0)=3)),
OFFSET('Calc - OTHER PERS'!$S$11,COLUMN()-COLUMN($AD$134) + (ROW()-ROW($AD$134))*14,0),0)</f>
        <v>0</v>
      </c>
      <c r="AH134" s="347">
        <f ca="1">IF(AND((OFFSET('DATA INPUT'!$C$51, ROW()-ROW($AD$134),0)=$AD$10),
 (OFFSET('DATA INPUT'!$V$51,ROW()-ROW($AD$134),0)=3)),
OFFSET('Calc - OTHER PERS'!$S$11,COLUMN()-COLUMN($AD$134) + (ROW()-ROW($AD$134))*14,0),0)</f>
        <v>0</v>
      </c>
      <c r="AI134" s="347">
        <f ca="1">IF(AND((OFFSET('DATA INPUT'!$C$51, ROW()-ROW($AD$134),0)=$AD$10),
 (OFFSET('DATA INPUT'!$V$51,ROW()-ROW($AD$134),0)=3)),
OFFSET('Calc - OTHER PERS'!$S$11,COLUMN()-COLUMN($AD$134) + (ROW()-ROW($AD$134))*14,0),0)</f>
        <v>0</v>
      </c>
      <c r="AJ134" s="208">
        <f t="shared" ref="AJ134:AJ148" ca="1" si="558">SUM(AD134:AI134)</f>
        <v>0</v>
      </c>
      <c r="AL134" s="2220">
        <f ca="1">IF(AND((OFFSET('DATA INPUT'!$C$51, ROW()-ROW($AL$134),0)=$AL$10),
 (OFFSET('DATA INPUT'!$V$51,ROW()-ROW($AL$134),0)=3)),
OFFSET('Calc - OTHER PERS'!$S$11,COLUMN()-COLUMN($AL$134) + (ROW()-ROW($AL$134))*14,0),0)</f>
        <v>0</v>
      </c>
      <c r="AM134" s="347">
        <f ca="1">IF(AND((OFFSET('DATA INPUT'!$C$51, ROW()-ROW($AL$134),0)=$AL$10),
 (OFFSET('DATA INPUT'!$V$51,ROW()-ROW($AL$134),0)=3)),
OFFSET('Calc - OTHER PERS'!$S$11,COLUMN()-COLUMN($AL$134) + (ROW()-ROW($AL$134))*14,0),0)</f>
        <v>0</v>
      </c>
      <c r="AN134" s="347">
        <f ca="1">IF(AND((OFFSET('DATA INPUT'!$C$51, ROW()-ROW($AL$134),0)=$AL$10),
 (OFFSET('DATA INPUT'!$V$51,ROW()-ROW($AL$134),0)=3)),
OFFSET('Calc - OTHER PERS'!$S$11,COLUMN()-COLUMN($AL$134) + (ROW()-ROW($AL$134))*14,0),0)</f>
        <v>0</v>
      </c>
      <c r="AO134" s="347">
        <f ca="1">IF(AND((OFFSET('DATA INPUT'!$C$51, ROW()-ROW($AL$134),0)=$AL$10),
 (OFFSET('DATA INPUT'!$V$51,ROW()-ROW($AL$134),0)=3)),
OFFSET('Calc - OTHER PERS'!$S$11,COLUMN()-COLUMN($AL$134) + (ROW()-ROW($AL$134))*14,0),0)</f>
        <v>0</v>
      </c>
      <c r="AP134" s="347">
        <f ca="1">IF(AND((OFFSET('DATA INPUT'!$C$51, ROW()-ROW($AL$134),0)=$AL$10),
 (OFFSET('DATA INPUT'!$V$51,ROW()-ROW($AL$134),0)=3)),
OFFSET('Calc - OTHER PERS'!$S$11,COLUMN()-COLUMN($AL$134) + (ROW()-ROW($AL$134))*14,0),0)</f>
        <v>0</v>
      </c>
      <c r="AQ134" s="347">
        <f ca="1">IF(AND((OFFSET('DATA INPUT'!$C$51, ROW()-ROW($AL$134),0)=$AL$10),
 (OFFSET('DATA INPUT'!$V$51,ROW()-ROW($AL$134),0)=3)),
OFFSET('Calc - OTHER PERS'!$S$11,COLUMN()-COLUMN($AL$134) + (ROW()-ROW($AL$134))*14,0),0)</f>
        <v>0</v>
      </c>
      <c r="AR134" s="180">
        <f t="shared" ref="AR134:AR148" ca="1" si="559">SUM(AL134:AQ134)</f>
        <v>0</v>
      </c>
      <c r="AT134" s="2220">
        <f ca="1">IF(AND((OFFSET('DATA INPUT'!$C$51, ROW()-ROW($AT$134),0)=$AT$10),
 (OFFSET('DATA INPUT'!$V$51,ROW()-ROW($AT$134),0)=3)),
OFFSET('Calc - OTHER PERS'!$S$11,COLUMN()-COLUMN($AT$134) + (ROW()-ROW($AT$134))*14,0),0)</f>
        <v>0</v>
      </c>
      <c r="AU134" s="347">
        <f ca="1">IF(AND((OFFSET('DATA INPUT'!$C$51, ROW()-ROW($AT$134),0)=$AT$10),
 (OFFSET('DATA INPUT'!$V$51,ROW()-ROW($AT$134),0)=3)),
OFFSET('Calc - OTHER PERS'!$S$11,COLUMN()-COLUMN($AT$134) + (ROW()-ROW($AT$134))*14,0),0)</f>
        <v>0</v>
      </c>
      <c r="AV134" s="347">
        <f ca="1">IF(AND((OFFSET('DATA INPUT'!$C$51, ROW()-ROW($AT$134),0)=$AT$10),
 (OFFSET('DATA INPUT'!$V$51,ROW()-ROW($AT$134),0)=3)),
OFFSET('Calc - OTHER PERS'!$S$11,COLUMN()-COLUMN($AT$134) + (ROW()-ROW($AT$134))*14,0),0)</f>
        <v>0</v>
      </c>
      <c r="AW134" s="347">
        <f ca="1">IF(AND((OFFSET('DATA INPUT'!$C$51, ROW()-ROW($AT$134),0)=$AT$10),
 (OFFSET('DATA INPUT'!$V$51,ROW()-ROW($AT$134),0)=3)),
OFFSET('Calc - OTHER PERS'!$S$11,COLUMN()-COLUMN($AT$134) + (ROW()-ROW($AT$134))*14,0),0)</f>
        <v>0</v>
      </c>
      <c r="AX134" s="347">
        <f ca="1">IF(AND((OFFSET('DATA INPUT'!$C$51, ROW()-ROW($AT$134),0)=$AT$10),
 (OFFSET('DATA INPUT'!$V$51,ROW()-ROW($AT$134),0)=3)),
OFFSET('Calc - OTHER PERS'!$S$11,COLUMN()-COLUMN($AT$134) + (ROW()-ROW($AT$134))*14,0),0)</f>
        <v>0</v>
      </c>
      <c r="AY134" s="347">
        <f ca="1">IF(AND((OFFSET('DATA INPUT'!$C$51, ROW()-ROW($AT$134),0)=$AT$10),
 (OFFSET('DATA INPUT'!$V$51,ROW()-ROW($AT$134),0)=3)),
OFFSET('Calc - OTHER PERS'!$S$11,COLUMN()-COLUMN($AT$134) + (ROW()-ROW($AT$134))*14,0),0)</f>
        <v>0</v>
      </c>
      <c r="AZ134" s="152">
        <f t="shared" ref="AZ134:AZ148" ca="1" si="560">SUM(AT134:AY134)</f>
        <v>0</v>
      </c>
      <c r="BB134" s="2220">
        <f ca="1">IF(AND((OFFSET('DATA INPUT'!$C$51, ROW()-ROW($BB$134),0)=$BB$10),
 (OFFSET('DATA INPUT'!$V$51,ROW()-ROW($BB$134),0)=3)),
OFFSET('Calc - OTHER PERS'!$S$11,COLUMN()-COLUMN($BB$134) + (ROW()-ROW($BB$134))*14,0),0)</f>
        <v>0</v>
      </c>
      <c r="BC134" s="347">
        <f ca="1">IF(AND((OFFSET('DATA INPUT'!$C$51, ROW()-ROW($BB$134),0)=$BB$10),
 (OFFSET('DATA INPUT'!$V$51,ROW()-ROW($BB$134),0)=3)),
OFFSET('Calc - OTHER PERS'!$S$11,COLUMN()-COLUMN($BB$134) + (ROW()-ROW($BB$134))*14,0),0)</f>
        <v>0</v>
      </c>
      <c r="BD134" s="347">
        <f ca="1">IF(AND((OFFSET('DATA INPUT'!$C$51, ROW()-ROW($BB$134),0)=$BB$10),
 (OFFSET('DATA INPUT'!$V$51,ROW()-ROW($BB$134),0)=3)),
OFFSET('Calc - OTHER PERS'!$S$11,COLUMN()-COLUMN($BB$134) + (ROW()-ROW($BB$134))*14,0),0)</f>
        <v>0</v>
      </c>
      <c r="BE134" s="347">
        <f ca="1">IF(AND((OFFSET('DATA INPUT'!$C$51, ROW()-ROW($BB$134),0)=$BB$10),
 (OFFSET('DATA INPUT'!$V$51,ROW()-ROW($BB$134),0)=3)),
OFFSET('Calc - OTHER PERS'!$S$11,COLUMN()-COLUMN($BB$134) + (ROW()-ROW($BB$134))*14,0),0)</f>
        <v>0</v>
      </c>
      <c r="BF134" s="347">
        <f ca="1">IF(AND((OFFSET('DATA INPUT'!$C$51, ROW()-ROW($BB$134),0)=$BB$10),
 (OFFSET('DATA INPUT'!$V$51,ROW()-ROW($BB$134),0)=3)),
OFFSET('Calc - OTHER PERS'!$S$11,COLUMN()-COLUMN($BB$134) + (ROW()-ROW($BB$134))*14,0),0)</f>
        <v>0</v>
      </c>
      <c r="BG134" s="347">
        <f ca="1">IF(AND((OFFSET('DATA INPUT'!$C$51, ROW()-ROW($BB$134),0)=$BB$10),
 (OFFSET('DATA INPUT'!$V$51,ROW()-ROW($BB$134),0)=3)),
OFFSET('Calc - OTHER PERS'!$S$11,COLUMN()-COLUMN($BB$134) + (ROW()-ROW($BB$134))*14,0),0)</f>
        <v>0</v>
      </c>
      <c r="BH134" s="194">
        <f t="shared" ref="BH134:BH148" ca="1" si="561">SUM(BB134:BG134)</f>
        <v>0</v>
      </c>
      <c r="BJ134" s="2220"/>
      <c r="BK134" s="347"/>
      <c r="BL134" s="347"/>
      <c r="BM134" s="347"/>
      <c r="BN134" s="347"/>
      <c r="BO134" s="347"/>
      <c r="BP134" s="1104">
        <f t="shared" ref="BP134:BP148" si="562">SUM(BJ134:BO134)</f>
        <v>0</v>
      </c>
      <c r="BR134" s="575">
        <f t="shared" ca="1" si="465"/>
        <v>0</v>
      </c>
      <c r="BS134" s="5">
        <f t="shared" ca="1" si="466"/>
        <v>0</v>
      </c>
      <c r="BT134" s="5">
        <f t="shared" ca="1" si="467"/>
        <v>0</v>
      </c>
      <c r="BU134" s="5">
        <f t="shared" ca="1" si="468"/>
        <v>0</v>
      </c>
      <c r="BV134" s="5">
        <f t="shared" ca="1" si="469"/>
        <v>0</v>
      </c>
      <c r="BW134" s="5">
        <f t="shared" ca="1" si="470"/>
        <v>0</v>
      </c>
      <c r="BX134" s="2175">
        <f t="shared" ca="1" si="471"/>
        <v>0</v>
      </c>
      <c r="BY134" s="573">
        <f t="shared" ca="1" si="472"/>
        <v>5070</v>
      </c>
      <c r="BZ134" s="257"/>
      <c r="CB134" s="1278">
        <f ca="1">'Calc - OTHER PERS'!$L$11</f>
        <v>5070</v>
      </c>
      <c r="CC134" s="1279">
        <f ca="1">'Calc - OTHER PERS'!$L$12/12*3</f>
        <v>0</v>
      </c>
      <c r="CD134" s="1280">
        <f ca="1">'Calc - OTHER PERS'!$L$12/12*3</f>
        <v>0</v>
      </c>
      <c r="CE134" s="1280">
        <f ca="1">'Calc - OTHER PERS'!$L$12/12*2</f>
        <v>0</v>
      </c>
      <c r="CF134" s="1280">
        <f ca="1">'Calc - OTHER PERS'!$L$12/12*1</f>
        <v>0</v>
      </c>
      <c r="CG134" s="1281">
        <f ca="1">'Calc - OTHER PERS'!$L$12/12*3</f>
        <v>0</v>
      </c>
      <c r="CH134" s="1282">
        <f ca="1">'Calc - OTHER PERS'!$L$13/12*3</f>
        <v>0</v>
      </c>
      <c r="CI134" s="1283">
        <f ca="1">'Calc - OTHER PERS'!$L$13/12*3</f>
        <v>0</v>
      </c>
      <c r="CJ134" s="1283">
        <f ca="1">'Calc - OTHER PERS'!$L$13/12*2</f>
        <v>0</v>
      </c>
      <c r="CK134" s="1283">
        <f ca="1">'Calc - OTHER PERS'!$L$13/12*1</f>
        <v>0</v>
      </c>
      <c r="CL134" s="1284">
        <f ca="1">'Calc - OTHER PERS'!$L$13/12*3</f>
        <v>0</v>
      </c>
      <c r="CM134" s="1285">
        <f ca="1">'Calc - OTHER PERS'!$L$14/8*3</f>
        <v>0</v>
      </c>
      <c r="CN134" s="1286">
        <f ca="1">'Calc - OTHER PERS'!$L$14/8*3</f>
        <v>0</v>
      </c>
      <c r="CO134" s="1287">
        <f ca="1">'Calc - OTHER PERS'!$L$14/8*2</f>
        <v>0</v>
      </c>
      <c r="CP134" s="1233">
        <f t="shared" ca="1" si="536"/>
        <v>5070</v>
      </c>
      <c r="CS134" s="575"/>
      <c r="CT134" s="5"/>
      <c r="CU134" s="1180"/>
      <c r="CV134" s="575"/>
      <c r="CW134" s="5"/>
      <c r="CX134" s="1249"/>
      <c r="CY134" s="575"/>
      <c r="CZ134" s="5"/>
      <c r="DA134" s="1180"/>
      <c r="DB134" s="575"/>
      <c r="DC134" s="5"/>
      <c r="DD134" s="1180"/>
      <c r="DE134" s="1181">
        <f>SUM(CS134:DD134)</f>
        <v>0</v>
      </c>
      <c r="DG134" s="575"/>
      <c r="DH134" s="5"/>
      <c r="DI134" s="1180"/>
      <c r="DJ134" s="575"/>
      <c r="DK134" s="5"/>
      <c r="DL134" s="1249"/>
      <c r="DM134" s="575"/>
      <c r="DN134" s="5"/>
      <c r="DO134" s="1180"/>
      <c r="DP134" s="575"/>
      <c r="DQ134" s="5"/>
      <c r="DR134" s="1180"/>
      <c r="DS134" s="1181">
        <f>SUM(DG134:DR134)</f>
        <v>0</v>
      </c>
      <c r="DU134" s="575"/>
      <c r="DV134" s="5"/>
      <c r="DW134" s="1180"/>
      <c r="DX134" s="575"/>
      <c r="DY134" s="5"/>
      <c r="DZ134" s="1249"/>
      <c r="EA134" s="575"/>
      <c r="EB134" s="5"/>
      <c r="EC134" s="1180"/>
      <c r="ED134" s="575"/>
      <c r="EE134" s="5"/>
      <c r="EF134" s="1180"/>
      <c r="EG134" s="1181">
        <f>SUM(DU134:EF134)</f>
        <v>0</v>
      </c>
      <c r="EI134" s="25"/>
      <c r="EJ134" s="3211" t="s">
        <v>133</v>
      </c>
      <c r="EK134" s="123" t="str">
        <f t="shared" ref="EK134:EK148" si="563">C134</f>
        <v>TBD - Part Time &amp; Temporary</v>
      </c>
      <c r="EL134" s="347">
        <f t="shared" ref="EL134:EL148" ca="1" si="564">ROUND(D134,0)</f>
        <v>5070</v>
      </c>
      <c r="EM134" s="347">
        <f t="shared" ref="EM134:EM148" ca="1" si="565">ROUND(E134,0)</f>
        <v>0</v>
      </c>
      <c r="EN134" s="347">
        <f t="shared" ref="EN134:EN148" ca="1" si="566">ROUND(F134,0)</f>
        <v>0</v>
      </c>
      <c r="EO134" s="347">
        <f t="shared" ref="EO134:EO148" ca="1" si="567">ROUND(G134,0)</f>
        <v>0</v>
      </c>
      <c r="EP134" s="347">
        <f t="shared" ref="EP134:EP148" ca="1" si="568">ROUND(H134,0)</f>
        <v>0</v>
      </c>
      <c r="EQ134" s="347">
        <f t="shared" ref="EQ134:EQ148" ca="1" si="569">ROUND(I134,0)</f>
        <v>0</v>
      </c>
      <c r="ER134" s="87">
        <f t="shared" ref="ER134:ER148" ca="1" si="570">SUM(EL134:EQ134)</f>
        <v>5070</v>
      </c>
      <c r="ES134" s="24"/>
      <c r="ET134" s="8"/>
      <c r="EU134" s="24"/>
      <c r="EV134" s="2220">
        <f t="shared" ref="EV134:EV148" ca="1" si="571">ROUND(N134,0)</f>
        <v>0</v>
      </c>
      <c r="EW134" s="347">
        <f t="shared" ref="EW134:EW148" ca="1" si="572">ROUND(O134,0)</f>
        <v>0</v>
      </c>
      <c r="EX134" s="347">
        <f t="shared" ref="EX134:EX148" ca="1" si="573">ROUND(P134,0)</f>
        <v>0</v>
      </c>
      <c r="EY134" s="347">
        <f t="shared" ref="EY134:EY148" ca="1" si="574">ROUND(Q134,0)</f>
        <v>0</v>
      </c>
      <c r="EZ134" s="347">
        <f t="shared" ref="EZ134:EZ148" ca="1" si="575">ROUND(R134,0)</f>
        <v>0</v>
      </c>
      <c r="FA134" s="347">
        <f t="shared" ref="FA134:FA148" ca="1" si="576">ROUND(S134,0)</f>
        <v>0</v>
      </c>
      <c r="FB134" s="166">
        <f t="shared" ca="1" si="491"/>
        <v>0</v>
      </c>
      <c r="FC134" s="1"/>
      <c r="FD134" s="2220">
        <f t="shared" ref="FD134:FD148" ca="1" si="577">ROUND(V134,0)</f>
        <v>0</v>
      </c>
      <c r="FE134" s="347">
        <f t="shared" ref="FE134:FE148" ca="1" si="578">ROUND(W134,0)</f>
        <v>0</v>
      </c>
      <c r="FF134" s="347">
        <f t="shared" ref="FF134:FF148" ca="1" si="579">ROUND(X134,0)</f>
        <v>0</v>
      </c>
      <c r="FG134" s="347">
        <f t="shared" ref="FG134:FG148" ca="1" si="580">ROUND(Y134,0)</f>
        <v>0</v>
      </c>
      <c r="FH134" s="347">
        <f t="shared" ref="FH134:FH148" ca="1" si="581">ROUND(Z134,0)</f>
        <v>0</v>
      </c>
      <c r="FI134" s="347">
        <f t="shared" ref="FI134:FI148" ca="1" si="582">ROUND(AA134,0)</f>
        <v>0</v>
      </c>
      <c r="FJ134" s="140">
        <f t="shared" ca="1" si="498"/>
        <v>0</v>
      </c>
      <c r="FL134" s="2220">
        <f t="shared" ref="FL134:FL148" ca="1" si="583">ROUND(AD134,0)</f>
        <v>0</v>
      </c>
      <c r="FM134" s="347">
        <f t="shared" ref="FM134:FM148" ca="1" si="584">ROUND(AE134,0)</f>
        <v>0</v>
      </c>
      <c r="FN134" s="347">
        <f t="shared" ref="FN134:FN148" ca="1" si="585">ROUND(AF134,0)</f>
        <v>0</v>
      </c>
      <c r="FO134" s="347">
        <f t="shared" ref="FO134:FO148" ca="1" si="586">ROUND(AG134,0)</f>
        <v>0</v>
      </c>
      <c r="FP134" s="347">
        <f t="shared" ref="FP134:FP148" ca="1" si="587">ROUND(AH134,0)</f>
        <v>0</v>
      </c>
      <c r="FQ134" s="347">
        <f t="shared" ref="FQ134:FQ148" ca="1" si="588">ROUND(AI134,0)</f>
        <v>0</v>
      </c>
      <c r="FR134" s="208">
        <f t="shared" ref="FR134:FR148" ca="1" si="589">SUM(FL134:FQ134)</f>
        <v>0</v>
      </c>
      <c r="FT134" s="2220">
        <f t="shared" ref="FT134:FT148" ca="1" si="590">ROUND(AL134,0)</f>
        <v>0</v>
      </c>
      <c r="FU134" s="347">
        <f t="shared" ref="FU134:FU148" ca="1" si="591">ROUND(AM134,0)</f>
        <v>0</v>
      </c>
      <c r="FV134" s="347">
        <f t="shared" ref="FV134:FV148" ca="1" si="592">ROUND(AN134,0)</f>
        <v>0</v>
      </c>
      <c r="FW134" s="347">
        <f t="shared" ref="FW134:FW148" ca="1" si="593">ROUND(AO134,0)</f>
        <v>0</v>
      </c>
      <c r="FX134" s="347">
        <f t="shared" ref="FX134:FX148" ca="1" si="594">ROUND(AP134,0)</f>
        <v>0</v>
      </c>
      <c r="FY134" s="347">
        <f t="shared" ref="FY134:FY148" ca="1" si="595">ROUND(AQ134,0)</f>
        <v>0</v>
      </c>
      <c r="FZ134" s="180">
        <f t="shared" ref="FZ134:FZ148" ca="1" si="596">SUM(FT134:FY134)</f>
        <v>0</v>
      </c>
      <c r="GB134" s="2220">
        <f t="shared" ref="GB134:GB148" ca="1" si="597">ROUND(AT134,0)</f>
        <v>0</v>
      </c>
      <c r="GC134" s="347">
        <f t="shared" ref="GC134:GC148" ca="1" si="598">ROUND(AU134,0)</f>
        <v>0</v>
      </c>
      <c r="GD134" s="347">
        <f t="shared" ref="GD134:GD148" ca="1" si="599">ROUND(AV134,0)</f>
        <v>0</v>
      </c>
      <c r="GE134" s="347">
        <f t="shared" ref="GE134:GE148" ca="1" si="600">ROUND(AW134,0)</f>
        <v>0</v>
      </c>
      <c r="GF134" s="347">
        <f t="shared" ref="GF134:GF148" ca="1" si="601">ROUND(AX134,0)</f>
        <v>0</v>
      </c>
      <c r="GG134" s="347">
        <f t="shared" ref="GG134:GG148" ca="1" si="602">ROUND(AY134,0)</f>
        <v>0</v>
      </c>
      <c r="GH134" s="152">
        <f t="shared" ref="GH134:GH148" ca="1" si="603">SUM(GB134:GG134)</f>
        <v>0</v>
      </c>
      <c r="GJ134" s="2220">
        <f t="shared" ref="GJ134:GJ148" ca="1" si="604">ROUND(BB134,0)</f>
        <v>0</v>
      </c>
      <c r="GK134" s="347">
        <f t="shared" ref="GK134:GK148" ca="1" si="605">ROUND(BC134,0)</f>
        <v>0</v>
      </c>
      <c r="GL134" s="347">
        <f t="shared" ref="GL134:GL148" ca="1" si="606">ROUND(BD134,0)</f>
        <v>0</v>
      </c>
      <c r="GM134" s="347">
        <f t="shared" ref="GM134:GM148" ca="1" si="607">ROUND(BE134,0)</f>
        <v>0</v>
      </c>
      <c r="GN134" s="347">
        <f t="shared" ref="GN134:GN148" ca="1" si="608">ROUND(BF134,0)</f>
        <v>0</v>
      </c>
      <c r="GO134" s="347">
        <f t="shared" ref="GO134:GO148" ca="1" si="609">ROUND(BG134,0)</f>
        <v>0</v>
      </c>
      <c r="GP134" s="194">
        <f t="shared" ref="GP134:GP148" ca="1" si="610">SUM(GJ134:GO134)</f>
        <v>0</v>
      </c>
      <c r="GR134" s="2220"/>
      <c r="GS134" s="347"/>
      <c r="GT134" s="347"/>
      <c r="GU134" s="347"/>
      <c r="GV134" s="347"/>
      <c r="GW134" s="347"/>
      <c r="GX134" s="1104">
        <f t="shared" ref="GX134:GX148" si="611">SUM(GR134:GW134)</f>
        <v>0</v>
      </c>
      <c r="GZ134" s="575">
        <f t="shared" ca="1" si="528"/>
        <v>0</v>
      </c>
      <c r="HA134" s="5">
        <f t="shared" ca="1" si="529"/>
        <v>0</v>
      </c>
      <c r="HB134" s="5">
        <f t="shared" ca="1" si="530"/>
        <v>0</v>
      </c>
      <c r="HC134" s="5">
        <f t="shared" ca="1" si="531"/>
        <v>0</v>
      </c>
      <c r="HD134" s="5">
        <f t="shared" ca="1" si="532"/>
        <v>0</v>
      </c>
      <c r="HE134" s="5">
        <f t="shared" ca="1" si="533"/>
        <v>0</v>
      </c>
      <c r="HF134" s="2175">
        <f t="shared" ca="1" si="534"/>
        <v>0</v>
      </c>
      <c r="HG134" s="573">
        <f t="shared" ca="1" si="535"/>
        <v>5070</v>
      </c>
      <c r="HH134" s="257"/>
    </row>
    <row r="135" spans="1:216" ht="15" hidden="1" customHeight="1" x14ac:dyDescent="0.25">
      <c r="A135" s="22"/>
      <c r="B135" s="3211"/>
      <c r="C135" s="422" t="str">
        <f>('DATA INPUT'!B52&amp;" "&amp;"-"&amp;" "&amp;'DATA INPUT'!H52)</f>
        <v xml:space="preserve"> - </v>
      </c>
      <c r="D135" s="5">
        <f ca="1">'Calc - OTHER PERS'!L25</f>
        <v>0</v>
      </c>
      <c r="E135" s="5">
        <f ca="1">'Calc - OTHER PERS'!L26</f>
        <v>0</v>
      </c>
      <c r="F135" s="5">
        <f ca="1">'Calc - OTHER PERS'!L27</f>
        <v>0</v>
      </c>
      <c r="G135" s="5">
        <f ca="1">'Calc - OTHER PERS'!L28</f>
        <v>0</v>
      </c>
      <c r="H135" s="5">
        <f ca="1">'Calc - OTHER PERS'!L29</f>
        <v>0</v>
      </c>
      <c r="I135" s="5">
        <f ca="1">'Calc - OTHER PERS'!L30</f>
        <v>0</v>
      </c>
      <c r="J135" s="88">
        <f t="shared" ca="1" si="557"/>
        <v>0</v>
      </c>
      <c r="K135" s="8"/>
      <c r="L135" s="24"/>
      <c r="M135" s="8"/>
      <c r="N135" s="575">
        <f ca="1">IF(AND((OFFSET('DATA INPUT'!$C$51, ROW()-ROW($N$134),0)=$N$10),
 (OFFSET('DATA INPUT'!$V$51,ROW()-ROW($N$134),0)=3)),
OFFSET('Calc - OTHER PERS'!$S$11,COLUMN()-COLUMN($N$134) + (ROW()-ROW($N$134))*14,0),0)</f>
        <v>0</v>
      </c>
      <c r="O135" s="5">
        <f ca="1">IF(AND((OFFSET('DATA INPUT'!$C$51, ROW()-ROW($N$134),0)=$N$10),
 (OFFSET('DATA INPUT'!$V$51,ROW()-ROW($N$134),0)=3)),
OFFSET('Calc - OTHER PERS'!$S$11,COLUMN()-COLUMN($N$134) + (ROW()-ROW($N$134))*14,0),0)</f>
        <v>0</v>
      </c>
      <c r="P135" s="5">
        <f ca="1">IF(AND((OFFSET('DATA INPUT'!$C$51, ROW()-ROW($N$134),0)=$N$10),
 (OFFSET('DATA INPUT'!$V$51,ROW()-ROW($N$134),0)=3)),
OFFSET('Calc - OTHER PERS'!$S$11,COLUMN()-COLUMN($N$134) + (ROW()-ROW($N$134))*14,0),0)</f>
        <v>0</v>
      </c>
      <c r="Q135" s="5">
        <f ca="1">IF(AND((OFFSET('DATA INPUT'!$C$51, ROW()-ROW($N$134),0)=$N$10),
 (OFFSET('DATA INPUT'!$V$51,ROW()-ROW($N$134),0)=3)),
OFFSET('Calc - OTHER PERS'!$S$11,COLUMN()-COLUMN($N$134) + (ROW()-ROW($N$134))*14,0),0)</f>
        <v>0</v>
      </c>
      <c r="R135" s="5">
        <f ca="1">IF(AND((OFFSET('DATA INPUT'!$C$51, ROW()-ROW($N$134),0)=$N$10),
 (OFFSET('DATA INPUT'!$V$51,ROW()-ROW($N$134),0)=3)),
OFFSET('Calc - OTHER PERS'!$S$11,COLUMN()-COLUMN($N$134) + (ROW()-ROW($N$134))*14,0),0)</f>
        <v>0</v>
      </c>
      <c r="S135" s="5">
        <f ca="1">IF(AND((OFFSET('DATA INPUT'!$C$51, ROW()-ROW($N$134),0)=$N$10),
 (OFFSET('DATA INPUT'!$V$51,ROW()-ROW($N$134),0)=3)),
OFFSET('Calc - OTHER PERS'!$S$11,COLUMN()-COLUMN($N$134) + (ROW()-ROW($N$134))*14,0),0)</f>
        <v>0</v>
      </c>
      <c r="T135" s="164">
        <f t="shared" ca="1" si="458"/>
        <v>0</v>
      </c>
      <c r="U135" s="1"/>
      <c r="V135" s="575">
        <f ca="1">IF(AND((OFFSET('DATA INPUT'!$C$51, ROW()-ROW($V$134),0)=$V$10),
 (OFFSET('DATA INPUT'!$V$51,ROW()-ROW($V$134),0)=3)),
OFFSET('Calc - OTHER PERS'!$S$11,COLUMN()-COLUMN($V$134) + (ROW()-ROW($V$134))*14,0),0)</f>
        <v>0</v>
      </c>
      <c r="W135" s="5">
        <f ca="1">IF(AND((OFFSET('DATA INPUT'!$C$51, ROW()-ROW($V$134),0)=$V$10),
 (OFFSET('DATA INPUT'!$V$51,ROW()-ROW($V$134),0)=3)),
OFFSET('Calc - OTHER PERS'!$S$11,COLUMN()-COLUMN($V$134) + (ROW()-ROW($V$134))*14,0),0)</f>
        <v>0</v>
      </c>
      <c r="X135" s="5">
        <f ca="1">IF(AND((OFFSET('DATA INPUT'!$C$51, ROW()-ROW($V$134),0)=$V$10),
 (OFFSET('DATA INPUT'!$V$51,ROW()-ROW($V$134),0)=3)),
OFFSET('Calc - OTHER PERS'!$S$11,COLUMN()-COLUMN($V$134) + (ROW()-ROW($V$134))*14,0),0)</f>
        <v>0</v>
      </c>
      <c r="Y135" s="5">
        <f ca="1">IF(AND((OFFSET('DATA INPUT'!$C$51, ROW()-ROW($V$134),0)=$V$10),
 (OFFSET('DATA INPUT'!$V$51,ROW()-ROW($V$134),0)=3)),
OFFSET('Calc - OTHER PERS'!$S$11,COLUMN()-COLUMN($V$134) + (ROW()-ROW($V$134))*14,0),0)</f>
        <v>0</v>
      </c>
      <c r="Z135" s="5">
        <f ca="1">IF(AND((OFFSET('DATA INPUT'!$C$51, ROW()-ROW($V$134),0)=$V$10),
 (OFFSET('DATA INPUT'!$V$51,ROW()-ROW($V$134),0)=3)),
OFFSET('Calc - OTHER PERS'!$S$11,COLUMN()-COLUMN($V$134) + (ROW()-ROW($V$134))*14,0),0)</f>
        <v>0</v>
      </c>
      <c r="AA135" s="5">
        <f ca="1">IF(AND((OFFSET('DATA INPUT'!$C$51, ROW()-ROW($V$134),0)=$V$10),
 (OFFSET('DATA INPUT'!$V$51,ROW()-ROW($V$134),0)=3)),
OFFSET('Calc - OTHER PERS'!$S$11,COLUMN()-COLUMN($V$134) + (ROW()-ROW($V$134))*14,0),0)</f>
        <v>0</v>
      </c>
      <c r="AB135" s="138">
        <f t="shared" ca="1" si="459"/>
        <v>0</v>
      </c>
      <c r="AD135" s="575">
        <f ca="1">IF(AND((OFFSET('DATA INPUT'!$C$51, ROW()-ROW($AD$134),0)=$AD$10),
 (OFFSET('DATA INPUT'!$V$51,ROW()-ROW($AD$134),0)=3)),
OFFSET('Calc - OTHER PERS'!$S$11,COLUMN()-COLUMN($AD$134) + (ROW()-ROW($AD$134))*14,0),0)</f>
        <v>0</v>
      </c>
      <c r="AE135" s="5">
        <f ca="1">IF(AND((OFFSET('DATA INPUT'!$C$51, ROW()-ROW($AD$134),0)=$AD$10),
 (OFFSET('DATA INPUT'!$V$51,ROW()-ROW($AD$134),0)=3)),
OFFSET('Calc - OTHER PERS'!$S$11,COLUMN()-COLUMN($AD$134) + (ROW()-ROW($AD$134))*14,0),0)</f>
        <v>0</v>
      </c>
      <c r="AF135" s="5">
        <f ca="1">IF(AND((OFFSET('DATA INPUT'!$C$51, ROW()-ROW($AD$134),0)=$AD$10),
 (OFFSET('DATA INPUT'!$V$51,ROW()-ROW($AD$134),0)=3)),
OFFSET('Calc - OTHER PERS'!$S$11,COLUMN()-COLUMN($AD$134) + (ROW()-ROW($AD$134))*14,0),0)</f>
        <v>0</v>
      </c>
      <c r="AG135" s="5">
        <f ca="1">IF(AND((OFFSET('DATA INPUT'!$C$51, ROW()-ROW($AD$134),0)=$AD$10),
 (OFFSET('DATA INPUT'!$V$51,ROW()-ROW($AD$134),0)=3)),
OFFSET('Calc - OTHER PERS'!$S$11,COLUMN()-COLUMN($AD$134) + (ROW()-ROW($AD$134))*14,0),0)</f>
        <v>0</v>
      </c>
      <c r="AH135" s="5">
        <f ca="1">IF(AND((OFFSET('DATA INPUT'!$C$51, ROW()-ROW($AD$134),0)=$AD$10),
 (OFFSET('DATA INPUT'!$V$51,ROW()-ROW($AD$134),0)=3)),
OFFSET('Calc - OTHER PERS'!$S$11,COLUMN()-COLUMN($AD$134) + (ROW()-ROW($AD$134))*14,0),0)</f>
        <v>0</v>
      </c>
      <c r="AI135" s="5">
        <f ca="1">IF(AND((OFFSET('DATA INPUT'!$C$51, ROW()-ROW($AD$134),0)=$AD$10),
 (OFFSET('DATA INPUT'!$V$51,ROW()-ROW($AD$134),0)=3)),
OFFSET('Calc - OTHER PERS'!$S$11,COLUMN()-COLUMN($AD$134) + (ROW()-ROW($AD$134))*14,0),0)</f>
        <v>0</v>
      </c>
      <c r="AJ135" s="206">
        <f t="shared" ca="1" si="558"/>
        <v>0</v>
      </c>
      <c r="AL135" s="575">
        <f ca="1">IF(AND((OFFSET('DATA INPUT'!$C$51, ROW()-ROW($AL$134),0)=$AL$10),
 (OFFSET('DATA INPUT'!$V$51,ROW()-ROW($AL$134),0)=3)),
OFFSET('Calc - OTHER PERS'!$S$11,COLUMN()-COLUMN($AL$134) + (ROW()-ROW($AL$134))*14,0),0)</f>
        <v>0</v>
      </c>
      <c r="AM135" s="5">
        <f ca="1">IF(AND((OFFSET('DATA INPUT'!$C$51, ROW()-ROW($AL$134),0)=$AL$10),
 (OFFSET('DATA INPUT'!$V$51,ROW()-ROW($AL$134),0)=3)),
OFFSET('Calc - OTHER PERS'!$S$11,COLUMN()-COLUMN($AL$134) + (ROW()-ROW($AL$134))*14,0),0)</f>
        <v>0</v>
      </c>
      <c r="AN135" s="5">
        <f ca="1">IF(AND((OFFSET('DATA INPUT'!$C$51, ROW()-ROW($AL$134),0)=$AL$10),
 (OFFSET('DATA INPUT'!$V$51,ROW()-ROW($AL$134),0)=3)),
OFFSET('Calc - OTHER PERS'!$S$11,COLUMN()-COLUMN($AL$134) + (ROW()-ROW($AL$134))*14,0),0)</f>
        <v>0</v>
      </c>
      <c r="AO135" s="5">
        <f ca="1">IF(AND((OFFSET('DATA INPUT'!$C$51, ROW()-ROW($AL$134),0)=$AL$10),
 (OFFSET('DATA INPUT'!$V$51,ROW()-ROW($AL$134),0)=3)),
OFFSET('Calc - OTHER PERS'!$S$11,COLUMN()-COLUMN($AL$134) + (ROW()-ROW($AL$134))*14,0),0)</f>
        <v>0</v>
      </c>
      <c r="AP135" s="5">
        <f ca="1">IF(AND((OFFSET('DATA INPUT'!$C$51, ROW()-ROW($AL$134),0)=$AL$10),
 (OFFSET('DATA INPUT'!$V$51,ROW()-ROW($AL$134),0)=3)),
OFFSET('Calc - OTHER PERS'!$S$11,COLUMN()-COLUMN($AL$134) + (ROW()-ROW($AL$134))*14,0),0)</f>
        <v>0</v>
      </c>
      <c r="AQ135" s="5">
        <f ca="1">IF(AND((OFFSET('DATA INPUT'!$C$51, ROW()-ROW($AL$134),0)=$AL$10),
 (OFFSET('DATA INPUT'!$V$51,ROW()-ROW($AL$134),0)=3)),
OFFSET('Calc - OTHER PERS'!$S$11,COLUMN()-COLUMN($AL$134) + (ROW()-ROW($AL$134))*14,0),0)</f>
        <v>0</v>
      </c>
      <c r="AR135" s="178">
        <f t="shared" ca="1" si="559"/>
        <v>0</v>
      </c>
      <c r="AT135" s="575">
        <f ca="1">IF(AND((OFFSET('DATA INPUT'!$C$51, ROW()-ROW($AT$134),0)=$AT$10),
 (OFFSET('DATA INPUT'!$V$51,ROW()-ROW($AT$134),0)=3)),
OFFSET('Calc - OTHER PERS'!$S$11,COLUMN()-COLUMN($AT$134) + (ROW()-ROW($AT$134))*14,0),0)</f>
        <v>0</v>
      </c>
      <c r="AU135" s="5">
        <f ca="1">IF(AND((OFFSET('DATA INPUT'!$C$51, ROW()-ROW($AT$134),0)=$AT$10),
 (OFFSET('DATA INPUT'!$V$51,ROW()-ROW($AT$134),0)=3)),
OFFSET('Calc - OTHER PERS'!$S$11,COLUMN()-COLUMN($AT$134) + (ROW()-ROW($AT$134))*14,0),0)</f>
        <v>0</v>
      </c>
      <c r="AV135" s="5">
        <f ca="1">IF(AND((OFFSET('DATA INPUT'!$C$51, ROW()-ROW($AT$134),0)=$AT$10),
 (OFFSET('DATA INPUT'!$V$51,ROW()-ROW($AT$134),0)=3)),
OFFSET('Calc - OTHER PERS'!$S$11,COLUMN()-COLUMN($AT$134) + (ROW()-ROW($AT$134))*14,0),0)</f>
        <v>0</v>
      </c>
      <c r="AW135" s="5">
        <f ca="1">IF(AND((OFFSET('DATA INPUT'!$C$51, ROW()-ROW($AT$134),0)=$AT$10),
 (OFFSET('DATA INPUT'!$V$51,ROW()-ROW($AT$134),0)=3)),
OFFSET('Calc - OTHER PERS'!$S$11,COLUMN()-COLUMN($AT$134) + (ROW()-ROW($AT$134))*14,0),0)</f>
        <v>0</v>
      </c>
      <c r="AX135" s="5">
        <f ca="1">IF(AND((OFFSET('DATA INPUT'!$C$51, ROW()-ROW($AT$134),0)=$AT$10),
 (OFFSET('DATA INPUT'!$V$51,ROW()-ROW($AT$134),0)=3)),
OFFSET('Calc - OTHER PERS'!$S$11,COLUMN()-COLUMN($AT$134) + (ROW()-ROW($AT$134))*14,0),0)</f>
        <v>0</v>
      </c>
      <c r="AY135" s="5">
        <f ca="1">IF(AND((OFFSET('DATA INPUT'!$C$51, ROW()-ROW($AT$134),0)=$AT$10),
 (OFFSET('DATA INPUT'!$V$51,ROW()-ROW($AT$134),0)=3)),
OFFSET('Calc - OTHER PERS'!$S$11,COLUMN()-COLUMN($AT$134) + (ROW()-ROW($AT$134))*14,0),0)</f>
        <v>0</v>
      </c>
      <c r="AZ135" s="150">
        <f t="shared" ca="1" si="560"/>
        <v>0</v>
      </c>
      <c r="BB135" s="575">
        <f ca="1">IF(AND((OFFSET('DATA INPUT'!$C$51, ROW()-ROW($BB$134),0)=$BB$10),
 (OFFSET('DATA INPUT'!$V$51,ROW()-ROW($BB$134),0)=3)),
OFFSET('Calc - OTHER PERS'!$S$11,COLUMN()-COLUMN($BB$134) + (ROW()-ROW($BB$134))*14,0),0)</f>
        <v>0</v>
      </c>
      <c r="BC135" s="5">
        <f ca="1">IF(AND((OFFSET('DATA INPUT'!$C$51, ROW()-ROW($BB$134),0)=$BB$10),
 (OFFSET('DATA INPUT'!$V$51,ROW()-ROW($BB$134),0)=3)),
OFFSET('Calc - OTHER PERS'!$S$11,COLUMN()-COLUMN($BB$134) + (ROW()-ROW($BB$134))*14,0),0)</f>
        <v>0</v>
      </c>
      <c r="BD135" s="5">
        <f ca="1">IF(AND((OFFSET('DATA INPUT'!$C$51, ROW()-ROW($BB$134),0)=$BB$10),
 (OFFSET('DATA INPUT'!$V$51,ROW()-ROW($BB$134),0)=3)),
OFFSET('Calc - OTHER PERS'!$S$11,COLUMN()-COLUMN($BB$134) + (ROW()-ROW($BB$134))*14,0),0)</f>
        <v>0</v>
      </c>
      <c r="BE135" s="5">
        <f ca="1">IF(AND((OFFSET('DATA INPUT'!$C$51, ROW()-ROW($BB$134),0)=$BB$10),
 (OFFSET('DATA INPUT'!$V$51,ROW()-ROW($BB$134),0)=3)),
OFFSET('Calc - OTHER PERS'!$S$11,COLUMN()-COLUMN($BB$134) + (ROW()-ROW($BB$134))*14,0),0)</f>
        <v>0</v>
      </c>
      <c r="BF135" s="5">
        <f ca="1">IF(AND((OFFSET('DATA INPUT'!$C$51, ROW()-ROW($BB$134),0)=$BB$10),
 (OFFSET('DATA INPUT'!$V$51,ROW()-ROW($BB$134),0)=3)),
OFFSET('Calc - OTHER PERS'!$S$11,COLUMN()-COLUMN($BB$134) + (ROW()-ROW($BB$134))*14,0),0)</f>
        <v>0</v>
      </c>
      <c r="BG135" s="5">
        <f ca="1">IF(AND((OFFSET('DATA INPUT'!$C$51, ROW()-ROW($BB$134),0)=$BB$10),
 (OFFSET('DATA INPUT'!$V$51,ROW()-ROW($BB$134),0)=3)),
OFFSET('Calc - OTHER PERS'!$S$11,COLUMN()-COLUMN($BB$134) + (ROW()-ROW($BB$134))*14,0),0)</f>
        <v>0</v>
      </c>
      <c r="BH135" s="192">
        <f t="shared" ca="1" si="561"/>
        <v>0</v>
      </c>
      <c r="BJ135" s="575"/>
      <c r="BK135" s="5"/>
      <c r="BL135" s="5"/>
      <c r="BM135" s="5"/>
      <c r="BN135" s="5"/>
      <c r="BO135" s="5"/>
      <c r="BP135" s="1102">
        <f t="shared" si="562"/>
        <v>0</v>
      </c>
      <c r="BR135" s="575">
        <f t="shared" ca="1" si="465"/>
        <v>0</v>
      </c>
      <c r="BS135" s="5">
        <f t="shared" ca="1" si="466"/>
        <v>0</v>
      </c>
      <c r="BT135" s="5">
        <f t="shared" ca="1" si="467"/>
        <v>0</v>
      </c>
      <c r="BU135" s="5">
        <f t="shared" ca="1" si="468"/>
        <v>0</v>
      </c>
      <c r="BV135" s="5">
        <f t="shared" ca="1" si="469"/>
        <v>0</v>
      </c>
      <c r="BW135" s="5">
        <f t="shared" ca="1" si="470"/>
        <v>0</v>
      </c>
      <c r="BX135" s="2175">
        <f t="shared" ca="1" si="471"/>
        <v>0</v>
      </c>
      <c r="BY135" s="573">
        <f t="shared" ca="1" si="472"/>
        <v>0</v>
      </c>
      <c r="BZ135" s="257"/>
      <c r="CB135" s="1247">
        <f ca="1">'Calc - OTHER PERS'!$L$25</f>
        <v>0</v>
      </c>
      <c r="CC135" s="387">
        <f ca="1">'Calc - OTHER PERS'!$L$26/12*3</f>
        <v>0</v>
      </c>
      <c r="CD135" s="56">
        <f ca="1">'Calc - OTHER PERS'!$L$26/12*3</f>
        <v>0</v>
      </c>
      <c r="CE135" s="56">
        <f ca="1">'Calc - OTHER PERS'!$L$26/12*2</f>
        <v>0</v>
      </c>
      <c r="CF135" s="56">
        <f ca="1">'Calc - OTHER PERS'!$L$26/12*1</f>
        <v>0</v>
      </c>
      <c r="CG135" s="1183">
        <f ca="1">'Calc - OTHER PERS'!$L$26/12*3</f>
        <v>0</v>
      </c>
      <c r="CH135" s="1248">
        <f ca="1">'Calc - OTHER PERS'!$L$27/12*3</f>
        <v>0</v>
      </c>
      <c r="CI135" s="1185">
        <f ca="1">'Calc - OTHER PERS'!$L$27/12*3</f>
        <v>0</v>
      </c>
      <c r="CJ135" s="1185">
        <f ca="1">'Calc - OTHER PERS'!$L$27/12*2</f>
        <v>0</v>
      </c>
      <c r="CK135" s="1185">
        <f ca="1">'Calc - OTHER PERS'!$L$27/12*1</f>
        <v>0</v>
      </c>
      <c r="CL135" s="1186">
        <f ca="1">'Calc - OTHER PERS'!$L$27/12*3</f>
        <v>0</v>
      </c>
      <c r="CM135" s="1187">
        <f ca="1">'Calc - OTHER PERS'!$L$28/8*3</f>
        <v>0</v>
      </c>
      <c r="CN135" s="1091">
        <f ca="1">'Calc - OTHER PERS'!$L$28/8*3</f>
        <v>0</v>
      </c>
      <c r="CO135" s="1189">
        <f ca="1">'Calc - OTHER PERS'!$L$28/8*2</f>
        <v>0</v>
      </c>
      <c r="CP135" s="1234">
        <f t="shared" ca="1" si="536"/>
        <v>0</v>
      </c>
      <c r="CS135" s="575"/>
      <c r="CT135" s="5"/>
      <c r="CU135" s="1180"/>
      <c r="CV135" s="575"/>
      <c r="CW135" s="5"/>
      <c r="CX135" s="1249"/>
      <c r="CY135" s="575"/>
      <c r="CZ135" s="5"/>
      <c r="DA135" s="1180"/>
      <c r="DB135" s="575"/>
      <c r="DC135" s="5"/>
      <c r="DD135" s="1180"/>
      <c r="DE135" s="1181">
        <f>SUM(CS135:DD135)</f>
        <v>0</v>
      </c>
      <c r="DG135" s="575"/>
      <c r="DH135" s="5"/>
      <c r="DI135" s="1180"/>
      <c r="DJ135" s="575"/>
      <c r="DK135" s="5"/>
      <c r="DL135" s="1249"/>
      <c r="DM135" s="575"/>
      <c r="DN135" s="5"/>
      <c r="DO135" s="1180"/>
      <c r="DP135" s="575"/>
      <c r="DQ135" s="5"/>
      <c r="DR135" s="1180"/>
      <c r="DS135" s="1181">
        <f>SUM(DG135:DR135)</f>
        <v>0</v>
      </c>
      <c r="DU135" s="575"/>
      <c r="DV135" s="5"/>
      <c r="DW135" s="1180"/>
      <c r="DX135" s="575"/>
      <c r="DY135" s="5"/>
      <c r="DZ135" s="1249"/>
      <c r="EA135" s="575"/>
      <c r="EB135" s="5"/>
      <c r="EC135" s="1180"/>
      <c r="ED135" s="575"/>
      <c r="EE135" s="5"/>
      <c r="EF135" s="1180"/>
      <c r="EG135" s="1181">
        <f>SUM(DU135:EF135)</f>
        <v>0</v>
      </c>
      <c r="EI135" s="22"/>
      <c r="EJ135" s="3211"/>
      <c r="EK135" s="123" t="str">
        <f t="shared" si="563"/>
        <v xml:space="preserve"> - </v>
      </c>
      <c r="EL135" s="5">
        <f t="shared" ca="1" si="564"/>
        <v>0</v>
      </c>
      <c r="EM135" s="5">
        <f t="shared" ca="1" si="565"/>
        <v>0</v>
      </c>
      <c r="EN135" s="5">
        <f t="shared" ca="1" si="566"/>
        <v>0</v>
      </c>
      <c r="EO135" s="5">
        <f t="shared" ca="1" si="567"/>
        <v>0</v>
      </c>
      <c r="EP135" s="5">
        <f t="shared" ca="1" si="568"/>
        <v>0</v>
      </c>
      <c r="EQ135" s="5">
        <f t="shared" ca="1" si="569"/>
        <v>0</v>
      </c>
      <c r="ER135" s="88">
        <f t="shared" ca="1" si="570"/>
        <v>0</v>
      </c>
      <c r="ES135" s="8"/>
      <c r="ET135" s="24"/>
      <c r="EU135" s="8"/>
      <c r="EV135" s="575">
        <f t="shared" ca="1" si="571"/>
        <v>0</v>
      </c>
      <c r="EW135" s="5">
        <f t="shared" ca="1" si="572"/>
        <v>0</v>
      </c>
      <c r="EX135" s="5">
        <f t="shared" ca="1" si="573"/>
        <v>0</v>
      </c>
      <c r="EY135" s="5">
        <f t="shared" ca="1" si="574"/>
        <v>0</v>
      </c>
      <c r="EZ135" s="5">
        <f t="shared" ca="1" si="575"/>
        <v>0</v>
      </c>
      <c r="FA135" s="5">
        <f t="shared" ca="1" si="576"/>
        <v>0</v>
      </c>
      <c r="FB135" s="164">
        <f t="shared" ca="1" si="491"/>
        <v>0</v>
      </c>
      <c r="FC135" s="1"/>
      <c r="FD135" s="575">
        <f t="shared" ca="1" si="577"/>
        <v>0</v>
      </c>
      <c r="FE135" s="5">
        <f t="shared" ca="1" si="578"/>
        <v>0</v>
      </c>
      <c r="FF135" s="5">
        <f t="shared" ca="1" si="579"/>
        <v>0</v>
      </c>
      <c r="FG135" s="5">
        <f t="shared" ca="1" si="580"/>
        <v>0</v>
      </c>
      <c r="FH135" s="5">
        <f t="shared" ca="1" si="581"/>
        <v>0</v>
      </c>
      <c r="FI135" s="5">
        <f t="shared" ca="1" si="582"/>
        <v>0</v>
      </c>
      <c r="FJ135" s="138">
        <f t="shared" ca="1" si="498"/>
        <v>0</v>
      </c>
      <c r="FL135" s="575">
        <f t="shared" ca="1" si="583"/>
        <v>0</v>
      </c>
      <c r="FM135" s="5">
        <f t="shared" ca="1" si="584"/>
        <v>0</v>
      </c>
      <c r="FN135" s="5">
        <f t="shared" ca="1" si="585"/>
        <v>0</v>
      </c>
      <c r="FO135" s="5">
        <f t="shared" ca="1" si="586"/>
        <v>0</v>
      </c>
      <c r="FP135" s="5">
        <f t="shared" ca="1" si="587"/>
        <v>0</v>
      </c>
      <c r="FQ135" s="5">
        <f t="shared" ca="1" si="588"/>
        <v>0</v>
      </c>
      <c r="FR135" s="206">
        <f t="shared" ca="1" si="589"/>
        <v>0</v>
      </c>
      <c r="FT135" s="575">
        <f t="shared" ca="1" si="590"/>
        <v>0</v>
      </c>
      <c r="FU135" s="5">
        <f t="shared" ca="1" si="591"/>
        <v>0</v>
      </c>
      <c r="FV135" s="5">
        <f t="shared" ca="1" si="592"/>
        <v>0</v>
      </c>
      <c r="FW135" s="5">
        <f t="shared" ca="1" si="593"/>
        <v>0</v>
      </c>
      <c r="FX135" s="5">
        <f t="shared" ca="1" si="594"/>
        <v>0</v>
      </c>
      <c r="FY135" s="5">
        <f t="shared" ca="1" si="595"/>
        <v>0</v>
      </c>
      <c r="FZ135" s="178">
        <f t="shared" ca="1" si="596"/>
        <v>0</v>
      </c>
      <c r="GB135" s="575">
        <f t="shared" ca="1" si="597"/>
        <v>0</v>
      </c>
      <c r="GC135" s="5">
        <f t="shared" ca="1" si="598"/>
        <v>0</v>
      </c>
      <c r="GD135" s="5">
        <f t="shared" ca="1" si="599"/>
        <v>0</v>
      </c>
      <c r="GE135" s="5">
        <f t="shared" ca="1" si="600"/>
        <v>0</v>
      </c>
      <c r="GF135" s="5">
        <f t="shared" ca="1" si="601"/>
        <v>0</v>
      </c>
      <c r="GG135" s="5">
        <f t="shared" ca="1" si="602"/>
        <v>0</v>
      </c>
      <c r="GH135" s="150">
        <f t="shared" ca="1" si="603"/>
        <v>0</v>
      </c>
      <c r="GJ135" s="575">
        <f t="shared" ca="1" si="604"/>
        <v>0</v>
      </c>
      <c r="GK135" s="5">
        <f t="shared" ca="1" si="605"/>
        <v>0</v>
      </c>
      <c r="GL135" s="5">
        <f t="shared" ca="1" si="606"/>
        <v>0</v>
      </c>
      <c r="GM135" s="5">
        <f t="shared" ca="1" si="607"/>
        <v>0</v>
      </c>
      <c r="GN135" s="5">
        <f t="shared" ca="1" si="608"/>
        <v>0</v>
      </c>
      <c r="GO135" s="5">
        <f t="shared" ca="1" si="609"/>
        <v>0</v>
      </c>
      <c r="GP135" s="192">
        <f t="shared" ca="1" si="610"/>
        <v>0</v>
      </c>
      <c r="GR135" s="575"/>
      <c r="GS135" s="5"/>
      <c r="GT135" s="5"/>
      <c r="GU135" s="5"/>
      <c r="GV135" s="5"/>
      <c r="GW135" s="5"/>
      <c r="GX135" s="1102">
        <f t="shared" si="611"/>
        <v>0</v>
      </c>
      <c r="GZ135" s="575">
        <f t="shared" ca="1" si="528"/>
        <v>0</v>
      </c>
      <c r="HA135" s="5">
        <f t="shared" ca="1" si="529"/>
        <v>0</v>
      </c>
      <c r="HB135" s="5">
        <f t="shared" ca="1" si="530"/>
        <v>0</v>
      </c>
      <c r="HC135" s="5">
        <f t="shared" ca="1" si="531"/>
        <v>0</v>
      </c>
      <c r="HD135" s="5">
        <f t="shared" ca="1" si="532"/>
        <v>0</v>
      </c>
      <c r="HE135" s="5">
        <f t="shared" ca="1" si="533"/>
        <v>0</v>
      </c>
      <c r="HF135" s="2175">
        <f t="shared" ca="1" si="534"/>
        <v>0</v>
      </c>
      <c r="HG135" s="573">
        <f t="shared" ca="1" si="535"/>
        <v>0</v>
      </c>
      <c r="HH135" s="257"/>
    </row>
    <row r="136" spans="1:216" ht="15" hidden="1" customHeight="1" x14ac:dyDescent="0.25">
      <c r="A136" s="25"/>
      <c r="B136" s="3211"/>
      <c r="C136" s="123" t="str">
        <f>('DATA INPUT'!B53&amp;" "&amp;"-"&amp;" "&amp;'DATA INPUT'!H53)</f>
        <v xml:space="preserve"> - </v>
      </c>
      <c r="D136" s="29">
        <f ca="1">'Calc - OTHER PERS'!L39</f>
        <v>0</v>
      </c>
      <c r="E136" s="29">
        <f ca="1">'Calc - OTHER PERS'!L40</f>
        <v>0</v>
      </c>
      <c r="F136" s="29">
        <f ca="1">'Calc - OTHER PERS'!L41</f>
        <v>0</v>
      </c>
      <c r="G136" s="29">
        <f ca="1">'Calc - OTHER PERS'!L42</f>
        <v>0</v>
      </c>
      <c r="H136" s="29">
        <f ca="1">'Calc - OTHER PERS'!L43</f>
        <v>0</v>
      </c>
      <c r="I136" s="29">
        <f ca="1">'Calc - OTHER PERS'!L44</f>
        <v>0</v>
      </c>
      <c r="J136" s="88">
        <f t="shared" ca="1" si="557"/>
        <v>0</v>
      </c>
      <c r="K136" s="24"/>
      <c r="L136" s="8"/>
      <c r="M136" s="24"/>
      <c r="N136" s="2221">
        <f ca="1">IF(AND((OFFSET('DATA INPUT'!$C$51, ROW()-ROW($N$134),0)=$N$10),
 (OFFSET('DATA INPUT'!$V$51,ROW()-ROW($N$134),0)=3)),
OFFSET('Calc - OTHER PERS'!$S$11,COLUMN()-COLUMN($N$134) + (ROW()-ROW($N$134))*14,0),0)</f>
        <v>0</v>
      </c>
      <c r="O136" s="29">
        <f ca="1">IF(AND((OFFSET('DATA INPUT'!$C$51, ROW()-ROW($N$134),0)=$N$10),
 (OFFSET('DATA INPUT'!$V$51,ROW()-ROW($N$134),0)=3)),
OFFSET('Calc - OTHER PERS'!$S$11,COLUMN()-COLUMN($N$134) + (ROW()-ROW($N$134))*14,0),0)</f>
        <v>0</v>
      </c>
      <c r="P136" s="29">
        <f ca="1">IF(AND((OFFSET('DATA INPUT'!$C$51, ROW()-ROW($N$134),0)=$N$10),
 (OFFSET('DATA INPUT'!$V$51,ROW()-ROW($N$134),0)=3)),
OFFSET('Calc - OTHER PERS'!$S$11,COLUMN()-COLUMN($N$134) + (ROW()-ROW($N$134))*14,0),0)</f>
        <v>0</v>
      </c>
      <c r="Q136" s="29">
        <f ca="1">IF(AND((OFFSET('DATA INPUT'!$C$51, ROW()-ROW($N$134),0)=$N$10),
 (OFFSET('DATA INPUT'!$V$51,ROW()-ROW($N$134),0)=3)),
OFFSET('Calc - OTHER PERS'!$S$11,COLUMN()-COLUMN($N$134) + (ROW()-ROW($N$134))*14,0),0)</f>
        <v>0</v>
      </c>
      <c r="R136" s="29">
        <f ca="1">IF(AND((OFFSET('DATA INPUT'!$C$51, ROW()-ROW($N$134),0)=$N$10),
 (OFFSET('DATA INPUT'!$V$51,ROW()-ROW($N$134),0)=3)),
OFFSET('Calc - OTHER PERS'!$S$11,COLUMN()-COLUMN($N$134) + (ROW()-ROW($N$134))*14,0),0)</f>
        <v>0</v>
      </c>
      <c r="S136" s="29">
        <f ca="1">IF(AND((OFFSET('DATA INPUT'!$C$51, ROW()-ROW($N$134),0)=$N$10),
 (OFFSET('DATA INPUT'!$V$51,ROW()-ROW($N$134),0)=3)),
OFFSET('Calc - OTHER PERS'!$S$11,COLUMN()-COLUMN($N$134) + (ROW()-ROW($N$134))*14,0),0)</f>
        <v>0</v>
      </c>
      <c r="T136" s="164">
        <f t="shared" ca="1" si="458"/>
        <v>0</v>
      </c>
      <c r="U136" s="1"/>
      <c r="V136" s="2221">
        <f ca="1">IF(AND((OFFSET('DATA INPUT'!$C$51, ROW()-ROW($V$134),0)=$V$10),
 (OFFSET('DATA INPUT'!$V$51,ROW()-ROW($V$134),0)=3)),
OFFSET('Calc - OTHER PERS'!$S$11,COLUMN()-COLUMN($V$134) + (ROW()-ROW($V$134))*14,0),0)</f>
        <v>0</v>
      </c>
      <c r="W136" s="29">
        <f ca="1">IF(AND((OFFSET('DATA INPUT'!$C$51, ROW()-ROW($V$134),0)=$V$10),
 (OFFSET('DATA INPUT'!$V$51,ROW()-ROW($V$134),0)=3)),
OFFSET('Calc - OTHER PERS'!$S$11,COLUMN()-COLUMN($V$134) + (ROW()-ROW($V$134))*14,0),0)</f>
        <v>0</v>
      </c>
      <c r="X136" s="29">
        <f ca="1">IF(AND((OFFSET('DATA INPUT'!$C$51, ROW()-ROW($V$134),0)=$V$10),
 (OFFSET('DATA INPUT'!$V$51,ROW()-ROW($V$134),0)=3)),
OFFSET('Calc - OTHER PERS'!$S$11,COLUMN()-COLUMN($V$134) + (ROW()-ROW($V$134))*14,0),0)</f>
        <v>0</v>
      </c>
      <c r="Y136" s="29">
        <f ca="1">IF(AND((OFFSET('DATA INPUT'!$C$51, ROW()-ROW($V$134),0)=$V$10),
 (OFFSET('DATA INPUT'!$V$51,ROW()-ROW($V$134),0)=3)),
OFFSET('Calc - OTHER PERS'!$S$11,COLUMN()-COLUMN($V$134) + (ROW()-ROW($V$134))*14,0),0)</f>
        <v>0</v>
      </c>
      <c r="Z136" s="29">
        <f ca="1">IF(AND((OFFSET('DATA INPUT'!$C$51, ROW()-ROW($V$134),0)=$V$10),
 (OFFSET('DATA INPUT'!$V$51,ROW()-ROW($V$134),0)=3)),
OFFSET('Calc - OTHER PERS'!$S$11,COLUMN()-COLUMN($V$134) + (ROW()-ROW($V$134))*14,0),0)</f>
        <v>0</v>
      </c>
      <c r="AA136" s="29">
        <f ca="1">IF(AND((OFFSET('DATA INPUT'!$C$51, ROW()-ROW($V$134),0)=$V$10),
 (OFFSET('DATA INPUT'!$V$51,ROW()-ROW($V$134),0)=3)),
OFFSET('Calc - OTHER PERS'!$S$11,COLUMN()-COLUMN($V$134) + (ROW()-ROW($V$134))*14,0),0)</f>
        <v>0</v>
      </c>
      <c r="AB136" s="138">
        <f t="shared" ca="1" si="459"/>
        <v>0</v>
      </c>
      <c r="AD136" s="2221">
        <f ca="1">IF(AND((OFFSET('DATA INPUT'!$C$51, ROW()-ROW($AD$134),0)=$AD$10),
 (OFFSET('DATA INPUT'!$V$51,ROW()-ROW($AD$134),0)=3)),
OFFSET('Calc - OTHER PERS'!$S$11,COLUMN()-COLUMN($AD$134) + (ROW()-ROW($AD$134))*14,0),0)</f>
        <v>0</v>
      </c>
      <c r="AE136" s="29">
        <f ca="1">IF(AND((OFFSET('DATA INPUT'!$C$51, ROW()-ROW($AD$134),0)=$AD$10),
 (OFFSET('DATA INPUT'!$V$51,ROW()-ROW($AD$134),0)=3)),
OFFSET('Calc - OTHER PERS'!$S$11,COLUMN()-COLUMN($AD$134) + (ROW()-ROW($AD$134))*14,0),0)</f>
        <v>0</v>
      </c>
      <c r="AF136" s="29">
        <f ca="1">IF(AND((OFFSET('DATA INPUT'!$C$51, ROW()-ROW($AD$134),0)=$AD$10),
 (OFFSET('DATA INPUT'!$V$51,ROW()-ROW($AD$134),0)=3)),
OFFSET('Calc - OTHER PERS'!$S$11,COLUMN()-COLUMN($AD$134) + (ROW()-ROW($AD$134))*14,0),0)</f>
        <v>0</v>
      </c>
      <c r="AG136" s="29">
        <f ca="1">IF(AND((OFFSET('DATA INPUT'!$C$51, ROW()-ROW($AD$134),0)=$AD$10),
 (OFFSET('DATA INPUT'!$V$51,ROW()-ROW($AD$134),0)=3)),
OFFSET('Calc - OTHER PERS'!$S$11,COLUMN()-COLUMN($AD$134) + (ROW()-ROW($AD$134))*14,0),0)</f>
        <v>0</v>
      </c>
      <c r="AH136" s="29">
        <f ca="1">IF(AND((OFFSET('DATA INPUT'!$C$51, ROW()-ROW($AD$134),0)=$AD$10),
 (OFFSET('DATA INPUT'!$V$51,ROW()-ROW($AD$134),0)=3)),
OFFSET('Calc - OTHER PERS'!$S$11,COLUMN()-COLUMN($AD$134) + (ROW()-ROW($AD$134))*14,0),0)</f>
        <v>0</v>
      </c>
      <c r="AI136" s="29">
        <f ca="1">IF(AND((OFFSET('DATA INPUT'!$C$51, ROW()-ROW($AD$134),0)=$AD$10),
 (OFFSET('DATA INPUT'!$V$51,ROW()-ROW($AD$134),0)=3)),
OFFSET('Calc - OTHER PERS'!$S$11,COLUMN()-COLUMN($AD$134) + (ROW()-ROW($AD$134))*14,0),0)</f>
        <v>0</v>
      </c>
      <c r="AJ136" s="206">
        <f t="shared" ca="1" si="558"/>
        <v>0</v>
      </c>
      <c r="AL136" s="2221">
        <f ca="1">IF(AND((OFFSET('DATA INPUT'!$C$51, ROW()-ROW($AL$134),0)=$AL$10),
 (OFFSET('DATA INPUT'!$V$51,ROW()-ROW($AL$134),0)=3)),
OFFSET('Calc - OTHER PERS'!$S$11,COLUMN()-COLUMN($AL$134) + (ROW()-ROW($AL$134))*14,0),0)</f>
        <v>0</v>
      </c>
      <c r="AM136" s="29">
        <f ca="1">IF(AND((OFFSET('DATA INPUT'!$C$51, ROW()-ROW($AL$134),0)=$AL$10),
 (OFFSET('DATA INPUT'!$V$51,ROW()-ROW($AL$134),0)=3)),
OFFSET('Calc - OTHER PERS'!$S$11,COLUMN()-COLUMN($AL$134) + (ROW()-ROW($AL$134))*14,0),0)</f>
        <v>0</v>
      </c>
      <c r="AN136" s="29">
        <f ca="1">IF(AND((OFFSET('DATA INPUT'!$C$51, ROW()-ROW($AL$134),0)=$AL$10),
 (OFFSET('DATA INPUT'!$V$51,ROW()-ROW($AL$134),0)=3)),
OFFSET('Calc - OTHER PERS'!$S$11,COLUMN()-COLUMN($AL$134) + (ROW()-ROW($AL$134))*14,0),0)</f>
        <v>0</v>
      </c>
      <c r="AO136" s="29">
        <f ca="1">IF(AND((OFFSET('DATA INPUT'!$C$51, ROW()-ROW($AL$134),0)=$AL$10),
 (OFFSET('DATA INPUT'!$V$51,ROW()-ROW($AL$134),0)=3)),
OFFSET('Calc - OTHER PERS'!$S$11,COLUMN()-COLUMN($AL$134) + (ROW()-ROW($AL$134))*14,0),0)</f>
        <v>0</v>
      </c>
      <c r="AP136" s="29">
        <f ca="1">IF(AND((OFFSET('DATA INPUT'!$C$51, ROW()-ROW($AL$134),0)=$AL$10),
 (OFFSET('DATA INPUT'!$V$51,ROW()-ROW($AL$134),0)=3)),
OFFSET('Calc - OTHER PERS'!$S$11,COLUMN()-COLUMN($AL$134) + (ROW()-ROW($AL$134))*14,0),0)</f>
        <v>0</v>
      </c>
      <c r="AQ136" s="29">
        <f ca="1">IF(AND((OFFSET('DATA INPUT'!$C$51, ROW()-ROW($AL$134),0)=$AL$10),
 (OFFSET('DATA INPUT'!$V$51,ROW()-ROW($AL$134),0)=3)),
OFFSET('Calc - OTHER PERS'!$S$11,COLUMN()-COLUMN($AL$134) + (ROW()-ROW($AL$134))*14,0),0)</f>
        <v>0</v>
      </c>
      <c r="AR136" s="178">
        <f t="shared" ca="1" si="559"/>
        <v>0</v>
      </c>
      <c r="AT136" s="2221">
        <f ca="1">IF(AND((OFFSET('DATA INPUT'!$C$51, ROW()-ROW($AT$134),0)=$AT$10),
 (OFFSET('DATA INPUT'!$V$51,ROW()-ROW($AT$134),0)=3)),
OFFSET('Calc - OTHER PERS'!$S$11,COLUMN()-COLUMN($AT$134) + (ROW()-ROW($AT$134))*14,0),0)</f>
        <v>0</v>
      </c>
      <c r="AU136" s="29">
        <f ca="1">IF(AND((OFFSET('DATA INPUT'!$C$51, ROW()-ROW($AT$134),0)=$AT$10),
 (OFFSET('DATA INPUT'!$V$51,ROW()-ROW($AT$134),0)=3)),
OFFSET('Calc - OTHER PERS'!$S$11,COLUMN()-COLUMN($AT$134) + (ROW()-ROW($AT$134))*14,0),0)</f>
        <v>0</v>
      </c>
      <c r="AV136" s="29">
        <f ca="1">IF(AND((OFFSET('DATA INPUT'!$C$51, ROW()-ROW($AT$134),0)=$AT$10),
 (OFFSET('DATA INPUT'!$V$51,ROW()-ROW($AT$134),0)=3)),
OFFSET('Calc - OTHER PERS'!$S$11,COLUMN()-COLUMN($AT$134) + (ROW()-ROW($AT$134))*14,0),0)</f>
        <v>0</v>
      </c>
      <c r="AW136" s="29">
        <f ca="1">IF(AND((OFFSET('DATA INPUT'!$C$51, ROW()-ROW($AT$134),0)=$AT$10),
 (OFFSET('DATA INPUT'!$V$51,ROW()-ROW($AT$134),0)=3)),
OFFSET('Calc - OTHER PERS'!$S$11,COLUMN()-COLUMN($AT$134) + (ROW()-ROW($AT$134))*14,0),0)</f>
        <v>0</v>
      </c>
      <c r="AX136" s="29">
        <f ca="1">IF(AND((OFFSET('DATA INPUT'!$C$51, ROW()-ROW($AT$134),0)=$AT$10),
 (OFFSET('DATA INPUT'!$V$51,ROW()-ROW($AT$134),0)=3)),
OFFSET('Calc - OTHER PERS'!$S$11,COLUMN()-COLUMN($AT$134) + (ROW()-ROW($AT$134))*14,0),0)</f>
        <v>0</v>
      </c>
      <c r="AY136" s="29">
        <f ca="1">IF(AND((OFFSET('DATA INPUT'!$C$51, ROW()-ROW($AT$134),0)=$AT$10),
 (OFFSET('DATA INPUT'!$V$51,ROW()-ROW($AT$134),0)=3)),
OFFSET('Calc - OTHER PERS'!$S$11,COLUMN()-COLUMN($AT$134) + (ROW()-ROW($AT$134))*14,0),0)</f>
        <v>0</v>
      </c>
      <c r="AZ136" s="150">
        <f t="shared" ca="1" si="560"/>
        <v>0</v>
      </c>
      <c r="BB136" s="2221">
        <f ca="1">IF(AND((OFFSET('DATA INPUT'!$C$51, ROW()-ROW($BB$134),0)=$BB$10),
 (OFFSET('DATA INPUT'!$V$51,ROW()-ROW($BB$134),0)=3)),
OFFSET('Calc - OTHER PERS'!$S$11,COLUMN()-COLUMN($BB$134) + (ROW()-ROW($BB$134))*14,0),0)</f>
        <v>0</v>
      </c>
      <c r="BC136" s="29">
        <f ca="1">IF(AND((OFFSET('DATA INPUT'!$C$51, ROW()-ROW($BB$134),0)=$BB$10),
 (OFFSET('DATA INPUT'!$V$51,ROW()-ROW($BB$134),0)=3)),
OFFSET('Calc - OTHER PERS'!$S$11,COLUMN()-COLUMN($BB$134) + (ROW()-ROW($BB$134))*14,0),0)</f>
        <v>0</v>
      </c>
      <c r="BD136" s="29">
        <f ca="1">IF(AND((OFFSET('DATA INPUT'!$C$51, ROW()-ROW($BB$134),0)=$BB$10),
 (OFFSET('DATA INPUT'!$V$51,ROW()-ROW($BB$134),0)=3)),
OFFSET('Calc - OTHER PERS'!$S$11,COLUMN()-COLUMN($BB$134) + (ROW()-ROW($BB$134))*14,0),0)</f>
        <v>0</v>
      </c>
      <c r="BE136" s="29">
        <f ca="1">IF(AND((OFFSET('DATA INPUT'!$C$51, ROW()-ROW($BB$134),0)=$BB$10),
 (OFFSET('DATA INPUT'!$V$51,ROW()-ROW($BB$134),0)=3)),
OFFSET('Calc - OTHER PERS'!$S$11,COLUMN()-COLUMN($BB$134) + (ROW()-ROW($BB$134))*14,0),0)</f>
        <v>0</v>
      </c>
      <c r="BF136" s="29">
        <f ca="1">IF(AND((OFFSET('DATA INPUT'!$C$51, ROW()-ROW($BB$134),0)=$BB$10),
 (OFFSET('DATA INPUT'!$V$51,ROW()-ROW($BB$134),0)=3)),
OFFSET('Calc - OTHER PERS'!$S$11,COLUMN()-COLUMN($BB$134) + (ROW()-ROW($BB$134))*14,0),0)</f>
        <v>0</v>
      </c>
      <c r="BG136" s="29">
        <f ca="1">IF(AND((OFFSET('DATA INPUT'!$C$51, ROW()-ROW($BB$134),0)=$BB$10),
 (OFFSET('DATA INPUT'!$V$51,ROW()-ROW($BB$134),0)=3)),
OFFSET('Calc - OTHER PERS'!$S$11,COLUMN()-COLUMN($BB$134) + (ROW()-ROW($BB$134))*14,0),0)</f>
        <v>0</v>
      </c>
      <c r="BH136" s="192">
        <f t="shared" ca="1" si="561"/>
        <v>0</v>
      </c>
      <c r="BJ136" s="2221"/>
      <c r="BK136" s="29"/>
      <c r="BL136" s="29"/>
      <c r="BM136" s="29"/>
      <c r="BN136" s="29"/>
      <c r="BO136" s="29"/>
      <c r="BP136" s="1102">
        <f t="shared" si="562"/>
        <v>0</v>
      </c>
      <c r="BR136" s="575">
        <f t="shared" ca="1" si="465"/>
        <v>0</v>
      </c>
      <c r="BS136" s="5">
        <f t="shared" ca="1" si="466"/>
        <v>0</v>
      </c>
      <c r="BT136" s="5">
        <f t="shared" ca="1" si="467"/>
        <v>0</v>
      </c>
      <c r="BU136" s="5">
        <f t="shared" ca="1" si="468"/>
        <v>0</v>
      </c>
      <c r="BV136" s="5">
        <f t="shared" ca="1" si="469"/>
        <v>0</v>
      </c>
      <c r="BW136" s="5">
        <f t="shared" ca="1" si="470"/>
        <v>0</v>
      </c>
      <c r="BX136" s="2175">
        <f t="shared" ca="1" si="471"/>
        <v>0</v>
      </c>
      <c r="BY136" s="573">
        <f t="shared" ca="1" si="472"/>
        <v>0</v>
      </c>
      <c r="BZ136" s="257"/>
      <c r="CB136" s="1267">
        <f ca="1">'Calc - OTHER PERS'!$L$39</f>
        <v>0</v>
      </c>
      <c r="CC136" s="1268">
        <f ca="1">'Calc - OTHER PERS'!$L$40/12*3</f>
        <v>0</v>
      </c>
      <c r="CD136" s="1269">
        <f ca="1">'Calc - OTHER PERS'!$L$40/12*3</f>
        <v>0</v>
      </c>
      <c r="CE136" s="1269">
        <f ca="1">'Calc - OTHER PERS'!$L$40/12*2</f>
        <v>0</v>
      </c>
      <c r="CF136" s="1269">
        <f ca="1">'Calc - OTHER PERS'!$L$40/12*1</f>
        <v>0</v>
      </c>
      <c r="CG136" s="1270">
        <f ca="1">'Calc - OTHER PERS'!$L$40/12*3</f>
        <v>0</v>
      </c>
      <c r="CH136" s="1271">
        <f ca="1">'Calc - OTHER PERS'!$L$41/12*3</f>
        <v>0</v>
      </c>
      <c r="CI136" s="1272">
        <f ca="1">'Calc - OTHER PERS'!$L$41/12*3</f>
        <v>0</v>
      </c>
      <c r="CJ136" s="1272">
        <f ca="1">'Calc - OTHER PERS'!$L$41/12*2</f>
        <v>0</v>
      </c>
      <c r="CK136" s="1272">
        <f ca="1">'Calc - OTHER PERS'!$L$41/12*1</f>
        <v>0</v>
      </c>
      <c r="CL136" s="1273">
        <f ca="1">'Calc - OTHER PERS'!$L$41/12*3</f>
        <v>0</v>
      </c>
      <c r="CM136" s="1274">
        <f ca="1">'Calc - OTHER PERS'!$L$42/8*3</f>
        <v>0</v>
      </c>
      <c r="CN136" s="1275">
        <f ca="1">'Calc - OTHER PERS'!$L$42/8*3</f>
        <v>0</v>
      </c>
      <c r="CO136" s="1276">
        <f ca="1">'Calc - OTHER PERS'!$L$42/8*2</f>
        <v>0</v>
      </c>
      <c r="CP136" s="1234">
        <f t="shared" ca="1" si="536"/>
        <v>0</v>
      </c>
      <c r="CS136" s="575"/>
      <c r="CT136" s="5"/>
      <c r="CU136" s="1180"/>
      <c r="CV136" s="575"/>
      <c r="CW136" s="5"/>
      <c r="CX136" s="1249"/>
      <c r="CY136" s="575"/>
      <c r="CZ136" s="5"/>
      <c r="DA136" s="1180"/>
      <c r="DB136" s="575"/>
      <c r="DC136" s="5"/>
      <c r="DD136" s="1180"/>
      <c r="DE136" s="1181">
        <f>SUM(CS136:DD136)</f>
        <v>0</v>
      </c>
      <c r="DG136" s="575"/>
      <c r="DH136" s="5"/>
      <c r="DI136" s="1180"/>
      <c r="DJ136" s="575"/>
      <c r="DK136" s="5"/>
      <c r="DL136" s="1249"/>
      <c r="DM136" s="575"/>
      <c r="DN136" s="5"/>
      <c r="DO136" s="1180"/>
      <c r="DP136" s="575"/>
      <c r="DQ136" s="5"/>
      <c r="DR136" s="1180"/>
      <c r="DS136" s="1181">
        <f>SUM(DG136:DR136)</f>
        <v>0</v>
      </c>
      <c r="DU136" s="575"/>
      <c r="DV136" s="5"/>
      <c r="DW136" s="1180"/>
      <c r="DX136" s="575"/>
      <c r="DY136" s="5"/>
      <c r="DZ136" s="1249"/>
      <c r="EA136" s="575"/>
      <c r="EB136" s="5"/>
      <c r="EC136" s="1180"/>
      <c r="ED136" s="575"/>
      <c r="EE136" s="5"/>
      <c r="EF136" s="1180"/>
      <c r="EG136" s="1181">
        <f>SUM(DU136:EF136)</f>
        <v>0</v>
      </c>
      <c r="EI136" s="25"/>
      <c r="EJ136" s="3211"/>
      <c r="EK136" s="123" t="str">
        <f t="shared" si="563"/>
        <v xml:space="preserve"> - </v>
      </c>
      <c r="EL136" s="5">
        <f t="shared" ca="1" si="564"/>
        <v>0</v>
      </c>
      <c r="EM136" s="5">
        <f t="shared" ca="1" si="565"/>
        <v>0</v>
      </c>
      <c r="EN136" s="5">
        <f t="shared" ca="1" si="566"/>
        <v>0</v>
      </c>
      <c r="EO136" s="5">
        <f t="shared" ca="1" si="567"/>
        <v>0</v>
      </c>
      <c r="EP136" s="5">
        <f t="shared" ca="1" si="568"/>
        <v>0</v>
      </c>
      <c r="EQ136" s="5">
        <f t="shared" ca="1" si="569"/>
        <v>0</v>
      </c>
      <c r="ER136" s="88">
        <f t="shared" ca="1" si="570"/>
        <v>0</v>
      </c>
      <c r="ES136" s="24"/>
      <c r="ET136" s="8"/>
      <c r="EU136" s="24"/>
      <c r="EV136" s="575">
        <f t="shared" ca="1" si="571"/>
        <v>0</v>
      </c>
      <c r="EW136" s="5">
        <f t="shared" ca="1" si="572"/>
        <v>0</v>
      </c>
      <c r="EX136" s="5">
        <f t="shared" ca="1" si="573"/>
        <v>0</v>
      </c>
      <c r="EY136" s="5">
        <f t="shared" ca="1" si="574"/>
        <v>0</v>
      </c>
      <c r="EZ136" s="5">
        <f t="shared" ca="1" si="575"/>
        <v>0</v>
      </c>
      <c r="FA136" s="5">
        <f t="shared" ca="1" si="576"/>
        <v>0</v>
      </c>
      <c r="FB136" s="164">
        <f t="shared" ca="1" si="491"/>
        <v>0</v>
      </c>
      <c r="FC136" s="1"/>
      <c r="FD136" s="2221">
        <f t="shared" ca="1" si="577"/>
        <v>0</v>
      </c>
      <c r="FE136" s="29">
        <f t="shared" ca="1" si="578"/>
        <v>0</v>
      </c>
      <c r="FF136" s="29">
        <f t="shared" ca="1" si="579"/>
        <v>0</v>
      </c>
      <c r="FG136" s="29">
        <f t="shared" ca="1" si="580"/>
        <v>0</v>
      </c>
      <c r="FH136" s="29">
        <f t="shared" ca="1" si="581"/>
        <v>0</v>
      </c>
      <c r="FI136" s="29">
        <f t="shared" ca="1" si="582"/>
        <v>0</v>
      </c>
      <c r="FJ136" s="138">
        <f t="shared" ca="1" si="498"/>
        <v>0</v>
      </c>
      <c r="FL136" s="2221">
        <f t="shared" ca="1" si="583"/>
        <v>0</v>
      </c>
      <c r="FM136" s="29">
        <f t="shared" ca="1" si="584"/>
        <v>0</v>
      </c>
      <c r="FN136" s="29">
        <f t="shared" ca="1" si="585"/>
        <v>0</v>
      </c>
      <c r="FO136" s="29">
        <f t="shared" ca="1" si="586"/>
        <v>0</v>
      </c>
      <c r="FP136" s="29">
        <f t="shared" ca="1" si="587"/>
        <v>0</v>
      </c>
      <c r="FQ136" s="29">
        <f t="shared" ca="1" si="588"/>
        <v>0</v>
      </c>
      <c r="FR136" s="206">
        <f t="shared" ca="1" si="589"/>
        <v>0</v>
      </c>
      <c r="FT136" s="2221">
        <f t="shared" ca="1" si="590"/>
        <v>0</v>
      </c>
      <c r="FU136" s="29">
        <f t="shared" ca="1" si="591"/>
        <v>0</v>
      </c>
      <c r="FV136" s="29">
        <f t="shared" ca="1" si="592"/>
        <v>0</v>
      </c>
      <c r="FW136" s="29">
        <f t="shared" ca="1" si="593"/>
        <v>0</v>
      </c>
      <c r="FX136" s="29">
        <f t="shared" ca="1" si="594"/>
        <v>0</v>
      </c>
      <c r="FY136" s="29">
        <f t="shared" ca="1" si="595"/>
        <v>0</v>
      </c>
      <c r="FZ136" s="178">
        <f t="shared" ca="1" si="596"/>
        <v>0</v>
      </c>
      <c r="GB136" s="2221">
        <f t="shared" ca="1" si="597"/>
        <v>0</v>
      </c>
      <c r="GC136" s="29">
        <f t="shared" ca="1" si="598"/>
        <v>0</v>
      </c>
      <c r="GD136" s="29">
        <f t="shared" ca="1" si="599"/>
        <v>0</v>
      </c>
      <c r="GE136" s="29">
        <f t="shared" ca="1" si="600"/>
        <v>0</v>
      </c>
      <c r="GF136" s="29">
        <f t="shared" ca="1" si="601"/>
        <v>0</v>
      </c>
      <c r="GG136" s="29">
        <f t="shared" ca="1" si="602"/>
        <v>0</v>
      </c>
      <c r="GH136" s="150">
        <f t="shared" ca="1" si="603"/>
        <v>0</v>
      </c>
      <c r="GJ136" s="2221">
        <f t="shared" ca="1" si="604"/>
        <v>0</v>
      </c>
      <c r="GK136" s="29">
        <f t="shared" ca="1" si="605"/>
        <v>0</v>
      </c>
      <c r="GL136" s="29">
        <f t="shared" ca="1" si="606"/>
        <v>0</v>
      </c>
      <c r="GM136" s="29">
        <f t="shared" ca="1" si="607"/>
        <v>0</v>
      </c>
      <c r="GN136" s="29">
        <f t="shared" ca="1" si="608"/>
        <v>0</v>
      </c>
      <c r="GO136" s="29">
        <f t="shared" ca="1" si="609"/>
        <v>0</v>
      </c>
      <c r="GP136" s="192">
        <f t="shared" ca="1" si="610"/>
        <v>0</v>
      </c>
      <c r="GR136" s="2221"/>
      <c r="GS136" s="29"/>
      <c r="GT136" s="29"/>
      <c r="GU136" s="29"/>
      <c r="GV136" s="29"/>
      <c r="GW136" s="29"/>
      <c r="GX136" s="1102">
        <f t="shared" si="611"/>
        <v>0</v>
      </c>
      <c r="GZ136" s="575">
        <f t="shared" ca="1" si="528"/>
        <v>0</v>
      </c>
      <c r="HA136" s="5">
        <f t="shared" ca="1" si="529"/>
        <v>0</v>
      </c>
      <c r="HB136" s="5">
        <f t="shared" ca="1" si="530"/>
        <v>0</v>
      </c>
      <c r="HC136" s="5">
        <f t="shared" ca="1" si="531"/>
        <v>0</v>
      </c>
      <c r="HD136" s="5">
        <f t="shared" ca="1" si="532"/>
        <v>0</v>
      </c>
      <c r="HE136" s="5">
        <f t="shared" ca="1" si="533"/>
        <v>0</v>
      </c>
      <c r="HF136" s="2175">
        <f t="shared" ca="1" si="534"/>
        <v>0</v>
      </c>
      <c r="HG136" s="573">
        <f t="shared" ca="1" si="535"/>
        <v>0</v>
      </c>
      <c r="HH136" s="257"/>
    </row>
    <row r="137" spans="1:216" ht="15" hidden="1" customHeight="1" x14ac:dyDescent="0.25">
      <c r="A137" s="25"/>
      <c r="B137" s="3211"/>
      <c r="C137" s="57" t="str">
        <f>('DATA INPUT'!B54&amp;" "&amp;"-"&amp;" "&amp;'DATA INPUT'!H54)</f>
        <v xml:space="preserve"> - </v>
      </c>
      <c r="D137" s="29">
        <f ca="1">'Calc - OTHER PERS'!L53</f>
        <v>0</v>
      </c>
      <c r="E137" s="29">
        <f ca="1">'Calc - OTHER PERS'!L54</f>
        <v>0</v>
      </c>
      <c r="F137" s="29">
        <f ca="1">'Calc - OTHER PERS'!L55</f>
        <v>0</v>
      </c>
      <c r="G137" s="29">
        <f ca="1">'Calc - OTHER PERS'!L56</f>
        <v>0</v>
      </c>
      <c r="H137" s="29">
        <f ca="1">'Calc - OTHER PERS'!L57</f>
        <v>0</v>
      </c>
      <c r="I137" s="29">
        <f ca="1">'Calc - OTHER PERS'!L58</f>
        <v>0</v>
      </c>
      <c r="J137" s="88">
        <f t="shared" ca="1" si="557"/>
        <v>0</v>
      </c>
      <c r="K137" s="24"/>
      <c r="L137" s="8"/>
      <c r="M137" s="24"/>
      <c r="N137" s="2388">
        <f ca="1">IF(AND((OFFSET('DATA INPUT'!$C$51, ROW()-ROW($N$134),0)=$N$10),
 (OFFSET('DATA INPUT'!$V$51,ROW()-ROW($N$134),0)=3)),
OFFSET('Calc - OTHER PERS'!$S$11,COLUMN()-COLUMN($N$134) + (ROW()-ROW($N$134))*14,0),0)</f>
        <v>0</v>
      </c>
      <c r="O137" s="2387">
        <f ca="1">IF(AND((OFFSET('DATA INPUT'!$C$51, ROW()-ROW($N$134),0)=$N$10),
 (OFFSET('DATA INPUT'!$V$51,ROW()-ROW($N$134),0)=3)),
OFFSET('Calc - OTHER PERS'!$S$11,COLUMN()-COLUMN($N$134) + (ROW()-ROW($N$134))*14,0),0)</f>
        <v>0</v>
      </c>
      <c r="P137" s="2387">
        <f ca="1">IF(AND((OFFSET('DATA INPUT'!$C$51, ROW()-ROW($N$134),0)=$N$10),
 (OFFSET('DATA INPUT'!$V$51,ROW()-ROW($N$134),0)=3)),
OFFSET('Calc - OTHER PERS'!$S$11,COLUMN()-COLUMN($N$134) + (ROW()-ROW($N$134))*14,0),0)</f>
        <v>0</v>
      </c>
      <c r="Q137" s="2387">
        <f ca="1">IF(AND((OFFSET('DATA INPUT'!$C$51, ROW()-ROW($N$134),0)=$N$10),
 (OFFSET('DATA INPUT'!$V$51,ROW()-ROW($N$134),0)=3)),
OFFSET('Calc - OTHER PERS'!$S$11,COLUMN()-COLUMN($N$134) + (ROW()-ROW($N$134))*14,0),0)</f>
        <v>0</v>
      </c>
      <c r="R137" s="2387">
        <f ca="1">IF(AND((OFFSET('DATA INPUT'!$C$51, ROW()-ROW($N$134),0)=$N$10),
 (OFFSET('DATA INPUT'!$V$51,ROW()-ROW($N$134),0)=3)),
OFFSET('Calc - OTHER PERS'!$S$11,COLUMN()-COLUMN($N$134) + (ROW()-ROW($N$134))*14,0),0)</f>
        <v>0</v>
      </c>
      <c r="S137" s="2387">
        <f ca="1">IF(AND((OFFSET('DATA INPUT'!$C$51, ROW()-ROW($N$134),0)=$N$10),
 (OFFSET('DATA INPUT'!$V$51,ROW()-ROW($N$134),0)=3)),
OFFSET('Calc - OTHER PERS'!$S$11,COLUMN()-COLUMN($N$134) + (ROW()-ROW($N$134))*14,0),0)</f>
        <v>0</v>
      </c>
      <c r="T137" s="164">
        <f t="shared" ca="1" si="458"/>
        <v>0</v>
      </c>
      <c r="U137" s="1"/>
      <c r="V137" s="2221">
        <f ca="1">IF(AND((OFFSET('DATA INPUT'!$C$51, ROW()-ROW($V$134),0)=$V$10),
 (OFFSET('DATA INPUT'!$V$51,ROW()-ROW($V$134),0)=3)),
OFFSET('Calc - OTHER PERS'!$S$11,COLUMN()-COLUMN($V$134) + (ROW()-ROW($V$134))*14,0),0)</f>
        <v>0</v>
      </c>
      <c r="W137" s="29">
        <f ca="1">IF(AND((OFFSET('DATA INPUT'!$C$51, ROW()-ROW($V$134),0)=$V$10),
 (OFFSET('DATA INPUT'!$V$51,ROW()-ROW($V$134),0)=3)),
OFFSET('Calc - OTHER PERS'!$S$11,COLUMN()-COLUMN($V$134) + (ROW()-ROW($V$134))*14,0),0)</f>
        <v>0</v>
      </c>
      <c r="X137" s="29">
        <f ca="1">IF(AND((OFFSET('DATA INPUT'!$C$51, ROW()-ROW($V$134),0)=$V$10),
 (OFFSET('DATA INPUT'!$V$51,ROW()-ROW($V$134),0)=3)),
OFFSET('Calc - OTHER PERS'!$S$11,COLUMN()-COLUMN($V$134) + (ROW()-ROW($V$134))*14,0),0)</f>
        <v>0</v>
      </c>
      <c r="Y137" s="29">
        <f ca="1">IF(AND((OFFSET('DATA INPUT'!$C$51, ROW()-ROW($V$134),0)=$V$10),
 (OFFSET('DATA INPUT'!$V$51,ROW()-ROW($V$134),0)=3)),
OFFSET('Calc - OTHER PERS'!$S$11,COLUMN()-COLUMN($V$134) + (ROW()-ROW($V$134))*14,0),0)</f>
        <v>0</v>
      </c>
      <c r="Z137" s="29">
        <f ca="1">IF(AND((OFFSET('DATA INPUT'!$C$51, ROW()-ROW($V$134),0)=$V$10),
 (OFFSET('DATA INPUT'!$V$51,ROW()-ROW($V$134),0)=3)),
OFFSET('Calc - OTHER PERS'!$S$11,COLUMN()-COLUMN($V$134) + (ROW()-ROW($V$134))*14,0),0)</f>
        <v>0</v>
      </c>
      <c r="AA137" s="29">
        <f ca="1">IF(AND((OFFSET('DATA INPUT'!$C$51, ROW()-ROW($V$134),0)=$V$10),
 (OFFSET('DATA INPUT'!$V$51,ROW()-ROW($V$134),0)=3)),
OFFSET('Calc - OTHER PERS'!$S$11,COLUMN()-COLUMN($V$134) + (ROW()-ROW($V$134))*14,0),0)</f>
        <v>0</v>
      </c>
      <c r="AB137" s="138">
        <f t="shared" ca="1" si="459"/>
        <v>0</v>
      </c>
      <c r="AD137" s="2221">
        <f ca="1">IF(AND((OFFSET('DATA INPUT'!$C$51, ROW()-ROW($AD$134),0)=$AD$10),
 (OFFSET('DATA INPUT'!$V$51,ROW()-ROW($AD$134),0)=3)),
OFFSET('Calc - OTHER PERS'!$S$11,COLUMN()-COLUMN($AD$134) + (ROW()-ROW($AD$134))*14,0),0)</f>
        <v>0</v>
      </c>
      <c r="AE137" s="29">
        <f ca="1">IF(AND((OFFSET('DATA INPUT'!$C$51, ROW()-ROW($AD$134),0)=$AD$10),
 (OFFSET('DATA INPUT'!$V$51,ROW()-ROW($AD$134),0)=3)),
OFFSET('Calc - OTHER PERS'!$S$11,COLUMN()-COLUMN($AD$134) + (ROW()-ROW($AD$134))*14,0),0)</f>
        <v>0</v>
      </c>
      <c r="AF137" s="29">
        <f ca="1">IF(AND((OFFSET('DATA INPUT'!$C$51, ROW()-ROW($AD$134),0)=$AD$10),
 (OFFSET('DATA INPUT'!$V$51,ROW()-ROW($AD$134),0)=3)),
OFFSET('Calc - OTHER PERS'!$S$11,COLUMN()-COLUMN($AD$134) + (ROW()-ROW($AD$134))*14,0),0)</f>
        <v>0</v>
      </c>
      <c r="AG137" s="29">
        <f ca="1">IF(AND((OFFSET('DATA INPUT'!$C$51, ROW()-ROW($AD$134),0)=$AD$10),
 (OFFSET('DATA INPUT'!$V$51,ROW()-ROW($AD$134),0)=3)),
OFFSET('Calc - OTHER PERS'!$S$11,COLUMN()-COLUMN($AD$134) + (ROW()-ROW($AD$134))*14,0),0)</f>
        <v>0</v>
      </c>
      <c r="AH137" s="29">
        <f ca="1">IF(AND((OFFSET('DATA INPUT'!$C$51, ROW()-ROW($AD$134),0)=$AD$10),
 (OFFSET('DATA INPUT'!$V$51,ROW()-ROW($AD$134),0)=3)),
OFFSET('Calc - OTHER PERS'!$S$11,COLUMN()-COLUMN($AD$134) + (ROW()-ROW($AD$134))*14,0),0)</f>
        <v>0</v>
      </c>
      <c r="AI137" s="29">
        <f ca="1">IF(AND((OFFSET('DATA INPUT'!$C$51, ROW()-ROW($AD$134),0)=$AD$10),
 (OFFSET('DATA INPUT'!$V$51,ROW()-ROW($AD$134),0)=3)),
OFFSET('Calc - OTHER PERS'!$S$11,COLUMN()-COLUMN($AD$134) + (ROW()-ROW($AD$134))*14,0),0)</f>
        <v>0</v>
      </c>
      <c r="AJ137" s="206">
        <f t="shared" ca="1" si="558"/>
        <v>0</v>
      </c>
      <c r="AL137" s="2221">
        <f ca="1">IF(AND((OFFSET('DATA INPUT'!$C$51, ROW()-ROW($AL$134),0)=$AL$10),
 (OFFSET('DATA INPUT'!$V$51,ROW()-ROW($AL$134),0)=3)),
OFFSET('Calc - OTHER PERS'!$S$11,COLUMN()-COLUMN($AL$134) + (ROW()-ROW($AL$134))*14,0),0)</f>
        <v>0</v>
      </c>
      <c r="AM137" s="29">
        <f ca="1">IF(AND((OFFSET('DATA INPUT'!$C$51, ROW()-ROW($AL$134),0)=$AL$10),
 (OFFSET('DATA INPUT'!$V$51,ROW()-ROW($AL$134),0)=3)),
OFFSET('Calc - OTHER PERS'!$S$11,COLUMN()-COLUMN($AL$134) + (ROW()-ROW($AL$134))*14,0),0)</f>
        <v>0</v>
      </c>
      <c r="AN137" s="29">
        <f ca="1">IF(AND((OFFSET('DATA INPUT'!$C$51, ROW()-ROW($AL$134),0)=$AL$10),
 (OFFSET('DATA INPUT'!$V$51,ROW()-ROW($AL$134),0)=3)),
OFFSET('Calc - OTHER PERS'!$S$11,COLUMN()-COLUMN($AL$134) + (ROW()-ROW($AL$134))*14,0),0)</f>
        <v>0</v>
      </c>
      <c r="AO137" s="29">
        <f ca="1">IF(AND((OFFSET('DATA INPUT'!$C$51, ROW()-ROW($AL$134),0)=$AL$10),
 (OFFSET('DATA INPUT'!$V$51,ROW()-ROW($AL$134),0)=3)),
OFFSET('Calc - OTHER PERS'!$S$11,COLUMN()-COLUMN($AL$134) + (ROW()-ROW($AL$134))*14,0),0)</f>
        <v>0</v>
      </c>
      <c r="AP137" s="29">
        <f ca="1">IF(AND((OFFSET('DATA INPUT'!$C$51, ROW()-ROW($AL$134),0)=$AL$10),
 (OFFSET('DATA INPUT'!$V$51,ROW()-ROW($AL$134),0)=3)),
OFFSET('Calc - OTHER PERS'!$S$11,COLUMN()-COLUMN($AL$134) + (ROW()-ROW($AL$134))*14,0),0)</f>
        <v>0</v>
      </c>
      <c r="AQ137" s="29">
        <f ca="1">IF(AND((OFFSET('DATA INPUT'!$C$51, ROW()-ROW($AL$134),0)=$AL$10),
 (OFFSET('DATA INPUT'!$V$51,ROW()-ROW($AL$134),0)=3)),
OFFSET('Calc - OTHER PERS'!$S$11,COLUMN()-COLUMN($AL$134) + (ROW()-ROW($AL$134))*14,0),0)</f>
        <v>0</v>
      </c>
      <c r="AR137" s="178">
        <f t="shared" ca="1" si="559"/>
        <v>0</v>
      </c>
      <c r="AT137" s="2221">
        <f ca="1">IF(AND((OFFSET('DATA INPUT'!$C$51, ROW()-ROW($AT$134),0)=$AT$10),
 (OFFSET('DATA INPUT'!$V$51,ROW()-ROW($AT$134),0)=3)),
OFFSET('Calc - OTHER PERS'!$S$11,COLUMN()-COLUMN($AT$134) + (ROW()-ROW($AT$134))*14,0),0)</f>
        <v>0</v>
      </c>
      <c r="AU137" s="29">
        <f ca="1">IF(AND((OFFSET('DATA INPUT'!$C$51, ROW()-ROW($AT$134),0)=$AT$10),
 (OFFSET('DATA INPUT'!$V$51,ROW()-ROW($AT$134),0)=3)),
OFFSET('Calc - OTHER PERS'!$S$11,COLUMN()-COLUMN($AT$134) + (ROW()-ROW($AT$134))*14,0),0)</f>
        <v>0</v>
      </c>
      <c r="AV137" s="29">
        <f ca="1">IF(AND((OFFSET('DATA INPUT'!$C$51, ROW()-ROW($AT$134),0)=$AT$10),
 (OFFSET('DATA INPUT'!$V$51,ROW()-ROW($AT$134),0)=3)),
OFFSET('Calc - OTHER PERS'!$S$11,COLUMN()-COLUMN($AT$134) + (ROW()-ROW($AT$134))*14,0),0)</f>
        <v>0</v>
      </c>
      <c r="AW137" s="29">
        <f ca="1">IF(AND((OFFSET('DATA INPUT'!$C$51, ROW()-ROW($AT$134),0)=$AT$10),
 (OFFSET('DATA INPUT'!$V$51,ROW()-ROW($AT$134),0)=3)),
OFFSET('Calc - OTHER PERS'!$S$11,COLUMN()-COLUMN($AT$134) + (ROW()-ROW($AT$134))*14,0),0)</f>
        <v>0</v>
      </c>
      <c r="AX137" s="29">
        <f ca="1">IF(AND((OFFSET('DATA INPUT'!$C$51, ROW()-ROW($AT$134),0)=$AT$10),
 (OFFSET('DATA INPUT'!$V$51,ROW()-ROW($AT$134),0)=3)),
OFFSET('Calc - OTHER PERS'!$S$11,COLUMN()-COLUMN($AT$134) + (ROW()-ROW($AT$134))*14,0),0)</f>
        <v>0</v>
      </c>
      <c r="AY137" s="29">
        <f ca="1">IF(AND((OFFSET('DATA INPUT'!$C$51, ROW()-ROW($AT$134),0)=$AT$10),
 (OFFSET('DATA INPUT'!$V$51,ROW()-ROW($AT$134),0)=3)),
OFFSET('Calc - OTHER PERS'!$S$11,COLUMN()-COLUMN($AT$134) + (ROW()-ROW($AT$134))*14,0),0)</f>
        <v>0</v>
      </c>
      <c r="AZ137" s="150">
        <f t="shared" ca="1" si="560"/>
        <v>0</v>
      </c>
      <c r="BB137" s="2221">
        <f ca="1">IF(AND((OFFSET('DATA INPUT'!$C$51, ROW()-ROW($BB$134),0)=$BB$10),
 (OFFSET('DATA INPUT'!$V$51,ROW()-ROW($BB$134),0)=3)),
OFFSET('Calc - OTHER PERS'!$S$11,COLUMN()-COLUMN($BB$134) + (ROW()-ROW($BB$134))*14,0),0)</f>
        <v>0</v>
      </c>
      <c r="BC137" s="29">
        <f ca="1">IF(AND((OFFSET('DATA INPUT'!$C$51, ROW()-ROW($BB$134),0)=$BB$10),
 (OFFSET('DATA INPUT'!$V$51,ROW()-ROW($BB$134),0)=3)),
OFFSET('Calc - OTHER PERS'!$S$11,COLUMN()-COLUMN($BB$134) + (ROW()-ROW($BB$134))*14,0),0)</f>
        <v>0</v>
      </c>
      <c r="BD137" s="29">
        <f ca="1">IF(AND((OFFSET('DATA INPUT'!$C$51, ROW()-ROW($BB$134),0)=$BB$10),
 (OFFSET('DATA INPUT'!$V$51,ROW()-ROW($BB$134),0)=3)),
OFFSET('Calc - OTHER PERS'!$S$11,COLUMN()-COLUMN($BB$134) + (ROW()-ROW($BB$134))*14,0),0)</f>
        <v>0</v>
      </c>
      <c r="BE137" s="29">
        <f ca="1">IF(AND((OFFSET('DATA INPUT'!$C$51, ROW()-ROW($BB$134),0)=$BB$10),
 (OFFSET('DATA INPUT'!$V$51,ROW()-ROW($BB$134),0)=3)),
OFFSET('Calc - OTHER PERS'!$S$11,COLUMN()-COLUMN($BB$134) + (ROW()-ROW($BB$134))*14,0),0)</f>
        <v>0</v>
      </c>
      <c r="BF137" s="29">
        <f ca="1">IF(AND((OFFSET('DATA INPUT'!$C$51, ROW()-ROW($BB$134),0)=$BB$10),
 (OFFSET('DATA INPUT'!$V$51,ROW()-ROW($BB$134),0)=3)),
OFFSET('Calc - OTHER PERS'!$S$11,COLUMN()-COLUMN($BB$134) + (ROW()-ROW($BB$134))*14,0),0)</f>
        <v>0</v>
      </c>
      <c r="BG137" s="29">
        <f ca="1">IF(AND((OFFSET('DATA INPUT'!$C$51, ROW()-ROW($BB$134),0)=$BB$10),
 (OFFSET('DATA INPUT'!$V$51,ROW()-ROW($BB$134),0)=3)),
OFFSET('Calc - OTHER PERS'!$S$11,COLUMN()-COLUMN($BB$134) + (ROW()-ROW($BB$134))*14,0),0)</f>
        <v>0</v>
      </c>
      <c r="BH137" s="192">
        <f t="shared" ca="1" si="561"/>
        <v>0</v>
      </c>
      <c r="BJ137" s="2221"/>
      <c r="BK137" s="29"/>
      <c r="BL137" s="29"/>
      <c r="BM137" s="29"/>
      <c r="BN137" s="29"/>
      <c r="BO137" s="29"/>
      <c r="BP137" s="1102">
        <f t="shared" si="562"/>
        <v>0</v>
      </c>
      <c r="BR137" s="575">
        <f t="shared" ca="1" si="465"/>
        <v>0</v>
      </c>
      <c r="BS137" s="5">
        <f t="shared" ca="1" si="466"/>
        <v>0</v>
      </c>
      <c r="BT137" s="5">
        <f t="shared" ca="1" si="467"/>
        <v>0</v>
      </c>
      <c r="BU137" s="5">
        <f t="shared" ca="1" si="468"/>
        <v>0</v>
      </c>
      <c r="BV137" s="5">
        <f t="shared" ca="1" si="469"/>
        <v>0</v>
      </c>
      <c r="BW137" s="5">
        <f t="shared" ca="1" si="470"/>
        <v>0</v>
      </c>
      <c r="BX137" s="2175">
        <f t="shared" ca="1" si="471"/>
        <v>0</v>
      </c>
      <c r="BY137" s="573">
        <f t="shared" ca="1" si="472"/>
        <v>0</v>
      </c>
      <c r="BZ137" s="257"/>
      <c r="CB137" s="1267"/>
      <c r="CC137" s="1268"/>
      <c r="CD137" s="1269"/>
      <c r="CE137" s="1269"/>
      <c r="CF137" s="1269"/>
      <c r="CG137" s="1270"/>
      <c r="CH137" s="1271"/>
      <c r="CI137" s="1272"/>
      <c r="CJ137" s="1272"/>
      <c r="CK137" s="1272"/>
      <c r="CL137" s="1273"/>
      <c r="CM137" s="1274"/>
      <c r="CN137" s="1275"/>
      <c r="CO137" s="1276"/>
      <c r="CP137" s="1234"/>
      <c r="CS137" s="575"/>
      <c r="CT137" s="5"/>
      <c r="CU137" s="1180"/>
      <c r="CV137" s="575"/>
      <c r="CW137" s="5"/>
      <c r="CX137" s="1249"/>
      <c r="CY137" s="575"/>
      <c r="CZ137" s="5"/>
      <c r="DA137" s="1180"/>
      <c r="DB137" s="575"/>
      <c r="DC137" s="5"/>
      <c r="DD137" s="1180"/>
      <c r="DE137" s="1181"/>
      <c r="DG137" s="575"/>
      <c r="DH137" s="5"/>
      <c r="DI137" s="1180"/>
      <c r="DJ137" s="575"/>
      <c r="DK137" s="5"/>
      <c r="DL137" s="1249"/>
      <c r="DM137" s="575"/>
      <c r="DN137" s="5"/>
      <c r="DO137" s="1180"/>
      <c r="DP137" s="575"/>
      <c r="DQ137" s="5"/>
      <c r="DR137" s="1180"/>
      <c r="DS137" s="1181"/>
      <c r="DU137" s="575"/>
      <c r="DV137" s="5"/>
      <c r="DW137" s="1180"/>
      <c r="DX137" s="575"/>
      <c r="DY137" s="5"/>
      <c r="DZ137" s="1249"/>
      <c r="EA137" s="575"/>
      <c r="EB137" s="5"/>
      <c r="EC137" s="1180"/>
      <c r="ED137" s="575"/>
      <c r="EE137" s="5"/>
      <c r="EF137" s="1180"/>
      <c r="EG137" s="1181"/>
      <c r="EI137" s="25"/>
      <c r="EJ137" s="3211"/>
      <c r="EK137" s="123" t="str">
        <f t="shared" si="563"/>
        <v xml:space="preserve"> - </v>
      </c>
      <c r="EL137" s="5">
        <f t="shared" ca="1" si="564"/>
        <v>0</v>
      </c>
      <c r="EM137" s="5">
        <f t="shared" ca="1" si="565"/>
        <v>0</v>
      </c>
      <c r="EN137" s="5">
        <f t="shared" ca="1" si="566"/>
        <v>0</v>
      </c>
      <c r="EO137" s="5">
        <f t="shared" ca="1" si="567"/>
        <v>0</v>
      </c>
      <c r="EP137" s="5">
        <f t="shared" ca="1" si="568"/>
        <v>0</v>
      </c>
      <c r="EQ137" s="5">
        <f t="shared" ca="1" si="569"/>
        <v>0</v>
      </c>
      <c r="ER137" s="88">
        <f t="shared" ca="1" si="570"/>
        <v>0</v>
      </c>
      <c r="ES137" s="24"/>
      <c r="ET137" s="8"/>
      <c r="EU137" s="24"/>
      <c r="EV137" s="575">
        <f t="shared" ca="1" si="571"/>
        <v>0</v>
      </c>
      <c r="EW137" s="5">
        <f t="shared" ca="1" si="572"/>
        <v>0</v>
      </c>
      <c r="EX137" s="5">
        <f t="shared" ca="1" si="573"/>
        <v>0</v>
      </c>
      <c r="EY137" s="5">
        <f t="shared" ca="1" si="574"/>
        <v>0</v>
      </c>
      <c r="EZ137" s="5">
        <f t="shared" ca="1" si="575"/>
        <v>0</v>
      </c>
      <c r="FA137" s="5">
        <f t="shared" ca="1" si="576"/>
        <v>0</v>
      </c>
      <c r="FB137" s="164">
        <f t="shared" ca="1" si="491"/>
        <v>0</v>
      </c>
      <c r="FC137" s="1"/>
      <c r="FD137" s="2221">
        <f t="shared" ca="1" si="577"/>
        <v>0</v>
      </c>
      <c r="FE137" s="29">
        <f t="shared" ca="1" si="578"/>
        <v>0</v>
      </c>
      <c r="FF137" s="29">
        <f t="shared" ca="1" si="579"/>
        <v>0</v>
      </c>
      <c r="FG137" s="29">
        <f t="shared" ca="1" si="580"/>
        <v>0</v>
      </c>
      <c r="FH137" s="29">
        <f t="shared" ca="1" si="581"/>
        <v>0</v>
      </c>
      <c r="FI137" s="29">
        <f t="shared" ca="1" si="582"/>
        <v>0</v>
      </c>
      <c r="FJ137" s="138">
        <f t="shared" ca="1" si="498"/>
        <v>0</v>
      </c>
      <c r="FL137" s="2221">
        <f t="shared" ca="1" si="583"/>
        <v>0</v>
      </c>
      <c r="FM137" s="29">
        <f t="shared" ca="1" si="584"/>
        <v>0</v>
      </c>
      <c r="FN137" s="29">
        <f t="shared" ca="1" si="585"/>
        <v>0</v>
      </c>
      <c r="FO137" s="29">
        <f t="shared" ca="1" si="586"/>
        <v>0</v>
      </c>
      <c r="FP137" s="29">
        <f t="shared" ca="1" si="587"/>
        <v>0</v>
      </c>
      <c r="FQ137" s="29">
        <f t="shared" ca="1" si="588"/>
        <v>0</v>
      </c>
      <c r="FR137" s="206">
        <f t="shared" ca="1" si="589"/>
        <v>0</v>
      </c>
      <c r="FT137" s="2221">
        <f t="shared" ca="1" si="590"/>
        <v>0</v>
      </c>
      <c r="FU137" s="29">
        <f t="shared" ca="1" si="591"/>
        <v>0</v>
      </c>
      <c r="FV137" s="29">
        <f t="shared" ca="1" si="592"/>
        <v>0</v>
      </c>
      <c r="FW137" s="29">
        <f t="shared" ca="1" si="593"/>
        <v>0</v>
      </c>
      <c r="FX137" s="29">
        <f t="shared" ca="1" si="594"/>
        <v>0</v>
      </c>
      <c r="FY137" s="29">
        <f t="shared" ca="1" si="595"/>
        <v>0</v>
      </c>
      <c r="FZ137" s="178">
        <f t="shared" ca="1" si="596"/>
        <v>0</v>
      </c>
      <c r="GB137" s="2221">
        <f t="shared" ca="1" si="597"/>
        <v>0</v>
      </c>
      <c r="GC137" s="29">
        <f t="shared" ca="1" si="598"/>
        <v>0</v>
      </c>
      <c r="GD137" s="29">
        <f t="shared" ca="1" si="599"/>
        <v>0</v>
      </c>
      <c r="GE137" s="29">
        <f t="shared" ca="1" si="600"/>
        <v>0</v>
      </c>
      <c r="GF137" s="29">
        <f t="shared" ca="1" si="601"/>
        <v>0</v>
      </c>
      <c r="GG137" s="29">
        <f t="shared" ca="1" si="602"/>
        <v>0</v>
      </c>
      <c r="GH137" s="150">
        <f t="shared" ca="1" si="603"/>
        <v>0</v>
      </c>
      <c r="GJ137" s="2221">
        <f t="shared" ca="1" si="604"/>
        <v>0</v>
      </c>
      <c r="GK137" s="29">
        <f t="shared" ca="1" si="605"/>
        <v>0</v>
      </c>
      <c r="GL137" s="29">
        <f t="shared" ca="1" si="606"/>
        <v>0</v>
      </c>
      <c r="GM137" s="29">
        <f t="shared" ca="1" si="607"/>
        <v>0</v>
      </c>
      <c r="GN137" s="29">
        <f t="shared" ca="1" si="608"/>
        <v>0</v>
      </c>
      <c r="GO137" s="29">
        <f t="shared" ca="1" si="609"/>
        <v>0</v>
      </c>
      <c r="GP137" s="192">
        <f t="shared" ca="1" si="610"/>
        <v>0</v>
      </c>
      <c r="GR137" s="2221"/>
      <c r="GS137" s="29"/>
      <c r="GT137" s="29"/>
      <c r="GU137" s="29"/>
      <c r="GV137" s="29"/>
      <c r="GW137" s="29"/>
      <c r="GX137" s="1102">
        <f t="shared" si="611"/>
        <v>0</v>
      </c>
      <c r="GZ137" s="575">
        <f t="shared" ca="1" si="528"/>
        <v>0</v>
      </c>
      <c r="HA137" s="5">
        <f t="shared" ca="1" si="529"/>
        <v>0</v>
      </c>
      <c r="HB137" s="5">
        <f t="shared" ca="1" si="530"/>
        <v>0</v>
      </c>
      <c r="HC137" s="5">
        <f t="shared" ca="1" si="531"/>
        <v>0</v>
      </c>
      <c r="HD137" s="5">
        <f t="shared" ca="1" si="532"/>
        <v>0</v>
      </c>
      <c r="HE137" s="5">
        <f t="shared" ca="1" si="533"/>
        <v>0</v>
      </c>
      <c r="HF137" s="2175">
        <f t="shared" ca="1" si="534"/>
        <v>0</v>
      </c>
      <c r="HG137" s="573">
        <f t="shared" ca="1" si="535"/>
        <v>0</v>
      </c>
      <c r="HH137" s="257"/>
    </row>
    <row r="138" spans="1:216" ht="15" hidden="1" customHeight="1" x14ac:dyDescent="0.25">
      <c r="A138" s="25"/>
      <c r="B138" s="3211"/>
      <c r="C138" s="123" t="str">
        <f>('DATA INPUT'!B55&amp;" "&amp;"-"&amp;" "&amp;'DATA INPUT'!H55)</f>
        <v xml:space="preserve"> - </v>
      </c>
      <c r="D138" s="29">
        <f ca="1">'Calc - OTHER PERS'!L67</f>
        <v>0</v>
      </c>
      <c r="E138" s="29">
        <f ca="1">'Calc - OTHER PERS'!L68</f>
        <v>0</v>
      </c>
      <c r="F138" s="29">
        <f ca="1">'Calc - OTHER PERS'!L69</f>
        <v>0</v>
      </c>
      <c r="G138" s="29">
        <f ca="1">'Calc - OTHER PERS'!L70</f>
        <v>0</v>
      </c>
      <c r="H138" s="29">
        <f ca="1">'Calc - OTHER PERS'!L71</f>
        <v>0</v>
      </c>
      <c r="I138" s="29">
        <f ca="1">'Calc - OTHER PERS'!L72</f>
        <v>0</v>
      </c>
      <c r="J138" s="88">
        <f t="shared" ca="1" si="557"/>
        <v>0</v>
      </c>
      <c r="K138" s="24"/>
      <c r="L138" s="8"/>
      <c r="M138" s="24"/>
      <c r="N138" s="2388">
        <f ca="1">IF(AND((OFFSET('DATA INPUT'!$C$51, ROW()-ROW($N$134),0)=$N$10),
 (OFFSET('DATA INPUT'!$V$51,ROW()-ROW($N$134),0)=3)),
OFFSET('Calc - OTHER PERS'!$S$11,COLUMN()-COLUMN($N$134) + (ROW()-ROW($N$134))*14,0),0)</f>
        <v>0</v>
      </c>
      <c r="O138" s="2387">
        <f ca="1">IF(AND((OFFSET('DATA INPUT'!$C$51, ROW()-ROW($N$134),0)=$N$10),
 (OFFSET('DATA INPUT'!$V$51,ROW()-ROW($N$134),0)=3)),
OFFSET('Calc - OTHER PERS'!$S$11,COLUMN()-COLUMN($N$134) + (ROW()-ROW($N$134))*14,0),0)</f>
        <v>0</v>
      </c>
      <c r="P138" s="2387">
        <f ca="1">IF(AND((OFFSET('DATA INPUT'!$C$51, ROW()-ROW($N$134),0)=$N$10),
 (OFFSET('DATA INPUT'!$V$51,ROW()-ROW($N$134),0)=3)),
OFFSET('Calc - OTHER PERS'!$S$11,COLUMN()-COLUMN($N$134) + (ROW()-ROW($N$134))*14,0),0)</f>
        <v>0</v>
      </c>
      <c r="Q138" s="2387">
        <f ca="1">IF(AND((OFFSET('DATA INPUT'!$C$51, ROW()-ROW($N$134),0)=$N$10),
 (OFFSET('DATA INPUT'!$V$51,ROW()-ROW($N$134),0)=3)),
OFFSET('Calc - OTHER PERS'!$S$11,COLUMN()-COLUMN($N$134) + (ROW()-ROW($N$134))*14,0),0)</f>
        <v>0</v>
      </c>
      <c r="R138" s="2387">
        <f ca="1">IF(AND((OFFSET('DATA INPUT'!$C$51, ROW()-ROW($N$134),0)=$N$10),
 (OFFSET('DATA INPUT'!$V$51,ROW()-ROW($N$134),0)=3)),
OFFSET('Calc - OTHER PERS'!$S$11,COLUMN()-COLUMN($N$134) + (ROW()-ROW($N$134))*14,0),0)</f>
        <v>0</v>
      </c>
      <c r="S138" s="2387">
        <f ca="1">IF(AND((OFFSET('DATA INPUT'!$C$51, ROW()-ROW($N$134),0)=$N$10),
 (OFFSET('DATA INPUT'!$V$51,ROW()-ROW($N$134),0)=3)),
OFFSET('Calc - OTHER PERS'!$S$11,COLUMN()-COLUMN($N$134) + (ROW()-ROW($N$134))*14,0),0)</f>
        <v>0</v>
      </c>
      <c r="T138" s="164">
        <f t="shared" ca="1" si="458"/>
        <v>0</v>
      </c>
      <c r="U138" s="1"/>
      <c r="V138" s="2221">
        <f ca="1">IF(AND((OFFSET('DATA INPUT'!$C$51, ROW()-ROW($V$134),0)=$V$10),
 (OFFSET('DATA INPUT'!$V$51,ROW()-ROW($V$134),0)=3)),
OFFSET('Calc - OTHER PERS'!$S$11,COLUMN()-COLUMN($V$134) + (ROW()-ROW($V$134))*14,0),0)</f>
        <v>0</v>
      </c>
      <c r="W138" s="29">
        <f ca="1">IF(AND((OFFSET('DATA INPUT'!$C$51, ROW()-ROW($V$134),0)=$V$10),
 (OFFSET('DATA INPUT'!$V$51,ROW()-ROW($V$134),0)=3)),
OFFSET('Calc - OTHER PERS'!$S$11,COLUMN()-COLUMN($V$134) + (ROW()-ROW($V$134))*14,0),0)</f>
        <v>0</v>
      </c>
      <c r="X138" s="29">
        <f ca="1">IF(AND((OFFSET('DATA INPUT'!$C$51, ROW()-ROW($V$134),0)=$V$10),
 (OFFSET('DATA INPUT'!$V$51,ROW()-ROW($V$134),0)=3)),
OFFSET('Calc - OTHER PERS'!$S$11,COLUMN()-COLUMN($V$134) + (ROW()-ROW($V$134))*14,0),0)</f>
        <v>0</v>
      </c>
      <c r="Y138" s="29">
        <f ca="1">IF(AND((OFFSET('DATA INPUT'!$C$51, ROW()-ROW($V$134),0)=$V$10),
 (OFFSET('DATA INPUT'!$V$51,ROW()-ROW($V$134),0)=3)),
OFFSET('Calc - OTHER PERS'!$S$11,COLUMN()-COLUMN($V$134) + (ROW()-ROW($V$134))*14,0),0)</f>
        <v>0</v>
      </c>
      <c r="Z138" s="29">
        <f ca="1">IF(AND((OFFSET('DATA INPUT'!$C$51, ROW()-ROW($V$134),0)=$V$10),
 (OFFSET('DATA INPUT'!$V$51,ROW()-ROW($V$134),0)=3)),
OFFSET('Calc - OTHER PERS'!$S$11,COLUMN()-COLUMN($V$134) + (ROW()-ROW($V$134))*14,0),0)</f>
        <v>0</v>
      </c>
      <c r="AA138" s="29">
        <f ca="1">IF(AND((OFFSET('DATA INPUT'!$C$51, ROW()-ROW($V$134),0)=$V$10),
 (OFFSET('DATA INPUT'!$V$51,ROW()-ROW($V$134),0)=3)),
OFFSET('Calc - OTHER PERS'!$S$11,COLUMN()-COLUMN($V$134) + (ROW()-ROW($V$134))*14,0),0)</f>
        <v>0</v>
      </c>
      <c r="AB138" s="138">
        <f t="shared" ca="1" si="459"/>
        <v>0</v>
      </c>
      <c r="AD138" s="2221">
        <f ca="1">IF(AND((OFFSET('DATA INPUT'!$C$51, ROW()-ROW($AD$134),0)=$AD$10),
 (OFFSET('DATA INPUT'!$V$51,ROW()-ROW($AD$134),0)=3)),
OFFSET('Calc - OTHER PERS'!$S$11,COLUMN()-COLUMN($AD$134) + (ROW()-ROW($AD$134))*14,0),0)</f>
        <v>0</v>
      </c>
      <c r="AE138" s="29">
        <f ca="1">IF(AND((OFFSET('DATA INPUT'!$C$51, ROW()-ROW($AD$134),0)=$AD$10),
 (OFFSET('DATA INPUT'!$V$51,ROW()-ROW($AD$134),0)=3)),
OFFSET('Calc - OTHER PERS'!$S$11,COLUMN()-COLUMN($AD$134) + (ROW()-ROW($AD$134))*14,0),0)</f>
        <v>0</v>
      </c>
      <c r="AF138" s="29">
        <f ca="1">IF(AND((OFFSET('DATA INPUT'!$C$51, ROW()-ROW($AD$134),0)=$AD$10),
 (OFFSET('DATA INPUT'!$V$51,ROW()-ROW($AD$134),0)=3)),
OFFSET('Calc - OTHER PERS'!$S$11,COLUMN()-COLUMN($AD$134) + (ROW()-ROW($AD$134))*14,0),0)</f>
        <v>0</v>
      </c>
      <c r="AG138" s="29">
        <f ca="1">IF(AND((OFFSET('DATA INPUT'!$C$51, ROW()-ROW($AD$134),0)=$AD$10),
 (OFFSET('DATA INPUT'!$V$51,ROW()-ROW($AD$134),0)=3)),
OFFSET('Calc - OTHER PERS'!$S$11,COLUMN()-COLUMN($AD$134) + (ROW()-ROW($AD$134))*14,0),0)</f>
        <v>0</v>
      </c>
      <c r="AH138" s="29">
        <f ca="1">IF(AND((OFFSET('DATA INPUT'!$C$51, ROW()-ROW($AD$134),0)=$AD$10),
 (OFFSET('DATA INPUT'!$V$51,ROW()-ROW($AD$134),0)=3)),
OFFSET('Calc - OTHER PERS'!$S$11,COLUMN()-COLUMN($AD$134) + (ROW()-ROW($AD$134))*14,0),0)</f>
        <v>0</v>
      </c>
      <c r="AI138" s="29">
        <f ca="1">IF(AND((OFFSET('DATA INPUT'!$C$51, ROW()-ROW($AD$134),0)=$AD$10),
 (OFFSET('DATA INPUT'!$V$51,ROW()-ROW($AD$134),0)=3)),
OFFSET('Calc - OTHER PERS'!$S$11,COLUMN()-COLUMN($AD$134) + (ROW()-ROW($AD$134))*14,0),0)</f>
        <v>0</v>
      </c>
      <c r="AJ138" s="206">
        <f t="shared" ca="1" si="558"/>
        <v>0</v>
      </c>
      <c r="AL138" s="2221">
        <f ca="1">IF(AND((OFFSET('DATA INPUT'!$C$51, ROW()-ROW($AL$134),0)=$AL$10),
 (OFFSET('DATA INPUT'!$V$51,ROW()-ROW($AL$134),0)=3)),
OFFSET('Calc - OTHER PERS'!$S$11,COLUMN()-COLUMN($AL$134) + (ROW()-ROW($AL$134))*14,0),0)</f>
        <v>0</v>
      </c>
      <c r="AM138" s="29">
        <f ca="1">IF(AND((OFFSET('DATA INPUT'!$C$51, ROW()-ROW($AL$134),0)=$AL$10),
 (OFFSET('DATA INPUT'!$V$51,ROW()-ROW($AL$134),0)=3)),
OFFSET('Calc - OTHER PERS'!$S$11,COLUMN()-COLUMN($AL$134) + (ROW()-ROW($AL$134))*14,0),0)</f>
        <v>0</v>
      </c>
      <c r="AN138" s="29">
        <f ca="1">IF(AND((OFFSET('DATA INPUT'!$C$51, ROW()-ROW($AL$134),0)=$AL$10),
 (OFFSET('DATA INPUT'!$V$51,ROW()-ROW($AL$134),0)=3)),
OFFSET('Calc - OTHER PERS'!$S$11,COLUMN()-COLUMN($AL$134) + (ROW()-ROW($AL$134))*14,0),0)</f>
        <v>0</v>
      </c>
      <c r="AO138" s="29">
        <f ca="1">IF(AND((OFFSET('DATA INPUT'!$C$51, ROW()-ROW($AL$134),0)=$AL$10),
 (OFFSET('DATA INPUT'!$V$51,ROW()-ROW($AL$134),0)=3)),
OFFSET('Calc - OTHER PERS'!$S$11,COLUMN()-COLUMN($AL$134) + (ROW()-ROW($AL$134))*14,0),0)</f>
        <v>0</v>
      </c>
      <c r="AP138" s="29">
        <f ca="1">IF(AND((OFFSET('DATA INPUT'!$C$51, ROW()-ROW($AL$134),0)=$AL$10),
 (OFFSET('DATA INPUT'!$V$51,ROW()-ROW($AL$134),0)=3)),
OFFSET('Calc - OTHER PERS'!$S$11,COLUMN()-COLUMN($AL$134) + (ROW()-ROW($AL$134))*14,0),0)</f>
        <v>0</v>
      </c>
      <c r="AQ138" s="29">
        <f ca="1">IF(AND((OFFSET('DATA INPUT'!$C$51, ROW()-ROW($AL$134),0)=$AL$10),
 (OFFSET('DATA INPUT'!$V$51,ROW()-ROW($AL$134),0)=3)),
OFFSET('Calc - OTHER PERS'!$S$11,COLUMN()-COLUMN($AL$134) + (ROW()-ROW($AL$134))*14,0),0)</f>
        <v>0</v>
      </c>
      <c r="AR138" s="178">
        <f t="shared" ca="1" si="559"/>
        <v>0</v>
      </c>
      <c r="AT138" s="2221">
        <f ca="1">IF(AND((OFFSET('DATA INPUT'!$C$51, ROW()-ROW($AT$134),0)=$AT$10),
 (OFFSET('DATA INPUT'!$V$51,ROW()-ROW($AT$134),0)=3)),
OFFSET('Calc - OTHER PERS'!$S$11,COLUMN()-COLUMN($AT$134) + (ROW()-ROW($AT$134))*14,0),0)</f>
        <v>0</v>
      </c>
      <c r="AU138" s="29">
        <f ca="1">IF(AND((OFFSET('DATA INPUT'!$C$51, ROW()-ROW($AT$134),0)=$AT$10),
 (OFFSET('DATA INPUT'!$V$51,ROW()-ROW($AT$134),0)=3)),
OFFSET('Calc - OTHER PERS'!$S$11,COLUMN()-COLUMN($AT$134) + (ROW()-ROW($AT$134))*14,0),0)</f>
        <v>0</v>
      </c>
      <c r="AV138" s="29">
        <f ca="1">IF(AND((OFFSET('DATA INPUT'!$C$51, ROW()-ROW($AT$134),0)=$AT$10),
 (OFFSET('DATA INPUT'!$V$51,ROW()-ROW($AT$134),0)=3)),
OFFSET('Calc - OTHER PERS'!$S$11,COLUMN()-COLUMN($AT$134) + (ROW()-ROW($AT$134))*14,0),0)</f>
        <v>0</v>
      </c>
      <c r="AW138" s="29">
        <f ca="1">IF(AND((OFFSET('DATA INPUT'!$C$51, ROW()-ROW($AT$134),0)=$AT$10),
 (OFFSET('DATA INPUT'!$V$51,ROW()-ROW($AT$134),0)=3)),
OFFSET('Calc - OTHER PERS'!$S$11,COLUMN()-COLUMN($AT$134) + (ROW()-ROW($AT$134))*14,0),0)</f>
        <v>0</v>
      </c>
      <c r="AX138" s="29">
        <f ca="1">IF(AND((OFFSET('DATA INPUT'!$C$51, ROW()-ROW($AT$134),0)=$AT$10),
 (OFFSET('DATA INPUT'!$V$51,ROW()-ROW($AT$134),0)=3)),
OFFSET('Calc - OTHER PERS'!$S$11,COLUMN()-COLUMN($AT$134) + (ROW()-ROW($AT$134))*14,0),0)</f>
        <v>0</v>
      </c>
      <c r="AY138" s="29">
        <f ca="1">IF(AND((OFFSET('DATA INPUT'!$C$51, ROW()-ROW($AT$134),0)=$AT$10),
 (OFFSET('DATA INPUT'!$V$51,ROW()-ROW($AT$134),0)=3)),
OFFSET('Calc - OTHER PERS'!$S$11,COLUMN()-COLUMN($AT$134) + (ROW()-ROW($AT$134))*14,0),0)</f>
        <v>0</v>
      </c>
      <c r="AZ138" s="150">
        <f t="shared" ca="1" si="560"/>
        <v>0</v>
      </c>
      <c r="BB138" s="2221">
        <f ca="1">IF(AND((OFFSET('DATA INPUT'!$C$51, ROW()-ROW($BB$134),0)=$BB$10),
 (OFFSET('DATA INPUT'!$V$51,ROW()-ROW($BB$134),0)=3)),
OFFSET('Calc - OTHER PERS'!$S$11,COLUMN()-COLUMN($BB$134) + (ROW()-ROW($BB$134))*14,0),0)</f>
        <v>0</v>
      </c>
      <c r="BC138" s="29">
        <f ca="1">IF(AND((OFFSET('DATA INPUT'!$C$51, ROW()-ROW($BB$134),0)=$BB$10),
 (OFFSET('DATA INPUT'!$V$51,ROW()-ROW($BB$134),0)=3)),
OFFSET('Calc - OTHER PERS'!$S$11,COLUMN()-COLUMN($BB$134) + (ROW()-ROW($BB$134))*14,0),0)</f>
        <v>0</v>
      </c>
      <c r="BD138" s="29">
        <f ca="1">IF(AND((OFFSET('DATA INPUT'!$C$51, ROW()-ROW($BB$134),0)=$BB$10),
 (OFFSET('DATA INPUT'!$V$51,ROW()-ROW($BB$134),0)=3)),
OFFSET('Calc - OTHER PERS'!$S$11,COLUMN()-COLUMN($BB$134) + (ROW()-ROW($BB$134))*14,0),0)</f>
        <v>0</v>
      </c>
      <c r="BE138" s="29">
        <f ca="1">IF(AND((OFFSET('DATA INPUT'!$C$51, ROW()-ROW($BB$134),0)=$BB$10),
 (OFFSET('DATA INPUT'!$V$51,ROW()-ROW($BB$134),0)=3)),
OFFSET('Calc - OTHER PERS'!$S$11,COLUMN()-COLUMN($BB$134) + (ROW()-ROW($BB$134))*14,0),0)</f>
        <v>0</v>
      </c>
      <c r="BF138" s="29">
        <f ca="1">IF(AND((OFFSET('DATA INPUT'!$C$51, ROW()-ROW($BB$134),0)=$BB$10),
 (OFFSET('DATA INPUT'!$V$51,ROW()-ROW($BB$134),0)=3)),
OFFSET('Calc - OTHER PERS'!$S$11,COLUMN()-COLUMN($BB$134) + (ROW()-ROW($BB$134))*14,0),0)</f>
        <v>0</v>
      </c>
      <c r="BG138" s="29">
        <f ca="1">IF(AND((OFFSET('DATA INPUT'!$C$51, ROW()-ROW($BB$134),0)=$BB$10),
 (OFFSET('DATA INPUT'!$V$51,ROW()-ROW($BB$134),0)=3)),
OFFSET('Calc - OTHER PERS'!$S$11,COLUMN()-COLUMN($BB$134) + (ROW()-ROW($BB$134))*14,0),0)</f>
        <v>0</v>
      </c>
      <c r="BH138" s="192">
        <f t="shared" ca="1" si="561"/>
        <v>0</v>
      </c>
      <c r="BJ138" s="2221"/>
      <c r="BK138" s="29"/>
      <c r="BL138" s="29"/>
      <c r="BM138" s="29"/>
      <c r="BN138" s="29"/>
      <c r="BO138" s="29"/>
      <c r="BP138" s="1102">
        <f t="shared" si="562"/>
        <v>0</v>
      </c>
      <c r="BR138" s="575">
        <f t="shared" ca="1" si="465"/>
        <v>0</v>
      </c>
      <c r="BS138" s="5">
        <f t="shared" ca="1" si="466"/>
        <v>0</v>
      </c>
      <c r="BT138" s="5">
        <f t="shared" ca="1" si="467"/>
        <v>0</v>
      </c>
      <c r="BU138" s="5">
        <f t="shared" ca="1" si="468"/>
        <v>0</v>
      </c>
      <c r="BV138" s="5">
        <f t="shared" ca="1" si="469"/>
        <v>0</v>
      </c>
      <c r="BW138" s="5">
        <f t="shared" ca="1" si="470"/>
        <v>0</v>
      </c>
      <c r="BX138" s="2175">
        <f t="shared" ca="1" si="471"/>
        <v>0</v>
      </c>
      <c r="BY138" s="573">
        <f t="shared" ca="1" si="472"/>
        <v>0</v>
      </c>
      <c r="BZ138" s="257"/>
      <c r="CB138" s="1267"/>
      <c r="CC138" s="1268"/>
      <c r="CD138" s="1269"/>
      <c r="CE138" s="1269"/>
      <c r="CF138" s="1269"/>
      <c r="CG138" s="1270"/>
      <c r="CH138" s="1271"/>
      <c r="CI138" s="1272"/>
      <c r="CJ138" s="1272"/>
      <c r="CK138" s="1272"/>
      <c r="CL138" s="1273"/>
      <c r="CM138" s="1274"/>
      <c r="CN138" s="1275"/>
      <c r="CO138" s="1276"/>
      <c r="CP138" s="1234"/>
      <c r="CS138" s="575"/>
      <c r="CT138" s="5"/>
      <c r="CU138" s="1180"/>
      <c r="CV138" s="575"/>
      <c r="CW138" s="5"/>
      <c r="CX138" s="1249"/>
      <c r="CY138" s="575"/>
      <c r="CZ138" s="5"/>
      <c r="DA138" s="1180"/>
      <c r="DB138" s="575"/>
      <c r="DC138" s="5"/>
      <c r="DD138" s="1180"/>
      <c r="DE138" s="1181"/>
      <c r="DG138" s="575"/>
      <c r="DH138" s="5"/>
      <c r="DI138" s="1180"/>
      <c r="DJ138" s="575"/>
      <c r="DK138" s="5"/>
      <c r="DL138" s="1249"/>
      <c r="DM138" s="575"/>
      <c r="DN138" s="5"/>
      <c r="DO138" s="1180"/>
      <c r="DP138" s="575"/>
      <c r="DQ138" s="5"/>
      <c r="DR138" s="1180"/>
      <c r="DS138" s="1181"/>
      <c r="DU138" s="575"/>
      <c r="DV138" s="5"/>
      <c r="DW138" s="1180"/>
      <c r="DX138" s="575"/>
      <c r="DY138" s="5"/>
      <c r="DZ138" s="1249"/>
      <c r="EA138" s="575"/>
      <c r="EB138" s="5"/>
      <c r="EC138" s="1180"/>
      <c r="ED138" s="575"/>
      <c r="EE138" s="5"/>
      <c r="EF138" s="1180"/>
      <c r="EG138" s="1181"/>
      <c r="EI138" s="25"/>
      <c r="EJ138" s="3211"/>
      <c r="EK138" s="123" t="str">
        <f t="shared" si="563"/>
        <v xml:space="preserve"> - </v>
      </c>
      <c r="EL138" s="5">
        <f t="shared" ca="1" si="564"/>
        <v>0</v>
      </c>
      <c r="EM138" s="5">
        <f t="shared" ca="1" si="565"/>
        <v>0</v>
      </c>
      <c r="EN138" s="5">
        <f t="shared" ca="1" si="566"/>
        <v>0</v>
      </c>
      <c r="EO138" s="5">
        <f t="shared" ca="1" si="567"/>
        <v>0</v>
      </c>
      <c r="EP138" s="5">
        <f t="shared" ca="1" si="568"/>
        <v>0</v>
      </c>
      <c r="EQ138" s="5">
        <f t="shared" ca="1" si="569"/>
        <v>0</v>
      </c>
      <c r="ER138" s="88">
        <f t="shared" ca="1" si="570"/>
        <v>0</v>
      </c>
      <c r="ES138" s="24"/>
      <c r="ET138" s="8"/>
      <c r="EU138" s="24"/>
      <c r="EV138" s="575">
        <f t="shared" ca="1" si="571"/>
        <v>0</v>
      </c>
      <c r="EW138" s="5">
        <f t="shared" ca="1" si="572"/>
        <v>0</v>
      </c>
      <c r="EX138" s="5">
        <f t="shared" ca="1" si="573"/>
        <v>0</v>
      </c>
      <c r="EY138" s="5">
        <f t="shared" ca="1" si="574"/>
        <v>0</v>
      </c>
      <c r="EZ138" s="5">
        <f t="shared" ca="1" si="575"/>
        <v>0</v>
      </c>
      <c r="FA138" s="5">
        <f t="shared" ca="1" si="576"/>
        <v>0</v>
      </c>
      <c r="FB138" s="164">
        <f t="shared" ca="1" si="491"/>
        <v>0</v>
      </c>
      <c r="FC138" s="1"/>
      <c r="FD138" s="2221">
        <f t="shared" ca="1" si="577"/>
        <v>0</v>
      </c>
      <c r="FE138" s="29">
        <f t="shared" ca="1" si="578"/>
        <v>0</v>
      </c>
      <c r="FF138" s="29">
        <f t="shared" ca="1" si="579"/>
        <v>0</v>
      </c>
      <c r="FG138" s="29">
        <f t="shared" ca="1" si="580"/>
        <v>0</v>
      </c>
      <c r="FH138" s="29">
        <f t="shared" ca="1" si="581"/>
        <v>0</v>
      </c>
      <c r="FI138" s="29">
        <f t="shared" ca="1" si="582"/>
        <v>0</v>
      </c>
      <c r="FJ138" s="138">
        <f t="shared" ca="1" si="498"/>
        <v>0</v>
      </c>
      <c r="FL138" s="2221">
        <f t="shared" ca="1" si="583"/>
        <v>0</v>
      </c>
      <c r="FM138" s="29">
        <f t="shared" ca="1" si="584"/>
        <v>0</v>
      </c>
      <c r="FN138" s="29">
        <f t="shared" ca="1" si="585"/>
        <v>0</v>
      </c>
      <c r="FO138" s="29">
        <f t="shared" ca="1" si="586"/>
        <v>0</v>
      </c>
      <c r="FP138" s="29">
        <f t="shared" ca="1" si="587"/>
        <v>0</v>
      </c>
      <c r="FQ138" s="29">
        <f t="shared" ca="1" si="588"/>
        <v>0</v>
      </c>
      <c r="FR138" s="206">
        <f t="shared" ca="1" si="589"/>
        <v>0</v>
      </c>
      <c r="FT138" s="2221">
        <f t="shared" ca="1" si="590"/>
        <v>0</v>
      </c>
      <c r="FU138" s="29">
        <f t="shared" ca="1" si="591"/>
        <v>0</v>
      </c>
      <c r="FV138" s="29">
        <f t="shared" ca="1" si="592"/>
        <v>0</v>
      </c>
      <c r="FW138" s="29">
        <f t="shared" ca="1" si="593"/>
        <v>0</v>
      </c>
      <c r="FX138" s="29">
        <f t="shared" ca="1" si="594"/>
        <v>0</v>
      </c>
      <c r="FY138" s="29">
        <f t="shared" ca="1" si="595"/>
        <v>0</v>
      </c>
      <c r="FZ138" s="178">
        <f t="shared" ca="1" si="596"/>
        <v>0</v>
      </c>
      <c r="GB138" s="2221">
        <f t="shared" ca="1" si="597"/>
        <v>0</v>
      </c>
      <c r="GC138" s="29">
        <f t="shared" ca="1" si="598"/>
        <v>0</v>
      </c>
      <c r="GD138" s="29">
        <f t="shared" ca="1" si="599"/>
        <v>0</v>
      </c>
      <c r="GE138" s="29">
        <f t="shared" ca="1" si="600"/>
        <v>0</v>
      </c>
      <c r="GF138" s="29">
        <f t="shared" ca="1" si="601"/>
        <v>0</v>
      </c>
      <c r="GG138" s="29">
        <f t="shared" ca="1" si="602"/>
        <v>0</v>
      </c>
      <c r="GH138" s="150">
        <f t="shared" ca="1" si="603"/>
        <v>0</v>
      </c>
      <c r="GJ138" s="2221">
        <f t="shared" ca="1" si="604"/>
        <v>0</v>
      </c>
      <c r="GK138" s="29">
        <f t="shared" ca="1" si="605"/>
        <v>0</v>
      </c>
      <c r="GL138" s="29">
        <f t="shared" ca="1" si="606"/>
        <v>0</v>
      </c>
      <c r="GM138" s="29">
        <f t="shared" ca="1" si="607"/>
        <v>0</v>
      </c>
      <c r="GN138" s="29">
        <f t="shared" ca="1" si="608"/>
        <v>0</v>
      </c>
      <c r="GO138" s="29">
        <f t="shared" ca="1" si="609"/>
        <v>0</v>
      </c>
      <c r="GP138" s="192">
        <f t="shared" ca="1" si="610"/>
        <v>0</v>
      </c>
      <c r="GR138" s="2221"/>
      <c r="GS138" s="29"/>
      <c r="GT138" s="29"/>
      <c r="GU138" s="29"/>
      <c r="GV138" s="29"/>
      <c r="GW138" s="29"/>
      <c r="GX138" s="1102">
        <f t="shared" si="611"/>
        <v>0</v>
      </c>
      <c r="GZ138" s="575">
        <f t="shared" ca="1" si="528"/>
        <v>0</v>
      </c>
      <c r="HA138" s="5">
        <f t="shared" ca="1" si="529"/>
        <v>0</v>
      </c>
      <c r="HB138" s="5">
        <f t="shared" ca="1" si="530"/>
        <v>0</v>
      </c>
      <c r="HC138" s="5">
        <f t="shared" ca="1" si="531"/>
        <v>0</v>
      </c>
      <c r="HD138" s="5">
        <f t="shared" ca="1" si="532"/>
        <v>0</v>
      </c>
      <c r="HE138" s="5">
        <f t="shared" ca="1" si="533"/>
        <v>0</v>
      </c>
      <c r="HF138" s="2175">
        <f t="shared" ca="1" si="534"/>
        <v>0</v>
      </c>
      <c r="HG138" s="573">
        <f t="shared" ca="1" si="535"/>
        <v>0</v>
      </c>
      <c r="HH138" s="257"/>
    </row>
    <row r="139" spans="1:216" ht="15" hidden="1" customHeight="1" x14ac:dyDescent="0.25">
      <c r="A139" s="25"/>
      <c r="B139" s="3211"/>
      <c r="C139" s="422" t="str">
        <f>('DATA INPUT'!B56&amp;" "&amp;"-"&amp;" "&amp;'DATA INPUT'!H56)</f>
        <v xml:space="preserve"> - </v>
      </c>
      <c r="D139" s="29">
        <f ca="1">'Calc - OTHER PERS'!L81</f>
        <v>0</v>
      </c>
      <c r="E139" s="29">
        <f ca="1">'Calc - OTHER PERS'!L82</f>
        <v>0</v>
      </c>
      <c r="F139" s="29">
        <f ca="1">'Calc - OTHER PERS'!L83</f>
        <v>0</v>
      </c>
      <c r="G139" s="29">
        <f ca="1">'Calc - OTHER PERS'!L84</f>
        <v>0</v>
      </c>
      <c r="H139" s="29">
        <f ca="1">'Calc - OTHER PERS'!L85</f>
        <v>0</v>
      </c>
      <c r="I139" s="29">
        <f ca="1">'Calc - OTHER PERS'!L86</f>
        <v>0</v>
      </c>
      <c r="J139" s="88">
        <f t="shared" ca="1" si="557"/>
        <v>0</v>
      </c>
      <c r="K139" s="24"/>
      <c r="L139" s="8"/>
      <c r="M139" s="24"/>
      <c r="N139" s="2388">
        <f ca="1">IF(AND((OFFSET('DATA INPUT'!$C$51, ROW()-ROW($N$134),0)=$N$10),
 (OFFSET('DATA INPUT'!$V$51,ROW()-ROW($N$134),0)=3)),
OFFSET('Calc - OTHER PERS'!$S$11,COLUMN()-COLUMN($N$134) + (ROW()-ROW($N$134))*14,0),0)</f>
        <v>0</v>
      </c>
      <c r="O139" s="2387">
        <f ca="1">IF(AND((OFFSET('DATA INPUT'!$C$51, ROW()-ROW($N$134),0)=$N$10),
 (OFFSET('DATA INPUT'!$V$51,ROW()-ROW($N$134),0)=3)),
OFFSET('Calc - OTHER PERS'!$S$11,COLUMN()-COLUMN($N$134) + (ROW()-ROW($N$134))*14,0),0)</f>
        <v>0</v>
      </c>
      <c r="P139" s="2387">
        <f ca="1">IF(AND((OFFSET('DATA INPUT'!$C$51, ROW()-ROW($N$134),0)=$N$10),
 (OFFSET('DATA INPUT'!$V$51,ROW()-ROW($N$134),0)=3)),
OFFSET('Calc - OTHER PERS'!$S$11,COLUMN()-COLUMN($N$134) + (ROW()-ROW($N$134))*14,0),0)</f>
        <v>0</v>
      </c>
      <c r="Q139" s="2387">
        <f ca="1">IF(AND((OFFSET('DATA INPUT'!$C$51, ROW()-ROW($N$134),0)=$N$10),
 (OFFSET('DATA INPUT'!$V$51,ROW()-ROW($N$134),0)=3)),
OFFSET('Calc - OTHER PERS'!$S$11,COLUMN()-COLUMN($N$134) + (ROW()-ROW($N$134))*14,0),0)</f>
        <v>0</v>
      </c>
      <c r="R139" s="2387">
        <f ca="1">IF(AND((OFFSET('DATA INPUT'!$C$51, ROW()-ROW($N$134),0)=$N$10),
 (OFFSET('DATA INPUT'!$V$51,ROW()-ROW($N$134),0)=3)),
OFFSET('Calc - OTHER PERS'!$S$11,COLUMN()-COLUMN($N$134) + (ROW()-ROW($N$134))*14,0),0)</f>
        <v>0</v>
      </c>
      <c r="S139" s="2387">
        <f ca="1">IF(AND((OFFSET('DATA INPUT'!$C$51, ROW()-ROW($N$134),0)=$N$10),
 (OFFSET('DATA INPUT'!$V$51,ROW()-ROW($N$134),0)=3)),
OFFSET('Calc - OTHER PERS'!$S$11,COLUMN()-COLUMN($N$134) + (ROW()-ROW($N$134))*14,0),0)</f>
        <v>0</v>
      </c>
      <c r="T139" s="164">
        <f t="shared" ca="1" si="458"/>
        <v>0</v>
      </c>
      <c r="U139" s="1"/>
      <c r="V139" s="2221">
        <f ca="1">IF(AND((OFFSET('DATA INPUT'!$C$51, ROW()-ROW($V$134),0)=$V$10),
 (OFFSET('DATA INPUT'!$V$51,ROW()-ROW($V$134),0)=3)),
OFFSET('Calc - OTHER PERS'!$S$11,COLUMN()-COLUMN($V$134) + (ROW()-ROW($V$134))*14,0),0)</f>
        <v>0</v>
      </c>
      <c r="W139" s="29">
        <f ca="1">IF(AND((OFFSET('DATA INPUT'!$C$51, ROW()-ROW($V$134),0)=$V$10),
 (OFFSET('DATA INPUT'!$V$51,ROW()-ROW($V$134),0)=3)),
OFFSET('Calc - OTHER PERS'!$S$11,COLUMN()-COLUMN($V$134) + (ROW()-ROW($V$134))*14,0),0)</f>
        <v>0</v>
      </c>
      <c r="X139" s="29">
        <f ca="1">IF(AND((OFFSET('DATA INPUT'!$C$51, ROW()-ROW($V$134),0)=$V$10),
 (OFFSET('DATA INPUT'!$V$51,ROW()-ROW($V$134),0)=3)),
OFFSET('Calc - OTHER PERS'!$S$11,COLUMN()-COLUMN($V$134) + (ROW()-ROW($V$134))*14,0),0)</f>
        <v>0</v>
      </c>
      <c r="Y139" s="29">
        <f ca="1">IF(AND((OFFSET('DATA INPUT'!$C$51, ROW()-ROW($V$134),0)=$V$10),
 (OFFSET('DATA INPUT'!$V$51,ROW()-ROW($V$134),0)=3)),
OFFSET('Calc - OTHER PERS'!$S$11,COLUMN()-COLUMN($V$134) + (ROW()-ROW($V$134))*14,0),0)</f>
        <v>0</v>
      </c>
      <c r="Z139" s="29">
        <f ca="1">IF(AND((OFFSET('DATA INPUT'!$C$51, ROW()-ROW($V$134),0)=$V$10),
 (OFFSET('DATA INPUT'!$V$51,ROW()-ROW($V$134),0)=3)),
OFFSET('Calc - OTHER PERS'!$S$11,COLUMN()-COLUMN($V$134) + (ROW()-ROW($V$134))*14,0),0)</f>
        <v>0</v>
      </c>
      <c r="AA139" s="29">
        <f ca="1">IF(AND((OFFSET('DATA INPUT'!$C$51, ROW()-ROW($V$134),0)=$V$10),
 (OFFSET('DATA INPUT'!$V$51,ROW()-ROW($V$134),0)=3)),
OFFSET('Calc - OTHER PERS'!$S$11,COLUMN()-COLUMN($V$134) + (ROW()-ROW($V$134))*14,0),0)</f>
        <v>0</v>
      </c>
      <c r="AB139" s="138">
        <f t="shared" ca="1" si="459"/>
        <v>0</v>
      </c>
      <c r="AD139" s="2221">
        <f ca="1">IF(AND((OFFSET('DATA INPUT'!$C$51, ROW()-ROW($AD$134),0)=$AD$10),
 (OFFSET('DATA INPUT'!$V$51,ROW()-ROW($AD$134),0)=3)),
OFFSET('Calc - OTHER PERS'!$S$11,COLUMN()-COLUMN($AD$134) + (ROW()-ROW($AD$134))*14,0),0)</f>
        <v>0</v>
      </c>
      <c r="AE139" s="29">
        <f ca="1">IF(AND((OFFSET('DATA INPUT'!$C$51, ROW()-ROW($AD$134),0)=$AD$10),
 (OFFSET('DATA INPUT'!$V$51,ROW()-ROW($AD$134),0)=3)),
OFFSET('Calc - OTHER PERS'!$S$11,COLUMN()-COLUMN($AD$134) + (ROW()-ROW($AD$134))*14,0),0)</f>
        <v>0</v>
      </c>
      <c r="AF139" s="29">
        <f ca="1">IF(AND((OFFSET('DATA INPUT'!$C$51, ROW()-ROW($AD$134),0)=$AD$10),
 (OFFSET('DATA INPUT'!$V$51,ROW()-ROW($AD$134),0)=3)),
OFFSET('Calc - OTHER PERS'!$S$11,COLUMN()-COLUMN($AD$134) + (ROW()-ROW($AD$134))*14,0),0)</f>
        <v>0</v>
      </c>
      <c r="AG139" s="29">
        <f ca="1">IF(AND((OFFSET('DATA INPUT'!$C$51, ROW()-ROW($AD$134),0)=$AD$10),
 (OFFSET('DATA INPUT'!$V$51,ROW()-ROW($AD$134),0)=3)),
OFFSET('Calc - OTHER PERS'!$S$11,COLUMN()-COLUMN($AD$134) + (ROW()-ROW($AD$134))*14,0),0)</f>
        <v>0</v>
      </c>
      <c r="AH139" s="29">
        <f ca="1">IF(AND((OFFSET('DATA INPUT'!$C$51, ROW()-ROW($AD$134),0)=$AD$10),
 (OFFSET('DATA INPUT'!$V$51,ROW()-ROW($AD$134),0)=3)),
OFFSET('Calc - OTHER PERS'!$S$11,COLUMN()-COLUMN($AD$134) + (ROW()-ROW($AD$134))*14,0),0)</f>
        <v>0</v>
      </c>
      <c r="AI139" s="29">
        <f ca="1">IF(AND((OFFSET('DATA INPUT'!$C$51, ROW()-ROW($AD$134),0)=$AD$10),
 (OFFSET('DATA INPUT'!$V$51,ROW()-ROW($AD$134),0)=3)),
OFFSET('Calc - OTHER PERS'!$S$11,COLUMN()-COLUMN($AD$134) + (ROW()-ROW($AD$134))*14,0),0)</f>
        <v>0</v>
      </c>
      <c r="AJ139" s="206">
        <f t="shared" ca="1" si="558"/>
        <v>0</v>
      </c>
      <c r="AL139" s="2221">
        <f ca="1">IF(AND((OFFSET('DATA INPUT'!$C$51, ROW()-ROW($AL$134),0)=$AL$10),
 (OFFSET('DATA INPUT'!$V$51,ROW()-ROW($AL$134),0)=3)),
OFFSET('Calc - OTHER PERS'!$S$11,COLUMN()-COLUMN($AL$134) + (ROW()-ROW($AL$134))*14,0),0)</f>
        <v>0</v>
      </c>
      <c r="AM139" s="29">
        <f ca="1">IF(AND((OFFSET('DATA INPUT'!$C$51, ROW()-ROW($AL$134),0)=$AL$10),
 (OFFSET('DATA INPUT'!$V$51,ROW()-ROW($AL$134),0)=3)),
OFFSET('Calc - OTHER PERS'!$S$11,COLUMN()-COLUMN($AL$134) + (ROW()-ROW($AL$134))*14,0),0)</f>
        <v>0</v>
      </c>
      <c r="AN139" s="29">
        <f ca="1">IF(AND((OFFSET('DATA INPUT'!$C$51, ROW()-ROW($AL$134),0)=$AL$10),
 (OFFSET('DATA INPUT'!$V$51,ROW()-ROW($AL$134),0)=3)),
OFFSET('Calc - OTHER PERS'!$S$11,COLUMN()-COLUMN($AL$134) + (ROW()-ROW($AL$134))*14,0),0)</f>
        <v>0</v>
      </c>
      <c r="AO139" s="29">
        <f ca="1">IF(AND((OFFSET('DATA INPUT'!$C$51, ROW()-ROW($AL$134),0)=$AL$10),
 (OFFSET('DATA INPUT'!$V$51,ROW()-ROW($AL$134),0)=3)),
OFFSET('Calc - OTHER PERS'!$S$11,COLUMN()-COLUMN($AL$134) + (ROW()-ROW($AL$134))*14,0),0)</f>
        <v>0</v>
      </c>
      <c r="AP139" s="29">
        <f ca="1">IF(AND((OFFSET('DATA INPUT'!$C$51, ROW()-ROW($AL$134),0)=$AL$10),
 (OFFSET('DATA INPUT'!$V$51,ROW()-ROW($AL$134),0)=3)),
OFFSET('Calc - OTHER PERS'!$S$11,COLUMN()-COLUMN($AL$134) + (ROW()-ROW($AL$134))*14,0),0)</f>
        <v>0</v>
      </c>
      <c r="AQ139" s="29">
        <f ca="1">IF(AND((OFFSET('DATA INPUT'!$C$51, ROW()-ROW($AL$134),0)=$AL$10),
 (OFFSET('DATA INPUT'!$V$51,ROW()-ROW($AL$134),0)=3)),
OFFSET('Calc - OTHER PERS'!$S$11,COLUMN()-COLUMN($AL$134) + (ROW()-ROW($AL$134))*14,0),0)</f>
        <v>0</v>
      </c>
      <c r="AR139" s="178">
        <f t="shared" ca="1" si="559"/>
        <v>0</v>
      </c>
      <c r="AT139" s="2221">
        <f ca="1">IF(AND((OFFSET('DATA INPUT'!$C$51, ROW()-ROW($AT$134),0)=$AT$10),
 (OFFSET('DATA INPUT'!$V$51,ROW()-ROW($AT$134),0)=3)),
OFFSET('Calc - OTHER PERS'!$S$11,COLUMN()-COLUMN($AT$134) + (ROW()-ROW($AT$134))*14,0),0)</f>
        <v>0</v>
      </c>
      <c r="AU139" s="29">
        <f ca="1">IF(AND((OFFSET('DATA INPUT'!$C$51, ROW()-ROW($AT$134),0)=$AT$10),
 (OFFSET('DATA INPUT'!$V$51,ROW()-ROW($AT$134),0)=3)),
OFFSET('Calc - OTHER PERS'!$S$11,COLUMN()-COLUMN($AT$134) + (ROW()-ROW($AT$134))*14,0),0)</f>
        <v>0</v>
      </c>
      <c r="AV139" s="29">
        <f ca="1">IF(AND((OFFSET('DATA INPUT'!$C$51, ROW()-ROW($AT$134),0)=$AT$10),
 (OFFSET('DATA INPUT'!$V$51,ROW()-ROW($AT$134),0)=3)),
OFFSET('Calc - OTHER PERS'!$S$11,COLUMN()-COLUMN($AT$134) + (ROW()-ROW($AT$134))*14,0),0)</f>
        <v>0</v>
      </c>
      <c r="AW139" s="29">
        <f ca="1">IF(AND((OFFSET('DATA INPUT'!$C$51, ROW()-ROW($AT$134),0)=$AT$10),
 (OFFSET('DATA INPUT'!$V$51,ROW()-ROW($AT$134),0)=3)),
OFFSET('Calc - OTHER PERS'!$S$11,COLUMN()-COLUMN($AT$134) + (ROW()-ROW($AT$134))*14,0),0)</f>
        <v>0</v>
      </c>
      <c r="AX139" s="29">
        <f ca="1">IF(AND((OFFSET('DATA INPUT'!$C$51, ROW()-ROW($AT$134),0)=$AT$10),
 (OFFSET('DATA INPUT'!$V$51,ROW()-ROW($AT$134),0)=3)),
OFFSET('Calc - OTHER PERS'!$S$11,COLUMN()-COLUMN($AT$134) + (ROW()-ROW($AT$134))*14,0),0)</f>
        <v>0</v>
      </c>
      <c r="AY139" s="29">
        <f ca="1">IF(AND((OFFSET('DATA INPUT'!$C$51, ROW()-ROW($AT$134),0)=$AT$10),
 (OFFSET('DATA INPUT'!$V$51,ROW()-ROW($AT$134),0)=3)),
OFFSET('Calc - OTHER PERS'!$S$11,COLUMN()-COLUMN($AT$134) + (ROW()-ROW($AT$134))*14,0),0)</f>
        <v>0</v>
      </c>
      <c r="AZ139" s="150">
        <f t="shared" ca="1" si="560"/>
        <v>0</v>
      </c>
      <c r="BB139" s="2221">
        <f ca="1">IF(AND((OFFSET('DATA INPUT'!$C$51, ROW()-ROW($BB$134),0)=$BB$10),
 (OFFSET('DATA INPUT'!$V$51,ROW()-ROW($BB$134),0)=3)),
OFFSET('Calc - OTHER PERS'!$S$11,COLUMN()-COLUMN($BB$134) + (ROW()-ROW($BB$134))*14,0),0)</f>
        <v>0</v>
      </c>
      <c r="BC139" s="29">
        <f ca="1">IF(AND((OFFSET('DATA INPUT'!$C$51, ROW()-ROW($BB$134),0)=$BB$10),
 (OFFSET('DATA INPUT'!$V$51,ROW()-ROW($BB$134),0)=3)),
OFFSET('Calc - OTHER PERS'!$S$11,COLUMN()-COLUMN($BB$134) + (ROW()-ROW($BB$134))*14,0),0)</f>
        <v>0</v>
      </c>
      <c r="BD139" s="29">
        <f ca="1">IF(AND((OFFSET('DATA INPUT'!$C$51, ROW()-ROW($BB$134),0)=$BB$10),
 (OFFSET('DATA INPUT'!$V$51,ROW()-ROW($BB$134),0)=3)),
OFFSET('Calc - OTHER PERS'!$S$11,COLUMN()-COLUMN($BB$134) + (ROW()-ROW($BB$134))*14,0),0)</f>
        <v>0</v>
      </c>
      <c r="BE139" s="29">
        <f ca="1">IF(AND((OFFSET('DATA INPUT'!$C$51, ROW()-ROW($BB$134),0)=$BB$10),
 (OFFSET('DATA INPUT'!$V$51,ROW()-ROW($BB$134),0)=3)),
OFFSET('Calc - OTHER PERS'!$S$11,COLUMN()-COLUMN($BB$134) + (ROW()-ROW($BB$134))*14,0),0)</f>
        <v>0</v>
      </c>
      <c r="BF139" s="29">
        <f ca="1">IF(AND((OFFSET('DATA INPUT'!$C$51, ROW()-ROW($BB$134),0)=$BB$10),
 (OFFSET('DATA INPUT'!$V$51,ROW()-ROW($BB$134),0)=3)),
OFFSET('Calc - OTHER PERS'!$S$11,COLUMN()-COLUMN($BB$134) + (ROW()-ROW($BB$134))*14,0),0)</f>
        <v>0</v>
      </c>
      <c r="BG139" s="29">
        <f ca="1">IF(AND((OFFSET('DATA INPUT'!$C$51, ROW()-ROW($BB$134),0)=$BB$10),
 (OFFSET('DATA INPUT'!$V$51,ROW()-ROW($BB$134),0)=3)),
OFFSET('Calc - OTHER PERS'!$S$11,COLUMN()-COLUMN($BB$134) + (ROW()-ROW($BB$134))*14,0),0)</f>
        <v>0</v>
      </c>
      <c r="BH139" s="192">
        <f t="shared" ca="1" si="561"/>
        <v>0</v>
      </c>
      <c r="BJ139" s="2221"/>
      <c r="BK139" s="29"/>
      <c r="BL139" s="29"/>
      <c r="BM139" s="29"/>
      <c r="BN139" s="29"/>
      <c r="BO139" s="29"/>
      <c r="BP139" s="1102">
        <f t="shared" si="562"/>
        <v>0</v>
      </c>
      <c r="BR139" s="575">
        <f t="shared" ca="1" si="465"/>
        <v>0</v>
      </c>
      <c r="BS139" s="5">
        <f t="shared" ca="1" si="466"/>
        <v>0</v>
      </c>
      <c r="BT139" s="5">
        <f t="shared" ca="1" si="467"/>
        <v>0</v>
      </c>
      <c r="BU139" s="5">
        <f t="shared" ca="1" si="468"/>
        <v>0</v>
      </c>
      <c r="BV139" s="5">
        <f t="shared" ca="1" si="469"/>
        <v>0</v>
      </c>
      <c r="BW139" s="5">
        <f t="shared" ca="1" si="470"/>
        <v>0</v>
      </c>
      <c r="BX139" s="2175">
        <f t="shared" ca="1" si="471"/>
        <v>0</v>
      </c>
      <c r="BY139" s="573">
        <f t="shared" ca="1" si="472"/>
        <v>0</v>
      </c>
      <c r="BZ139" s="257"/>
      <c r="CB139" s="1267"/>
      <c r="CC139" s="1268"/>
      <c r="CD139" s="1269"/>
      <c r="CE139" s="1269"/>
      <c r="CF139" s="1269"/>
      <c r="CG139" s="1270"/>
      <c r="CH139" s="1271"/>
      <c r="CI139" s="1272"/>
      <c r="CJ139" s="1272"/>
      <c r="CK139" s="1272"/>
      <c r="CL139" s="1273"/>
      <c r="CM139" s="1274"/>
      <c r="CN139" s="1275"/>
      <c r="CO139" s="1276"/>
      <c r="CP139" s="1234"/>
      <c r="CS139" s="575"/>
      <c r="CT139" s="5"/>
      <c r="CU139" s="1180"/>
      <c r="CV139" s="575"/>
      <c r="CW139" s="5"/>
      <c r="CX139" s="1249"/>
      <c r="CY139" s="575"/>
      <c r="CZ139" s="5"/>
      <c r="DA139" s="1180"/>
      <c r="DB139" s="575"/>
      <c r="DC139" s="5"/>
      <c r="DD139" s="1180"/>
      <c r="DE139" s="1181"/>
      <c r="DG139" s="575"/>
      <c r="DH139" s="5"/>
      <c r="DI139" s="1180"/>
      <c r="DJ139" s="575"/>
      <c r="DK139" s="5"/>
      <c r="DL139" s="1249"/>
      <c r="DM139" s="575"/>
      <c r="DN139" s="5"/>
      <c r="DO139" s="1180"/>
      <c r="DP139" s="575"/>
      <c r="DQ139" s="5"/>
      <c r="DR139" s="1180"/>
      <c r="DS139" s="1181"/>
      <c r="DU139" s="575"/>
      <c r="DV139" s="5"/>
      <c r="DW139" s="1180"/>
      <c r="DX139" s="575"/>
      <c r="DY139" s="5"/>
      <c r="DZ139" s="1249"/>
      <c r="EA139" s="575"/>
      <c r="EB139" s="5"/>
      <c r="EC139" s="1180"/>
      <c r="ED139" s="575"/>
      <c r="EE139" s="5"/>
      <c r="EF139" s="1180"/>
      <c r="EG139" s="1181"/>
      <c r="EI139" s="25"/>
      <c r="EJ139" s="3211"/>
      <c r="EK139" s="123" t="str">
        <f t="shared" si="563"/>
        <v xml:space="preserve"> - </v>
      </c>
      <c r="EL139" s="5">
        <f t="shared" ca="1" si="564"/>
        <v>0</v>
      </c>
      <c r="EM139" s="5">
        <f t="shared" ca="1" si="565"/>
        <v>0</v>
      </c>
      <c r="EN139" s="5">
        <f t="shared" ca="1" si="566"/>
        <v>0</v>
      </c>
      <c r="EO139" s="5">
        <f t="shared" ca="1" si="567"/>
        <v>0</v>
      </c>
      <c r="EP139" s="5">
        <f t="shared" ca="1" si="568"/>
        <v>0</v>
      </c>
      <c r="EQ139" s="5">
        <f t="shared" ca="1" si="569"/>
        <v>0</v>
      </c>
      <c r="ER139" s="88">
        <f t="shared" ca="1" si="570"/>
        <v>0</v>
      </c>
      <c r="ES139" s="24"/>
      <c r="ET139" s="8"/>
      <c r="EU139" s="24"/>
      <c r="EV139" s="575">
        <f t="shared" ca="1" si="571"/>
        <v>0</v>
      </c>
      <c r="EW139" s="5">
        <f t="shared" ca="1" si="572"/>
        <v>0</v>
      </c>
      <c r="EX139" s="5">
        <f t="shared" ca="1" si="573"/>
        <v>0</v>
      </c>
      <c r="EY139" s="5">
        <f t="shared" ca="1" si="574"/>
        <v>0</v>
      </c>
      <c r="EZ139" s="5">
        <f t="shared" ca="1" si="575"/>
        <v>0</v>
      </c>
      <c r="FA139" s="5">
        <f t="shared" ca="1" si="576"/>
        <v>0</v>
      </c>
      <c r="FB139" s="164">
        <f t="shared" ca="1" si="491"/>
        <v>0</v>
      </c>
      <c r="FC139" s="1"/>
      <c r="FD139" s="2221">
        <f t="shared" ca="1" si="577"/>
        <v>0</v>
      </c>
      <c r="FE139" s="29">
        <f t="shared" ca="1" si="578"/>
        <v>0</v>
      </c>
      <c r="FF139" s="29">
        <f t="shared" ca="1" si="579"/>
        <v>0</v>
      </c>
      <c r="FG139" s="29">
        <f t="shared" ca="1" si="580"/>
        <v>0</v>
      </c>
      <c r="FH139" s="29">
        <f t="shared" ca="1" si="581"/>
        <v>0</v>
      </c>
      <c r="FI139" s="29">
        <f t="shared" ca="1" si="582"/>
        <v>0</v>
      </c>
      <c r="FJ139" s="138">
        <f t="shared" ca="1" si="498"/>
        <v>0</v>
      </c>
      <c r="FL139" s="2221">
        <f t="shared" ca="1" si="583"/>
        <v>0</v>
      </c>
      <c r="FM139" s="29">
        <f t="shared" ca="1" si="584"/>
        <v>0</v>
      </c>
      <c r="FN139" s="29">
        <f t="shared" ca="1" si="585"/>
        <v>0</v>
      </c>
      <c r="FO139" s="29">
        <f t="shared" ca="1" si="586"/>
        <v>0</v>
      </c>
      <c r="FP139" s="29">
        <f t="shared" ca="1" si="587"/>
        <v>0</v>
      </c>
      <c r="FQ139" s="29">
        <f t="shared" ca="1" si="588"/>
        <v>0</v>
      </c>
      <c r="FR139" s="206">
        <f t="shared" ca="1" si="589"/>
        <v>0</v>
      </c>
      <c r="FT139" s="2221">
        <f t="shared" ca="1" si="590"/>
        <v>0</v>
      </c>
      <c r="FU139" s="29">
        <f t="shared" ca="1" si="591"/>
        <v>0</v>
      </c>
      <c r="FV139" s="29">
        <f t="shared" ca="1" si="592"/>
        <v>0</v>
      </c>
      <c r="FW139" s="29">
        <f t="shared" ca="1" si="593"/>
        <v>0</v>
      </c>
      <c r="FX139" s="29">
        <f t="shared" ca="1" si="594"/>
        <v>0</v>
      </c>
      <c r="FY139" s="29">
        <f t="shared" ca="1" si="595"/>
        <v>0</v>
      </c>
      <c r="FZ139" s="178">
        <f t="shared" ca="1" si="596"/>
        <v>0</v>
      </c>
      <c r="GB139" s="2221">
        <f t="shared" ca="1" si="597"/>
        <v>0</v>
      </c>
      <c r="GC139" s="29">
        <f t="shared" ca="1" si="598"/>
        <v>0</v>
      </c>
      <c r="GD139" s="29">
        <f t="shared" ca="1" si="599"/>
        <v>0</v>
      </c>
      <c r="GE139" s="29">
        <f t="shared" ca="1" si="600"/>
        <v>0</v>
      </c>
      <c r="GF139" s="29">
        <f t="shared" ca="1" si="601"/>
        <v>0</v>
      </c>
      <c r="GG139" s="29">
        <f t="shared" ca="1" si="602"/>
        <v>0</v>
      </c>
      <c r="GH139" s="150">
        <f t="shared" ca="1" si="603"/>
        <v>0</v>
      </c>
      <c r="GJ139" s="2221">
        <f t="shared" ca="1" si="604"/>
        <v>0</v>
      </c>
      <c r="GK139" s="29">
        <f t="shared" ca="1" si="605"/>
        <v>0</v>
      </c>
      <c r="GL139" s="29">
        <f t="shared" ca="1" si="606"/>
        <v>0</v>
      </c>
      <c r="GM139" s="29">
        <f t="shared" ca="1" si="607"/>
        <v>0</v>
      </c>
      <c r="GN139" s="29">
        <f t="shared" ca="1" si="608"/>
        <v>0</v>
      </c>
      <c r="GO139" s="29">
        <f t="shared" ca="1" si="609"/>
        <v>0</v>
      </c>
      <c r="GP139" s="192">
        <f t="shared" ca="1" si="610"/>
        <v>0</v>
      </c>
      <c r="GR139" s="2221"/>
      <c r="GS139" s="29"/>
      <c r="GT139" s="29"/>
      <c r="GU139" s="29"/>
      <c r="GV139" s="29"/>
      <c r="GW139" s="29"/>
      <c r="GX139" s="1102">
        <f t="shared" si="611"/>
        <v>0</v>
      </c>
      <c r="GZ139" s="575">
        <f t="shared" ca="1" si="528"/>
        <v>0</v>
      </c>
      <c r="HA139" s="5">
        <f t="shared" ca="1" si="529"/>
        <v>0</v>
      </c>
      <c r="HB139" s="5">
        <f t="shared" ca="1" si="530"/>
        <v>0</v>
      </c>
      <c r="HC139" s="5">
        <f t="shared" ca="1" si="531"/>
        <v>0</v>
      </c>
      <c r="HD139" s="5">
        <f t="shared" ca="1" si="532"/>
        <v>0</v>
      </c>
      <c r="HE139" s="5">
        <f t="shared" ca="1" si="533"/>
        <v>0</v>
      </c>
      <c r="HF139" s="2175">
        <f t="shared" ca="1" si="534"/>
        <v>0</v>
      </c>
      <c r="HG139" s="573">
        <f t="shared" ca="1" si="535"/>
        <v>0</v>
      </c>
      <c r="HH139" s="257"/>
    </row>
    <row r="140" spans="1:216" ht="15" hidden="1" customHeight="1" x14ac:dyDescent="0.25">
      <c r="A140" s="25"/>
      <c r="B140" s="3211"/>
      <c r="C140" s="123" t="str">
        <f>('DATA INPUT'!B57&amp;" "&amp;"-"&amp;" "&amp;'DATA INPUT'!H57)</f>
        <v xml:space="preserve"> - </v>
      </c>
      <c r="D140" s="29">
        <f ca="1">'Calc - OTHER PERS'!L95</f>
        <v>0</v>
      </c>
      <c r="E140" s="29">
        <f ca="1">'Calc - OTHER PERS'!L96</f>
        <v>0</v>
      </c>
      <c r="F140" s="29">
        <f ca="1">'Calc - OTHER PERS'!L97</f>
        <v>0</v>
      </c>
      <c r="G140" s="29">
        <f ca="1">'Calc - OTHER PERS'!L98</f>
        <v>0</v>
      </c>
      <c r="H140" s="29">
        <f ca="1">'Calc - OTHER PERS'!L99</f>
        <v>0</v>
      </c>
      <c r="I140" s="29">
        <f ca="1">'Calc - OTHER PERS'!L100</f>
        <v>0</v>
      </c>
      <c r="J140" s="88">
        <f t="shared" ca="1" si="557"/>
        <v>0</v>
      </c>
      <c r="K140" s="24"/>
      <c r="L140" s="8"/>
      <c r="M140" s="24"/>
      <c r="N140" s="2388">
        <f ca="1">IF(AND((OFFSET('DATA INPUT'!$C$51, ROW()-ROW($N$134),0)=$N$10),
 (OFFSET('DATA INPUT'!$V$51,ROW()-ROW($N$134),0)=3)),
OFFSET('Calc - OTHER PERS'!$S$11,COLUMN()-COLUMN($N$134) + (ROW()-ROW($N$134))*14,0),0)</f>
        <v>0</v>
      </c>
      <c r="O140" s="2387">
        <f ca="1">IF(AND((OFFSET('DATA INPUT'!$C$51, ROW()-ROW($N$134),0)=$N$10),
 (OFFSET('DATA INPUT'!$V$51,ROW()-ROW($N$134),0)=3)),
OFFSET('Calc - OTHER PERS'!$S$11,COLUMN()-COLUMN($N$134) + (ROW()-ROW($N$134))*14,0),0)</f>
        <v>0</v>
      </c>
      <c r="P140" s="2387">
        <f ca="1">IF(AND((OFFSET('DATA INPUT'!$C$51, ROW()-ROW($N$134),0)=$N$10),
 (OFFSET('DATA INPUT'!$V$51,ROW()-ROW($N$134),0)=3)),
OFFSET('Calc - OTHER PERS'!$S$11,COLUMN()-COLUMN($N$134) + (ROW()-ROW($N$134))*14,0),0)</f>
        <v>0</v>
      </c>
      <c r="Q140" s="2387">
        <f ca="1">IF(AND((OFFSET('DATA INPUT'!$C$51, ROW()-ROW($N$134),0)=$N$10),
 (OFFSET('DATA INPUT'!$V$51,ROW()-ROW($N$134),0)=3)),
OFFSET('Calc - OTHER PERS'!$S$11,COLUMN()-COLUMN($N$134) + (ROW()-ROW($N$134))*14,0),0)</f>
        <v>0</v>
      </c>
      <c r="R140" s="2387">
        <f ca="1">IF(AND((OFFSET('DATA INPUT'!$C$51, ROW()-ROW($N$134),0)=$N$10),
 (OFFSET('DATA INPUT'!$V$51,ROW()-ROW($N$134),0)=3)),
OFFSET('Calc - OTHER PERS'!$S$11,COLUMN()-COLUMN($N$134) + (ROW()-ROW($N$134))*14,0),0)</f>
        <v>0</v>
      </c>
      <c r="S140" s="2387">
        <f ca="1">IF(AND((OFFSET('DATA INPUT'!$C$51, ROW()-ROW($N$134),0)=$N$10),
 (OFFSET('DATA INPUT'!$V$51,ROW()-ROW($N$134),0)=3)),
OFFSET('Calc - OTHER PERS'!$S$11,COLUMN()-COLUMN($N$134) + (ROW()-ROW($N$134))*14,0),0)</f>
        <v>0</v>
      </c>
      <c r="T140" s="164">
        <f t="shared" ca="1" si="458"/>
        <v>0</v>
      </c>
      <c r="U140" s="1"/>
      <c r="V140" s="2221">
        <f ca="1">IF(AND((OFFSET('DATA INPUT'!$C$51, ROW()-ROW($V$134),0)=$V$10),
 (OFFSET('DATA INPUT'!$V$51,ROW()-ROW($V$134),0)=3)),
OFFSET('Calc - OTHER PERS'!$S$11,COLUMN()-COLUMN($V$134) + (ROW()-ROW($V$134))*14,0),0)</f>
        <v>0</v>
      </c>
      <c r="W140" s="29">
        <f ca="1">IF(AND((OFFSET('DATA INPUT'!$C$51, ROW()-ROW($V$134),0)=$V$10),
 (OFFSET('DATA INPUT'!$V$51,ROW()-ROW($V$134),0)=3)),
OFFSET('Calc - OTHER PERS'!$S$11,COLUMN()-COLUMN($V$134) + (ROW()-ROW($V$134))*14,0),0)</f>
        <v>0</v>
      </c>
      <c r="X140" s="29">
        <f ca="1">IF(AND((OFFSET('DATA INPUT'!$C$51, ROW()-ROW($V$134),0)=$V$10),
 (OFFSET('DATA INPUT'!$V$51,ROW()-ROW($V$134),0)=3)),
OFFSET('Calc - OTHER PERS'!$S$11,COLUMN()-COLUMN($V$134) + (ROW()-ROW($V$134))*14,0),0)</f>
        <v>0</v>
      </c>
      <c r="Y140" s="29">
        <f ca="1">IF(AND((OFFSET('DATA INPUT'!$C$51, ROW()-ROW($V$134),0)=$V$10),
 (OFFSET('DATA INPUT'!$V$51,ROW()-ROW($V$134),0)=3)),
OFFSET('Calc - OTHER PERS'!$S$11,COLUMN()-COLUMN($V$134) + (ROW()-ROW($V$134))*14,0),0)</f>
        <v>0</v>
      </c>
      <c r="Z140" s="29">
        <f ca="1">IF(AND((OFFSET('DATA INPUT'!$C$51, ROW()-ROW($V$134),0)=$V$10),
 (OFFSET('DATA INPUT'!$V$51,ROW()-ROW($V$134),0)=3)),
OFFSET('Calc - OTHER PERS'!$S$11,COLUMN()-COLUMN($V$134) + (ROW()-ROW($V$134))*14,0),0)</f>
        <v>0</v>
      </c>
      <c r="AA140" s="29">
        <f ca="1">IF(AND((OFFSET('DATA INPUT'!$C$51, ROW()-ROW($V$134),0)=$V$10),
 (OFFSET('DATA INPUT'!$V$51,ROW()-ROW($V$134),0)=3)),
OFFSET('Calc - OTHER PERS'!$S$11,COLUMN()-COLUMN($V$134) + (ROW()-ROW($V$134))*14,0),0)</f>
        <v>0</v>
      </c>
      <c r="AB140" s="138">
        <f t="shared" ca="1" si="459"/>
        <v>0</v>
      </c>
      <c r="AD140" s="2221">
        <f ca="1">IF(AND((OFFSET('DATA INPUT'!$C$51, ROW()-ROW($AD$134),0)=$AD$10),
 (OFFSET('DATA INPUT'!$V$51,ROW()-ROW($AD$134),0)=3)),
OFFSET('Calc - OTHER PERS'!$S$11,COLUMN()-COLUMN($AD$134) + (ROW()-ROW($AD$134))*14,0),0)</f>
        <v>0</v>
      </c>
      <c r="AE140" s="29">
        <f ca="1">IF(AND((OFFSET('DATA INPUT'!$C$51, ROW()-ROW($AD$134),0)=$AD$10),
 (OFFSET('DATA INPUT'!$V$51,ROW()-ROW($AD$134),0)=3)),
OFFSET('Calc - OTHER PERS'!$S$11,COLUMN()-COLUMN($AD$134) + (ROW()-ROW($AD$134))*14,0),0)</f>
        <v>0</v>
      </c>
      <c r="AF140" s="29">
        <f ca="1">IF(AND((OFFSET('DATA INPUT'!$C$51, ROW()-ROW($AD$134),0)=$AD$10),
 (OFFSET('DATA INPUT'!$V$51,ROW()-ROW($AD$134),0)=3)),
OFFSET('Calc - OTHER PERS'!$S$11,COLUMN()-COLUMN($AD$134) + (ROW()-ROW($AD$134))*14,0),0)</f>
        <v>0</v>
      </c>
      <c r="AG140" s="29">
        <f ca="1">IF(AND((OFFSET('DATA INPUT'!$C$51, ROW()-ROW($AD$134),0)=$AD$10),
 (OFFSET('DATA INPUT'!$V$51,ROW()-ROW($AD$134),0)=3)),
OFFSET('Calc - OTHER PERS'!$S$11,COLUMN()-COLUMN($AD$134) + (ROW()-ROW($AD$134))*14,0),0)</f>
        <v>0</v>
      </c>
      <c r="AH140" s="29">
        <f ca="1">IF(AND((OFFSET('DATA INPUT'!$C$51, ROW()-ROW($AD$134),0)=$AD$10),
 (OFFSET('DATA INPUT'!$V$51,ROW()-ROW($AD$134),0)=3)),
OFFSET('Calc - OTHER PERS'!$S$11,COLUMN()-COLUMN($AD$134) + (ROW()-ROW($AD$134))*14,0),0)</f>
        <v>0</v>
      </c>
      <c r="AI140" s="29">
        <f ca="1">IF(AND((OFFSET('DATA INPUT'!$C$51, ROW()-ROW($AD$134),0)=$AD$10),
 (OFFSET('DATA INPUT'!$V$51,ROW()-ROW($AD$134),0)=3)),
OFFSET('Calc - OTHER PERS'!$S$11,COLUMN()-COLUMN($AD$134) + (ROW()-ROW($AD$134))*14,0),0)</f>
        <v>0</v>
      </c>
      <c r="AJ140" s="206">
        <f t="shared" ca="1" si="558"/>
        <v>0</v>
      </c>
      <c r="AL140" s="2221">
        <f ca="1">IF(AND((OFFSET('DATA INPUT'!$C$51, ROW()-ROW($AL$134),0)=$AL$10),
 (OFFSET('DATA INPUT'!$V$51,ROW()-ROW($AL$134),0)=3)),
OFFSET('Calc - OTHER PERS'!$S$11,COLUMN()-COLUMN($AL$134) + (ROW()-ROW($AL$134))*14,0),0)</f>
        <v>0</v>
      </c>
      <c r="AM140" s="29">
        <f ca="1">IF(AND((OFFSET('DATA INPUT'!$C$51, ROW()-ROW($AL$134),0)=$AL$10),
 (OFFSET('DATA INPUT'!$V$51,ROW()-ROW($AL$134),0)=3)),
OFFSET('Calc - OTHER PERS'!$S$11,COLUMN()-COLUMN($AL$134) + (ROW()-ROW($AL$134))*14,0),0)</f>
        <v>0</v>
      </c>
      <c r="AN140" s="29">
        <f ca="1">IF(AND((OFFSET('DATA INPUT'!$C$51, ROW()-ROW($AL$134),0)=$AL$10),
 (OFFSET('DATA INPUT'!$V$51,ROW()-ROW($AL$134),0)=3)),
OFFSET('Calc - OTHER PERS'!$S$11,COLUMN()-COLUMN($AL$134) + (ROW()-ROW($AL$134))*14,0),0)</f>
        <v>0</v>
      </c>
      <c r="AO140" s="29">
        <f ca="1">IF(AND((OFFSET('DATA INPUT'!$C$51, ROW()-ROW($AL$134),0)=$AL$10),
 (OFFSET('DATA INPUT'!$V$51,ROW()-ROW($AL$134),0)=3)),
OFFSET('Calc - OTHER PERS'!$S$11,COLUMN()-COLUMN($AL$134) + (ROW()-ROW($AL$134))*14,0),0)</f>
        <v>0</v>
      </c>
      <c r="AP140" s="29">
        <f ca="1">IF(AND((OFFSET('DATA INPUT'!$C$51, ROW()-ROW($AL$134),0)=$AL$10),
 (OFFSET('DATA INPUT'!$V$51,ROW()-ROW($AL$134),0)=3)),
OFFSET('Calc - OTHER PERS'!$S$11,COLUMN()-COLUMN($AL$134) + (ROW()-ROW($AL$134))*14,0),0)</f>
        <v>0</v>
      </c>
      <c r="AQ140" s="29">
        <f ca="1">IF(AND((OFFSET('DATA INPUT'!$C$51, ROW()-ROW($AL$134),0)=$AL$10),
 (OFFSET('DATA INPUT'!$V$51,ROW()-ROW($AL$134),0)=3)),
OFFSET('Calc - OTHER PERS'!$S$11,COLUMN()-COLUMN($AL$134) + (ROW()-ROW($AL$134))*14,0),0)</f>
        <v>0</v>
      </c>
      <c r="AR140" s="178">
        <f t="shared" ca="1" si="559"/>
        <v>0</v>
      </c>
      <c r="AT140" s="2221">
        <f ca="1">IF(AND((OFFSET('DATA INPUT'!$C$51, ROW()-ROW($AT$134),0)=$AT$10),
 (OFFSET('DATA INPUT'!$V$51,ROW()-ROW($AT$134),0)=3)),
OFFSET('Calc - OTHER PERS'!$S$11,COLUMN()-COLUMN($AT$134) + (ROW()-ROW($AT$134))*14,0),0)</f>
        <v>0</v>
      </c>
      <c r="AU140" s="29">
        <f ca="1">IF(AND((OFFSET('DATA INPUT'!$C$51, ROW()-ROW($AT$134),0)=$AT$10),
 (OFFSET('DATA INPUT'!$V$51,ROW()-ROW($AT$134),0)=3)),
OFFSET('Calc - OTHER PERS'!$S$11,COLUMN()-COLUMN($AT$134) + (ROW()-ROW($AT$134))*14,0),0)</f>
        <v>0</v>
      </c>
      <c r="AV140" s="29">
        <f ca="1">IF(AND((OFFSET('DATA INPUT'!$C$51, ROW()-ROW($AT$134),0)=$AT$10),
 (OFFSET('DATA INPUT'!$V$51,ROW()-ROW($AT$134),0)=3)),
OFFSET('Calc - OTHER PERS'!$S$11,COLUMN()-COLUMN($AT$134) + (ROW()-ROW($AT$134))*14,0),0)</f>
        <v>0</v>
      </c>
      <c r="AW140" s="29">
        <f ca="1">IF(AND((OFFSET('DATA INPUT'!$C$51, ROW()-ROW($AT$134),0)=$AT$10),
 (OFFSET('DATA INPUT'!$V$51,ROW()-ROW($AT$134),0)=3)),
OFFSET('Calc - OTHER PERS'!$S$11,COLUMN()-COLUMN($AT$134) + (ROW()-ROW($AT$134))*14,0),0)</f>
        <v>0</v>
      </c>
      <c r="AX140" s="29">
        <f ca="1">IF(AND((OFFSET('DATA INPUT'!$C$51, ROW()-ROW($AT$134),0)=$AT$10),
 (OFFSET('DATA INPUT'!$V$51,ROW()-ROW($AT$134),0)=3)),
OFFSET('Calc - OTHER PERS'!$S$11,COLUMN()-COLUMN($AT$134) + (ROW()-ROW($AT$134))*14,0),0)</f>
        <v>0</v>
      </c>
      <c r="AY140" s="29">
        <f ca="1">IF(AND((OFFSET('DATA INPUT'!$C$51, ROW()-ROW($AT$134),0)=$AT$10),
 (OFFSET('DATA INPUT'!$V$51,ROW()-ROW($AT$134),0)=3)),
OFFSET('Calc - OTHER PERS'!$S$11,COLUMN()-COLUMN($AT$134) + (ROW()-ROW($AT$134))*14,0),0)</f>
        <v>0</v>
      </c>
      <c r="AZ140" s="150">
        <f t="shared" ca="1" si="560"/>
        <v>0</v>
      </c>
      <c r="BB140" s="2221">
        <f ca="1">IF(AND((OFFSET('DATA INPUT'!$C$51, ROW()-ROW($BB$134),0)=$BB$10),
 (OFFSET('DATA INPUT'!$V$51,ROW()-ROW($BB$134),0)=3)),
OFFSET('Calc - OTHER PERS'!$S$11,COLUMN()-COLUMN($BB$134) + (ROW()-ROW($BB$134))*14,0),0)</f>
        <v>0</v>
      </c>
      <c r="BC140" s="29">
        <f ca="1">IF(AND((OFFSET('DATA INPUT'!$C$51, ROW()-ROW($BB$134),0)=$BB$10),
 (OFFSET('DATA INPUT'!$V$51,ROW()-ROW($BB$134),0)=3)),
OFFSET('Calc - OTHER PERS'!$S$11,COLUMN()-COLUMN($BB$134) + (ROW()-ROW($BB$134))*14,0),0)</f>
        <v>0</v>
      </c>
      <c r="BD140" s="29">
        <f ca="1">IF(AND((OFFSET('DATA INPUT'!$C$51, ROW()-ROW($BB$134),0)=$BB$10),
 (OFFSET('DATA INPUT'!$V$51,ROW()-ROW($BB$134),0)=3)),
OFFSET('Calc - OTHER PERS'!$S$11,COLUMN()-COLUMN($BB$134) + (ROW()-ROW($BB$134))*14,0),0)</f>
        <v>0</v>
      </c>
      <c r="BE140" s="29">
        <f ca="1">IF(AND((OFFSET('DATA INPUT'!$C$51, ROW()-ROW($BB$134),0)=$BB$10),
 (OFFSET('DATA INPUT'!$V$51,ROW()-ROW($BB$134),0)=3)),
OFFSET('Calc - OTHER PERS'!$S$11,COLUMN()-COLUMN($BB$134) + (ROW()-ROW($BB$134))*14,0),0)</f>
        <v>0</v>
      </c>
      <c r="BF140" s="29">
        <f ca="1">IF(AND((OFFSET('DATA INPUT'!$C$51, ROW()-ROW($BB$134),0)=$BB$10),
 (OFFSET('DATA INPUT'!$V$51,ROW()-ROW($BB$134),0)=3)),
OFFSET('Calc - OTHER PERS'!$S$11,COLUMN()-COLUMN($BB$134) + (ROW()-ROW($BB$134))*14,0),0)</f>
        <v>0</v>
      </c>
      <c r="BG140" s="29">
        <f ca="1">IF(AND((OFFSET('DATA INPUT'!$C$51, ROW()-ROW($BB$134),0)=$BB$10),
 (OFFSET('DATA INPUT'!$V$51,ROW()-ROW($BB$134),0)=3)),
OFFSET('Calc - OTHER PERS'!$S$11,COLUMN()-COLUMN($BB$134) + (ROW()-ROW($BB$134))*14,0),0)</f>
        <v>0</v>
      </c>
      <c r="BH140" s="192">
        <f t="shared" ca="1" si="561"/>
        <v>0</v>
      </c>
      <c r="BJ140" s="2221"/>
      <c r="BK140" s="29"/>
      <c r="BL140" s="29"/>
      <c r="BM140" s="29"/>
      <c r="BN140" s="29"/>
      <c r="BO140" s="29"/>
      <c r="BP140" s="1102">
        <f t="shared" si="562"/>
        <v>0</v>
      </c>
      <c r="BR140" s="575">
        <f t="shared" ca="1" si="465"/>
        <v>0</v>
      </c>
      <c r="BS140" s="5">
        <f t="shared" ca="1" si="466"/>
        <v>0</v>
      </c>
      <c r="BT140" s="5">
        <f t="shared" ca="1" si="467"/>
        <v>0</v>
      </c>
      <c r="BU140" s="5">
        <f t="shared" ca="1" si="468"/>
        <v>0</v>
      </c>
      <c r="BV140" s="5">
        <f t="shared" ca="1" si="469"/>
        <v>0</v>
      </c>
      <c r="BW140" s="5">
        <f t="shared" ca="1" si="470"/>
        <v>0</v>
      </c>
      <c r="BX140" s="2175">
        <f t="shared" ca="1" si="471"/>
        <v>0</v>
      </c>
      <c r="BY140" s="573">
        <f t="shared" ca="1" si="472"/>
        <v>0</v>
      </c>
      <c r="BZ140" s="257"/>
      <c r="CB140" s="1267"/>
      <c r="CC140" s="1268"/>
      <c r="CD140" s="1269"/>
      <c r="CE140" s="1269"/>
      <c r="CF140" s="1269"/>
      <c r="CG140" s="1270"/>
      <c r="CH140" s="1271"/>
      <c r="CI140" s="1272"/>
      <c r="CJ140" s="1272"/>
      <c r="CK140" s="1272"/>
      <c r="CL140" s="1273"/>
      <c r="CM140" s="1274"/>
      <c r="CN140" s="1275"/>
      <c r="CO140" s="1276"/>
      <c r="CP140" s="1234"/>
      <c r="CS140" s="575"/>
      <c r="CT140" s="5"/>
      <c r="CU140" s="1180"/>
      <c r="CV140" s="575"/>
      <c r="CW140" s="5"/>
      <c r="CX140" s="1249"/>
      <c r="CY140" s="575"/>
      <c r="CZ140" s="5"/>
      <c r="DA140" s="1180"/>
      <c r="DB140" s="575"/>
      <c r="DC140" s="5"/>
      <c r="DD140" s="1180"/>
      <c r="DE140" s="1181"/>
      <c r="DG140" s="575"/>
      <c r="DH140" s="5"/>
      <c r="DI140" s="1180"/>
      <c r="DJ140" s="575"/>
      <c r="DK140" s="5"/>
      <c r="DL140" s="1249"/>
      <c r="DM140" s="575"/>
      <c r="DN140" s="5"/>
      <c r="DO140" s="1180"/>
      <c r="DP140" s="575"/>
      <c r="DQ140" s="5"/>
      <c r="DR140" s="1180"/>
      <c r="DS140" s="1181"/>
      <c r="DU140" s="575"/>
      <c r="DV140" s="5"/>
      <c r="DW140" s="1180"/>
      <c r="DX140" s="575"/>
      <c r="DY140" s="5"/>
      <c r="DZ140" s="1249"/>
      <c r="EA140" s="575"/>
      <c r="EB140" s="5"/>
      <c r="EC140" s="1180"/>
      <c r="ED140" s="575"/>
      <c r="EE140" s="5"/>
      <c r="EF140" s="1180"/>
      <c r="EG140" s="1181"/>
      <c r="EI140" s="25"/>
      <c r="EJ140" s="3211"/>
      <c r="EK140" s="123" t="str">
        <f t="shared" si="563"/>
        <v xml:space="preserve"> - </v>
      </c>
      <c r="EL140" s="5">
        <f t="shared" ca="1" si="564"/>
        <v>0</v>
      </c>
      <c r="EM140" s="5">
        <f t="shared" ca="1" si="565"/>
        <v>0</v>
      </c>
      <c r="EN140" s="5">
        <f t="shared" ca="1" si="566"/>
        <v>0</v>
      </c>
      <c r="EO140" s="5">
        <f t="shared" ca="1" si="567"/>
        <v>0</v>
      </c>
      <c r="EP140" s="5">
        <f t="shared" ca="1" si="568"/>
        <v>0</v>
      </c>
      <c r="EQ140" s="5">
        <f t="shared" ca="1" si="569"/>
        <v>0</v>
      </c>
      <c r="ER140" s="88">
        <f t="shared" ca="1" si="570"/>
        <v>0</v>
      </c>
      <c r="ES140" s="24"/>
      <c r="ET140" s="8"/>
      <c r="EU140" s="24"/>
      <c r="EV140" s="575">
        <f t="shared" ca="1" si="571"/>
        <v>0</v>
      </c>
      <c r="EW140" s="5">
        <f t="shared" ca="1" si="572"/>
        <v>0</v>
      </c>
      <c r="EX140" s="5">
        <f t="shared" ca="1" si="573"/>
        <v>0</v>
      </c>
      <c r="EY140" s="5">
        <f t="shared" ca="1" si="574"/>
        <v>0</v>
      </c>
      <c r="EZ140" s="5">
        <f t="shared" ca="1" si="575"/>
        <v>0</v>
      </c>
      <c r="FA140" s="5">
        <f t="shared" ca="1" si="576"/>
        <v>0</v>
      </c>
      <c r="FB140" s="164">
        <f t="shared" ca="1" si="491"/>
        <v>0</v>
      </c>
      <c r="FC140" s="1"/>
      <c r="FD140" s="2221">
        <f t="shared" ca="1" si="577"/>
        <v>0</v>
      </c>
      <c r="FE140" s="29">
        <f t="shared" ca="1" si="578"/>
        <v>0</v>
      </c>
      <c r="FF140" s="29">
        <f t="shared" ca="1" si="579"/>
        <v>0</v>
      </c>
      <c r="FG140" s="29">
        <f t="shared" ca="1" si="580"/>
        <v>0</v>
      </c>
      <c r="FH140" s="29">
        <f t="shared" ca="1" si="581"/>
        <v>0</v>
      </c>
      <c r="FI140" s="29">
        <f t="shared" ca="1" si="582"/>
        <v>0</v>
      </c>
      <c r="FJ140" s="138">
        <f t="shared" ca="1" si="498"/>
        <v>0</v>
      </c>
      <c r="FL140" s="2221">
        <f t="shared" ca="1" si="583"/>
        <v>0</v>
      </c>
      <c r="FM140" s="29">
        <f t="shared" ca="1" si="584"/>
        <v>0</v>
      </c>
      <c r="FN140" s="29">
        <f t="shared" ca="1" si="585"/>
        <v>0</v>
      </c>
      <c r="FO140" s="29">
        <f t="shared" ca="1" si="586"/>
        <v>0</v>
      </c>
      <c r="FP140" s="29">
        <f t="shared" ca="1" si="587"/>
        <v>0</v>
      </c>
      <c r="FQ140" s="29">
        <f t="shared" ca="1" si="588"/>
        <v>0</v>
      </c>
      <c r="FR140" s="206">
        <f t="shared" ca="1" si="589"/>
        <v>0</v>
      </c>
      <c r="FT140" s="2221">
        <f t="shared" ca="1" si="590"/>
        <v>0</v>
      </c>
      <c r="FU140" s="29">
        <f t="shared" ca="1" si="591"/>
        <v>0</v>
      </c>
      <c r="FV140" s="29">
        <f t="shared" ca="1" si="592"/>
        <v>0</v>
      </c>
      <c r="FW140" s="29">
        <f t="shared" ca="1" si="593"/>
        <v>0</v>
      </c>
      <c r="FX140" s="29">
        <f t="shared" ca="1" si="594"/>
        <v>0</v>
      </c>
      <c r="FY140" s="29">
        <f t="shared" ca="1" si="595"/>
        <v>0</v>
      </c>
      <c r="FZ140" s="178">
        <f t="shared" ca="1" si="596"/>
        <v>0</v>
      </c>
      <c r="GB140" s="2221">
        <f t="shared" ca="1" si="597"/>
        <v>0</v>
      </c>
      <c r="GC140" s="29">
        <f t="shared" ca="1" si="598"/>
        <v>0</v>
      </c>
      <c r="GD140" s="29">
        <f t="shared" ca="1" si="599"/>
        <v>0</v>
      </c>
      <c r="GE140" s="29">
        <f t="shared" ca="1" si="600"/>
        <v>0</v>
      </c>
      <c r="GF140" s="29">
        <f t="shared" ca="1" si="601"/>
        <v>0</v>
      </c>
      <c r="GG140" s="29">
        <f t="shared" ca="1" si="602"/>
        <v>0</v>
      </c>
      <c r="GH140" s="150">
        <f t="shared" ca="1" si="603"/>
        <v>0</v>
      </c>
      <c r="GJ140" s="2221">
        <f t="shared" ca="1" si="604"/>
        <v>0</v>
      </c>
      <c r="GK140" s="29">
        <f t="shared" ca="1" si="605"/>
        <v>0</v>
      </c>
      <c r="GL140" s="29">
        <f t="shared" ca="1" si="606"/>
        <v>0</v>
      </c>
      <c r="GM140" s="29">
        <f t="shared" ca="1" si="607"/>
        <v>0</v>
      </c>
      <c r="GN140" s="29">
        <f t="shared" ca="1" si="608"/>
        <v>0</v>
      </c>
      <c r="GO140" s="29">
        <f t="shared" ca="1" si="609"/>
        <v>0</v>
      </c>
      <c r="GP140" s="192">
        <f t="shared" ca="1" si="610"/>
        <v>0</v>
      </c>
      <c r="GR140" s="2221"/>
      <c r="GS140" s="29"/>
      <c r="GT140" s="29"/>
      <c r="GU140" s="29"/>
      <c r="GV140" s="29"/>
      <c r="GW140" s="29"/>
      <c r="GX140" s="1102">
        <f t="shared" si="611"/>
        <v>0</v>
      </c>
      <c r="GZ140" s="575">
        <f t="shared" ca="1" si="528"/>
        <v>0</v>
      </c>
      <c r="HA140" s="5">
        <f t="shared" ca="1" si="529"/>
        <v>0</v>
      </c>
      <c r="HB140" s="5">
        <f t="shared" ca="1" si="530"/>
        <v>0</v>
      </c>
      <c r="HC140" s="5">
        <f t="shared" ca="1" si="531"/>
        <v>0</v>
      </c>
      <c r="HD140" s="5">
        <f t="shared" ca="1" si="532"/>
        <v>0</v>
      </c>
      <c r="HE140" s="5">
        <f t="shared" ca="1" si="533"/>
        <v>0</v>
      </c>
      <c r="HF140" s="2175">
        <f t="shared" ca="1" si="534"/>
        <v>0</v>
      </c>
      <c r="HG140" s="573">
        <f t="shared" ca="1" si="535"/>
        <v>0</v>
      </c>
      <c r="HH140" s="257"/>
    </row>
    <row r="141" spans="1:216" ht="15" hidden="1" customHeight="1" x14ac:dyDescent="0.25">
      <c r="A141" s="25"/>
      <c r="B141" s="3211"/>
      <c r="C141" s="123" t="str">
        <f>('DATA INPUT'!B58&amp;" "&amp;"-"&amp;" "&amp;'DATA INPUT'!H58)</f>
        <v xml:space="preserve"> - </v>
      </c>
      <c r="D141" s="29">
        <f ca="1">'Calc - OTHER PERS'!L109</f>
        <v>0</v>
      </c>
      <c r="E141" s="29">
        <f ca="1">'Calc - OTHER PERS'!L110</f>
        <v>0</v>
      </c>
      <c r="F141" s="29">
        <f ca="1">'Calc - OTHER PERS'!L111</f>
        <v>0</v>
      </c>
      <c r="G141" s="29">
        <f ca="1">'Calc - OTHER PERS'!L112</f>
        <v>0</v>
      </c>
      <c r="H141" s="29">
        <f ca="1">'Calc - OTHER PERS'!L113</f>
        <v>0</v>
      </c>
      <c r="I141" s="29">
        <f ca="1">'Calc - OTHER PERS'!L114</f>
        <v>0</v>
      </c>
      <c r="J141" s="88">
        <f t="shared" ca="1" si="557"/>
        <v>0</v>
      </c>
      <c r="K141" s="24"/>
      <c r="L141" s="8"/>
      <c r="M141" s="24"/>
      <c r="N141" s="2388">
        <f ca="1">IF(AND((OFFSET('DATA INPUT'!$C$51, ROW()-ROW($N$134),0)=$N$10),
 (OFFSET('DATA INPUT'!$V$51,ROW()-ROW($N$134),0)=3)),
OFFSET('Calc - OTHER PERS'!$S$11,COLUMN()-COLUMN($N$134) + (ROW()-ROW($N$134))*14,0),0)</f>
        <v>0</v>
      </c>
      <c r="O141" s="2387">
        <f ca="1">IF(AND((OFFSET('DATA INPUT'!$C$51, ROW()-ROW($N$134),0)=$N$10),
 (OFFSET('DATA INPUT'!$V$51,ROW()-ROW($N$134),0)=3)),
OFFSET('Calc - OTHER PERS'!$S$11,COLUMN()-COLUMN($N$134) + (ROW()-ROW($N$134))*14,0),0)</f>
        <v>0</v>
      </c>
      <c r="P141" s="2387">
        <f ca="1">IF(AND((OFFSET('DATA INPUT'!$C$51, ROW()-ROW($N$134),0)=$N$10),
 (OFFSET('DATA INPUT'!$V$51,ROW()-ROW($N$134),0)=3)),
OFFSET('Calc - OTHER PERS'!$S$11,COLUMN()-COLUMN($N$134) + (ROW()-ROW($N$134))*14,0),0)</f>
        <v>0</v>
      </c>
      <c r="Q141" s="2387">
        <f ca="1">IF(AND((OFFSET('DATA INPUT'!$C$51, ROW()-ROW($N$134),0)=$N$10),
 (OFFSET('DATA INPUT'!$V$51,ROW()-ROW($N$134),0)=3)),
OFFSET('Calc - OTHER PERS'!$S$11,COLUMN()-COLUMN($N$134) + (ROW()-ROW($N$134))*14,0),0)</f>
        <v>0</v>
      </c>
      <c r="R141" s="2387">
        <f ca="1">IF(AND((OFFSET('DATA INPUT'!$C$51, ROW()-ROW($N$134),0)=$N$10),
 (OFFSET('DATA INPUT'!$V$51,ROW()-ROW($N$134),0)=3)),
OFFSET('Calc - OTHER PERS'!$S$11,COLUMN()-COLUMN($N$134) + (ROW()-ROW($N$134))*14,0),0)</f>
        <v>0</v>
      </c>
      <c r="S141" s="2387">
        <f ca="1">IF(AND((OFFSET('DATA INPUT'!$C$51, ROW()-ROW($N$134),0)=$N$10),
 (OFFSET('DATA INPUT'!$V$51,ROW()-ROW($N$134),0)=3)),
OFFSET('Calc - OTHER PERS'!$S$11,COLUMN()-COLUMN($N$134) + (ROW()-ROW($N$134))*14,0),0)</f>
        <v>0</v>
      </c>
      <c r="T141" s="164">
        <f t="shared" ca="1" si="458"/>
        <v>0</v>
      </c>
      <c r="U141" s="1"/>
      <c r="V141" s="2221">
        <f ca="1">IF(AND((OFFSET('DATA INPUT'!$C$51, ROW()-ROW($V$134),0)=$V$10),
 (OFFSET('DATA INPUT'!$V$51,ROW()-ROW($V$134),0)=3)),
OFFSET('Calc - OTHER PERS'!$S$11,COLUMN()-COLUMN($V$134) + (ROW()-ROW($V$134))*14,0),0)</f>
        <v>0</v>
      </c>
      <c r="W141" s="29">
        <f ca="1">IF(AND((OFFSET('DATA INPUT'!$C$51, ROW()-ROW($V$134),0)=$V$10),
 (OFFSET('DATA INPUT'!$V$51,ROW()-ROW($V$134),0)=3)),
OFFSET('Calc - OTHER PERS'!$S$11,COLUMN()-COLUMN($V$134) + (ROW()-ROW($V$134))*14,0),0)</f>
        <v>0</v>
      </c>
      <c r="X141" s="29">
        <f ca="1">IF(AND((OFFSET('DATA INPUT'!$C$51, ROW()-ROW($V$134),0)=$V$10),
 (OFFSET('DATA INPUT'!$V$51,ROW()-ROW($V$134),0)=3)),
OFFSET('Calc - OTHER PERS'!$S$11,COLUMN()-COLUMN($V$134) + (ROW()-ROW($V$134))*14,0),0)</f>
        <v>0</v>
      </c>
      <c r="Y141" s="29">
        <f ca="1">IF(AND((OFFSET('DATA INPUT'!$C$51, ROW()-ROW($V$134),0)=$V$10),
 (OFFSET('DATA INPUT'!$V$51,ROW()-ROW($V$134),0)=3)),
OFFSET('Calc - OTHER PERS'!$S$11,COLUMN()-COLUMN($V$134) + (ROW()-ROW($V$134))*14,0),0)</f>
        <v>0</v>
      </c>
      <c r="Z141" s="29">
        <f ca="1">IF(AND((OFFSET('DATA INPUT'!$C$51, ROW()-ROW($V$134),0)=$V$10),
 (OFFSET('DATA INPUT'!$V$51,ROW()-ROW($V$134),0)=3)),
OFFSET('Calc - OTHER PERS'!$S$11,COLUMN()-COLUMN($V$134) + (ROW()-ROW($V$134))*14,0),0)</f>
        <v>0</v>
      </c>
      <c r="AA141" s="29">
        <f ca="1">IF(AND((OFFSET('DATA INPUT'!$C$51, ROW()-ROW($V$134),0)=$V$10),
 (OFFSET('DATA INPUT'!$V$51,ROW()-ROW($V$134),0)=3)),
OFFSET('Calc - OTHER PERS'!$S$11,COLUMN()-COLUMN($V$134) + (ROW()-ROW($V$134))*14,0),0)</f>
        <v>0</v>
      </c>
      <c r="AB141" s="138">
        <f t="shared" ca="1" si="459"/>
        <v>0</v>
      </c>
      <c r="AD141" s="2221">
        <f ca="1">IF(AND((OFFSET('DATA INPUT'!$C$51, ROW()-ROW($AD$134),0)=$AD$10),
 (OFFSET('DATA INPUT'!$V$51,ROW()-ROW($AD$134),0)=3)),
OFFSET('Calc - OTHER PERS'!$S$11,COLUMN()-COLUMN($AD$134) + (ROW()-ROW($AD$134))*14,0),0)</f>
        <v>0</v>
      </c>
      <c r="AE141" s="29">
        <f ca="1">IF(AND((OFFSET('DATA INPUT'!$C$51, ROW()-ROW($AD$134),0)=$AD$10),
 (OFFSET('DATA INPUT'!$V$51,ROW()-ROW($AD$134),0)=3)),
OFFSET('Calc - OTHER PERS'!$S$11,COLUMN()-COLUMN($AD$134) + (ROW()-ROW($AD$134))*14,0),0)</f>
        <v>0</v>
      </c>
      <c r="AF141" s="29">
        <f ca="1">IF(AND((OFFSET('DATA INPUT'!$C$51, ROW()-ROW($AD$134),0)=$AD$10),
 (OFFSET('DATA INPUT'!$V$51,ROW()-ROW($AD$134),0)=3)),
OFFSET('Calc - OTHER PERS'!$S$11,COLUMN()-COLUMN($AD$134) + (ROW()-ROW($AD$134))*14,0),0)</f>
        <v>0</v>
      </c>
      <c r="AG141" s="29">
        <f ca="1">IF(AND((OFFSET('DATA INPUT'!$C$51, ROW()-ROW($AD$134),0)=$AD$10),
 (OFFSET('DATA INPUT'!$V$51,ROW()-ROW($AD$134),0)=3)),
OFFSET('Calc - OTHER PERS'!$S$11,COLUMN()-COLUMN($AD$134) + (ROW()-ROW($AD$134))*14,0),0)</f>
        <v>0</v>
      </c>
      <c r="AH141" s="29">
        <f ca="1">IF(AND((OFFSET('DATA INPUT'!$C$51, ROW()-ROW($AD$134),0)=$AD$10),
 (OFFSET('DATA INPUT'!$V$51,ROW()-ROW($AD$134),0)=3)),
OFFSET('Calc - OTHER PERS'!$S$11,COLUMN()-COLUMN($AD$134) + (ROW()-ROW($AD$134))*14,0),0)</f>
        <v>0</v>
      </c>
      <c r="AI141" s="29">
        <f ca="1">IF(AND((OFFSET('DATA INPUT'!$C$51, ROW()-ROW($AD$134),0)=$AD$10),
 (OFFSET('DATA INPUT'!$V$51,ROW()-ROW($AD$134),0)=3)),
OFFSET('Calc - OTHER PERS'!$S$11,COLUMN()-COLUMN($AD$134) + (ROW()-ROW($AD$134))*14,0),0)</f>
        <v>0</v>
      </c>
      <c r="AJ141" s="206">
        <f t="shared" ca="1" si="558"/>
        <v>0</v>
      </c>
      <c r="AL141" s="2221">
        <f ca="1">IF(AND((OFFSET('DATA INPUT'!$C$51, ROW()-ROW($AL$134),0)=$AL$10),
 (OFFSET('DATA INPUT'!$V$51,ROW()-ROW($AL$134),0)=3)),
OFFSET('Calc - OTHER PERS'!$S$11,COLUMN()-COLUMN($AL$134) + (ROW()-ROW($AL$134))*14,0),0)</f>
        <v>0</v>
      </c>
      <c r="AM141" s="29">
        <f ca="1">IF(AND((OFFSET('DATA INPUT'!$C$51, ROW()-ROW($AL$134),0)=$AL$10),
 (OFFSET('DATA INPUT'!$V$51,ROW()-ROW($AL$134),0)=3)),
OFFSET('Calc - OTHER PERS'!$S$11,COLUMN()-COLUMN($AL$134) + (ROW()-ROW($AL$134))*14,0),0)</f>
        <v>0</v>
      </c>
      <c r="AN141" s="29">
        <f ca="1">IF(AND((OFFSET('DATA INPUT'!$C$51, ROW()-ROW($AL$134),0)=$AL$10),
 (OFFSET('DATA INPUT'!$V$51,ROW()-ROW($AL$134),0)=3)),
OFFSET('Calc - OTHER PERS'!$S$11,COLUMN()-COLUMN($AL$134) + (ROW()-ROW($AL$134))*14,0),0)</f>
        <v>0</v>
      </c>
      <c r="AO141" s="29">
        <f ca="1">IF(AND((OFFSET('DATA INPUT'!$C$51, ROW()-ROW($AL$134),0)=$AL$10),
 (OFFSET('DATA INPUT'!$V$51,ROW()-ROW($AL$134),0)=3)),
OFFSET('Calc - OTHER PERS'!$S$11,COLUMN()-COLUMN($AL$134) + (ROW()-ROW($AL$134))*14,0),0)</f>
        <v>0</v>
      </c>
      <c r="AP141" s="29">
        <f ca="1">IF(AND((OFFSET('DATA INPUT'!$C$51, ROW()-ROW($AL$134),0)=$AL$10),
 (OFFSET('DATA INPUT'!$V$51,ROW()-ROW($AL$134),0)=3)),
OFFSET('Calc - OTHER PERS'!$S$11,COLUMN()-COLUMN($AL$134) + (ROW()-ROW($AL$134))*14,0),0)</f>
        <v>0</v>
      </c>
      <c r="AQ141" s="29">
        <f ca="1">IF(AND((OFFSET('DATA INPUT'!$C$51, ROW()-ROW($AL$134),0)=$AL$10),
 (OFFSET('DATA INPUT'!$V$51,ROW()-ROW($AL$134),0)=3)),
OFFSET('Calc - OTHER PERS'!$S$11,COLUMN()-COLUMN($AL$134) + (ROW()-ROW($AL$134))*14,0),0)</f>
        <v>0</v>
      </c>
      <c r="AR141" s="178">
        <f t="shared" ca="1" si="559"/>
        <v>0</v>
      </c>
      <c r="AT141" s="2221">
        <f ca="1">IF(AND((OFFSET('DATA INPUT'!$C$51, ROW()-ROW($AT$134),0)=$AT$10),
 (OFFSET('DATA INPUT'!$V$51,ROW()-ROW($AT$134),0)=3)),
OFFSET('Calc - OTHER PERS'!$S$11,COLUMN()-COLUMN($AT$134) + (ROW()-ROW($AT$134))*14,0),0)</f>
        <v>0</v>
      </c>
      <c r="AU141" s="29">
        <f ca="1">IF(AND((OFFSET('DATA INPUT'!$C$51, ROW()-ROW($AT$134),0)=$AT$10),
 (OFFSET('DATA INPUT'!$V$51,ROW()-ROW($AT$134),0)=3)),
OFFSET('Calc - OTHER PERS'!$S$11,COLUMN()-COLUMN($AT$134) + (ROW()-ROW($AT$134))*14,0),0)</f>
        <v>0</v>
      </c>
      <c r="AV141" s="29">
        <f ca="1">IF(AND((OFFSET('DATA INPUT'!$C$51, ROW()-ROW($AT$134),0)=$AT$10),
 (OFFSET('DATA INPUT'!$V$51,ROW()-ROW($AT$134),0)=3)),
OFFSET('Calc - OTHER PERS'!$S$11,COLUMN()-COLUMN($AT$134) + (ROW()-ROW($AT$134))*14,0),0)</f>
        <v>0</v>
      </c>
      <c r="AW141" s="29">
        <f ca="1">IF(AND((OFFSET('DATA INPUT'!$C$51, ROW()-ROW($AT$134),0)=$AT$10),
 (OFFSET('DATA INPUT'!$V$51,ROW()-ROW($AT$134),0)=3)),
OFFSET('Calc - OTHER PERS'!$S$11,COLUMN()-COLUMN($AT$134) + (ROW()-ROW($AT$134))*14,0),0)</f>
        <v>0</v>
      </c>
      <c r="AX141" s="29">
        <f ca="1">IF(AND((OFFSET('DATA INPUT'!$C$51, ROW()-ROW($AT$134),0)=$AT$10),
 (OFFSET('DATA INPUT'!$V$51,ROW()-ROW($AT$134),0)=3)),
OFFSET('Calc - OTHER PERS'!$S$11,COLUMN()-COLUMN($AT$134) + (ROW()-ROW($AT$134))*14,0),0)</f>
        <v>0</v>
      </c>
      <c r="AY141" s="29">
        <f ca="1">IF(AND((OFFSET('DATA INPUT'!$C$51, ROW()-ROW($AT$134),0)=$AT$10),
 (OFFSET('DATA INPUT'!$V$51,ROW()-ROW($AT$134),0)=3)),
OFFSET('Calc - OTHER PERS'!$S$11,COLUMN()-COLUMN($AT$134) + (ROW()-ROW($AT$134))*14,0),0)</f>
        <v>0</v>
      </c>
      <c r="AZ141" s="150">
        <f t="shared" ca="1" si="560"/>
        <v>0</v>
      </c>
      <c r="BB141" s="2221">
        <f ca="1">IF(AND((OFFSET('DATA INPUT'!$C$51, ROW()-ROW($BB$134),0)=$BB$10),
 (OFFSET('DATA INPUT'!$V$51,ROW()-ROW($BB$134),0)=3)),
OFFSET('Calc - OTHER PERS'!$S$11,COLUMN()-COLUMN($BB$134) + (ROW()-ROW($BB$134))*14,0),0)</f>
        <v>0</v>
      </c>
      <c r="BC141" s="29">
        <f ca="1">IF(AND((OFFSET('DATA INPUT'!$C$51, ROW()-ROW($BB$134),0)=$BB$10),
 (OFFSET('DATA INPUT'!$V$51,ROW()-ROW($BB$134),0)=3)),
OFFSET('Calc - OTHER PERS'!$S$11,COLUMN()-COLUMN($BB$134) + (ROW()-ROW($BB$134))*14,0),0)</f>
        <v>0</v>
      </c>
      <c r="BD141" s="29">
        <f ca="1">IF(AND((OFFSET('DATA INPUT'!$C$51, ROW()-ROW($BB$134),0)=$BB$10),
 (OFFSET('DATA INPUT'!$V$51,ROW()-ROW($BB$134),0)=3)),
OFFSET('Calc - OTHER PERS'!$S$11,COLUMN()-COLUMN($BB$134) + (ROW()-ROW($BB$134))*14,0),0)</f>
        <v>0</v>
      </c>
      <c r="BE141" s="29">
        <f ca="1">IF(AND((OFFSET('DATA INPUT'!$C$51, ROW()-ROW($BB$134),0)=$BB$10),
 (OFFSET('DATA INPUT'!$V$51,ROW()-ROW($BB$134),0)=3)),
OFFSET('Calc - OTHER PERS'!$S$11,COLUMN()-COLUMN($BB$134) + (ROW()-ROW($BB$134))*14,0),0)</f>
        <v>0</v>
      </c>
      <c r="BF141" s="29">
        <f ca="1">IF(AND((OFFSET('DATA INPUT'!$C$51, ROW()-ROW($BB$134),0)=$BB$10),
 (OFFSET('DATA INPUT'!$V$51,ROW()-ROW($BB$134),0)=3)),
OFFSET('Calc - OTHER PERS'!$S$11,COLUMN()-COLUMN($BB$134) + (ROW()-ROW($BB$134))*14,0),0)</f>
        <v>0</v>
      </c>
      <c r="BG141" s="29">
        <f ca="1">IF(AND((OFFSET('DATA INPUT'!$C$51, ROW()-ROW($BB$134),0)=$BB$10),
 (OFFSET('DATA INPUT'!$V$51,ROW()-ROW($BB$134),0)=3)),
OFFSET('Calc - OTHER PERS'!$S$11,COLUMN()-COLUMN($BB$134) + (ROW()-ROW($BB$134))*14,0),0)</f>
        <v>0</v>
      </c>
      <c r="BH141" s="192">
        <f t="shared" ca="1" si="561"/>
        <v>0</v>
      </c>
      <c r="BJ141" s="2221"/>
      <c r="BK141" s="29"/>
      <c r="BL141" s="29"/>
      <c r="BM141" s="29"/>
      <c r="BN141" s="29"/>
      <c r="BO141" s="29"/>
      <c r="BP141" s="1102">
        <f t="shared" si="562"/>
        <v>0</v>
      </c>
      <c r="BR141" s="575">
        <f t="shared" ca="1" si="465"/>
        <v>0</v>
      </c>
      <c r="BS141" s="5">
        <f t="shared" ca="1" si="466"/>
        <v>0</v>
      </c>
      <c r="BT141" s="5">
        <f t="shared" ca="1" si="467"/>
        <v>0</v>
      </c>
      <c r="BU141" s="5">
        <f t="shared" ca="1" si="468"/>
        <v>0</v>
      </c>
      <c r="BV141" s="5">
        <f t="shared" ca="1" si="469"/>
        <v>0</v>
      </c>
      <c r="BW141" s="5">
        <f t="shared" ca="1" si="470"/>
        <v>0</v>
      </c>
      <c r="BX141" s="2175">
        <f t="shared" ca="1" si="471"/>
        <v>0</v>
      </c>
      <c r="BY141" s="573">
        <f t="shared" ca="1" si="472"/>
        <v>0</v>
      </c>
      <c r="BZ141" s="257"/>
      <c r="CB141" s="1267"/>
      <c r="CC141" s="1268"/>
      <c r="CD141" s="1269"/>
      <c r="CE141" s="1269"/>
      <c r="CF141" s="1269"/>
      <c r="CG141" s="1270"/>
      <c r="CH141" s="1271"/>
      <c r="CI141" s="1272"/>
      <c r="CJ141" s="1272"/>
      <c r="CK141" s="1272"/>
      <c r="CL141" s="1273"/>
      <c r="CM141" s="1274"/>
      <c r="CN141" s="1275"/>
      <c r="CO141" s="1276"/>
      <c r="CP141" s="1234"/>
      <c r="CS141" s="575"/>
      <c r="CT141" s="5"/>
      <c r="CU141" s="1180"/>
      <c r="CV141" s="575"/>
      <c r="CW141" s="5"/>
      <c r="CX141" s="1249"/>
      <c r="CY141" s="575"/>
      <c r="CZ141" s="5"/>
      <c r="DA141" s="1180"/>
      <c r="DB141" s="575"/>
      <c r="DC141" s="5"/>
      <c r="DD141" s="1180"/>
      <c r="DE141" s="1181"/>
      <c r="DG141" s="575"/>
      <c r="DH141" s="5"/>
      <c r="DI141" s="1180"/>
      <c r="DJ141" s="575"/>
      <c r="DK141" s="5"/>
      <c r="DL141" s="1249"/>
      <c r="DM141" s="575"/>
      <c r="DN141" s="5"/>
      <c r="DO141" s="1180"/>
      <c r="DP141" s="575"/>
      <c r="DQ141" s="5"/>
      <c r="DR141" s="1180"/>
      <c r="DS141" s="1181"/>
      <c r="DU141" s="575"/>
      <c r="DV141" s="5"/>
      <c r="DW141" s="1180"/>
      <c r="DX141" s="575"/>
      <c r="DY141" s="5"/>
      <c r="DZ141" s="1249"/>
      <c r="EA141" s="575"/>
      <c r="EB141" s="5"/>
      <c r="EC141" s="1180"/>
      <c r="ED141" s="575"/>
      <c r="EE141" s="5"/>
      <c r="EF141" s="1180"/>
      <c r="EG141" s="1181"/>
      <c r="EI141" s="25"/>
      <c r="EJ141" s="3211"/>
      <c r="EK141" s="123" t="str">
        <f t="shared" si="563"/>
        <v xml:space="preserve"> - </v>
      </c>
      <c r="EL141" s="5">
        <f t="shared" ca="1" si="564"/>
        <v>0</v>
      </c>
      <c r="EM141" s="5">
        <f t="shared" ca="1" si="565"/>
        <v>0</v>
      </c>
      <c r="EN141" s="5">
        <f t="shared" ca="1" si="566"/>
        <v>0</v>
      </c>
      <c r="EO141" s="5">
        <f t="shared" ca="1" si="567"/>
        <v>0</v>
      </c>
      <c r="EP141" s="5">
        <f t="shared" ca="1" si="568"/>
        <v>0</v>
      </c>
      <c r="EQ141" s="5">
        <f t="shared" ca="1" si="569"/>
        <v>0</v>
      </c>
      <c r="ER141" s="88">
        <f t="shared" ca="1" si="570"/>
        <v>0</v>
      </c>
      <c r="ES141" s="24"/>
      <c r="ET141" s="8"/>
      <c r="EU141" s="24"/>
      <c r="EV141" s="575">
        <f t="shared" ca="1" si="571"/>
        <v>0</v>
      </c>
      <c r="EW141" s="5">
        <f t="shared" ca="1" si="572"/>
        <v>0</v>
      </c>
      <c r="EX141" s="5">
        <f t="shared" ca="1" si="573"/>
        <v>0</v>
      </c>
      <c r="EY141" s="5">
        <f t="shared" ca="1" si="574"/>
        <v>0</v>
      </c>
      <c r="EZ141" s="5">
        <f t="shared" ca="1" si="575"/>
        <v>0</v>
      </c>
      <c r="FA141" s="5">
        <f t="shared" ca="1" si="576"/>
        <v>0</v>
      </c>
      <c r="FB141" s="164">
        <f t="shared" ca="1" si="491"/>
        <v>0</v>
      </c>
      <c r="FC141" s="1"/>
      <c r="FD141" s="2221">
        <f t="shared" ca="1" si="577"/>
        <v>0</v>
      </c>
      <c r="FE141" s="29">
        <f t="shared" ca="1" si="578"/>
        <v>0</v>
      </c>
      <c r="FF141" s="29">
        <f t="shared" ca="1" si="579"/>
        <v>0</v>
      </c>
      <c r="FG141" s="29">
        <f t="shared" ca="1" si="580"/>
        <v>0</v>
      </c>
      <c r="FH141" s="29">
        <f t="shared" ca="1" si="581"/>
        <v>0</v>
      </c>
      <c r="FI141" s="29">
        <f t="shared" ca="1" si="582"/>
        <v>0</v>
      </c>
      <c r="FJ141" s="138">
        <f t="shared" ca="1" si="498"/>
        <v>0</v>
      </c>
      <c r="FL141" s="2221">
        <f t="shared" ca="1" si="583"/>
        <v>0</v>
      </c>
      <c r="FM141" s="29">
        <f t="shared" ca="1" si="584"/>
        <v>0</v>
      </c>
      <c r="FN141" s="29">
        <f t="shared" ca="1" si="585"/>
        <v>0</v>
      </c>
      <c r="FO141" s="29">
        <f t="shared" ca="1" si="586"/>
        <v>0</v>
      </c>
      <c r="FP141" s="29">
        <f t="shared" ca="1" si="587"/>
        <v>0</v>
      </c>
      <c r="FQ141" s="29">
        <f t="shared" ca="1" si="588"/>
        <v>0</v>
      </c>
      <c r="FR141" s="206">
        <f t="shared" ca="1" si="589"/>
        <v>0</v>
      </c>
      <c r="FT141" s="2221">
        <f t="shared" ca="1" si="590"/>
        <v>0</v>
      </c>
      <c r="FU141" s="29">
        <f t="shared" ca="1" si="591"/>
        <v>0</v>
      </c>
      <c r="FV141" s="29">
        <f t="shared" ca="1" si="592"/>
        <v>0</v>
      </c>
      <c r="FW141" s="29">
        <f t="shared" ca="1" si="593"/>
        <v>0</v>
      </c>
      <c r="FX141" s="29">
        <f t="shared" ca="1" si="594"/>
        <v>0</v>
      </c>
      <c r="FY141" s="29">
        <f t="shared" ca="1" si="595"/>
        <v>0</v>
      </c>
      <c r="FZ141" s="178">
        <f t="shared" ca="1" si="596"/>
        <v>0</v>
      </c>
      <c r="GB141" s="2221">
        <f t="shared" ca="1" si="597"/>
        <v>0</v>
      </c>
      <c r="GC141" s="29">
        <f t="shared" ca="1" si="598"/>
        <v>0</v>
      </c>
      <c r="GD141" s="29">
        <f t="shared" ca="1" si="599"/>
        <v>0</v>
      </c>
      <c r="GE141" s="29">
        <f t="shared" ca="1" si="600"/>
        <v>0</v>
      </c>
      <c r="GF141" s="29">
        <f t="shared" ca="1" si="601"/>
        <v>0</v>
      </c>
      <c r="GG141" s="29">
        <f t="shared" ca="1" si="602"/>
        <v>0</v>
      </c>
      <c r="GH141" s="150">
        <f t="shared" ca="1" si="603"/>
        <v>0</v>
      </c>
      <c r="GJ141" s="2221">
        <f t="shared" ca="1" si="604"/>
        <v>0</v>
      </c>
      <c r="GK141" s="29">
        <f t="shared" ca="1" si="605"/>
        <v>0</v>
      </c>
      <c r="GL141" s="29">
        <f t="shared" ca="1" si="606"/>
        <v>0</v>
      </c>
      <c r="GM141" s="29">
        <f t="shared" ca="1" si="607"/>
        <v>0</v>
      </c>
      <c r="GN141" s="29">
        <f t="shared" ca="1" si="608"/>
        <v>0</v>
      </c>
      <c r="GO141" s="29">
        <f t="shared" ca="1" si="609"/>
        <v>0</v>
      </c>
      <c r="GP141" s="192">
        <f t="shared" ca="1" si="610"/>
        <v>0</v>
      </c>
      <c r="GR141" s="2221"/>
      <c r="GS141" s="29"/>
      <c r="GT141" s="29"/>
      <c r="GU141" s="29"/>
      <c r="GV141" s="29"/>
      <c r="GW141" s="29"/>
      <c r="GX141" s="1102">
        <f t="shared" si="611"/>
        <v>0</v>
      </c>
      <c r="GZ141" s="575">
        <f t="shared" ca="1" si="528"/>
        <v>0</v>
      </c>
      <c r="HA141" s="5">
        <f t="shared" ca="1" si="529"/>
        <v>0</v>
      </c>
      <c r="HB141" s="5">
        <f t="shared" ca="1" si="530"/>
        <v>0</v>
      </c>
      <c r="HC141" s="5">
        <f t="shared" ca="1" si="531"/>
        <v>0</v>
      </c>
      <c r="HD141" s="5">
        <f t="shared" ca="1" si="532"/>
        <v>0</v>
      </c>
      <c r="HE141" s="5">
        <f t="shared" ca="1" si="533"/>
        <v>0</v>
      </c>
      <c r="HF141" s="2175">
        <f t="shared" ca="1" si="534"/>
        <v>0</v>
      </c>
      <c r="HG141" s="573">
        <f t="shared" ca="1" si="535"/>
        <v>0</v>
      </c>
      <c r="HH141" s="257"/>
    </row>
    <row r="142" spans="1:216" ht="15" hidden="1" customHeight="1" x14ac:dyDescent="0.25">
      <c r="A142" s="25"/>
      <c r="B142" s="3211"/>
      <c r="C142" s="422" t="str">
        <f>('DATA INPUT'!B59&amp;" "&amp;"-"&amp;" "&amp;'DATA INPUT'!H59)</f>
        <v xml:space="preserve"> - </v>
      </c>
      <c r="D142" s="29">
        <f ca="1">'Calc - OTHER PERS'!L123</f>
        <v>0</v>
      </c>
      <c r="E142" s="29">
        <f ca="1">'Calc - OTHER PERS'!L124</f>
        <v>0</v>
      </c>
      <c r="F142" s="29">
        <f ca="1">'Calc - OTHER PERS'!L125</f>
        <v>0</v>
      </c>
      <c r="G142" s="29">
        <f ca="1">'Calc - OTHER PERS'!L126</f>
        <v>0</v>
      </c>
      <c r="H142" s="29">
        <f ca="1">'Calc - OTHER PERS'!L127</f>
        <v>0</v>
      </c>
      <c r="I142" s="29">
        <f ca="1">'Calc - OTHER PERS'!L128</f>
        <v>0</v>
      </c>
      <c r="J142" s="88">
        <f t="shared" ca="1" si="557"/>
        <v>0</v>
      </c>
      <c r="K142" s="24"/>
      <c r="L142" s="8"/>
      <c r="M142" s="24"/>
      <c r="N142" s="2388">
        <f ca="1">IF(AND((OFFSET('DATA INPUT'!$C$51, ROW()-ROW($N$134),0)=$N$10),
 (OFFSET('DATA INPUT'!$V$51,ROW()-ROW($N$134),0)=3)),
OFFSET('Calc - OTHER PERS'!$S$11,COLUMN()-COLUMN($N$134) + (ROW()-ROW($N$134))*14,0),0)</f>
        <v>0</v>
      </c>
      <c r="O142" s="2387">
        <f ca="1">IF(AND((OFFSET('DATA INPUT'!$C$51, ROW()-ROW($N$134),0)=$N$10),
 (OFFSET('DATA INPUT'!$V$51,ROW()-ROW($N$134),0)=3)),
OFFSET('Calc - OTHER PERS'!$S$11,COLUMN()-COLUMN($N$134) + (ROW()-ROW($N$134))*14,0),0)</f>
        <v>0</v>
      </c>
      <c r="P142" s="2387">
        <f ca="1">IF(AND((OFFSET('DATA INPUT'!$C$51, ROW()-ROW($N$134),0)=$N$10),
 (OFFSET('DATA INPUT'!$V$51,ROW()-ROW($N$134),0)=3)),
OFFSET('Calc - OTHER PERS'!$S$11,COLUMN()-COLUMN($N$134) + (ROW()-ROW($N$134))*14,0),0)</f>
        <v>0</v>
      </c>
      <c r="Q142" s="2387">
        <f ca="1">IF(AND((OFFSET('DATA INPUT'!$C$51, ROW()-ROW($N$134),0)=$N$10),
 (OFFSET('DATA INPUT'!$V$51,ROW()-ROW($N$134),0)=3)),
OFFSET('Calc - OTHER PERS'!$S$11,COLUMN()-COLUMN($N$134) + (ROW()-ROW($N$134))*14,0),0)</f>
        <v>0</v>
      </c>
      <c r="R142" s="2387">
        <f ca="1">IF(AND((OFFSET('DATA INPUT'!$C$51, ROW()-ROW($N$134),0)=$N$10),
 (OFFSET('DATA INPUT'!$V$51,ROW()-ROW($N$134),0)=3)),
OFFSET('Calc - OTHER PERS'!$S$11,COLUMN()-COLUMN($N$134) + (ROW()-ROW($N$134))*14,0),0)</f>
        <v>0</v>
      </c>
      <c r="S142" s="2387">
        <f ca="1">IF(AND((OFFSET('DATA INPUT'!$C$51, ROW()-ROW($N$134),0)=$N$10),
 (OFFSET('DATA INPUT'!$V$51,ROW()-ROW($N$134),0)=3)),
OFFSET('Calc - OTHER PERS'!$S$11,COLUMN()-COLUMN($N$134) + (ROW()-ROW($N$134))*14,0),0)</f>
        <v>0</v>
      </c>
      <c r="T142" s="164">
        <f t="shared" ca="1" si="458"/>
        <v>0</v>
      </c>
      <c r="U142" s="1"/>
      <c r="V142" s="2221">
        <f ca="1">IF(AND((OFFSET('DATA INPUT'!$C$51, ROW()-ROW($V$134),0)=$V$10),
 (OFFSET('DATA INPUT'!$V$51,ROW()-ROW($V$134),0)=3)),
OFFSET('Calc - OTHER PERS'!$S$11,COLUMN()-COLUMN($V$134) + (ROW()-ROW($V$134))*14,0),0)</f>
        <v>0</v>
      </c>
      <c r="W142" s="29">
        <f ca="1">IF(AND((OFFSET('DATA INPUT'!$C$51, ROW()-ROW($V$134),0)=$V$10),
 (OFFSET('DATA INPUT'!$V$51,ROW()-ROW($V$134),0)=3)),
OFFSET('Calc - OTHER PERS'!$S$11,COLUMN()-COLUMN($V$134) + (ROW()-ROW($V$134))*14,0),0)</f>
        <v>0</v>
      </c>
      <c r="X142" s="29">
        <f ca="1">IF(AND((OFFSET('DATA INPUT'!$C$51, ROW()-ROW($V$134),0)=$V$10),
 (OFFSET('DATA INPUT'!$V$51,ROW()-ROW($V$134),0)=3)),
OFFSET('Calc - OTHER PERS'!$S$11,COLUMN()-COLUMN($V$134) + (ROW()-ROW($V$134))*14,0),0)</f>
        <v>0</v>
      </c>
      <c r="Y142" s="29">
        <f ca="1">IF(AND((OFFSET('DATA INPUT'!$C$51, ROW()-ROW($V$134),0)=$V$10),
 (OFFSET('DATA INPUT'!$V$51,ROW()-ROW($V$134),0)=3)),
OFFSET('Calc - OTHER PERS'!$S$11,COLUMN()-COLUMN($V$134) + (ROW()-ROW($V$134))*14,0),0)</f>
        <v>0</v>
      </c>
      <c r="Z142" s="29">
        <f ca="1">IF(AND((OFFSET('DATA INPUT'!$C$51, ROW()-ROW($V$134),0)=$V$10),
 (OFFSET('DATA INPUT'!$V$51,ROW()-ROW($V$134),0)=3)),
OFFSET('Calc - OTHER PERS'!$S$11,COLUMN()-COLUMN($V$134) + (ROW()-ROW($V$134))*14,0),0)</f>
        <v>0</v>
      </c>
      <c r="AA142" s="29">
        <f ca="1">IF(AND((OFFSET('DATA INPUT'!$C$51, ROW()-ROW($V$134),0)=$V$10),
 (OFFSET('DATA INPUT'!$V$51,ROW()-ROW($V$134),0)=3)),
OFFSET('Calc - OTHER PERS'!$S$11,COLUMN()-COLUMN($V$134) + (ROW()-ROW($V$134))*14,0),0)</f>
        <v>0</v>
      </c>
      <c r="AB142" s="138">
        <f t="shared" ca="1" si="459"/>
        <v>0</v>
      </c>
      <c r="AD142" s="2221">
        <f ca="1">IF(AND((OFFSET('DATA INPUT'!$C$51, ROW()-ROW($AD$134),0)=$AD$10),
 (OFFSET('DATA INPUT'!$V$51,ROW()-ROW($AD$134),0)=3)),
OFFSET('Calc - OTHER PERS'!$S$11,COLUMN()-COLUMN($AD$134) + (ROW()-ROW($AD$134))*14,0),0)</f>
        <v>0</v>
      </c>
      <c r="AE142" s="29">
        <f ca="1">IF(AND((OFFSET('DATA INPUT'!$C$51, ROW()-ROW($AD$134),0)=$AD$10),
 (OFFSET('DATA INPUT'!$V$51,ROW()-ROW($AD$134),0)=3)),
OFFSET('Calc - OTHER PERS'!$S$11,COLUMN()-COLUMN($AD$134) + (ROW()-ROW($AD$134))*14,0),0)</f>
        <v>0</v>
      </c>
      <c r="AF142" s="29">
        <f ca="1">IF(AND((OFFSET('DATA INPUT'!$C$51, ROW()-ROW($AD$134),0)=$AD$10),
 (OFFSET('DATA INPUT'!$V$51,ROW()-ROW($AD$134),0)=3)),
OFFSET('Calc - OTHER PERS'!$S$11,COLUMN()-COLUMN($AD$134) + (ROW()-ROW($AD$134))*14,0),0)</f>
        <v>0</v>
      </c>
      <c r="AG142" s="29">
        <f ca="1">IF(AND((OFFSET('DATA INPUT'!$C$51, ROW()-ROW($AD$134),0)=$AD$10),
 (OFFSET('DATA INPUT'!$V$51,ROW()-ROW($AD$134),0)=3)),
OFFSET('Calc - OTHER PERS'!$S$11,COLUMN()-COLUMN($AD$134) + (ROW()-ROW($AD$134))*14,0),0)</f>
        <v>0</v>
      </c>
      <c r="AH142" s="29">
        <f ca="1">IF(AND((OFFSET('DATA INPUT'!$C$51, ROW()-ROW($AD$134),0)=$AD$10),
 (OFFSET('DATA INPUT'!$V$51,ROW()-ROW($AD$134),0)=3)),
OFFSET('Calc - OTHER PERS'!$S$11,COLUMN()-COLUMN($AD$134) + (ROW()-ROW($AD$134))*14,0),0)</f>
        <v>0</v>
      </c>
      <c r="AI142" s="29">
        <f ca="1">IF(AND((OFFSET('DATA INPUT'!$C$51, ROW()-ROW($AD$134),0)=$AD$10),
 (OFFSET('DATA INPUT'!$V$51,ROW()-ROW($AD$134),0)=3)),
OFFSET('Calc - OTHER PERS'!$S$11,COLUMN()-COLUMN($AD$134) + (ROW()-ROW($AD$134))*14,0),0)</f>
        <v>0</v>
      </c>
      <c r="AJ142" s="206">
        <f t="shared" ca="1" si="558"/>
        <v>0</v>
      </c>
      <c r="AL142" s="2221">
        <f ca="1">IF(AND((OFFSET('DATA INPUT'!$C$51, ROW()-ROW($AL$134),0)=$AL$10),
 (OFFSET('DATA INPUT'!$V$51,ROW()-ROW($AL$134),0)=3)),
OFFSET('Calc - OTHER PERS'!$S$11,COLUMN()-COLUMN($AL$134) + (ROW()-ROW($AL$134))*14,0),0)</f>
        <v>0</v>
      </c>
      <c r="AM142" s="29">
        <f ca="1">IF(AND((OFFSET('DATA INPUT'!$C$51, ROW()-ROW($AL$134),0)=$AL$10),
 (OFFSET('DATA INPUT'!$V$51,ROW()-ROW($AL$134),0)=3)),
OFFSET('Calc - OTHER PERS'!$S$11,COLUMN()-COLUMN($AL$134) + (ROW()-ROW($AL$134))*14,0),0)</f>
        <v>0</v>
      </c>
      <c r="AN142" s="29">
        <f ca="1">IF(AND((OFFSET('DATA INPUT'!$C$51, ROW()-ROW($AL$134),0)=$AL$10),
 (OFFSET('DATA INPUT'!$V$51,ROW()-ROW($AL$134),0)=3)),
OFFSET('Calc - OTHER PERS'!$S$11,COLUMN()-COLUMN($AL$134) + (ROW()-ROW($AL$134))*14,0),0)</f>
        <v>0</v>
      </c>
      <c r="AO142" s="29">
        <f ca="1">IF(AND((OFFSET('DATA INPUT'!$C$51, ROW()-ROW($AL$134),0)=$AL$10),
 (OFFSET('DATA INPUT'!$V$51,ROW()-ROW($AL$134),0)=3)),
OFFSET('Calc - OTHER PERS'!$S$11,COLUMN()-COLUMN($AL$134) + (ROW()-ROW($AL$134))*14,0),0)</f>
        <v>0</v>
      </c>
      <c r="AP142" s="29">
        <f ca="1">IF(AND((OFFSET('DATA INPUT'!$C$51, ROW()-ROW($AL$134),0)=$AL$10),
 (OFFSET('DATA INPUT'!$V$51,ROW()-ROW($AL$134),0)=3)),
OFFSET('Calc - OTHER PERS'!$S$11,COLUMN()-COLUMN($AL$134) + (ROW()-ROW($AL$134))*14,0),0)</f>
        <v>0</v>
      </c>
      <c r="AQ142" s="29">
        <f ca="1">IF(AND((OFFSET('DATA INPUT'!$C$51, ROW()-ROW($AL$134),0)=$AL$10),
 (OFFSET('DATA INPUT'!$V$51,ROW()-ROW($AL$134),0)=3)),
OFFSET('Calc - OTHER PERS'!$S$11,COLUMN()-COLUMN($AL$134) + (ROW()-ROW($AL$134))*14,0),0)</f>
        <v>0</v>
      </c>
      <c r="AR142" s="178">
        <f t="shared" ca="1" si="559"/>
        <v>0</v>
      </c>
      <c r="AT142" s="2221">
        <f ca="1">IF(AND((OFFSET('DATA INPUT'!$C$51, ROW()-ROW($AT$134),0)=$AT$10),
 (OFFSET('DATA INPUT'!$V$51,ROW()-ROW($AT$134),0)=3)),
OFFSET('Calc - OTHER PERS'!$S$11,COLUMN()-COLUMN($AT$134) + (ROW()-ROW($AT$134))*14,0),0)</f>
        <v>0</v>
      </c>
      <c r="AU142" s="29">
        <f ca="1">IF(AND((OFFSET('DATA INPUT'!$C$51, ROW()-ROW($AT$134),0)=$AT$10),
 (OFFSET('DATA INPUT'!$V$51,ROW()-ROW($AT$134),0)=3)),
OFFSET('Calc - OTHER PERS'!$S$11,COLUMN()-COLUMN($AT$134) + (ROW()-ROW($AT$134))*14,0),0)</f>
        <v>0</v>
      </c>
      <c r="AV142" s="29">
        <f ca="1">IF(AND((OFFSET('DATA INPUT'!$C$51, ROW()-ROW($AT$134),0)=$AT$10),
 (OFFSET('DATA INPUT'!$V$51,ROW()-ROW($AT$134),0)=3)),
OFFSET('Calc - OTHER PERS'!$S$11,COLUMN()-COLUMN($AT$134) + (ROW()-ROW($AT$134))*14,0),0)</f>
        <v>0</v>
      </c>
      <c r="AW142" s="29">
        <f ca="1">IF(AND((OFFSET('DATA INPUT'!$C$51, ROW()-ROW($AT$134),0)=$AT$10),
 (OFFSET('DATA INPUT'!$V$51,ROW()-ROW($AT$134),0)=3)),
OFFSET('Calc - OTHER PERS'!$S$11,COLUMN()-COLUMN($AT$134) + (ROW()-ROW($AT$134))*14,0),0)</f>
        <v>0</v>
      </c>
      <c r="AX142" s="29">
        <f ca="1">IF(AND((OFFSET('DATA INPUT'!$C$51, ROW()-ROW($AT$134),0)=$AT$10),
 (OFFSET('DATA INPUT'!$V$51,ROW()-ROW($AT$134),0)=3)),
OFFSET('Calc - OTHER PERS'!$S$11,COLUMN()-COLUMN($AT$134) + (ROW()-ROW($AT$134))*14,0),0)</f>
        <v>0</v>
      </c>
      <c r="AY142" s="29">
        <f ca="1">IF(AND((OFFSET('DATA INPUT'!$C$51, ROW()-ROW($AT$134),0)=$AT$10),
 (OFFSET('DATA INPUT'!$V$51,ROW()-ROW($AT$134),0)=3)),
OFFSET('Calc - OTHER PERS'!$S$11,COLUMN()-COLUMN($AT$134) + (ROW()-ROW($AT$134))*14,0),0)</f>
        <v>0</v>
      </c>
      <c r="AZ142" s="150">
        <f t="shared" ca="1" si="560"/>
        <v>0</v>
      </c>
      <c r="BB142" s="2221">
        <f ca="1">IF(AND((OFFSET('DATA INPUT'!$C$51, ROW()-ROW($BB$134),0)=$BB$10),
 (OFFSET('DATA INPUT'!$V$51,ROW()-ROW($BB$134),0)=3)),
OFFSET('Calc - OTHER PERS'!$S$11,COLUMN()-COLUMN($BB$134) + (ROW()-ROW($BB$134))*14,0),0)</f>
        <v>0</v>
      </c>
      <c r="BC142" s="29">
        <f ca="1">IF(AND((OFFSET('DATA INPUT'!$C$51, ROW()-ROW($BB$134),0)=$BB$10),
 (OFFSET('DATA INPUT'!$V$51,ROW()-ROW($BB$134),0)=3)),
OFFSET('Calc - OTHER PERS'!$S$11,COLUMN()-COLUMN($BB$134) + (ROW()-ROW($BB$134))*14,0),0)</f>
        <v>0</v>
      </c>
      <c r="BD142" s="29">
        <f ca="1">IF(AND((OFFSET('DATA INPUT'!$C$51, ROW()-ROW($BB$134),0)=$BB$10),
 (OFFSET('DATA INPUT'!$V$51,ROW()-ROW($BB$134),0)=3)),
OFFSET('Calc - OTHER PERS'!$S$11,COLUMN()-COLUMN($BB$134) + (ROW()-ROW($BB$134))*14,0),0)</f>
        <v>0</v>
      </c>
      <c r="BE142" s="29">
        <f ca="1">IF(AND((OFFSET('DATA INPUT'!$C$51, ROW()-ROW($BB$134),0)=$BB$10),
 (OFFSET('DATA INPUT'!$V$51,ROW()-ROW($BB$134),0)=3)),
OFFSET('Calc - OTHER PERS'!$S$11,COLUMN()-COLUMN($BB$134) + (ROW()-ROW($BB$134))*14,0),0)</f>
        <v>0</v>
      </c>
      <c r="BF142" s="29">
        <f ca="1">IF(AND((OFFSET('DATA INPUT'!$C$51, ROW()-ROW($BB$134),0)=$BB$10),
 (OFFSET('DATA INPUT'!$V$51,ROW()-ROW($BB$134),0)=3)),
OFFSET('Calc - OTHER PERS'!$S$11,COLUMN()-COLUMN($BB$134) + (ROW()-ROW($BB$134))*14,0),0)</f>
        <v>0</v>
      </c>
      <c r="BG142" s="29">
        <f ca="1">IF(AND((OFFSET('DATA INPUT'!$C$51, ROW()-ROW($BB$134),0)=$BB$10),
 (OFFSET('DATA INPUT'!$V$51,ROW()-ROW($BB$134),0)=3)),
OFFSET('Calc - OTHER PERS'!$S$11,COLUMN()-COLUMN($BB$134) + (ROW()-ROW($BB$134))*14,0),0)</f>
        <v>0</v>
      </c>
      <c r="BH142" s="192">
        <f t="shared" ca="1" si="561"/>
        <v>0</v>
      </c>
      <c r="BJ142" s="2221"/>
      <c r="BK142" s="29"/>
      <c r="BL142" s="29"/>
      <c r="BM142" s="29"/>
      <c r="BN142" s="29"/>
      <c r="BO142" s="29"/>
      <c r="BP142" s="1102">
        <f t="shared" si="562"/>
        <v>0</v>
      </c>
      <c r="BR142" s="575">
        <f t="shared" ca="1" si="465"/>
        <v>0</v>
      </c>
      <c r="BS142" s="5">
        <f t="shared" ca="1" si="466"/>
        <v>0</v>
      </c>
      <c r="BT142" s="5">
        <f t="shared" ca="1" si="467"/>
        <v>0</v>
      </c>
      <c r="BU142" s="5">
        <f t="shared" ca="1" si="468"/>
        <v>0</v>
      </c>
      <c r="BV142" s="5">
        <f t="shared" ca="1" si="469"/>
        <v>0</v>
      </c>
      <c r="BW142" s="5">
        <f t="shared" ca="1" si="470"/>
        <v>0</v>
      </c>
      <c r="BX142" s="2175">
        <f t="shared" ca="1" si="471"/>
        <v>0</v>
      </c>
      <c r="BY142" s="573">
        <f t="shared" ca="1" si="472"/>
        <v>0</v>
      </c>
      <c r="BZ142" s="257"/>
      <c r="CB142" s="1267"/>
      <c r="CC142" s="1268"/>
      <c r="CD142" s="1269"/>
      <c r="CE142" s="1269"/>
      <c r="CF142" s="1269"/>
      <c r="CG142" s="1270"/>
      <c r="CH142" s="1271"/>
      <c r="CI142" s="1272"/>
      <c r="CJ142" s="1272"/>
      <c r="CK142" s="1272"/>
      <c r="CL142" s="1273"/>
      <c r="CM142" s="1274"/>
      <c r="CN142" s="1275"/>
      <c r="CO142" s="1276"/>
      <c r="CP142" s="1234"/>
      <c r="CS142" s="575"/>
      <c r="CT142" s="5"/>
      <c r="CU142" s="1180"/>
      <c r="CV142" s="575"/>
      <c r="CW142" s="5"/>
      <c r="CX142" s="1249"/>
      <c r="CY142" s="575"/>
      <c r="CZ142" s="5"/>
      <c r="DA142" s="1180"/>
      <c r="DB142" s="575"/>
      <c r="DC142" s="5"/>
      <c r="DD142" s="1180"/>
      <c r="DE142" s="1181"/>
      <c r="DG142" s="575"/>
      <c r="DH142" s="5"/>
      <c r="DI142" s="1180"/>
      <c r="DJ142" s="575"/>
      <c r="DK142" s="5"/>
      <c r="DL142" s="1249"/>
      <c r="DM142" s="575"/>
      <c r="DN142" s="5"/>
      <c r="DO142" s="1180"/>
      <c r="DP142" s="575"/>
      <c r="DQ142" s="5"/>
      <c r="DR142" s="1180"/>
      <c r="DS142" s="1181"/>
      <c r="DU142" s="575"/>
      <c r="DV142" s="5"/>
      <c r="DW142" s="1180"/>
      <c r="DX142" s="575"/>
      <c r="DY142" s="5"/>
      <c r="DZ142" s="1249"/>
      <c r="EA142" s="575"/>
      <c r="EB142" s="5"/>
      <c r="EC142" s="1180"/>
      <c r="ED142" s="575"/>
      <c r="EE142" s="5"/>
      <c r="EF142" s="1180"/>
      <c r="EG142" s="1181"/>
      <c r="EI142" s="25"/>
      <c r="EJ142" s="3211"/>
      <c r="EK142" s="123" t="str">
        <f t="shared" si="563"/>
        <v xml:space="preserve"> - </v>
      </c>
      <c r="EL142" s="5">
        <f t="shared" ca="1" si="564"/>
        <v>0</v>
      </c>
      <c r="EM142" s="5">
        <f t="shared" ca="1" si="565"/>
        <v>0</v>
      </c>
      <c r="EN142" s="5">
        <f t="shared" ca="1" si="566"/>
        <v>0</v>
      </c>
      <c r="EO142" s="5">
        <f t="shared" ca="1" si="567"/>
        <v>0</v>
      </c>
      <c r="EP142" s="5">
        <f t="shared" ca="1" si="568"/>
        <v>0</v>
      </c>
      <c r="EQ142" s="5">
        <f t="shared" ca="1" si="569"/>
        <v>0</v>
      </c>
      <c r="ER142" s="88">
        <f t="shared" ca="1" si="570"/>
        <v>0</v>
      </c>
      <c r="ES142" s="24"/>
      <c r="ET142" s="8"/>
      <c r="EU142" s="24"/>
      <c r="EV142" s="575">
        <f t="shared" ca="1" si="571"/>
        <v>0</v>
      </c>
      <c r="EW142" s="5">
        <f t="shared" ca="1" si="572"/>
        <v>0</v>
      </c>
      <c r="EX142" s="5">
        <f t="shared" ca="1" si="573"/>
        <v>0</v>
      </c>
      <c r="EY142" s="5">
        <f t="shared" ca="1" si="574"/>
        <v>0</v>
      </c>
      <c r="EZ142" s="5">
        <f t="shared" ca="1" si="575"/>
        <v>0</v>
      </c>
      <c r="FA142" s="5">
        <f t="shared" ca="1" si="576"/>
        <v>0</v>
      </c>
      <c r="FB142" s="164">
        <f t="shared" ca="1" si="491"/>
        <v>0</v>
      </c>
      <c r="FC142" s="1"/>
      <c r="FD142" s="2221">
        <f t="shared" ca="1" si="577"/>
        <v>0</v>
      </c>
      <c r="FE142" s="29">
        <f t="shared" ca="1" si="578"/>
        <v>0</v>
      </c>
      <c r="FF142" s="29">
        <f t="shared" ca="1" si="579"/>
        <v>0</v>
      </c>
      <c r="FG142" s="29">
        <f t="shared" ca="1" si="580"/>
        <v>0</v>
      </c>
      <c r="FH142" s="29">
        <f t="shared" ca="1" si="581"/>
        <v>0</v>
      </c>
      <c r="FI142" s="29">
        <f t="shared" ca="1" si="582"/>
        <v>0</v>
      </c>
      <c r="FJ142" s="138">
        <f t="shared" ca="1" si="498"/>
        <v>0</v>
      </c>
      <c r="FL142" s="2221">
        <f t="shared" ca="1" si="583"/>
        <v>0</v>
      </c>
      <c r="FM142" s="29">
        <f t="shared" ca="1" si="584"/>
        <v>0</v>
      </c>
      <c r="FN142" s="29">
        <f t="shared" ca="1" si="585"/>
        <v>0</v>
      </c>
      <c r="FO142" s="29">
        <f t="shared" ca="1" si="586"/>
        <v>0</v>
      </c>
      <c r="FP142" s="29">
        <f t="shared" ca="1" si="587"/>
        <v>0</v>
      </c>
      <c r="FQ142" s="29">
        <f t="shared" ca="1" si="588"/>
        <v>0</v>
      </c>
      <c r="FR142" s="206">
        <f t="shared" ca="1" si="589"/>
        <v>0</v>
      </c>
      <c r="FT142" s="2221">
        <f t="shared" ca="1" si="590"/>
        <v>0</v>
      </c>
      <c r="FU142" s="29">
        <f t="shared" ca="1" si="591"/>
        <v>0</v>
      </c>
      <c r="FV142" s="29">
        <f t="shared" ca="1" si="592"/>
        <v>0</v>
      </c>
      <c r="FW142" s="29">
        <f t="shared" ca="1" si="593"/>
        <v>0</v>
      </c>
      <c r="FX142" s="29">
        <f t="shared" ca="1" si="594"/>
        <v>0</v>
      </c>
      <c r="FY142" s="29">
        <f t="shared" ca="1" si="595"/>
        <v>0</v>
      </c>
      <c r="FZ142" s="178">
        <f t="shared" ca="1" si="596"/>
        <v>0</v>
      </c>
      <c r="GB142" s="2221">
        <f t="shared" ca="1" si="597"/>
        <v>0</v>
      </c>
      <c r="GC142" s="29">
        <f t="shared" ca="1" si="598"/>
        <v>0</v>
      </c>
      <c r="GD142" s="29">
        <f t="shared" ca="1" si="599"/>
        <v>0</v>
      </c>
      <c r="GE142" s="29">
        <f t="shared" ca="1" si="600"/>
        <v>0</v>
      </c>
      <c r="GF142" s="29">
        <f t="shared" ca="1" si="601"/>
        <v>0</v>
      </c>
      <c r="GG142" s="29">
        <f t="shared" ca="1" si="602"/>
        <v>0</v>
      </c>
      <c r="GH142" s="150">
        <f t="shared" ca="1" si="603"/>
        <v>0</v>
      </c>
      <c r="GJ142" s="2221">
        <f t="shared" ca="1" si="604"/>
        <v>0</v>
      </c>
      <c r="GK142" s="29">
        <f t="shared" ca="1" si="605"/>
        <v>0</v>
      </c>
      <c r="GL142" s="29">
        <f t="shared" ca="1" si="606"/>
        <v>0</v>
      </c>
      <c r="GM142" s="29">
        <f t="shared" ca="1" si="607"/>
        <v>0</v>
      </c>
      <c r="GN142" s="29">
        <f t="shared" ca="1" si="608"/>
        <v>0</v>
      </c>
      <c r="GO142" s="29">
        <f t="shared" ca="1" si="609"/>
        <v>0</v>
      </c>
      <c r="GP142" s="192">
        <f t="shared" ca="1" si="610"/>
        <v>0</v>
      </c>
      <c r="GR142" s="2221"/>
      <c r="GS142" s="29"/>
      <c r="GT142" s="29"/>
      <c r="GU142" s="29"/>
      <c r="GV142" s="29"/>
      <c r="GW142" s="29"/>
      <c r="GX142" s="1102">
        <f t="shared" si="611"/>
        <v>0</v>
      </c>
      <c r="GZ142" s="575">
        <f t="shared" ca="1" si="528"/>
        <v>0</v>
      </c>
      <c r="HA142" s="5">
        <f t="shared" ca="1" si="529"/>
        <v>0</v>
      </c>
      <c r="HB142" s="5">
        <f t="shared" ca="1" si="530"/>
        <v>0</v>
      </c>
      <c r="HC142" s="5">
        <f t="shared" ca="1" si="531"/>
        <v>0</v>
      </c>
      <c r="HD142" s="5">
        <f t="shared" ca="1" si="532"/>
        <v>0</v>
      </c>
      <c r="HE142" s="5">
        <f t="shared" ca="1" si="533"/>
        <v>0</v>
      </c>
      <c r="HF142" s="2175">
        <f t="shared" ca="1" si="534"/>
        <v>0</v>
      </c>
      <c r="HG142" s="573">
        <f t="shared" ca="1" si="535"/>
        <v>0</v>
      </c>
      <c r="HH142" s="257"/>
    </row>
    <row r="143" spans="1:216" ht="15" hidden="1" customHeight="1" x14ac:dyDescent="0.25">
      <c r="A143" s="25"/>
      <c r="B143" s="3211"/>
      <c r="C143" s="123" t="str">
        <f>('DATA INPUT'!B60&amp;" "&amp;"-"&amp;" "&amp;'DATA INPUT'!H60)</f>
        <v xml:space="preserve"> - </v>
      </c>
      <c r="D143" s="29">
        <f ca="1">'Calc - OTHER PERS'!L137</f>
        <v>0</v>
      </c>
      <c r="E143" s="29">
        <f ca="1">'Calc - OTHER PERS'!L138</f>
        <v>0</v>
      </c>
      <c r="F143" s="29">
        <f ca="1">'Calc - OTHER PERS'!L139</f>
        <v>0</v>
      </c>
      <c r="G143" s="29">
        <f ca="1">'Calc - OTHER PERS'!L140</f>
        <v>0</v>
      </c>
      <c r="H143" s="29">
        <f ca="1">'Calc - OTHER PERS'!L141</f>
        <v>0</v>
      </c>
      <c r="I143" s="29">
        <f ca="1">'Calc - OTHER PERS'!L142</f>
        <v>0</v>
      </c>
      <c r="J143" s="88">
        <f t="shared" ca="1" si="557"/>
        <v>0</v>
      </c>
      <c r="K143" s="24"/>
      <c r="L143" s="8"/>
      <c r="M143" s="24"/>
      <c r="N143" s="2388">
        <f ca="1">IF(AND((OFFSET('DATA INPUT'!$C$51, ROW()-ROW($N$134),0)=$N$10),
 (OFFSET('DATA INPUT'!$V$51,ROW()-ROW($N$134),0)=3)),
OFFSET('Calc - OTHER PERS'!$S$11,COLUMN()-COLUMN($N$134) + (ROW()-ROW($N$134))*14,0),0)</f>
        <v>0</v>
      </c>
      <c r="O143" s="2387">
        <f ca="1">IF(AND((OFFSET('DATA INPUT'!$C$51, ROW()-ROW($N$134),0)=$N$10),
 (OFFSET('DATA INPUT'!$V$51,ROW()-ROW($N$134),0)=3)),
OFFSET('Calc - OTHER PERS'!$S$11,COLUMN()-COLUMN($N$134) + (ROW()-ROW($N$134))*14,0),0)</f>
        <v>0</v>
      </c>
      <c r="P143" s="2387">
        <f ca="1">IF(AND((OFFSET('DATA INPUT'!$C$51, ROW()-ROW($N$134),0)=$N$10),
 (OFFSET('DATA INPUT'!$V$51,ROW()-ROW($N$134),0)=3)),
OFFSET('Calc - OTHER PERS'!$S$11,COLUMN()-COLUMN($N$134) + (ROW()-ROW($N$134))*14,0),0)</f>
        <v>0</v>
      </c>
      <c r="Q143" s="2387">
        <f ca="1">IF(AND((OFFSET('DATA INPUT'!$C$51, ROW()-ROW($N$134),0)=$N$10),
 (OFFSET('DATA INPUT'!$V$51,ROW()-ROW($N$134),0)=3)),
OFFSET('Calc - OTHER PERS'!$S$11,COLUMN()-COLUMN($N$134) + (ROW()-ROW($N$134))*14,0),0)</f>
        <v>0</v>
      </c>
      <c r="R143" s="2387">
        <f ca="1">IF(AND((OFFSET('DATA INPUT'!$C$51, ROW()-ROW($N$134),0)=$N$10),
 (OFFSET('DATA INPUT'!$V$51,ROW()-ROW($N$134),0)=3)),
OFFSET('Calc - OTHER PERS'!$S$11,COLUMN()-COLUMN($N$134) + (ROW()-ROW($N$134))*14,0),0)</f>
        <v>0</v>
      </c>
      <c r="S143" s="2387">
        <f ca="1">IF(AND((OFFSET('DATA INPUT'!$C$51, ROW()-ROW($N$134),0)=$N$10),
 (OFFSET('DATA INPUT'!$V$51,ROW()-ROW($N$134),0)=3)),
OFFSET('Calc - OTHER PERS'!$S$11,COLUMN()-COLUMN($N$134) + (ROW()-ROW($N$134))*14,0),0)</f>
        <v>0</v>
      </c>
      <c r="T143" s="164">
        <f t="shared" ca="1" si="458"/>
        <v>0</v>
      </c>
      <c r="U143" s="1"/>
      <c r="V143" s="2221">
        <f ca="1">IF(AND((OFFSET('DATA INPUT'!$C$51, ROW()-ROW($V$134),0)=$V$10),
 (OFFSET('DATA INPUT'!$V$51,ROW()-ROW($V$134),0)=3)),
OFFSET('Calc - OTHER PERS'!$S$11,COLUMN()-COLUMN($V$134) + (ROW()-ROW($V$134))*14,0),0)</f>
        <v>0</v>
      </c>
      <c r="W143" s="29">
        <f ca="1">IF(AND((OFFSET('DATA INPUT'!$C$51, ROW()-ROW($V$134),0)=$V$10),
 (OFFSET('DATA INPUT'!$V$51,ROW()-ROW($V$134),0)=3)),
OFFSET('Calc - OTHER PERS'!$S$11,COLUMN()-COLUMN($V$134) + (ROW()-ROW($V$134))*14,0),0)</f>
        <v>0</v>
      </c>
      <c r="X143" s="29">
        <f ca="1">IF(AND((OFFSET('DATA INPUT'!$C$51, ROW()-ROW($V$134),0)=$V$10),
 (OFFSET('DATA INPUT'!$V$51,ROW()-ROW($V$134),0)=3)),
OFFSET('Calc - OTHER PERS'!$S$11,COLUMN()-COLUMN($V$134) + (ROW()-ROW($V$134))*14,0),0)</f>
        <v>0</v>
      </c>
      <c r="Y143" s="29">
        <f ca="1">IF(AND((OFFSET('DATA INPUT'!$C$51, ROW()-ROW($V$134),0)=$V$10),
 (OFFSET('DATA INPUT'!$V$51,ROW()-ROW($V$134),0)=3)),
OFFSET('Calc - OTHER PERS'!$S$11,COLUMN()-COLUMN($V$134) + (ROW()-ROW($V$134))*14,0),0)</f>
        <v>0</v>
      </c>
      <c r="Z143" s="29">
        <f ca="1">IF(AND((OFFSET('DATA INPUT'!$C$51, ROW()-ROW($V$134),0)=$V$10),
 (OFFSET('DATA INPUT'!$V$51,ROW()-ROW($V$134),0)=3)),
OFFSET('Calc - OTHER PERS'!$S$11,COLUMN()-COLUMN($V$134) + (ROW()-ROW($V$134))*14,0),0)</f>
        <v>0</v>
      </c>
      <c r="AA143" s="29">
        <f ca="1">IF(AND((OFFSET('DATA INPUT'!$C$51, ROW()-ROW($V$134),0)=$V$10),
 (OFFSET('DATA INPUT'!$V$51,ROW()-ROW($V$134),0)=3)),
OFFSET('Calc - OTHER PERS'!$S$11,COLUMN()-COLUMN($V$134) + (ROW()-ROW($V$134))*14,0),0)</f>
        <v>0</v>
      </c>
      <c r="AB143" s="138">
        <f t="shared" ca="1" si="459"/>
        <v>0</v>
      </c>
      <c r="AD143" s="2221">
        <f ca="1">IF(AND((OFFSET('DATA INPUT'!$C$51, ROW()-ROW($AD$134),0)=$AD$10),
 (OFFSET('DATA INPUT'!$V$51,ROW()-ROW($AD$134),0)=3)),
OFFSET('Calc - OTHER PERS'!$S$11,COLUMN()-COLUMN($AD$134) + (ROW()-ROW($AD$134))*14,0),0)</f>
        <v>0</v>
      </c>
      <c r="AE143" s="29">
        <f ca="1">IF(AND((OFFSET('DATA INPUT'!$C$51, ROW()-ROW($AD$134),0)=$AD$10),
 (OFFSET('DATA INPUT'!$V$51,ROW()-ROW($AD$134),0)=3)),
OFFSET('Calc - OTHER PERS'!$S$11,COLUMN()-COLUMN($AD$134) + (ROW()-ROW($AD$134))*14,0),0)</f>
        <v>0</v>
      </c>
      <c r="AF143" s="29">
        <f ca="1">IF(AND((OFFSET('DATA INPUT'!$C$51, ROW()-ROW($AD$134),0)=$AD$10),
 (OFFSET('DATA INPUT'!$V$51,ROW()-ROW($AD$134),0)=3)),
OFFSET('Calc - OTHER PERS'!$S$11,COLUMN()-COLUMN($AD$134) + (ROW()-ROW($AD$134))*14,0),0)</f>
        <v>0</v>
      </c>
      <c r="AG143" s="29">
        <f ca="1">IF(AND((OFFSET('DATA INPUT'!$C$51, ROW()-ROW($AD$134),0)=$AD$10),
 (OFFSET('DATA INPUT'!$V$51,ROW()-ROW($AD$134),0)=3)),
OFFSET('Calc - OTHER PERS'!$S$11,COLUMN()-COLUMN($AD$134) + (ROW()-ROW($AD$134))*14,0),0)</f>
        <v>0</v>
      </c>
      <c r="AH143" s="29">
        <f ca="1">IF(AND((OFFSET('DATA INPUT'!$C$51, ROW()-ROW($AD$134),0)=$AD$10),
 (OFFSET('DATA INPUT'!$V$51,ROW()-ROW($AD$134),0)=3)),
OFFSET('Calc - OTHER PERS'!$S$11,COLUMN()-COLUMN($AD$134) + (ROW()-ROW($AD$134))*14,0),0)</f>
        <v>0</v>
      </c>
      <c r="AI143" s="29">
        <f ca="1">IF(AND((OFFSET('DATA INPUT'!$C$51, ROW()-ROW($AD$134),0)=$AD$10),
 (OFFSET('DATA INPUT'!$V$51,ROW()-ROW($AD$134),0)=3)),
OFFSET('Calc - OTHER PERS'!$S$11,COLUMN()-COLUMN($AD$134) + (ROW()-ROW($AD$134))*14,0),0)</f>
        <v>0</v>
      </c>
      <c r="AJ143" s="206">
        <f t="shared" ca="1" si="558"/>
        <v>0</v>
      </c>
      <c r="AL143" s="2221">
        <f ca="1">IF(AND((OFFSET('DATA INPUT'!$C$51, ROW()-ROW($AL$134),0)=$AL$10),
 (OFFSET('DATA INPUT'!$V$51,ROW()-ROW($AL$134),0)=3)),
OFFSET('Calc - OTHER PERS'!$S$11,COLUMN()-COLUMN($AL$134) + (ROW()-ROW($AL$134))*14,0),0)</f>
        <v>0</v>
      </c>
      <c r="AM143" s="29">
        <f ca="1">IF(AND((OFFSET('DATA INPUT'!$C$51, ROW()-ROW($AL$134),0)=$AL$10),
 (OFFSET('DATA INPUT'!$V$51,ROW()-ROW($AL$134),0)=3)),
OFFSET('Calc - OTHER PERS'!$S$11,COLUMN()-COLUMN($AL$134) + (ROW()-ROW($AL$134))*14,0),0)</f>
        <v>0</v>
      </c>
      <c r="AN143" s="29">
        <f ca="1">IF(AND((OFFSET('DATA INPUT'!$C$51, ROW()-ROW($AL$134),0)=$AL$10),
 (OFFSET('DATA INPUT'!$V$51,ROW()-ROW($AL$134),0)=3)),
OFFSET('Calc - OTHER PERS'!$S$11,COLUMN()-COLUMN($AL$134) + (ROW()-ROW($AL$134))*14,0),0)</f>
        <v>0</v>
      </c>
      <c r="AO143" s="29">
        <f ca="1">IF(AND((OFFSET('DATA INPUT'!$C$51, ROW()-ROW($AL$134),0)=$AL$10),
 (OFFSET('DATA INPUT'!$V$51,ROW()-ROW($AL$134),0)=3)),
OFFSET('Calc - OTHER PERS'!$S$11,COLUMN()-COLUMN($AL$134) + (ROW()-ROW($AL$134))*14,0),0)</f>
        <v>0</v>
      </c>
      <c r="AP143" s="29">
        <f ca="1">IF(AND((OFFSET('DATA INPUT'!$C$51, ROW()-ROW($AL$134),0)=$AL$10),
 (OFFSET('DATA INPUT'!$V$51,ROW()-ROW($AL$134),0)=3)),
OFFSET('Calc - OTHER PERS'!$S$11,COLUMN()-COLUMN($AL$134) + (ROW()-ROW($AL$134))*14,0),0)</f>
        <v>0</v>
      </c>
      <c r="AQ143" s="29">
        <f ca="1">IF(AND((OFFSET('DATA INPUT'!$C$51, ROW()-ROW($AL$134),0)=$AL$10),
 (OFFSET('DATA INPUT'!$V$51,ROW()-ROW($AL$134),0)=3)),
OFFSET('Calc - OTHER PERS'!$S$11,COLUMN()-COLUMN($AL$134) + (ROW()-ROW($AL$134))*14,0),0)</f>
        <v>0</v>
      </c>
      <c r="AR143" s="178">
        <f t="shared" ca="1" si="559"/>
        <v>0</v>
      </c>
      <c r="AT143" s="2221">
        <f ca="1">IF(AND((OFFSET('DATA INPUT'!$C$51, ROW()-ROW($AT$134),0)=$AT$10),
 (OFFSET('DATA INPUT'!$V$51,ROW()-ROW($AT$134),0)=3)),
OFFSET('Calc - OTHER PERS'!$S$11,COLUMN()-COLUMN($AT$134) + (ROW()-ROW($AT$134))*14,0),0)</f>
        <v>0</v>
      </c>
      <c r="AU143" s="29">
        <f ca="1">IF(AND((OFFSET('DATA INPUT'!$C$51, ROW()-ROW($AT$134),0)=$AT$10),
 (OFFSET('DATA INPUT'!$V$51,ROW()-ROW($AT$134),0)=3)),
OFFSET('Calc - OTHER PERS'!$S$11,COLUMN()-COLUMN($AT$134) + (ROW()-ROW($AT$134))*14,0),0)</f>
        <v>0</v>
      </c>
      <c r="AV143" s="29">
        <f ca="1">IF(AND((OFFSET('DATA INPUT'!$C$51, ROW()-ROW($AT$134),0)=$AT$10),
 (OFFSET('DATA INPUT'!$V$51,ROW()-ROW($AT$134),0)=3)),
OFFSET('Calc - OTHER PERS'!$S$11,COLUMN()-COLUMN($AT$134) + (ROW()-ROW($AT$134))*14,0),0)</f>
        <v>0</v>
      </c>
      <c r="AW143" s="29">
        <f ca="1">IF(AND((OFFSET('DATA INPUT'!$C$51, ROW()-ROW($AT$134),0)=$AT$10),
 (OFFSET('DATA INPUT'!$V$51,ROW()-ROW($AT$134),0)=3)),
OFFSET('Calc - OTHER PERS'!$S$11,COLUMN()-COLUMN($AT$134) + (ROW()-ROW($AT$134))*14,0),0)</f>
        <v>0</v>
      </c>
      <c r="AX143" s="29">
        <f ca="1">IF(AND((OFFSET('DATA INPUT'!$C$51, ROW()-ROW($AT$134),0)=$AT$10),
 (OFFSET('DATA INPUT'!$V$51,ROW()-ROW($AT$134),0)=3)),
OFFSET('Calc - OTHER PERS'!$S$11,COLUMN()-COLUMN($AT$134) + (ROW()-ROW($AT$134))*14,0),0)</f>
        <v>0</v>
      </c>
      <c r="AY143" s="29">
        <f ca="1">IF(AND((OFFSET('DATA INPUT'!$C$51, ROW()-ROW($AT$134),0)=$AT$10),
 (OFFSET('DATA INPUT'!$V$51,ROW()-ROW($AT$134),0)=3)),
OFFSET('Calc - OTHER PERS'!$S$11,COLUMN()-COLUMN($AT$134) + (ROW()-ROW($AT$134))*14,0),0)</f>
        <v>0</v>
      </c>
      <c r="AZ143" s="150">
        <f t="shared" ca="1" si="560"/>
        <v>0</v>
      </c>
      <c r="BB143" s="2221">
        <f ca="1">IF(AND((OFFSET('DATA INPUT'!$C$51, ROW()-ROW($BB$134),0)=$BB$10),
 (OFFSET('DATA INPUT'!$V$51,ROW()-ROW($BB$134),0)=3)),
OFFSET('Calc - OTHER PERS'!$S$11,COLUMN()-COLUMN($BB$134) + (ROW()-ROW($BB$134))*14,0),0)</f>
        <v>0</v>
      </c>
      <c r="BC143" s="29">
        <f ca="1">IF(AND((OFFSET('DATA INPUT'!$C$51, ROW()-ROW($BB$134),0)=$BB$10),
 (OFFSET('DATA INPUT'!$V$51,ROW()-ROW($BB$134),0)=3)),
OFFSET('Calc - OTHER PERS'!$S$11,COLUMN()-COLUMN($BB$134) + (ROW()-ROW($BB$134))*14,0),0)</f>
        <v>0</v>
      </c>
      <c r="BD143" s="29">
        <f ca="1">IF(AND((OFFSET('DATA INPUT'!$C$51, ROW()-ROW($BB$134),0)=$BB$10),
 (OFFSET('DATA INPUT'!$V$51,ROW()-ROW($BB$134),0)=3)),
OFFSET('Calc - OTHER PERS'!$S$11,COLUMN()-COLUMN($BB$134) + (ROW()-ROW($BB$134))*14,0),0)</f>
        <v>0</v>
      </c>
      <c r="BE143" s="29">
        <f ca="1">IF(AND((OFFSET('DATA INPUT'!$C$51, ROW()-ROW($BB$134),0)=$BB$10),
 (OFFSET('DATA INPUT'!$V$51,ROW()-ROW($BB$134),0)=3)),
OFFSET('Calc - OTHER PERS'!$S$11,COLUMN()-COLUMN($BB$134) + (ROW()-ROW($BB$134))*14,0),0)</f>
        <v>0</v>
      </c>
      <c r="BF143" s="29">
        <f ca="1">IF(AND((OFFSET('DATA INPUT'!$C$51, ROW()-ROW($BB$134),0)=$BB$10),
 (OFFSET('DATA INPUT'!$V$51,ROW()-ROW($BB$134),0)=3)),
OFFSET('Calc - OTHER PERS'!$S$11,COLUMN()-COLUMN($BB$134) + (ROW()-ROW($BB$134))*14,0),0)</f>
        <v>0</v>
      </c>
      <c r="BG143" s="29">
        <f ca="1">IF(AND((OFFSET('DATA INPUT'!$C$51, ROW()-ROW($BB$134),0)=$BB$10),
 (OFFSET('DATA INPUT'!$V$51,ROW()-ROW($BB$134),0)=3)),
OFFSET('Calc - OTHER PERS'!$S$11,COLUMN()-COLUMN($BB$134) + (ROW()-ROW($BB$134))*14,0),0)</f>
        <v>0</v>
      </c>
      <c r="BH143" s="192">
        <f t="shared" ca="1" si="561"/>
        <v>0</v>
      </c>
      <c r="BJ143" s="2221"/>
      <c r="BK143" s="29"/>
      <c r="BL143" s="29"/>
      <c r="BM143" s="29"/>
      <c r="BN143" s="29"/>
      <c r="BO143" s="29"/>
      <c r="BP143" s="1102">
        <f t="shared" si="562"/>
        <v>0</v>
      </c>
      <c r="BR143" s="575">
        <f t="shared" ca="1" si="465"/>
        <v>0</v>
      </c>
      <c r="BS143" s="5">
        <f t="shared" ca="1" si="466"/>
        <v>0</v>
      </c>
      <c r="BT143" s="5">
        <f t="shared" ca="1" si="467"/>
        <v>0</v>
      </c>
      <c r="BU143" s="5">
        <f t="shared" ca="1" si="468"/>
        <v>0</v>
      </c>
      <c r="BV143" s="5">
        <f t="shared" ca="1" si="469"/>
        <v>0</v>
      </c>
      <c r="BW143" s="5">
        <f t="shared" ca="1" si="470"/>
        <v>0</v>
      </c>
      <c r="BX143" s="2175">
        <f t="shared" ca="1" si="471"/>
        <v>0</v>
      </c>
      <c r="BY143" s="573">
        <f t="shared" ca="1" si="472"/>
        <v>0</v>
      </c>
      <c r="BZ143" s="257"/>
      <c r="CB143" s="1267"/>
      <c r="CC143" s="1268"/>
      <c r="CD143" s="1269"/>
      <c r="CE143" s="1269"/>
      <c r="CF143" s="1269"/>
      <c r="CG143" s="1270"/>
      <c r="CH143" s="1271"/>
      <c r="CI143" s="1272"/>
      <c r="CJ143" s="1272"/>
      <c r="CK143" s="1272"/>
      <c r="CL143" s="1273"/>
      <c r="CM143" s="1274"/>
      <c r="CN143" s="1275"/>
      <c r="CO143" s="1276"/>
      <c r="CP143" s="1234"/>
      <c r="CS143" s="575"/>
      <c r="CT143" s="5"/>
      <c r="CU143" s="1180"/>
      <c r="CV143" s="575"/>
      <c r="CW143" s="5"/>
      <c r="CX143" s="1249"/>
      <c r="CY143" s="575"/>
      <c r="CZ143" s="5"/>
      <c r="DA143" s="1180"/>
      <c r="DB143" s="575"/>
      <c r="DC143" s="5"/>
      <c r="DD143" s="1180"/>
      <c r="DE143" s="1181"/>
      <c r="DG143" s="575"/>
      <c r="DH143" s="5"/>
      <c r="DI143" s="1180"/>
      <c r="DJ143" s="575"/>
      <c r="DK143" s="5"/>
      <c r="DL143" s="1249"/>
      <c r="DM143" s="575"/>
      <c r="DN143" s="5"/>
      <c r="DO143" s="1180"/>
      <c r="DP143" s="575"/>
      <c r="DQ143" s="5"/>
      <c r="DR143" s="1180"/>
      <c r="DS143" s="1181"/>
      <c r="DU143" s="575"/>
      <c r="DV143" s="5"/>
      <c r="DW143" s="1180"/>
      <c r="DX143" s="575"/>
      <c r="DY143" s="5"/>
      <c r="DZ143" s="1249"/>
      <c r="EA143" s="575"/>
      <c r="EB143" s="5"/>
      <c r="EC143" s="1180"/>
      <c r="ED143" s="575"/>
      <c r="EE143" s="5"/>
      <c r="EF143" s="1180"/>
      <c r="EG143" s="1181"/>
      <c r="EI143" s="25"/>
      <c r="EJ143" s="3211"/>
      <c r="EK143" s="123" t="str">
        <f t="shared" si="563"/>
        <v xml:space="preserve"> - </v>
      </c>
      <c r="EL143" s="5">
        <f t="shared" ca="1" si="564"/>
        <v>0</v>
      </c>
      <c r="EM143" s="5">
        <f t="shared" ca="1" si="565"/>
        <v>0</v>
      </c>
      <c r="EN143" s="5">
        <f t="shared" ca="1" si="566"/>
        <v>0</v>
      </c>
      <c r="EO143" s="5">
        <f t="shared" ca="1" si="567"/>
        <v>0</v>
      </c>
      <c r="EP143" s="5">
        <f t="shared" ca="1" si="568"/>
        <v>0</v>
      </c>
      <c r="EQ143" s="5">
        <f t="shared" ca="1" si="569"/>
        <v>0</v>
      </c>
      <c r="ER143" s="88">
        <f t="shared" ca="1" si="570"/>
        <v>0</v>
      </c>
      <c r="ES143" s="24"/>
      <c r="ET143" s="8"/>
      <c r="EU143" s="24"/>
      <c r="EV143" s="575">
        <f t="shared" ca="1" si="571"/>
        <v>0</v>
      </c>
      <c r="EW143" s="5">
        <f t="shared" ca="1" si="572"/>
        <v>0</v>
      </c>
      <c r="EX143" s="5">
        <f t="shared" ca="1" si="573"/>
        <v>0</v>
      </c>
      <c r="EY143" s="5">
        <f t="shared" ca="1" si="574"/>
        <v>0</v>
      </c>
      <c r="EZ143" s="5">
        <f t="shared" ca="1" si="575"/>
        <v>0</v>
      </c>
      <c r="FA143" s="5">
        <f t="shared" ca="1" si="576"/>
        <v>0</v>
      </c>
      <c r="FB143" s="164">
        <f t="shared" ca="1" si="491"/>
        <v>0</v>
      </c>
      <c r="FC143" s="1"/>
      <c r="FD143" s="2221">
        <f t="shared" ca="1" si="577"/>
        <v>0</v>
      </c>
      <c r="FE143" s="29">
        <f t="shared" ca="1" si="578"/>
        <v>0</v>
      </c>
      <c r="FF143" s="29">
        <f t="shared" ca="1" si="579"/>
        <v>0</v>
      </c>
      <c r="FG143" s="29">
        <f t="shared" ca="1" si="580"/>
        <v>0</v>
      </c>
      <c r="FH143" s="29">
        <f t="shared" ca="1" si="581"/>
        <v>0</v>
      </c>
      <c r="FI143" s="29">
        <f t="shared" ca="1" si="582"/>
        <v>0</v>
      </c>
      <c r="FJ143" s="138">
        <f t="shared" ca="1" si="498"/>
        <v>0</v>
      </c>
      <c r="FL143" s="2221">
        <f t="shared" ca="1" si="583"/>
        <v>0</v>
      </c>
      <c r="FM143" s="29">
        <f t="shared" ca="1" si="584"/>
        <v>0</v>
      </c>
      <c r="FN143" s="29">
        <f t="shared" ca="1" si="585"/>
        <v>0</v>
      </c>
      <c r="FO143" s="29">
        <f t="shared" ca="1" si="586"/>
        <v>0</v>
      </c>
      <c r="FP143" s="29">
        <f t="shared" ca="1" si="587"/>
        <v>0</v>
      </c>
      <c r="FQ143" s="29">
        <f t="shared" ca="1" si="588"/>
        <v>0</v>
      </c>
      <c r="FR143" s="206">
        <f t="shared" ca="1" si="589"/>
        <v>0</v>
      </c>
      <c r="FT143" s="2221">
        <f t="shared" ca="1" si="590"/>
        <v>0</v>
      </c>
      <c r="FU143" s="29">
        <f t="shared" ca="1" si="591"/>
        <v>0</v>
      </c>
      <c r="FV143" s="29">
        <f t="shared" ca="1" si="592"/>
        <v>0</v>
      </c>
      <c r="FW143" s="29">
        <f t="shared" ca="1" si="593"/>
        <v>0</v>
      </c>
      <c r="FX143" s="29">
        <f t="shared" ca="1" si="594"/>
        <v>0</v>
      </c>
      <c r="FY143" s="29">
        <f t="shared" ca="1" si="595"/>
        <v>0</v>
      </c>
      <c r="FZ143" s="178">
        <f t="shared" ca="1" si="596"/>
        <v>0</v>
      </c>
      <c r="GB143" s="2221">
        <f t="shared" ca="1" si="597"/>
        <v>0</v>
      </c>
      <c r="GC143" s="29">
        <f t="shared" ca="1" si="598"/>
        <v>0</v>
      </c>
      <c r="GD143" s="29">
        <f t="shared" ca="1" si="599"/>
        <v>0</v>
      </c>
      <c r="GE143" s="29">
        <f t="shared" ca="1" si="600"/>
        <v>0</v>
      </c>
      <c r="GF143" s="29">
        <f t="shared" ca="1" si="601"/>
        <v>0</v>
      </c>
      <c r="GG143" s="29">
        <f t="shared" ca="1" si="602"/>
        <v>0</v>
      </c>
      <c r="GH143" s="150">
        <f t="shared" ca="1" si="603"/>
        <v>0</v>
      </c>
      <c r="GJ143" s="2221">
        <f t="shared" ca="1" si="604"/>
        <v>0</v>
      </c>
      <c r="GK143" s="29">
        <f t="shared" ca="1" si="605"/>
        <v>0</v>
      </c>
      <c r="GL143" s="29">
        <f t="shared" ca="1" si="606"/>
        <v>0</v>
      </c>
      <c r="GM143" s="29">
        <f t="shared" ca="1" si="607"/>
        <v>0</v>
      </c>
      <c r="GN143" s="29">
        <f t="shared" ca="1" si="608"/>
        <v>0</v>
      </c>
      <c r="GO143" s="29">
        <f t="shared" ca="1" si="609"/>
        <v>0</v>
      </c>
      <c r="GP143" s="192">
        <f t="shared" ca="1" si="610"/>
        <v>0</v>
      </c>
      <c r="GR143" s="2221"/>
      <c r="GS143" s="29"/>
      <c r="GT143" s="29"/>
      <c r="GU143" s="29"/>
      <c r="GV143" s="29"/>
      <c r="GW143" s="29"/>
      <c r="GX143" s="1102">
        <f t="shared" si="611"/>
        <v>0</v>
      </c>
      <c r="GZ143" s="575">
        <f t="shared" ca="1" si="528"/>
        <v>0</v>
      </c>
      <c r="HA143" s="5">
        <f t="shared" ca="1" si="529"/>
        <v>0</v>
      </c>
      <c r="HB143" s="5">
        <f t="shared" ca="1" si="530"/>
        <v>0</v>
      </c>
      <c r="HC143" s="5">
        <f t="shared" ca="1" si="531"/>
        <v>0</v>
      </c>
      <c r="HD143" s="5">
        <f t="shared" ca="1" si="532"/>
        <v>0</v>
      </c>
      <c r="HE143" s="5">
        <f t="shared" ca="1" si="533"/>
        <v>0</v>
      </c>
      <c r="HF143" s="2175">
        <f t="shared" ca="1" si="534"/>
        <v>0</v>
      </c>
      <c r="HG143" s="573">
        <f t="shared" ca="1" si="535"/>
        <v>0</v>
      </c>
      <c r="HH143" s="257"/>
    </row>
    <row r="144" spans="1:216" ht="15" hidden="1" customHeight="1" x14ac:dyDescent="0.25">
      <c r="A144" s="25"/>
      <c r="B144" s="3211"/>
      <c r="C144" s="57" t="str">
        <f>('DATA INPUT'!B61&amp;" "&amp;"-"&amp;" "&amp;'DATA INPUT'!H61)</f>
        <v xml:space="preserve"> - </v>
      </c>
      <c r="D144" s="29">
        <f ca="1">'Calc - OTHER PERS'!L151</f>
        <v>0</v>
      </c>
      <c r="E144" s="29">
        <f ca="1">'Calc - OTHER PERS'!L152</f>
        <v>0</v>
      </c>
      <c r="F144" s="29">
        <f ca="1">'Calc - OTHER PERS'!L153</f>
        <v>0</v>
      </c>
      <c r="G144" s="29">
        <f ca="1">'Calc - OTHER PERS'!L154</f>
        <v>0</v>
      </c>
      <c r="H144" s="29">
        <f ca="1">'Calc - OTHER PERS'!L155</f>
        <v>0</v>
      </c>
      <c r="I144" s="29">
        <f ca="1">'Calc - OTHER PERS'!L156</f>
        <v>0</v>
      </c>
      <c r="J144" s="88">
        <f t="shared" ca="1" si="557"/>
        <v>0</v>
      </c>
      <c r="K144" s="24"/>
      <c r="L144" s="8"/>
      <c r="M144" s="24"/>
      <c r="N144" s="2388">
        <f ca="1">IF(AND((OFFSET('DATA INPUT'!$C$51, ROW()-ROW($N$134),0)=$N$10),
 (OFFSET('DATA INPUT'!$V$51,ROW()-ROW($N$134),0)=3)),
OFFSET('Calc - OTHER PERS'!$S$11,COLUMN()-COLUMN($N$134) + (ROW()-ROW($N$134))*14,0),0)</f>
        <v>0</v>
      </c>
      <c r="O144" s="2387">
        <f ca="1">IF(AND((OFFSET('DATA INPUT'!$C$51, ROW()-ROW($N$134),0)=$N$10),
 (OFFSET('DATA INPUT'!$V$51,ROW()-ROW($N$134),0)=3)),
OFFSET('Calc - OTHER PERS'!$S$11,COLUMN()-COLUMN($N$134) + (ROW()-ROW($N$134))*14,0),0)</f>
        <v>0</v>
      </c>
      <c r="P144" s="2387">
        <f ca="1">IF(AND((OFFSET('DATA INPUT'!$C$51, ROW()-ROW($N$134),0)=$N$10),
 (OFFSET('DATA INPUT'!$V$51,ROW()-ROW($N$134),0)=3)),
OFFSET('Calc - OTHER PERS'!$S$11,COLUMN()-COLUMN($N$134) + (ROW()-ROW($N$134))*14,0),0)</f>
        <v>0</v>
      </c>
      <c r="Q144" s="2387">
        <f ca="1">IF(AND((OFFSET('DATA INPUT'!$C$51, ROW()-ROW($N$134),0)=$N$10),
 (OFFSET('DATA INPUT'!$V$51,ROW()-ROW($N$134),0)=3)),
OFFSET('Calc - OTHER PERS'!$S$11,COLUMN()-COLUMN($N$134) + (ROW()-ROW($N$134))*14,0),0)</f>
        <v>0</v>
      </c>
      <c r="R144" s="2387">
        <f ca="1">IF(AND((OFFSET('DATA INPUT'!$C$51, ROW()-ROW($N$134),0)=$N$10),
 (OFFSET('DATA INPUT'!$V$51,ROW()-ROW($N$134),0)=3)),
OFFSET('Calc - OTHER PERS'!$S$11,COLUMN()-COLUMN($N$134) + (ROW()-ROW($N$134))*14,0),0)</f>
        <v>0</v>
      </c>
      <c r="S144" s="2387">
        <f ca="1">IF(AND((OFFSET('DATA INPUT'!$C$51, ROW()-ROW($N$134),0)=$N$10),
 (OFFSET('DATA INPUT'!$V$51,ROW()-ROW($N$134),0)=3)),
OFFSET('Calc - OTHER PERS'!$S$11,COLUMN()-COLUMN($N$134) + (ROW()-ROW($N$134))*14,0),0)</f>
        <v>0</v>
      </c>
      <c r="T144" s="164">
        <f t="shared" ca="1" si="458"/>
        <v>0</v>
      </c>
      <c r="U144" s="1"/>
      <c r="V144" s="2221">
        <f ca="1">IF(AND((OFFSET('DATA INPUT'!$C$51, ROW()-ROW($V$134),0)=$V$10),
 (OFFSET('DATA INPUT'!$V$51,ROW()-ROW($V$134),0)=3)),
OFFSET('Calc - OTHER PERS'!$S$11,COLUMN()-COLUMN($V$134) + (ROW()-ROW($V$134))*14,0),0)</f>
        <v>0</v>
      </c>
      <c r="W144" s="29">
        <f ca="1">IF(AND((OFFSET('DATA INPUT'!$C$51, ROW()-ROW($V$134),0)=$V$10),
 (OFFSET('DATA INPUT'!$V$51,ROW()-ROW($V$134),0)=3)),
OFFSET('Calc - OTHER PERS'!$S$11,COLUMN()-COLUMN($V$134) + (ROW()-ROW($V$134))*14,0),0)</f>
        <v>0</v>
      </c>
      <c r="X144" s="29">
        <f ca="1">IF(AND((OFFSET('DATA INPUT'!$C$51, ROW()-ROW($V$134),0)=$V$10),
 (OFFSET('DATA INPUT'!$V$51,ROW()-ROW($V$134),0)=3)),
OFFSET('Calc - OTHER PERS'!$S$11,COLUMN()-COLUMN($V$134) + (ROW()-ROW($V$134))*14,0),0)</f>
        <v>0</v>
      </c>
      <c r="Y144" s="29">
        <f ca="1">IF(AND((OFFSET('DATA INPUT'!$C$51, ROW()-ROW($V$134),0)=$V$10),
 (OFFSET('DATA INPUT'!$V$51,ROW()-ROW($V$134),0)=3)),
OFFSET('Calc - OTHER PERS'!$S$11,COLUMN()-COLUMN($V$134) + (ROW()-ROW($V$134))*14,0),0)</f>
        <v>0</v>
      </c>
      <c r="Z144" s="29">
        <f ca="1">IF(AND((OFFSET('DATA INPUT'!$C$51, ROW()-ROW($V$134),0)=$V$10),
 (OFFSET('DATA INPUT'!$V$51,ROW()-ROW($V$134),0)=3)),
OFFSET('Calc - OTHER PERS'!$S$11,COLUMN()-COLUMN($V$134) + (ROW()-ROW($V$134))*14,0),0)</f>
        <v>0</v>
      </c>
      <c r="AA144" s="29">
        <f ca="1">IF(AND((OFFSET('DATA INPUT'!$C$51, ROW()-ROW($V$134),0)=$V$10),
 (OFFSET('DATA INPUT'!$V$51,ROW()-ROW($V$134),0)=3)),
OFFSET('Calc - OTHER PERS'!$S$11,COLUMN()-COLUMN($V$134) + (ROW()-ROW($V$134))*14,0),0)</f>
        <v>0</v>
      </c>
      <c r="AB144" s="138">
        <f t="shared" ca="1" si="459"/>
        <v>0</v>
      </c>
      <c r="AD144" s="2221">
        <f ca="1">IF(AND((OFFSET('DATA INPUT'!$C$51, ROW()-ROW($AD$134),0)=$AD$10),
 (OFFSET('DATA INPUT'!$V$51,ROW()-ROW($AD$134),0)=3)),
OFFSET('Calc - OTHER PERS'!$S$11,COLUMN()-COLUMN($AD$134) + (ROW()-ROW($AD$134))*14,0),0)</f>
        <v>0</v>
      </c>
      <c r="AE144" s="29">
        <f ca="1">IF(AND((OFFSET('DATA INPUT'!$C$51, ROW()-ROW($AD$134),0)=$AD$10),
 (OFFSET('DATA INPUT'!$V$51,ROW()-ROW($AD$134),0)=3)),
OFFSET('Calc - OTHER PERS'!$S$11,COLUMN()-COLUMN($AD$134) + (ROW()-ROW($AD$134))*14,0),0)</f>
        <v>0</v>
      </c>
      <c r="AF144" s="29">
        <f ca="1">IF(AND((OFFSET('DATA INPUT'!$C$51, ROW()-ROW($AD$134),0)=$AD$10),
 (OFFSET('DATA INPUT'!$V$51,ROW()-ROW($AD$134),0)=3)),
OFFSET('Calc - OTHER PERS'!$S$11,COLUMN()-COLUMN($AD$134) + (ROW()-ROW($AD$134))*14,0),0)</f>
        <v>0</v>
      </c>
      <c r="AG144" s="29">
        <f ca="1">IF(AND((OFFSET('DATA INPUT'!$C$51, ROW()-ROW($AD$134),0)=$AD$10),
 (OFFSET('DATA INPUT'!$V$51,ROW()-ROW($AD$134),0)=3)),
OFFSET('Calc - OTHER PERS'!$S$11,COLUMN()-COLUMN($AD$134) + (ROW()-ROW($AD$134))*14,0),0)</f>
        <v>0</v>
      </c>
      <c r="AH144" s="29">
        <f ca="1">IF(AND((OFFSET('DATA INPUT'!$C$51, ROW()-ROW($AD$134),0)=$AD$10),
 (OFFSET('DATA INPUT'!$V$51,ROW()-ROW($AD$134),0)=3)),
OFFSET('Calc - OTHER PERS'!$S$11,COLUMN()-COLUMN($AD$134) + (ROW()-ROW($AD$134))*14,0),0)</f>
        <v>0</v>
      </c>
      <c r="AI144" s="29">
        <f ca="1">IF(AND((OFFSET('DATA INPUT'!$C$51, ROW()-ROW($AD$134),0)=$AD$10),
 (OFFSET('DATA INPUT'!$V$51,ROW()-ROW($AD$134),0)=3)),
OFFSET('Calc - OTHER PERS'!$S$11,COLUMN()-COLUMN($AD$134) + (ROW()-ROW($AD$134))*14,0),0)</f>
        <v>0</v>
      </c>
      <c r="AJ144" s="206">
        <f t="shared" ca="1" si="558"/>
        <v>0</v>
      </c>
      <c r="AL144" s="2221">
        <f ca="1">IF(AND((OFFSET('DATA INPUT'!$C$51, ROW()-ROW($AL$134),0)=$AL$10),
 (OFFSET('DATA INPUT'!$V$51,ROW()-ROW($AL$134),0)=3)),
OFFSET('Calc - OTHER PERS'!$S$11,COLUMN()-COLUMN($AL$134) + (ROW()-ROW($AL$134))*14,0),0)</f>
        <v>0</v>
      </c>
      <c r="AM144" s="29">
        <f ca="1">IF(AND((OFFSET('DATA INPUT'!$C$51, ROW()-ROW($AL$134),0)=$AL$10),
 (OFFSET('DATA INPUT'!$V$51,ROW()-ROW($AL$134),0)=3)),
OFFSET('Calc - OTHER PERS'!$S$11,COLUMN()-COLUMN($AL$134) + (ROW()-ROW($AL$134))*14,0),0)</f>
        <v>0</v>
      </c>
      <c r="AN144" s="29">
        <f ca="1">IF(AND((OFFSET('DATA INPUT'!$C$51, ROW()-ROW($AL$134),0)=$AL$10),
 (OFFSET('DATA INPUT'!$V$51,ROW()-ROW($AL$134),0)=3)),
OFFSET('Calc - OTHER PERS'!$S$11,COLUMN()-COLUMN($AL$134) + (ROW()-ROW($AL$134))*14,0),0)</f>
        <v>0</v>
      </c>
      <c r="AO144" s="29">
        <f ca="1">IF(AND((OFFSET('DATA INPUT'!$C$51, ROW()-ROW($AL$134),0)=$AL$10),
 (OFFSET('DATA INPUT'!$V$51,ROW()-ROW($AL$134),0)=3)),
OFFSET('Calc - OTHER PERS'!$S$11,COLUMN()-COLUMN($AL$134) + (ROW()-ROW($AL$134))*14,0),0)</f>
        <v>0</v>
      </c>
      <c r="AP144" s="29">
        <f ca="1">IF(AND((OFFSET('DATA INPUT'!$C$51, ROW()-ROW($AL$134),0)=$AL$10),
 (OFFSET('DATA INPUT'!$V$51,ROW()-ROW($AL$134),0)=3)),
OFFSET('Calc - OTHER PERS'!$S$11,COLUMN()-COLUMN($AL$134) + (ROW()-ROW($AL$134))*14,0),0)</f>
        <v>0</v>
      </c>
      <c r="AQ144" s="29">
        <f ca="1">IF(AND((OFFSET('DATA INPUT'!$C$51, ROW()-ROW($AL$134),0)=$AL$10),
 (OFFSET('DATA INPUT'!$V$51,ROW()-ROW($AL$134),0)=3)),
OFFSET('Calc - OTHER PERS'!$S$11,COLUMN()-COLUMN($AL$134) + (ROW()-ROW($AL$134))*14,0),0)</f>
        <v>0</v>
      </c>
      <c r="AR144" s="178">
        <f t="shared" ca="1" si="559"/>
        <v>0</v>
      </c>
      <c r="AT144" s="2221">
        <f ca="1">IF(AND((OFFSET('DATA INPUT'!$C$51, ROW()-ROW($AT$134),0)=$AT$10),
 (OFFSET('DATA INPUT'!$V$51,ROW()-ROW($AT$134),0)=3)),
OFFSET('Calc - OTHER PERS'!$S$11,COLUMN()-COLUMN($AT$134) + (ROW()-ROW($AT$134))*14,0),0)</f>
        <v>0</v>
      </c>
      <c r="AU144" s="29">
        <f ca="1">IF(AND((OFFSET('DATA INPUT'!$C$51, ROW()-ROW($AT$134),0)=$AT$10),
 (OFFSET('DATA INPUT'!$V$51,ROW()-ROW($AT$134),0)=3)),
OFFSET('Calc - OTHER PERS'!$S$11,COLUMN()-COLUMN($AT$134) + (ROW()-ROW($AT$134))*14,0),0)</f>
        <v>0</v>
      </c>
      <c r="AV144" s="29">
        <f ca="1">IF(AND((OFFSET('DATA INPUT'!$C$51, ROW()-ROW($AT$134),0)=$AT$10),
 (OFFSET('DATA INPUT'!$V$51,ROW()-ROW($AT$134),0)=3)),
OFFSET('Calc - OTHER PERS'!$S$11,COLUMN()-COLUMN($AT$134) + (ROW()-ROW($AT$134))*14,0),0)</f>
        <v>0</v>
      </c>
      <c r="AW144" s="29">
        <f ca="1">IF(AND((OFFSET('DATA INPUT'!$C$51, ROW()-ROW($AT$134),0)=$AT$10),
 (OFFSET('DATA INPUT'!$V$51,ROW()-ROW($AT$134),0)=3)),
OFFSET('Calc - OTHER PERS'!$S$11,COLUMN()-COLUMN($AT$134) + (ROW()-ROW($AT$134))*14,0),0)</f>
        <v>0</v>
      </c>
      <c r="AX144" s="29">
        <f ca="1">IF(AND((OFFSET('DATA INPUT'!$C$51, ROW()-ROW($AT$134),0)=$AT$10),
 (OFFSET('DATA INPUT'!$V$51,ROW()-ROW($AT$134),0)=3)),
OFFSET('Calc - OTHER PERS'!$S$11,COLUMN()-COLUMN($AT$134) + (ROW()-ROW($AT$134))*14,0),0)</f>
        <v>0</v>
      </c>
      <c r="AY144" s="29">
        <f ca="1">IF(AND((OFFSET('DATA INPUT'!$C$51, ROW()-ROW($AT$134),0)=$AT$10),
 (OFFSET('DATA INPUT'!$V$51,ROW()-ROW($AT$134),0)=3)),
OFFSET('Calc - OTHER PERS'!$S$11,COLUMN()-COLUMN($AT$134) + (ROW()-ROW($AT$134))*14,0),0)</f>
        <v>0</v>
      </c>
      <c r="AZ144" s="150">
        <f t="shared" ca="1" si="560"/>
        <v>0</v>
      </c>
      <c r="BB144" s="2221">
        <f ca="1">IF(AND((OFFSET('DATA INPUT'!$C$51, ROW()-ROW($BB$134),0)=$BB$10),
 (OFFSET('DATA INPUT'!$V$51,ROW()-ROW($BB$134),0)=3)),
OFFSET('Calc - OTHER PERS'!$S$11,COLUMN()-COLUMN($BB$134) + (ROW()-ROW($BB$134))*14,0),0)</f>
        <v>0</v>
      </c>
      <c r="BC144" s="29">
        <f ca="1">IF(AND((OFFSET('DATA INPUT'!$C$51, ROW()-ROW($BB$134),0)=$BB$10),
 (OFFSET('DATA INPUT'!$V$51,ROW()-ROW($BB$134),0)=3)),
OFFSET('Calc - OTHER PERS'!$S$11,COLUMN()-COLUMN($BB$134) + (ROW()-ROW($BB$134))*14,0),0)</f>
        <v>0</v>
      </c>
      <c r="BD144" s="29">
        <f ca="1">IF(AND((OFFSET('DATA INPUT'!$C$51, ROW()-ROW($BB$134),0)=$BB$10),
 (OFFSET('DATA INPUT'!$V$51,ROW()-ROW($BB$134),0)=3)),
OFFSET('Calc - OTHER PERS'!$S$11,COLUMN()-COLUMN($BB$134) + (ROW()-ROW($BB$134))*14,0),0)</f>
        <v>0</v>
      </c>
      <c r="BE144" s="29">
        <f ca="1">IF(AND((OFFSET('DATA INPUT'!$C$51, ROW()-ROW($BB$134),0)=$BB$10),
 (OFFSET('DATA INPUT'!$V$51,ROW()-ROW($BB$134),0)=3)),
OFFSET('Calc - OTHER PERS'!$S$11,COLUMN()-COLUMN($BB$134) + (ROW()-ROW($BB$134))*14,0),0)</f>
        <v>0</v>
      </c>
      <c r="BF144" s="29">
        <f ca="1">IF(AND((OFFSET('DATA INPUT'!$C$51, ROW()-ROW($BB$134),0)=$BB$10),
 (OFFSET('DATA INPUT'!$V$51,ROW()-ROW($BB$134),0)=3)),
OFFSET('Calc - OTHER PERS'!$S$11,COLUMN()-COLUMN($BB$134) + (ROW()-ROW($BB$134))*14,0),0)</f>
        <v>0</v>
      </c>
      <c r="BG144" s="29">
        <f ca="1">IF(AND((OFFSET('DATA INPUT'!$C$51, ROW()-ROW($BB$134),0)=$BB$10),
 (OFFSET('DATA INPUT'!$V$51,ROW()-ROW($BB$134),0)=3)),
OFFSET('Calc - OTHER PERS'!$S$11,COLUMN()-COLUMN($BB$134) + (ROW()-ROW($BB$134))*14,0),0)</f>
        <v>0</v>
      </c>
      <c r="BH144" s="192">
        <f t="shared" ca="1" si="561"/>
        <v>0</v>
      </c>
      <c r="BJ144" s="2221"/>
      <c r="BK144" s="29"/>
      <c r="BL144" s="29"/>
      <c r="BM144" s="29"/>
      <c r="BN144" s="29"/>
      <c r="BO144" s="29"/>
      <c r="BP144" s="1102">
        <f t="shared" si="562"/>
        <v>0</v>
      </c>
      <c r="BR144" s="575">
        <f t="shared" ca="1" si="465"/>
        <v>0</v>
      </c>
      <c r="BS144" s="5">
        <f t="shared" ca="1" si="466"/>
        <v>0</v>
      </c>
      <c r="BT144" s="5">
        <f t="shared" ca="1" si="467"/>
        <v>0</v>
      </c>
      <c r="BU144" s="5">
        <f t="shared" ca="1" si="468"/>
        <v>0</v>
      </c>
      <c r="BV144" s="5">
        <f t="shared" ca="1" si="469"/>
        <v>0</v>
      </c>
      <c r="BW144" s="5">
        <f t="shared" ca="1" si="470"/>
        <v>0</v>
      </c>
      <c r="BX144" s="2175">
        <f t="shared" ca="1" si="471"/>
        <v>0</v>
      </c>
      <c r="BY144" s="573">
        <f t="shared" ca="1" si="472"/>
        <v>0</v>
      </c>
      <c r="BZ144" s="257"/>
      <c r="CB144" s="1267"/>
      <c r="CC144" s="1268"/>
      <c r="CD144" s="1269"/>
      <c r="CE144" s="1269"/>
      <c r="CF144" s="1269"/>
      <c r="CG144" s="1270"/>
      <c r="CH144" s="1271"/>
      <c r="CI144" s="1272"/>
      <c r="CJ144" s="1272"/>
      <c r="CK144" s="1272"/>
      <c r="CL144" s="1273"/>
      <c r="CM144" s="1274"/>
      <c r="CN144" s="1275"/>
      <c r="CO144" s="1276"/>
      <c r="CP144" s="1234"/>
      <c r="CS144" s="575"/>
      <c r="CT144" s="5"/>
      <c r="CU144" s="1180"/>
      <c r="CV144" s="575"/>
      <c r="CW144" s="5"/>
      <c r="CX144" s="1249"/>
      <c r="CY144" s="575"/>
      <c r="CZ144" s="5"/>
      <c r="DA144" s="1180"/>
      <c r="DB144" s="575"/>
      <c r="DC144" s="5"/>
      <c r="DD144" s="1180"/>
      <c r="DE144" s="1181"/>
      <c r="DG144" s="575"/>
      <c r="DH144" s="5"/>
      <c r="DI144" s="1180"/>
      <c r="DJ144" s="575"/>
      <c r="DK144" s="5"/>
      <c r="DL144" s="1249"/>
      <c r="DM144" s="575"/>
      <c r="DN144" s="5"/>
      <c r="DO144" s="1180"/>
      <c r="DP144" s="575"/>
      <c r="DQ144" s="5"/>
      <c r="DR144" s="1180"/>
      <c r="DS144" s="1181"/>
      <c r="DU144" s="575"/>
      <c r="DV144" s="5"/>
      <c r="DW144" s="1180"/>
      <c r="DX144" s="575"/>
      <c r="DY144" s="5"/>
      <c r="DZ144" s="1249"/>
      <c r="EA144" s="575"/>
      <c r="EB144" s="5"/>
      <c r="EC144" s="1180"/>
      <c r="ED144" s="575"/>
      <c r="EE144" s="5"/>
      <c r="EF144" s="1180"/>
      <c r="EG144" s="1181"/>
      <c r="EI144" s="25"/>
      <c r="EJ144" s="3211"/>
      <c r="EK144" s="123" t="str">
        <f t="shared" si="563"/>
        <v xml:space="preserve"> - </v>
      </c>
      <c r="EL144" s="5">
        <f t="shared" ca="1" si="564"/>
        <v>0</v>
      </c>
      <c r="EM144" s="5">
        <f t="shared" ca="1" si="565"/>
        <v>0</v>
      </c>
      <c r="EN144" s="5">
        <f t="shared" ca="1" si="566"/>
        <v>0</v>
      </c>
      <c r="EO144" s="5">
        <f t="shared" ca="1" si="567"/>
        <v>0</v>
      </c>
      <c r="EP144" s="5">
        <f t="shared" ca="1" si="568"/>
        <v>0</v>
      </c>
      <c r="EQ144" s="5">
        <f t="shared" ca="1" si="569"/>
        <v>0</v>
      </c>
      <c r="ER144" s="88">
        <f t="shared" ca="1" si="570"/>
        <v>0</v>
      </c>
      <c r="ES144" s="24"/>
      <c r="ET144" s="8"/>
      <c r="EU144" s="24"/>
      <c r="EV144" s="575">
        <f t="shared" ca="1" si="571"/>
        <v>0</v>
      </c>
      <c r="EW144" s="5">
        <f t="shared" ca="1" si="572"/>
        <v>0</v>
      </c>
      <c r="EX144" s="5">
        <f t="shared" ca="1" si="573"/>
        <v>0</v>
      </c>
      <c r="EY144" s="5">
        <f t="shared" ca="1" si="574"/>
        <v>0</v>
      </c>
      <c r="EZ144" s="5">
        <f t="shared" ca="1" si="575"/>
        <v>0</v>
      </c>
      <c r="FA144" s="5">
        <f t="shared" ca="1" si="576"/>
        <v>0</v>
      </c>
      <c r="FB144" s="164">
        <f t="shared" ca="1" si="491"/>
        <v>0</v>
      </c>
      <c r="FC144" s="1"/>
      <c r="FD144" s="2221">
        <f t="shared" ca="1" si="577"/>
        <v>0</v>
      </c>
      <c r="FE144" s="29">
        <f t="shared" ca="1" si="578"/>
        <v>0</v>
      </c>
      <c r="FF144" s="29">
        <f t="shared" ca="1" si="579"/>
        <v>0</v>
      </c>
      <c r="FG144" s="29">
        <f t="shared" ca="1" si="580"/>
        <v>0</v>
      </c>
      <c r="FH144" s="29">
        <f t="shared" ca="1" si="581"/>
        <v>0</v>
      </c>
      <c r="FI144" s="29">
        <f t="shared" ca="1" si="582"/>
        <v>0</v>
      </c>
      <c r="FJ144" s="138">
        <f t="shared" ca="1" si="498"/>
        <v>0</v>
      </c>
      <c r="FL144" s="2221">
        <f t="shared" ca="1" si="583"/>
        <v>0</v>
      </c>
      <c r="FM144" s="29">
        <f t="shared" ca="1" si="584"/>
        <v>0</v>
      </c>
      <c r="FN144" s="29">
        <f t="shared" ca="1" si="585"/>
        <v>0</v>
      </c>
      <c r="FO144" s="29">
        <f t="shared" ca="1" si="586"/>
        <v>0</v>
      </c>
      <c r="FP144" s="29">
        <f t="shared" ca="1" si="587"/>
        <v>0</v>
      </c>
      <c r="FQ144" s="29">
        <f t="shared" ca="1" si="588"/>
        <v>0</v>
      </c>
      <c r="FR144" s="206">
        <f t="shared" ca="1" si="589"/>
        <v>0</v>
      </c>
      <c r="FT144" s="2221">
        <f t="shared" ca="1" si="590"/>
        <v>0</v>
      </c>
      <c r="FU144" s="29">
        <f t="shared" ca="1" si="591"/>
        <v>0</v>
      </c>
      <c r="FV144" s="29">
        <f t="shared" ca="1" si="592"/>
        <v>0</v>
      </c>
      <c r="FW144" s="29">
        <f t="shared" ca="1" si="593"/>
        <v>0</v>
      </c>
      <c r="FX144" s="29">
        <f t="shared" ca="1" si="594"/>
        <v>0</v>
      </c>
      <c r="FY144" s="29">
        <f t="shared" ca="1" si="595"/>
        <v>0</v>
      </c>
      <c r="FZ144" s="178">
        <f t="shared" ca="1" si="596"/>
        <v>0</v>
      </c>
      <c r="GB144" s="2221">
        <f t="shared" ca="1" si="597"/>
        <v>0</v>
      </c>
      <c r="GC144" s="29">
        <f t="shared" ca="1" si="598"/>
        <v>0</v>
      </c>
      <c r="GD144" s="29">
        <f t="shared" ca="1" si="599"/>
        <v>0</v>
      </c>
      <c r="GE144" s="29">
        <f t="shared" ca="1" si="600"/>
        <v>0</v>
      </c>
      <c r="GF144" s="29">
        <f t="shared" ca="1" si="601"/>
        <v>0</v>
      </c>
      <c r="GG144" s="29">
        <f t="shared" ca="1" si="602"/>
        <v>0</v>
      </c>
      <c r="GH144" s="150">
        <f t="shared" ca="1" si="603"/>
        <v>0</v>
      </c>
      <c r="GJ144" s="2221">
        <f t="shared" ca="1" si="604"/>
        <v>0</v>
      </c>
      <c r="GK144" s="29">
        <f t="shared" ca="1" si="605"/>
        <v>0</v>
      </c>
      <c r="GL144" s="29">
        <f t="shared" ca="1" si="606"/>
        <v>0</v>
      </c>
      <c r="GM144" s="29">
        <f t="shared" ca="1" si="607"/>
        <v>0</v>
      </c>
      <c r="GN144" s="29">
        <f t="shared" ca="1" si="608"/>
        <v>0</v>
      </c>
      <c r="GO144" s="29">
        <f t="shared" ca="1" si="609"/>
        <v>0</v>
      </c>
      <c r="GP144" s="192">
        <f t="shared" ca="1" si="610"/>
        <v>0</v>
      </c>
      <c r="GR144" s="2221"/>
      <c r="GS144" s="29"/>
      <c r="GT144" s="29"/>
      <c r="GU144" s="29"/>
      <c r="GV144" s="29"/>
      <c r="GW144" s="29"/>
      <c r="GX144" s="1102">
        <f t="shared" si="611"/>
        <v>0</v>
      </c>
      <c r="GZ144" s="575">
        <f t="shared" ca="1" si="528"/>
        <v>0</v>
      </c>
      <c r="HA144" s="5">
        <f t="shared" ca="1" si="529"/>
        <v>0</v>
      </c>
      <c r="HB144" s="5">
        <f t="shared" ca="1" si="530"/>
        <v>0</v>
      </c>
      <c r="HC144" s="5">
        <f t="shared" ca="1" si="531"/>
        <v>0</v>
      </c>
      <c r="HD144" s="5">
        <f t="shared" ca="1" si="532"/>
        <v>0</v>
      </c>
      <c r="HE144" s="5">
        <f t="shared" ca="1" si="533"/>
        <v>0</v>
      </c>
      <c r="HF144" s="2175">
        <f t="shared" ca="1" si="534"/>
        <v>0</v>
      </c>
      <c r="HG144" s="573">
        <f t="shared" ca="1" si="535"/>
        <v>0</v>
      </c>
      <c r="HH144" s="257"/>
    </row>
    <row r="145" spans="1:216" ht="15" hidden="1" customHeight="1" x14ac:dyDescent="0.25">
      <c r="A145" s="25"/>
      <c r="B145" s="3211"/>
      <c r="C145" s="418" t="str">
        <f>('DATA INPUT'!B62&amp;" "&amp;"-"&amp;" "&amp;'DATA INPUT'!H62)</f>
        <v xml:space="preserve"> - </v>
      </c>
      <c r="D145" s="29">
        <f ca="1">'Calc - OTHER PERS'!L165</f>
        <v>0</v>
      </c>
      <c r="E145" s="29">
        <f ca="1">'Calc - OTHER PERS'!L166</f>
        <v>0</v>
      </c>
      <c r="F145" s="29">
        <f ca="1">'Calc - OTHER PERS'!L167</f>
        <v>0</v>
      </c>
      <c r="G145" s="29">
        <f ca="1">'Calc - OTHER PERS'!L168</f>
        <v>0</v>
      </c>
      <c r="H145" s="29">
        <f ca="1">'Calc - OTHER PERS'!L169</f>
        <v>0</v>
      </c>
      <c r="I145" s="29">
        <f ca="1">'Calc - OTHER PERS'!L170</f>
        <v>0</v>
      </c>
      <c r="J145" s="88">
        <f t="shared" ca="1" si="557"/>
        <v>0</v>
      </c>
      <c r="K145" s="24"/>
      <c r="L145" s="8"/>
      <c r="M145" s="24"/>
      <c r="N145" s="2388">
        <f ca="1">IF(AND((OFFSET('DATA INPUT'!$C$51, ROW()-ROW($N$134),0)=$N$10),
 (OFFSET('DATA INPUT'!$V$51,ROW()-ROW($N$134),0)=3)),
OFFSET('Calc - OTHER PERS'!$S$11,COLUMN()-COLUMN($N$134) + (ROW()-ROW($N$134))*14,0),0)</f>
        <v>0</v>
      </c>
      <c r="O145" s="2387">
        <f ca="1">IF(AND((OFFSET('DATA INPUT'!$C$51, ROW()-ROW($N$134),0)=$N$10),
 (OFFSET('DATA INPUT'!$V$51,ROW()-ROW($N$134),0)=3)),
OFFSET('Calc - OTHER PERS'!$S$11,COLUMN()-COLUMN($N$134) + (ROW()-ROW($N$134))*14,0),0)</f>
        <v>0</v>
      </c>
      <c r="P145" s="2387">
        <f ca="1">IF(AND((OFFSET('DATA INPUT'!$C$51, ROW()-ROW($N$134),0)=$N$10),
 (OFFSET('DATA INPUT'!$V$51,ROW()-ROW($N$134),0)=3)),
OFFSET('Calc - OTHER PERS'!$S$11,COLUMN()-COLUMN($N$134) + (ROW()-ROW($N$134))*14,0),0)</f>
        <v>0</v>
      </c>
      <c r="Q145" s="2387">
        <f ca="1">IF(AND((OFFSET('DATA INPUT'!$C$51, ROW()-ROW($N$134),0)=$N$10),
 (OFFSET('DATA INPUT'!$V$51,ROW()-ROW($N$134),0)=3)),
OFFSET('Calc - OTHER PERS'!$S$11,COLUMN()-COLUMN($N$134) + (ROW()-ROW($N$134))*14,0),0)</f>
        <v>0</v>
      </c>
      <c r="R145" s="2387">
        <f ca="1">IF(AND((OFFSET('DATA INPUT'!$C$51, ROW()-ROW($N$134),0)=$N$10),
 (OFFSET('DATA INPUT'!$V$51,ROW()-ROW($N$134),0)=3)),
OFFSET('Calc - OTHER PERS'!$S$11,COLUMN()-COLUMN($N$134) + (ROW()-ROW($N$134))*14,0),0)</f>
        <v>0</v>
      </c>
      <c r="S145" s="2387">
        <f ca="1">IF(AND((OFFSET('DATA INPUT'!$C$51, ROW()-ROW($N$134),0)=$N$10),
 (OFFSET('DATA INPUT'!$V$51,ROW()-ROW($N$134),0)=3)),
OFFSET('Calc - OTHER PERS'!$S$11,COLUMN()-COLUMN($N$134) + (ROW()-ROW($N$134))*14,0),0)</f>
        <v>0</v>
      </c>
      <c r="T145" s="164">
        <f t="shared" ca="1" si="458"/>
        <v>0</v>
      </c>
      <c r="U145" s="1"/>
      <c r="V145" s="2221">
        <f ca="1">IF(AND((OFFSET('DATA INPUT'!$C$51, ROW()-ROW($V$134),0)=$V$10),
 (OFFSET('DATA INPUT'!$V$51,ROW()-ROW($V$134),0)=3)),
OFFSET('Calc - OTHER PERS'!$S$11,COLUMN()-COLUMN($V$134) + (ROW()-ROW($V$134))*14,0),0)</f>
        <v>0</v>
      </c>
      <c r="W145" s="29">
        <f ca="1">IF(AND((OFFSET('DATA INPUT'!$C$51, ROW()-ROW($V$134),0)=$V$10),
 (OFFSET('DATA INPUT'!$V$51,ROW()-ROW($V$134),0)=3)),
OFFSET('Calc - OTHER PERS'!$S$11,COLUMN()-COLUMN($V$134) + (ROW()-ROW($V$134))*14,0),0)</f>
        <v>0</v>
      </c>
      <c r="X145" s="29">
        <f ca="1">IF(AND((OFFSET('DATA INPUT'!$C$51, ROW()-ROW($V$134),0)=$V$10),
 (OFFSET('DATA INPUT'!$V$51,ROW()-ROW($V$134),0)=3)),
OFFSET('Calc - OTHER PERS'!$S$11,COLUMN()-COLUMN($V$134) + (ROW()-ROW($V$134))*14,0),0)</f>
        <v>0</v>
      </c>
      <c r="Y145" s="29">
        <f ca="1">IF(AND((OFFSET('DATA INPUT'!$C$51, ROW()-ROW($V$134),0)=$V$10),
 (OFFSET('DATA INPUT'!$V$51,ROW()-ROW($V$134),0)=3)),
OFFSET('Calc - OTHER PERS'!$S$11,COLUMN()-COLUMN($V$134) + (ROW()-ROW($V$134))*14,0),0)</f>
        <v>0</v>
      </c>
      <c r="Z145" s="29">
        <f ca="1">IF(AND((OFFSET('DATA INPUT'!$C$51, ROW()-ROW($V$134),0)=$V$10),
 (OFFSET('DATA INPUT'!$V$51,ROW()-ROW($V$134),0)=3)),
OFFSET('Calc - OTHER PERS'!$S$11,COLUMN()-COLUMN($V$134) + (ROW()-ROW($V$134))*14,0),0)</f>
        <v>0</v>
      </c>
      <c r="AA145" s="29">
        <f ca="1">IF(AND((OFFSET('DATA INPUT'!$C$51, ROW()-ROW($V$134),0)=$V$10),
 (OFFSET('DATA INPUT'!$V$51,ROW()-ROW($V$134),0)=3)),
OFFSET('Calc - OTHER PERS'!$S$11,COLUMN()-COLUMN($V$134) + (ROW()-ROW($V$134))*14,0),0)</f>
        <v>0</v>
      </c>
      <c r="AB145" s="138">
        <f t="shared" ca="1" si="459"/>
        <v>0</v>
      </c>
      <c r="AD145" s="2221">
        <f ca="1">IF(AND((OFFSET('DATA INPUT'!$C$51, ROW()-ROW($AD$134),0)=$AD$10),
 (OFFSET('DATA INPUT'!$V$51,ROW()-ROW($AD$134),0)=3)),
OFFSET('Calc - OTHER PERS'!$S$11,COLUMN()-COLUMN($AD$134) + (ROW()-ROW($AD$134))*14,0),0)</f>
        <v>0</v>
      </c>
      <c r="AE145" s="29">
        <f ca="1">IF(AND((OFFSET('DATA INPUT'!$C$51, ROW()-ROW($AD$134),0)=$AD$10),
 (OFFSET('DATA INPUT'!$V$51,ROW()-ROW($AD$134),0)=3)),
OFFSET('Calc - OTHER PERS'!$S$11,COLUMN()-COLUMN($AD$134) + (ROW()-ROW($AD$134))*14,0),0)</f>
        <v>0</v>
      </c>
      <c r="AF145" s="29">
        <f ca="1">IF(AND((OFFSET('DATA INPUT'!$C$51, ROW()-ROW($AD$134),0)=$AD$10),
 (OFFSET('DATA INPUT'!$V$51,ROW()-ROW($AD$134),0)=3)),
OFFSET('Calc - OTHER PERS'!$S$11,COLUMN()-COLUMN($AD$134) + (ROW()-ROW($AD$134))*14,0),0)</f>
        <v>0</v>
      </c>
      <c r="AG145" s="29">
        <f ca="1">IF(AND((OFFSET('DATA INPUT'!$C$51, ROW()-ROW($AD$134),0)=$AD$10),
 (OFFSET('DATA INPUT'!$V$51,ROW()-ROW($AD$134),0)=3)),
OFFSET('Calc - OTHER PERS'!$S$11,COLUMN()-COLUMN($AD$134) + (ROW()-ROW($AD$134))*14,0),0)</f>
        <v>0</v>
      </c>
      <c r="AH145" s="29">
        <f ca="1">IF(AND((OFFSET('DATA INPUT'!$C$51, ROW()-ROW($AD$134),0)=$AD$10),
 (OFFSET('DATA INPUT'!$V$51,ROW()-ROW($AD$134),0)=3)),
OFFSET('Calc - OTHER PERS'!$S$11,COLUMN()-COLUMN($AD$134) + (ROW()-ROW($AD$134))*14,0),0)</f>
        <v>0</v>
      </c>
      <c r="AI145" s="29">
        <f ca="1">IF(AND((OFFSET('DATA INPUT'!$C$51, ROW()-ROW($AD$134),0)=$AD$10),
 (OFFSET('DATA INPUT'!$V$51,ROW()-ROW($AD$134),0)=3)),
OFFSET('Calc - OTHER PERS'!$S$11,COLUMN()-COLUMN($AD$134) + (ROW()-ROW($AD$134))*14,0),0)</f>
        <v>0</v>
      </c>
      <c r="AJ145" s="206">
        <f t="shared" ca="1" si="558"/>
        <v>0</v>
      </c>
      <c r="AL145" s="2221">
        <f ca="1">IF(AND((OFFSET('DATA INPUT'!$C$51, ROW()-ROW($AL$134),0)=$AL$10),
 (OFFSET('DATA INPUT'!$V$51,ROW()-ROW($AL$134),0)=3)),
OFFSET('Calc - OTHER PERS'!$S$11,COLUMN()-COLUMN($AL$134) + (ROW()-ROW($AL$134))*14,0),0)</f>
        <v>0</v>
      </c>
      <c r="AM145" s="29">
        <f ca="1">IF(AND((OFFSET('DATA INPUT'!$C$51, ROW()-ROW($AL$134),0)=$AL$10),
 (OFFSET('DATA INPUT'!$V$51,ROW()-ROW($AL$134),0)=3)),
OFFSET('Calc - OTHER PERS'!$S$11,COLUMN()-COLUMN($AL$134) + (ROW()-ROW($AL$134))*14,0),0)</f>
        <v>0</v>
      </c>
      <c r="AN145" s="29">
        <f ca="1">IF(AND((OFFSET('DATA INPUT'!$C$51, ROW()-ROW($AL$134),0)=$AL$10),
 (OFFSET('DATA INPUT'!$V$51,ROW()-ROW($AL$134),0)=3)),
OFFSET('Calc - OTHER PERS'!$S$11,COLUMN()-COLUMN($AL$134) + (ROW()-ROW($AL$134))*14,0),0)</f>
        <v>0</v>
      </c>
      <c r="AO145" s="29">
        <f ca="1">IF(AND((OFFSET('DATA INPUT'!$C$51, ROW()-ROW($AL$134),0)=$AL$10),
 (OFFSET('DATA INPUT'!$V$51,ROW()-ROW($AL$134),0)=3)),
OFFSET('Calc - OTHER PERS'!$S$11,COLUMN()-COLUMN($AL$134) + (ROW()-ROW($AL$134))*14,0),0)</f>
        <v>0</v>
      </c>
      <c r="AP145" s="29">
        <f ca="1">IF(AND((OFFSET('DATA INPUT'!$C$51, ROW()-ROW($AL$134),0)=$AL$10),
 (OFFSET('DATA INPUT'!$V$51,ROW()-ROW($AL$134),0)=3)),
OFFSET('Calc - OTHER PERS'!$S$11,COLUMN()-COLUMN($AL$134) + (ROW()-ROW($AL$134))*14,0),0)</f>
        <v>0</v>
      </c>
      <c r="AQ145" s="29">
        <f ca="1">IF(AND((OFFSET('DATA INPUT'!$C$51, ROW()-ROW($AL$134),0)=$AL$10),
 (OFFSET('DATA INPUT'!$V$51,ROW()-ROW($AL$134),0)=3)),
OFFSET('Calc - OTHER PERS'!$S$11,COLUMN()-COLUMN($AL$134) + (ROW()-ROW($AL$134))*14,0),0)</f>
        <v>0</v>
      </c>
      <c r="AR145" s="178">
        <f t="shared" ca="1" si="559"/>
        <v>0</v>
      </c>
      <c r="AT145" s="2221">
        <f ca="1">IF(AND((OFFSET('DATA INPUT'!$C$51, ROW()-ROW($AT$134),0)=$AT$10),
 (OFFSET('DATA INPUT'!$V$51,ROW()-ROW($AT$134),0)=3)),
OFFSET('Calc - OTHER PERS'!$S$11,COLUMN()-COLUMN($AT$134) + (ROW()-ROW($AT$134))*14,0),0)</f>
        <v>0</v>
      </c>
      <c r="AU145" s="29">
        <f ca="1">IF(AND((OFFSET('DATA INPUT'!$C$51, ROW()-ROW($AT$134),0)=$AT$10),
 (OFFSET('DATA INPUT'!$V$51,ROW()-ROW($AT$134),0)=3)),
OFFSET('Calc - OTHER PERS'!$S$11,COLUMN()-COLUMN($AT$134) + (ROW()-ROW($AT$134))*14,0),0)</f>
        <v>0</v>
      </c>
      <c r="AV145" s="29">
        <f ca="1">IF(AND((OFFSET('DATA INPUT'!$C$51, ROW()-ROW($AT$134),0)=$AT$10),
 (OFFSET('DATA INPUT'!$V$51,ROW()-ROW($AT$134),0)=3)),
OFFSET('Calc - OTHER PERS'!$S$11,COLUMN()-COLUMN($AT$134) + (ROW()-ROW($AT$134))*14,0),0)</f>
        <v>0</v>
      </c>
      <c r="AW145" s="29">
        <f ca="1">IF(AND((OFFSET('DATA INPUT'!$C$51, ROW()-ROW($AT$134),0)=$AT$10),
 (OFFSET('DATA INPUT'!$V$51,ROW()-ROW($AT$134),0)=3)),
OFFSET('Calc - OTHER PERS'!$S$11,COLUMN()-COLUMN($AT$134) + (ROW()-ROW($AT$134))*14,0),0)</f>
        <v>0</v>
      </c>
      <c r="AX145" s="29">
        <f ca="1">IF(AND((OFFSET('DATA INPUT'!$C$51, ROW()-ROW($AT$134),0)=$AT$10),
 (OFFSET('DATA INPUT'!$V$51,ROW()-ROW($AT$134),0)=3)),
OFFSET('Calc - OTHER PERS'!$S$11,COLUMN()-COLUMN($AT$134) + (ROW()-ROW($AT$134))*14,0),0)</f>
        <v>0</v>
      </c>
      <c r="AY145" s="29">
        <f ca="1">IF(AND((OFFSET('DATA INPUT'!$C$51, ROW()-ROW($AT$134),0)=$AT$10),
 (OFFSET('DATA INPUT'!$V$51,ROW()-ROW($AT$134),0)=3)),
OFFSET('Calc - OTHER PERS'!$S$11,COLUMN()-COLUMN($AT$134) + (ROW()-ROW($AT$134))*14,0),0)</f>
        <v>0</v>
      </c>
      <c r="AZ145" s="150">
        <f t="shared" ca="1" si="560"/>
        <v>0</v>
      </c>
      <c r="BB145" s="2221">
        <f ca="1">IF(AND((OFFSET('DATA INPUT'!$C$51, ROW()-ROW($BB$134),0)=$BB$10),
 (OFFSET('DATA INPUT'!$V$51,ROW()-ROW($BB$134),0)=3)),
OFFSET('Calc - OTHER PERS'!$S$11,COLUMN()-COLUMN($BB$134) + (ROW()-ROW($BB$134))*14,0),0)</f>
        <v>0</v>
      </c>
      <c r="BC145" s="29">
        <f ca="1">IF(AND((OFFSET('DATA INPUT'!$C$51, ROW()-ROW($BB$134),0)=$BB$10),
 (OFFSET('DATA INPUT'!$V$51,ROW()-ROW($BB$134),0)=3)),
OFFSET('Calc - OTHER PERS'!$S$11,COLUMN()-COLUMN($BB$134) + (ROW()-ROW($BB$134))*14,0),0)</f>
        <v>0</v>
      </c>
      <c r="BD145" s="29">
        <f ca="1">IF(AND((OFFSET('DATA INPUT'!$C$51, ROW()-ROW($BB$134),0)=$BB$10),
 (OFFSET('DATA INPUT'!$V$51,ROW()-ROW($BB$134),0)=3)),
OFFSET('Calc - OTHER PERS'!$S$11,COLUMN()-COLUMN($BB$134) + (ROW()-ROW($BB$134))*14,0),0)</f>
        <v>0</v>
      </c>
      <c r="BE145" s="29">
        <f ca="1">IF(AND((OFFSET('DATA INPUT'!$C$51, ROW()-ROW($BB$134),0)=$BB$10),
 (OFFSET('DATA INPUT'!$V$51,ROW()-ROW($BB$134),0)=3)),
OFFSET('Calc - OTHER PERS'!$S$11,COLUMN()-COLUMN($BB$134) + (ROW()-ROW($BB$134))*14,0),0)</f>
        <v>0</v>
      </c>
      <c r="BF145" s="29">
        <f ca="1">IF(AND((OFFSET('DATA INPUT'!$C$51, ROW()-ROW($BB$134),0)=$BB$10),
 (OFFSET('DATA INPUT'!$V$51,ROW()-ROW($BB$134),0)=3)),
OFFSET('Calc - OTHER PERS'!$S$11,COLUMN()-COLUMN($BB$134) + (ROW()-ROW($BB$134))*14,0),0)</f>
        <v>0</v>
      </c>
      <c r="BG145" s="29">
        <f ca="1">IF(AND((OFFSET('DATA INPUT'!$C$51, ROW()-ROW($BB$134),0)=$BB$10),
 (OFFSET('DATA INPUT'!$V$51,ROW()-ROW($BB$134),0)=3)),
OFFSET('Calc - OTHER PERS'!$S$11,COLUMN()-COLUMN($BB$134) + (ROW()-ROW($BB$134))*14,0),0)</f>
        <v>0</v>
      </c>
      <c r="BH145" s="192">
        <f t="shared" ca="1" si="561"/>
        <v>0</v>
      </c>
      <c r="BJ145" s="2221"/>
      <c r="BK145" s="29"/>
      <c r="BL145" s="29"/>
      <c r="BM145" s="29"/>
      <c r="BN145" s="29"/>
      <c r="BO145" s="29"/>
      <c r="BP145" s="1102">
        <f t="shared" si="562"/>
        <v>0</v>
      </c>
      <c r="BR145" s="575">
        <f t="shared" ca="1" si="465"/>
        <v>0</v>
      </c>
      <c r="BS145" s="5">
        <f t="shared" ca="1" si="466"/>
        <v>0</v>
      </c>
      <c r="BT145" s="5">
        <f t="shared" ca="1" si="467"/>
        <v>0</v>
      </c>
      <c r="BU145" s="5">
        <f t="shared" ca="1" si="468"/>
        <v>0</v>
      </c>
      <c r="BV145" s="5">
        <f t="shared" ca="1" si="469"/>
        <v>0</v>
      </c>
      <c r="BW145" s="5">
        <f t="shared" ca="1" si="470"/>
        <v>0</v>
      </c>
      <c r="BX145" s="2175">
        <f t="shared" ca="1" si="471"/>
        <v>0</v>
      </c>
      <c r="BY145" s="573">
        <f t="shared" ca="1" si="472"/>
        <v>0</v>
      </c>
      <c r="BZ145" s="257"/>
      <c r="CB145" s="1267"/>
      <c r="CC145" s="1268"/>
      <c r="CD145" s="1269"/>
      <c r="CE145" s="1269"/>
      <c r="CF145" s="1269"/>
      <c r="CG145" s="1270"/>
      <c r="CH145" s="1271"/>
      <c r="CI145" s="1272"/>
      <c r="CJ145" s="1272"/>
      <c r="CK145" s="1272"/>
      <c r="CL145" s="1273"/>
      <c r="CM145" s="1274"/>
      <c r="CN145" s="1275"/>
      <c r="CO145" s="1276"/>
      <c r="CP145" s="1234"/>
      <c r="CS145" s="575"/>
      <c r="CT145" s="5"/>
      <c r="CU145" s="1180"/>
      <c r="CV145" s="575"/>
      <c r="CW145" s="5"/>
      <c r="CX145" s="1249"/>
      <c r="CY145" s="575"/>
      <c r="CZ145" s="5"/>
      <c r="DA145" s="1180"/>
      <c r="DB145" s="575"/>
      <c r="DC145" s="5"/>
      <c r="DD145" s="1180"/>
      <c r="DE145" s="1181"/>
      <c r="DG145" s="575"/>
      <c r="DH145" s="5"/>
      <c r="DI145" s="1180"/>
      <c r="DJ145" s="575"/>
      <c r="DK145" s="5"/>
      <c r="DL145" s="1249"/>
      <c r="DM145" s="575"/>
      <c r="DN145" s="5"/>
      <c r="DO145" s="1180"/>
      <c r="DP145" s="575"/>
      <c r="DQ145" s="5"/>
      <c r="DR145" s="1180"/>
      <c r="DS145" s="1181"/>
      <c r="DU145" s="575"/>
      <c r="DV145" s="5"/>
      <c r="DW145" s="1180"/>
      <c r="DX145" s="575"/>
      <c r="DY145" s="5"/>
      <c r="DZ145" s="1249"/>
      <c r="EA145" s="575"/>
      <c r="EB145" s="5"/>
      <c r="EC145" s="1180"/>
      <c r="ED145" s="575"/>
      <c r="EE145" s="5"/>
      <c r="EF145" s="1180"/>
      <c r="EG145" s="1181"/>
      <c r="EI145" s="25"/>
      <c r="EJ145" s="3211"/>
      <c r="EK145" s="123" t="str">
        <f t="shared" si="563"/>
        <v xml:space="preserve"> - </v>
      </c>
      <c r="EL145" s="5">
        <f t="shared" ca="1" si="564"/>
        <v>0</v>
      </c>
      <c r="EM145" s="5">
        <f t="shared" ca="1" si="565"/>
        <v>0</v>
      </c>
      <c r="EN145" s="5">
        <f t="shared" ca="1" si="566"/>
        <v>0</v>
      </c>
      <c r="EO145" s="5">
        <f t="shared" ca="1" si="567"/>
        <v>0</v>
      </c>
      <c r="EP145" s="5">
        <f t="shared" ca="1" si="568"/>
        <v>0</v>
      </c>
      <c r="EQ145" s="5">
        <f t="shared" ca="1" si="569"/>
        <v>0</v>
      </c>
      <c r="ER145" s="88">
        <f t="shared" ca="1" si="570"/>
        <v>0</v>
      </c>
      <c r="ES145" s="24"/>
      <c r="ET145" s="8"/>
      <c r="EU145" s="24"/>
      <c r="EV145" s="575">
        <f t="shared" ca="1" si="571"/>
        <v>0</v>
      </c>
      <c r="EW145" s="5">
        <f t="shared" ca="1" si="572"/>
        <v>0</v>
      </c>
      <c r="EX145" s="5">
        <f t="shared" ca="1" si="573"/>
        <v>0</v>
      </c>
      <c r="EY145" s="5">
        <f t="shared" ca="1" si="574"/>
        <v>0</v>
      </c>
      <c r="EZ145" s="5">
        <f t="shared" ca="1" si="575"/>
        <v>0</v>
      </c>
      <c r="FA145" s="5">
        <f t="shared" ca="1" si="576"/>
        <v>0</v>
      </c>
      <c r="FB145" s="164">
        <f t="shared" ca="1" si="491"/>
        <v>0</v>
      </c>
      <c r="FC145" s="1"/>
      <c r="FD145" s="2221">
        <f t="shared" ca="1" si="577"/>
        <v>0</v>
      </c>
      <c r="FE145" s="29">
        <f t="shared" ca="1" si="578"/>
        <v>0</v>
      </c>
      <c r="FF145" s="29">
        <f t="shared" ca="1" si="579"/>
        <v>0</v>
      </c>
      <c r="FG145" s="29">
        <f t="shared" ca="1" si="580"/>
        <v>0</v>
      </c>
      <c r="FH145" s="29">
        <f t="shared" ca="1" si="581"/>
        <v>0</v>
      </c>
      <c r="FI145" s="29">
        <f t="shared" ca="1" si="582"/>
        <v>0</v>
      </c>
      <c r="FJ145" s="138">
        <f t="shared" ca="1" si="498"/>
        <v>0</v>
      </c>
      <c r="FL145" s="2221">
        <f t="shared" ca="1" si="583"/>
        <v>0</v>
      </c>
      <c r="FM145" s="29">
        <f t="shared" ca="1" si="584"/>
        <v>0</v>
      </c>
      <c r="FN145" s="29">
        <f t="shared" ca="1" si="585"/>
        <v>0</v>
      </c>
      <c r="FO145" s="29">
        <f t="shared" ca="1" si="586"/>
        <v>0</v>
      </c>
      <c r="FP145" s="29">
        <f t="shared" ca="1" si="587"/>
        <v>0</v>
      </c>
      <c r="FQ145" s="29">
        <f t="shared" ca="1" si="588"/>
        <v>0</v>
      </c>
      <c r="FR145" s="206">
        <f t="shared" ca="1" si="589"/>
        <v>0</v>
      </c>
      <c r="FT145" s="2221">
        <f t="shared" ca="1" si="590"/>
        <v>0</v>
      </c>
      <c r="FU145" s="29">
        <f t="shared" ca="1" si="591"/>
        <v>0</v>
      </c>
      <c r="FV145" s="29">
        <f t="shared" ca="1" si="592"/>
        <v>0</v>
      </c>
      <c r="FW145" s="29">
        <f t="shared" ca="1" si="593"/>
        <v>0</v>
      </c>
      <c r="FX145" s="29">
        <f t="shared" ca="1" si="594"/>
        <v>0</v>
      </c>
      <c r="FY145" s="29">
        <f t="shared" ca="1" si="595"/>
        <v>0</v>
      </c>
      <c r="FZ145" s="178">
        <f t="shared" ca="1" si="596"/>
        <v>0</v>
      </c>
      <c r="GB145" s="2221">
        <f t="shared" ca="1" si="597"/>
        <v>0</v>
      </c>
      <c r="GC145" s="29">
        <f t="shared" ca="1" si="598"/>
        <v>0</v>
      </c>
      <c r="GD145" s="29">
        <f t="shared" ca="1" si="599"/>
        <v>0</v>
      </c>
      <c r="GE145" s="29">
        <f t="shared" ca="1" si="600"/>
        <v>0</v>
      </c>
      <c r="GF145" s="29">
        <f t="shared" ca="1" si="601"/>
        <v>0</v>
      </c>
      <c r="GG145" s="29">
        <f t="shared" ca="1" si="602"/>
        <v>0</v>
      </c>
      <c r="GH145" s="150">
        <f t="shared" ca="1" si="603"/>
        <v>0</v>
      </c>
      <c r="GJ145" s="2221">
        <f t="shared" ca="1" si="604"/>
        <v>0</v>
      </c>
      <c r="GK145" s="29">
        <f t="shared" ca="1" si="605"/>
        <v>0</v>
      </c>
      <c r="GL145" s="29">
        <f t="shared" ca="1" si="606"/>
        <v>0</v>
      </c>
      <c r="GM145" s="29">
        <f t="shared" ca="1" si="607"/>
        <v>0</v>
      </c>
      <c r="GN145" s="29">
        <f t="shared" ca="1" si="608"/>
        <v>0</v>
      </c>
      <c r="GO145" s="29">
        <f t="shared" ca="1" si="609"/>
        <v>0</v>
      </c>
      <c r="GP145" s="192">
        <f t="shared" ca="1" si="610"/>
        <v>0</v>
      </c>
      <c r="GR145" s="2221"/>
      <c r="GS145" s="29"/>
      <c r="GT145" s="29"/>
      <c r="GU145" s="29"/>
      <c r="GV145" s="29"/>
      <c r="GW145" s="29"/>
      <c r="GX145" s="1102">
        <f t="shared" si="611"/>
        <v>0</v>
      </c>
      <c r="GZ145" s="575">
        <f t="shared" ca="1" si="528"/>
        <v>0</v>
      </c>
      <c r="HA145" s="5">
        <f t="shared" ca="1" si="529"/>
        <v>0</v>
      </c>
      <c r="HB145" s="5">
        <f t="shared" ca="1" si="530"/>
        <v>0</v>
      </c>
      <c r="HC145" s="5">
        <f t="shared" ca="1" si="531"/>
        <v>0</v>
      </c>
      <c r="HD145" s="5">
        <f t="shared" ca="1" si="532"/>
        <v>0</v>
      </c>
      <c r="HE145" s="5">
        <f t="shared" ca="1" si="533"/>
        <v>0</v>
      </c>
      <c r="HF145" s="2175">
        <f t="shared" ca="1" si="534"/>
        <v>0</v>
      </c>
      <c r="HG145" s="573">
        <f t="shared" ca="1" si="535"/>
        <v>0</v>
      </c>
      <c r="HH145" s="257"/>
    </row>
    <row r="146" spans="1:216" ht="15" hidden="1" customHeight="1" x14ac:dyDescent="0.25">
      <c r="A146" s="25"/>
      <c r="B146" s="3211"/>
      <c r="C146" s="422" t="str">
        <f>('DATA INPUT'!B63&amp;" "&amp;"-"&amp;" "&amp;'DATA INPUT'!H63)</f>
        <v xml:space="preserve"> - </v>
      </c>
      <c r="D146" s="29">
        <f ca="1">'Calc - OTHER PERS'!L179</f>
        <v>0</v>
      </c>
      <c r="E146" s="29">
        <f ca="1">'Calc - OTHER PERS'!L180</f>
        <v>0</v>
      </c>
      <c r="F146" s="29">
        <f ca="1">'Calc - OTHER PERS'!L181</f>
        <v>0</v>
      </c>
      <c r="G146" s="29">
        <f ca="1">'Calc - OTHER PERS'!L182</f>
        <v>0</v>
      </c>
      <c r="H146" s="29">
        <f ca="1">'Calc - OTHER PERS'!L183</f>
        <v>0</v>
      </c>
      <c r="I146" s="29">
        <f ca="1">'Calc - OTHER PERS'!L184</f>
        <v>0</v>
      </c>
      <c r="J146" s="88">
        <f t="shared" ca="1" si="557"/>
        <v>0</v>
      </c>
      <c r="K146" s="24"/>
      <c r="L146" s="8"/>
      <c r="M146" s="24"/>
      <c r="N146" s="2388">
        <f ca="1">IF(AND((OFFSET('DATA INPUT'!$C$51, ROW()-ROW($N$134),0)=$N$10),
 (OFFSET('DATA INPUT'!$V$51,ROW()-ROW($N$134),0)=3)),
OFFSET('Calc - OTHER PERS'!$S$11,COLUMN()-COLUMN($N$134) + (ROW()-ROW($N$134))*14,0),0)</f>
        <v>0</v>
      </c>
      <c r="O146" s="2387">
        <f ca="1">IF(AND((OFFSET('DATA INPUT'!$C$51, ROW()-ROW($N$134),0)=$N$10),
 (OFFSET('DATA INPUT'!$V$51,ROW()-ROW($N$134),0)=3)),
OFFSET('Calc - OTHER PERS'!$S$11,COLUMN()-COLUMN($N$134) + (ROW()-ROW($N$134))*14,0),0)</f>
        <v>0</v>
      </c>
      <c r="P146" s="2387">
        <f ca="1">IF(AND((OFFSET('DATA INPUT'!$C$51, ROW()-ROW($N$134),0)=$N$10),
 (OFFSET('DATA INPUT'!$V$51,ROW()-ROW($N$134),0)=3)),
OFFSET('Calc - OTHER PERS'!$S$11,COLUMN()-COLUMN($N$134) + (ROW()-ROW($N$134))*14,0),0)</f>
        <v>0</v>
      </c>
      <c r="Q146" s="2387">
        <f ca="1">IF(AND((OFFSET('DATA INPUT'!$C$51, ROW()-ROW($N$134),0)=$N$10),
 (OFFSET('DATA INPUT'!$V$51,ROW()-ROW($N$134),0)=3)),
OFFSET('Calc - OTHER PERS'!$S$11,COLUMN()-COLUMN($N$134) + (ROW()-ROW($N$134))*14,0),0)</f>
        <v>0</v>
      </c>
      <c r="R146" s="2387">
        <f ca="1">IF(AND((OFFSET('DATA INPUT'!$C$51, ROW()-ROW($N$134),0)=$N$10),
 (OFFSET('DATA INPUT'!$V$51,ROW()-ROW($N$134),0)=3)),
OFFSET('Calc - OTHER PERS'!$S$11,COLUMN()-COLUMN($N$134) + (ROW()-ROW($N$134))*14,0),0)</f>
        <v>0</v>
      </c>
      <c r="S146" s="2387">
        <f ca="1">IF(AND((OFFSET('DATA INPUT'!$C$51, ROW()-ROW($N$134),0)=$N$10),
 (OFFSET('DATA INPUT'!$V$51,ROW()-ROW($N$134),0)=3)),
OFFSET('Calc - OTHER PERS'!$S$11,COLUMN()-COLUMN($N$134) + (ROW()-ROW($N$134))*14,0),0)</f>
        <v>0</v>
      </c>
      <c r="T146" s="164">
        <f t="shared" ca="1" si="458"/>
        <v>0</v>
      </c>
      <c r="U146" s="1"/>
      <c r="V146" s="2221">
        <f ca="1">IF(AND((OFFSET('DATA INPUT'!$C$51, ROW()-ROW($V$134),0)=$V$10),
 (OFFSET('DATA INPUT'!$V$51,ROW()-ROW($V$134),0)=3)),
OFFSET('Calc - OTHER PERS'!$S$11,COLUMN()-COLUMN($V$134) + (ROW()-ROW($V$134))*14,0),0)</f>
        <v>0</v>
      </c>
      <c r="W146" s="29">
        <f ca="1">IF(AND((OFFSET('DATA INPUT'!$C$51, ROW()-ROW($V$134),0)=$V$10),
 (OFFSET('DATA INPUT'!$V$51,ROW()-ROW($V$134),0)=3)),
OFFSET('Calc - OTHER PERS'!$S$11,COLUMN()-COLUMN($V$134) + (ROW()-ROW($V$134))*14,0),0)</f>
        <v>0</v>
      </c>
      <c r="X146" s="29">
        <f ca="1">IF(AND((OFFSET('DATA INPUT'!$C$51, ROW()-ROW($V$134),0)=$V$10),
 (OFFSET('DATA INPUT'!$V$51,ROW()-ROW($V$134),0)=3)),
OFFSET('Calc - OTHER PERS'!$S$11,COLUMN()-COLUMN($V$134) + (ROW()-ROW($V$134))*14,0),0)</f>
        <v>0</v>
      </c>
      <c r="Y146" s="29">
        <f ca="1">IF(AND((OFFSET('DATA INPUT'!$C$51, ROW()-ROW($V$134),0)=$V$10),
 (OFFSET('DATA INPUT'!$V$51,ROW()-ROW($V$134),0)=3)),
OFFSET('Calc - OTHER PERS'!$S$11,COLUMN()-COLUMN($V$134) + (ROW()-ROW($V$134))*14,0),0)</f>
        <v>0</v>
      </c>
      <c r="Z146" s="29">
        <f ca="1">IF(AND((OFFSET('DATA INPUT'!$C$51, ROW()-ROW($V$134),0)=$V$10),
 (OFFSET('DATA INPUT'!$V$51,ROW()-ROW($V$134),0)=3)),
OFFSET('Calc - OTHER PERS'!$S$11,COLUMN()-COLUMN($V$134) + (ROW()-ROW($V$134))*14,0),0)</f>
        <v>0</v>
      </c>
      <c r="AA146" s="29">
        <f ca="1">IF(AND((OFFSET('DATA INPUT'!$C$51, ROW()-ROW($V$134),0)=$V$10),
 (OFFSET('DATA INPUT'!$V$51,ROW()-ROW($V$134),0)=3)),
OFFSET('Calc - OTHER PERS'!$S$11,COLUMN()-COLUMN($V$134) + (ROW()-ROW($V$134))*14,0),0)</f>
        <v>0</v>
      </c>
      <c r="AB146" s="138">
        <f t="shared" ca="1" si="459"/>
        <v>0</v>
      </c>
      <c r="AD146" s="2221">
        <f ca="1">IF(AND((OFFSET('DATA INPUT'!$C$51, ROW()-ROW($AD$134),0)=$AD$10),
 (OFFSET('DATA INPUT'!$V$51,ROW()-ROW($AD$134),0)=3)),
OFFSET('Calc - OTHER PERS'!$S$11,COLUMN()-COLUMN($AD$134) + (ROW()-ROW($AD$134))*14,0),0)</f>
        <v>0</v>
      </c>
      <c r="AE146" s="29">
        <f ca="1">IF(AND((OFFSET('DATA INPUT'!$C$51, ROW()-ROW($AD$134),0)=$AD$10),
 (OFFSET('DATA INPUT'!$V$51,ROW()-ROW($AD$134),0)=3)),
OFFSET('Calc - OTHER PERS'!$S$11,COLUMN()-COLUMN($AD$134) + (ROW()-ROW($AD$134))*14,0),0)</f>
        <v>0</v>
      </c>
      <c r="AF146" s="29">
        <f ca="1">IF(AND((OFFSET('DATA INPUT'!$C$51, ROW()-ROW($AD$134),0)=$AD$10),
 (OFFSET('DATA INPUT'!$V$51,ROW()-ROW($AD$134),0)=3)),
OFFSET('Calc - OTHER PERS'!$S$11,COLUMN()-COLUMN($AD$134) + (ROW()-ROW($AD$134))*14,0),0)</f>
        <v>0</v>
      </c>
      <c r="AG146" s="29">
        <f ca="1">IF(AND((OFFSET('DATA INPUT'!$C$51, ROW()-ROW($AD$134),0)=$AD$10),
 (OFFSET('DATA INPUT'!$V$51,ROW()-ROW($AD$134),0)=3)),
OFFSET('Calc - OTHER PERS'!$S$11,COLUMN()-COLUMN($AD$134) + (ROW()-ROW($AD$134))*14,0),0)</f>
        <v>0</v>
      </c>
      <c r="AH146" s="29">
        <f ca="1">IF(AND((OFFSET('DATA INPUT'!$C$51, ROW()-ROW($AD$134),0)=$AD$10),
 (OFFSET('DATA INPUT'!$V$51,ROW()-ROW($AD$134),0)=3)),
OFFSET('Calc - OTHER PERS'!$S$11,COLUMN()-COLUMN($AD$134) + (ROW()-ROW($AD$134))*14,0),0)</f>
        <v>0</v>
      </c>
      <c r="AI146" s="29">
        <f ca="1">IF(AND((OFFSET('DATA INPUT'!$C$51, ROW()-ROW($AD$134),0)=$AD$10),
 (OFFSET('DATA INPUT'!$V$51,ROW()-ROW($AD$134),0)=3)),
OFFSET('Calc - OTHER PERS'!$S$11,COLUMN()-COLUMN($AD$134) + (ROW()-ROW($AD$134))*14,0),0)</f>
        <v>0</v>
      </c>
      <c r="AJ146" s="206">
        <f t="shared" ca="1" si="558"/>
        <v>0</v>
      </c>
      <c r="AL146" s="2221">
        <f ca="1">IF(AND((OFFSET('DATA INPUT'!$C$51, ROW()-ROW($AL$134),0)=$AL$10),
 (OFFSET('DATA INPUT'!$V$51,ROW()-ROW($AL$134),0)=3)),
OFFSET('Calc - OTHER PERS'!$S$11,COLUMN()-COLUMN($AL$134) + (ROW()-ROW($AL$134))*14,0),0)</f>
        <v>0</v>
      </c>
      <c r="AM146" s="29">
        <f ca="1">IF(AND((OFFSET('DATA INPUT'!$C$51, ROW()-ROW($AL$134),0)=$AL$10),
 (OFFSET('DATA INPUT'!$V$51,ROW()-ROW($AL$134),0)=3)),
OFFSET('Calc - OTHER PERS'!$S$11,COLUMN()-COLUMN($AL$134) + (ROW()-ROW($AL$134))*14,0),0)</f>
        <v>0</v>
      </c>
      <c r="AN146" s="29">
        <f ca="1">IF(AND((OFFSET('DATA INPUT'!$C$51, ROW()-ROW($AL$134),0)=$AL$10),
 (OFFSET('DATA INPUT'!$V$51,ROW()-ROW($AL$134),0)=3)),
OFFSET('Calc - OTHER PERS'!$S$11,COLUMN()-COLUMN($AL$134) + (ROW()-ROW($AL$134))*14,0),0)</f>
        <v>0</v>
      </c>
      <c r="AO146" s="29">
        <f ca="1">IF(AND((OFFSET('DATA INPUT'!$C$51, ROW()-ROW($AL$134),0)=$AL$10),
 (OFFSET('DATA INPUT'!$V$51,ROW()-ROW($AL$134),0)=3)),
OFFSET('Calc - OTHER PERS'!$S$11,COLUMN()-COLUMN($AL$134) + (ROW()-ROW($AL$134))*14,0),0)</f>
        <v>0</v>
      </c>
      <c r="AP146" s="29">
        <f ca="1">IF(AND((OFFSET('DATA INPUT'!$C$51, ROW()-ROW($AL$134),0)=$AL$10),
 (OFFSET('DATA INPUT'!$V$51,ROW()-ROW($AL$134),0)=3)),
OFFSET('Calc - OTHER PERS'!$S$11,COLUMN()-COLUMN($AL$134) + (ROW()-ROW($AL$134))*14,0),0)</f>
        <v>0</v>
      </c>
      <c r="AQ146" s="29">
        <f ca="1">IF(AND((OFFSET('DATA INPUT'!$C$51, ROW()-ROW($AL$134),0)=$AL$10),
 (OFFSET('DATA INPUT'!$V$51,ROW()-ROW($AL$134),0)=3)),
OFFSET('Calc - OTHER PERS'!$S$11,COLUMN()-COLUMN($AL$134) + (ROW()-ROW($AL$134))*14,0),0)</f>
        <v>0</v>
      </c>
      <c r="AR146" s="178">
        <f t="shared" ca="1" si="559"/>
        <v>0</v>
      </c>
      <c r="AT146" s="2221">
        <f ca="1">IF(AND((OFFSET('DATA INPUT'!$C$51, ROW()-ROW($AT$134),0)=$AT$10),
 (OFFSET('DATA INPUT'!$V$51,ROW()-ROW($AT$134),0)=3)),
OFFSET('Calc - OTHER PERS'!$S$11,COLUMN()-COLUMN($AT$134) + (ROW()-ROW($AT$134))*14,0),0)</f>
        <v>0</v>
      </c>
      <c r="AU146" s="29">
        <f ca="1">IF(AND((OFFSET('DATA INPUT'!$C$51, ROW()-ROW($AT$134),0)=$AT$10),
 (OFFSET('DATA INPUT'!$V$51,ROW()-ROW($AT$134),0)=3)),
OFFSET('Calc - OTHER PERS'!$S$11,COLUMN()-COLUMN($AT$134) + (ROW()-ROW($AT$134))*14,0),0)</f>
        <v>0</v>
      </c>
      <c r="AV146" s="29">
        <f ca="1">IF(AND((OFFSET('DATA INPUT'!$C$51, ROW()-ROW($AT$134),0)=$AT$10),
 (OFFSET('DATA INPUT'!$V$51,ROW()-ROW($AT$134),0)=3)),
OFFSET('Calc - OTHER PERS'!$S$11,COLUMN()-COLUMN($AT$134) + (ROW()-ROW($AT$134))*14,0),0)</f>
        <v>0</v>
      </c>
      <c r="AW146" s="29">
        <f ca="1">IF(AND((OFFSET('DATA INPUT'!$C$51, ROW()-ROW($AT$134),0)=$AT$10),
 (OFFSET('DATA INPUT'!$V$51,ROW()-ROW($AT$134),0)=3)),
OFFSET('Calc - OTHER PERS'!$S$11,COLUMN()-COLUMN($AT$134) + (ROW()-ROW($AT$134))*14,0),0)</f>
        <v>0</v>
      </c>
      <c r="AX146" s="29">
        <f ca="1">IF(AND((OFFSET('DATA INPUT'!$C$51, ROW()-ROW($AT$134),0)=$AT$10),
 (OFFSET('DATA INPUT'!$V$51,ROW()-ROW($AT$134),0)=3)),
OFFSET('Calc - OTHER PERS'!$S$11,COLUMN()-COLUMN($AT$134) + (ROW()-ROW($AT$134))*14,0),0)</f>
        <v>0</v>
      </c>
      <c r="AY146" s="29">
        <f ca="1">IF(AND((OFFSET('DATA INPUT'!$C$51, ROW()-ROW($AT$134),0)=$AT$10),
 (OFFSET('DATA INPUT'!$V$51,ROW()-ROW($AT$134),0)=3)),
OFFSET('Calc - OTHER PERS'!$S$11,COLUMN()-COLUMN($AT$134) + (ROW()-ROW($AT$134))*14,0),0)</f>
        <v>0</v>
      </c>
      <c r="AZ146" s="150">
        <f t="shared" ca="1" si="560"/>
        <v>0</v>
      </c>
      <c r="BB146" s="2221">
        <f ca="1">IF(AND((OFFSET('DATA INPUT'!$C$51, ROW()-ROW($BB$134),0)=$BB$10),
 (OFFSET('DATA INPUT'!$V$51,ROW()-ROW($BB$134),0)=3)),
OFFSET('Calc - OTHER PERS'!$S$11,COLUMN()-COLUMN($BB$134) + (ROW()-ROW($BB$134))*14,0),0)</f>
        <v>0</v>
      </c>
      <c r="BC146" s="29">
        <f ca="1">IF(AND((OFFSET('DATA INPUT'!$C$51, ROW()-ROW($BB$134),0)=$BB$10),
 (OFFSET('DATA INPUT'!$V$51,ROW()-ROW($BB$134),0)=3)),
OFFSET('Calc - OTHER PERS'!$S$11,COLUMN()-COLUMN($BB$134) + (ROW()-ROW($BB$134))*14,0),0)</f>
        <v>0</v>
      </c>
      <c r="BD146" s="29">
        <f ca="1">IF(AND((OFFSET('DATA INPUT'!$C$51, ROW()-ROW($BB$134),0)=$BB$10),
 (OFFSET('DATA INPUT'!$V$51,ROW()-ROW($BB$134),0)=3)),
OFFSET('Calc - OTHER PERS'!$S$11,COLUMN()-COLUMN($BB$134) + (ROW()-ROW($BB$134))*14,0),0)</f>
        <v>0</v>
      </c>
      <c r="BE146" s="29">
        <f ca="1">IF(AND((OFFSET('DATA INPUT'!$C$51, ROW()-ROW($BB$134),0)=$BB$10),
 (OFFSET('DATA INPUT'!$V$51,ROW()-ROW($BB$134),0)=3)),
OFFSET('Calc - OTHER PERS'!$S$11,COLUMN()-COLUMN($BB$134) + (ROW()-ROW($BB$134))*14,0),0)</f>
        <v>0</v>
      </c>
      <c r="BF146" s="29">
        <f ca="1">IF(AND((OFFSET('DATA INPUT'!$C$51, ROW()-ROW($BB$134),0)=$BB$10),
 (OFFSET('DATA INPUT'!$V$51,ROW()-ROW($BB$134),0)=3)),
OFFSET('Calc - OTHER PERS'!$S$11,COLUMN()-COLUMN($BB$134) + (ROW()-ROW($BB$134))*14,0),0)</f>
        <v>0</v>
      </c>
      <c r="BG146" s="29">
        <f ca="1">IF(AND((OFFSET('DATA INPUT'!$C$51, ROW()-ROW($BB$134),0)=$BB$10),
 (OFFSET('DATA INPUT'!$V$51,ROW()-ROW($BB$134),0)=3)),
OFFSET('Calc - OTHER PERS'!$S$11,COLUMN()-COLUMN($BB$134) + (ROW()-ROW($BB$134))*14,0),0)</f>
        <v>0</v>
      </c>
      <c r="BH146" s="192">
        <f t="shared" ca="1" si="561"/>
        <v>0</v>
      </c>
      <c r="BJ146" s="2221"/>
      <c r="BK146" s="29"/>
      <c r="BL146" s="29"/>
      <c r="BM146" s="29"/>
      <c r="BN146" s="29"/>
      <c r="BO146" s="29"/>
      <c r="BP146" s="1102">
        <f t="shared" si="562"/>
        <v>0</v>
      </c>
      <c r="BR146" s="575">
        <f t="shared" ca="1" si="465"/>
        <v>0</v>
      </c>
      <c r="BS146" s="5">
        <f t="shared" ca="1" si="466"/>
        <v>0</v>
      </c>
      <c r="BT146" s="5">
        <f t="shared" ca="1" si="467"/>
        <v>0</v>
      </c>
      <c r="BU146" s="5">
        <f t="shared" ca="1" si="468"/>
        <v>0</v>
      </c>
      <c r="BV146" s="5">
        <f t="shared" ca="1" si="469"/>
        <v>0</v>
      </c>
      <c r="BW146" s="5">
        <f t="shared" ca="1" si="470"/>
        <v>0</v>
      </c>
      <c r="BX146" s="2175">
        <f t="shared" ca="1" si="471"/>
        <v>0</v>
      </c>
      <c r="BY146" s="573">
        <f t="shared" ca="1" si="472"/>
        <v>0</v>
      </c>
      <c r="BZ146" s="257"/>
      <c r="CB146" s="1267"/>
      <c r="CC146" s="1268"/>
      <c r="CD146" s="1269"/>
      <c r="CE146" s="1269"/>
      <c r="CF146" s="1269"/>
      <c r="CG146" s="1270"/>
      <c r="CH146" s="1271"/>
      <c r="CI146" s="1272"/>
      <c r="CJ146" s="1272"/>
      <c r="CK146" s="1272"/>
      <c r="CL146" s="1273"/>
      <c r="CM146" s="1274"/>
      <c r="CN146" s="1275"/>
      <c r="CO146" s="1276"/>
      <c r="CP146" s="1234"/>
      <c r="CS146" s="575"/>
      <c r="CT146" s="5"/>
      <c r="CU146" s="1180"/>
      <c r="CV146" s="575"/>
      <c r="CW146" s="5"/>
      <c r="CX146" s="1249"/>
      <c r="CY146" s="575"/>
      <c r="CZ146" s="5"/>
      <c r="DA146" s="1180"/>
      <c r="DB146" s="575"/>
      <c r="DC146" s="5"/>
      <c r="DD146" s="1180"/>
      <c r="DE146" s="1181"/>
      <c r="DG146" s="575"/>
      <c r="DH146" s="5"/>
      <c r="DI146" s="1180"/>
      <c r="DJ146" s="575"/>
      <c r="DK146" s="5"/>
      <c r="DL146" s="1249"/>
      <c r="DM146" s="575"/>
      <c r="DN146" s="5"/>
      <c r="DO146" s="1180"/>
      <c r="DP146" s="575"/>
      <c r="DQ146" s="5"/>
      <c r="DR146" s="1180"/>
      <c r="DS146" s="1181"/>
      <c r="DU146" s="575"/>
      <c r="DV146" s="5"/>
      <c r="DW146" s="1180"/>
      <c r="DX146" s="575"/>
      <c r="DY146" s="5"/>
      <c r="DZ146" s="1249"/>
      <c r="EA146" s="575"/>
      <c r="EB146" s="5"/>
      <c r="EC146" s="1180"/>
      <c r="ED146" s="575"/>
      <c r="EE146" s="5"/>
      <c r="EF146" s="1180"/>
      <c r="EG146" s="1181"/>
      <c r="EI146" s="25"/>
      <c r="EJ146" s="3211"/>
      <c r="EK146" s="123" t="str">
        <f t="shared" si="563"/>
        <v xml:space="preserve"> - </v>
      </c>
      <c r="EL146" s="5">
        <f t="shared" ca="1" si="564"/>
        <v>0</v>
      </c>
      <c r="EM146" s="5">
        <f t="shared" ca="1" si="565"/>
        <v>0</v>
      </c>
      <c r="EN146" s="5">
        <f t="shared" ca="1" si="566"/>
        <v>0</v>
      </c>
      <c r="EO146" s="5">
        <f t="shared" ca="1" si="567"/>
        <v>0</v>
      </c>
      <c r="EP146" s="5">
        <f t="shared" ca="1" si="568"/>
        <v>0</v>
      </c>
      <c r="EQ146" s="5">
        <f t="shared" ca="1" si="569"/>
        <v>0</v>
      </c>
      <c r="ER146" s="88">
        <f t="shared" ca="1" si="570"/>
        <v>0</v>
      </c>
      <c r="ES146" s="24"/>
      <c r="ET146" s="8"/>
      <c r="EU146" s="24"/>
      <c r="EV146" s="575">
        <f t="shared" ca="1" si="571"/>
        <v>0</v>
      </c>
      <c r="EW146" s="5">
        <f t="shared" ca="1" si="572"/>
        <v>0</v>
      </c>
      <c r="EX146" s="5">
        <f t="shared" ca="1" si="573"/>
        <v>0</v>
      </c>
      <c r="EY146" s="5">
        <f t="shared" ca="1" si="574"/>
        <v>0</v>
      </c>
      <c r="EZ146" s="5">
        <f t="shared" ca="1" si="575"/>
        <v>0</v>
      </c>
      <c r="FA146" s="5">
        <f t="shared" ca="1" si="576"/>
        <v>0</v>
      </c>
      <c r="FB146" s="164">
        <f t="shared" ca="1" si="491"/>
        <v>0</v>
      </c>
      <c r="FC146" s="1"/>
      <c r="FD146" s="2221">
        <f t="shared" ca="1" si="577"/>
        <v>0</v>
      </c>
      <c r="FE146" s="29">
        <f t="shared" ca="1" si="578"/>
        <v>0</v>
      </c>
      <c r="FF146" s="29">
        <f t="shared" ca="1" si="579"/>
        <v>0</v>
      </c>
      <c r="FG146" s="29">
        <f t="shared" ca="1" si="580"/>
        <v>0</v>
      </c>
      <c r="FH146" s="29">
        <f t="shared" ca="1" si="581"/>
        <v>0</v>
      </c>
      <c r="FI146" s="29">
        <f t="shared" ca="1" si="582"/>
        <v>0</v>
      </c>
      <c r="FJ146" s="138">
        <f t="shared" ca="1" si="498"/>
        <v>0</v>
      </c>
      <c r="FL146" s="2221">
        <f t="shared" ca="1" si="583"/>
        <v>0</v>
      </c>
      <c r="FM146" s="29">
        <f t="shared" ca="1" si="584"/>
        <v>0</v>
      </c>
      <c r="FN146" s="29">
        <f t="shared" ca="1" si="585"/>
        <v>0</v>
      </c>
      <c r="FO146" s="29">
        <f t="shared" ca="1" si="586"/>
        <v>0</v>
      </c>
      <c r="FP146" s="29">
        <f t="shared" ca="1" si="587"/>
        <v>0</v>
      </c>
      <c r="FQ146" s="29">
        <f t="shared" ca="1" si="588"/>
        <v>0</v>
      </c>
      <c r="FR146" s="206">
        <f t="shared" ca="1" si="589"/>
        <v>0</v>
      </c>
      <c r="FT146" s="2221">
        <f t="shared" ca="1" si="590"/>
        <v>0</v>
      </c>
      <c r="FU146" s="29">
        <f t="shared" ca="1" si="591"/>
        <v>0</v>
      </c>
      <c r="FV146" s="29">
        <f t="shared" ca="1" si="592"/>
        <v>0</v>
      </c>
      <c r="FW146" s="29">
        <f t="shared" ca="1" si="593"/>
        <v>0</v>
      </c>
      <c r="FX146" s="29">
        <f t="shared" ca="1" si="594"/>
        <v>0</v>
      </c>
      <c r="FY146" s="29">
        <f t="shared" ca="1" si="595"/>
        <v>0</v>
      </c>
      <c r="FZ146" s="178">
        <f t="shared" ca="1" si="596"/>
        <v>0</v>
      </c>
      <c r="GB146" s="2221">
        <f t="shared" ca="1" si="597"/>
        <v>0</v>
      </c>
      <c r="GC146" s="29">
        <f t="shared" ca="1" si="598"/>
        <v>0</v>
      </c>
      <c r="GD146" s="29">
        <f t="shared" ca="1" si="599"/>
        <v>0</v>
      </c>
      <c r="GE146" s="29">
        <f t="shared" ca="1" si="600"/>
        <v>0</v>
      </c>
      <c r="GF146" s="29">
        <f t="shared" ca="1" si="601"/>
        <v>0</v>
      </c>
      <c r="GG146" s="29">
        <f t="shared" ca="1" si="602"/>
        <v>0</v>
      </c>
      <c r="GH146" s="150">
        <f t="shared" ca="1" si="603"/>
        <v>0</v>
      </c>
      <c r="GJ146" s="2221">
        <f t="shared" ca="1" si="604"/>
        <v>0</v>
      </c>
      <c r="GK146" s="29">
        <f t="shared" ca="1" si="605"/>
        <v>0</v>
      </c>
      <c r="GL146" s="29">
        <f t="shared" ca="1" si="606"/>
        <v>0</v>
      </c>
      <c r="GM146" s="29">
        <f t="shared" ca="1" si="607"/>
        <v>0</v>
      </c>
      <c r="GN146" s="29">
        <f t="shared" ca="1" si="608"/>
        <v>0</v>
      </c>
      <c r="GO146" s="29">
        <f t="shared" ca="1" si="609"/>
        <v>0</v>
      </c>
      <c r="GP146" s="192">
        <f t="shared" ca="1" si="610"/>
        <v>0</v>
      </c>
      <c r="GR146" s="2221"/>
      <c r="GS146" s="29"/>
      <c r="GT146" s="29"/>
      <c r="GU146" s="29"/>
      <c r="GV146" s="29"/>
      <c r="GW146" s="29"/>
      <c r="GX146" s="1102">
        <f t="shared" si="611"/>
        <v>0</v>
      </c>
      <c r="GZ146" s="575">
        <f t="shared" ca="1" si="528"/>
        <v>0</v>
      </c>
      <c r="HA146" s="5">
        <f t="shared" ca="1" si="529"/>
        <v>0</v>
      </c>
      <c r="HB146" s="5">
        <f t="shared" ca="1" si="530"/>
        <v>0</v>
      </c>
      <c r="HC146" s="5">
        <f t="shared" ca="1" si="531"/>
        <v>0</v>
      </c>
      <c r="HD146" s="5">
        <f t="shared" ca="1" si="532"/>
        <v>0</v>
      </c>
      <c r="HE146" s="5">
        <f t="shared" ca="1" si="533"/>
        <v>0</v>
      </c>
      <c r="HF146" s="2175">
        <f t="shared" ca="1" si="534"/>
        <v>0</v>
      </c>
      <c r="HG146" s="573">
        <f t="shared" ca="1" si="535"/>
        <v>0</v>
      </c>
      <c r="HH146" s="257"/>
    </row>
    <row r="147" spans="1:216" ht="15" hidden="1" customHeight="1" x14ac:dyDescent="0.25">
      <c r="A147" s="25"/>
      <c r="B147" s="3211"/>
      <c r="C147" s="123" t="str">
        <f>('DATA INPUT'!B64&amp;" "&amp;"-"&amp;" "&amp;'DATA INPUT'!H64)</f>
        <v xml:space="preserve"> - </v>
      </c>
      <c r="D147" s="29">
        <f ca="1">'Calc - OTHER PERS'!L193</f>
        <v>0</v>
      </c>
      <c r="E147" s="29">
        <f ca="1">'Calc - OTHER PERS'!L194</f>
        <v>0</v>
      </c>
      <c r="F147" s="29">
        <f ca="1">'Calc - OTHER PERS'!L195</f>
        <v>0</v>
      </c>
      <c r="G147" s="29">
        <f ca="1">'Calc - OTHER PERS'!L196</f>
        <v>0</v>
      </c>
      <c r="H147" s="29">
        <f ca="1">'Calc - OTHER PERS'!L197</f>
        <v>0</v>
      </c>
      <c r="I147" s="29">
        <f ca="1">'Calc - OTHER PERS'!L198</f>
        <v>0</v>
      </c>
      <c r="J147" s="88">
        <f t="shared" ca="1" si="557"/>
        <v>0</v>
      </c>
      <c r="K147" s="24"/>
      <c r="L147" s="8"/>
      <c r="M147" s="24"/>
      <c r="N147" s="2388">
        <f ca="1">IF(AND((OFFSET('DATA INPUT'!$C$51, ROW()-ROW($N$134),0)=$N$10),
 (OFFSET('DATA INPUT'!$V$51,ROW()-ROW($N$134),0)=3)),
OFFSET('Calc - OTHER PERS'!$S$11,COLUMN()-COLUMN($N$134) + (ROW()-ROW($N$134))*14,0),0)</f>
        <v>0</v>
      </c>
      <c r="O147" s="2387">
        <f ca="1">IF(AND((OFFSET('DATA INPUT'!$C$51, ROW()-ROW($N$134),0)=$N$10),
 (OFFSET('DATA INPUT'!$V$51,ROW()-ROW($N$134),0)=3)),
OFFSET('Calc - OTHER PERS'!$S$11,COLUMN()-COLUMN($N$134) + (ROW()-ROW($N$134))*14,0),0)</f>
        <v>0</v>
      </c>
      <c r="P147" s="2387">
        <f ca="1">IF(AND((OFFSET('DATA INPUT'!$C$51, ROW()-ROW($N$134),0)=$N$10),
 (OFFSET('DATA INPUT'!$V$51,ROW()-ROW($N$134),0)=3)),
OFFSET('Calc - OTHER PERS'!$S$11,COLUMN()-COLUMN($N$134) + (ROW()-ROW($N$134))*14,0),0)</f>
        <v>0</v>
      </c>
      <c r="Q147" s="2387">
        <f ca="1">IF(AND((OFFSET('DATA INPUT'!$C$51, ROW()-ROW($N$134),0)=$N$10),
 (OFFSET('DATA INPUT'!$V$51,ROW()-ROW($N$134),0)=3)),
OFFSET('Calc - OTHER PERS'!$S$11,COLUMN()-COLUMN($N$134) + (ROW()-ROW($N$134))*14,0),0)</f>
        <v>0</v>
      </c>
      <c r="R147" s="2387">
        <f ca="1">IF(AND((OFFSET('DATA INPUT'!$C$51, ROW()-ROW($N$134),0)=$N$10),
 (OFFSET('DATA INPUT'!$V$51,ROW()-ROW($N$134),0)=3)),
OFFSET('Calc - OTHER PERS'!$S$11,COLUMN()-COLUMN($N$134) + (ROW()-ROW($N$134))*14,0),0)</f>
        <v>0</v>
      </c>
      <c r="S147" s="2387">
        <f ca="1">IF(AND((OFFSET('DATA INPUT'!$C$51, ROW()-ROW($N$134),0)=$N$10),
 (OFFSET('DATA INPUT'!$V$51,ROW()-ROW($N$134),0)=3)),
OFFSET('Calc - OTHER PERS'!$S$11,COLUMN()-COLUMN($N$134) + (ROW()-ROW($N$134))*14,0),0)</f>
        <v>0</v>
      </c>
      <c r="T147" s="164">
        <f t="shared" ca="1" si="458"/>
        <v>0</v>
      </c>
      <c r="U147" s="1"/>
      <c r="V147" s="2221">
        <f ca="1">IF(AND((OFFSET('DATA INPUT'!$C$51, ROW()-ROW($V$134),0)=$V$10),
 (OFFSET('DATA INPUT'!$V$51,ROW()-ROW($V$134),0)=3)),
OFFSET('Calc - OTHER PERS'!$S$11,COLUMN()-COLUMN($V$134) + (ROW()-ROW($V$134))*14,0),0)</f>
        <v>0</v>
      </c>
      <c r="W147" s="29">
        <f ca="1">IF(AND((OFFSET('DATA INPUT'!$C$51, ROW()-ROW($V$134),0)=$V$10),
 (OFFSET('DATA INPUT'!$V$51,ROW()-ROW($V$134),0)=3)),
OFFSET('Calc - OTHER PERS'!$S$11,COLUMN()-COLUMN($V$134) + (ROW()-ROW($V$134))*14,0),0)</f>
        <v>0</v>
      </c>
      <c r="X147" s="29">
        <f ca="1">IF(AND((OFFSET('DATA INPUT'!$C$51, ROW()-ROW($V$134),0)=$V$10),
 (OFFSET('DATA INPUT'!$V$51,ROW()-ROW($V$134),0)=3)),
OFFSET('Calc - OTHER PERS'!$S$11,COLUMN()-COLUMN($V$134) + (ROW()-ROW($V$134))*14,0),0)</f>
        <v>0</v>
      </c>
      <c r="Y147" s="29">
        <f ca="1">IF(AND((OFFSET('DATA INPUT'!$C$51, ROW()-ROW($V$134),0)=$V$10),
 (OFFSET('DATA INPUT'!$V$51,ROW()-ROW($V$134),0)=3)),
OFFSET('Calc - OTHER PERS'!$S$11,COLUMN()-COLUMN($V$134) + (ROW()-ROW($V$134))*14,0),0)</f>
        <v>0</v>
      </c>
      <c r="Z147" s="29">
        <f ca="1">IF(AND((OFFSET('DATA INPUT'!$C$51, ROW()-ROW($V$134),0)=$V$10),
 (OFFSET('DATA INPUT'!$V$51,ROW()-ROW($V$134),0)=3)),
OFFSET('Calc - OTHER PERS'!$S$11,COLUMN()-COLUMN($V$134) + (ROW()-ROW($V$134))*14,0),0)</f>
        <v>0</v>
      </c>
      <c r="AA147" s="29">
        <f ca="1">IF(AND((OFFSET('DATA INPUT'!$C$51, ROW()-ROW($V$134),0)=$V$10),
 (OFFSET('DATA INPUT'!$V$51,ROW()-ROW($V$134),0)=3)),
OFFSET('Calc - OTHER PERS'!$S$11,COLUMN()-COLUMN($V$134) + (ROW()-ROW($V$134))*14,0),0)</f>
        <v>0</v>
      </c>
      <c r="AB147" s="138">
        <f t="shared" ca="1" si="459"/>
        <v>0</v>
      </c>
      <c r="AD147" s="2221">
        <f ca="1">IF(AND((OFFSET('DATA INPUT'!$C$51, ROW()-ROW($AD$134),0)=$AD$10),
 (OFFSET('DATA INPUT'!$V$51,ROW()-ROW($AD$134),0)=3)),
OFFSET('Calc - OTHER PERS'!$S$11,COLUMN()-COLUMN($AD$134) + (ROW()-ROW($AD$134))*14,0),0)</f>
        <v>0</v>
      </c>
      <c r="AE147" s="29">
        <f ca="1">IF(AND((OFFSET('DATA INPUT'!$C$51, ROW()-ROW($AD$134),0)=$AD$10),
 (OFFSET('DATA INPUT'!$V$51,ROW()-ROW($AD$134),0)=3)),
OFFSET('Calc - OTHER PERS'!$S$11,COLUMN()-COLUMN($AD$134) + (ROW()-ROW($AD$134))*14,0),0)</f>
        <v>0</v>
      </c>
      <c r="AF147" s="29">
        <f ca="1">IF(AND((OFFSET('DATA INPUT'!$C$51, ROW()-ROW($AD$134),0)=$AD$10),
 (OFFSET('DATA INPUT'!$V$51,ROW()-ROW($AD$134),0)=3)),
OFFSET('Calc - OTHER PERS'!$S$11,COLUMN()-COLUMN($AD$134) + (ROW()-ROW($AD$134))*14,0),0)</f>
        <v>0</v>
      </c>
      <c r="AG147" s="29">
        <f ca="1">IF(AND((OFFSET('DATA INPUT'!$C$51, ROW()-ROW($AD$134),0)=$AD$10),
 (OFFSET('DATA INPUT'!$V$51,ROW()-ROW($AD$134),0)=3)),
OFFSET('Calc - OTHER PERS'!$S$11,COLUMN()-COLUMN($AD$134) + (ROW()-ROW($AD$134))*14,0),0)</f>
        <v>0</v>
      </c>
      <c r="AH147" s="29">
        <f ca="1">IF(AND((OFFSET('DATA INPUT'!$C$51, ROW()-ROW($AD$134),0)=$AD$10),
 (OFFSET('DATA INPUT'!$V$51,ROW()-ROW($AD$134),0)=3)),
OFFSET('Calc - OTHER PERS'!$S$11,COLUMN()-COLUMN($AD$134) + (ROW()-ROW($AD$134))*14,0),0)</f>
        <v>0</v>
      </c>
      <c r="AI147" s="29">
        <f ca="1">IF(AND((OFFSET('DATA INPUT'!$C$51, ROW()-ROW($AD$134),0)=$AD$10),
 (OFFSET('DATA INPUT'!$V$51,ROW()-ROW($AD$134),0)=3)),
OFFSET('Calc - OTHER PERS'!$S$11,COLUMN()-COLUMN($AD$134) + (ROW()-ROW($AD$134))*14,0),0)</f>
        <v>0</v>
      </c>
      <c r="AJ147" s="206">
        <f t="shared" ca="1" si="558"/>
        <v>0</v>
      </c>
      <c r="AL147" s="2221">
        <f ca="1">IF(AND((OFFSET('DATA INPUT'!$C$51, ROW()-ROW($AL$134),0)=$AL$10),
 (OFFSET('DATA INPUT'!$V$51,ROW()-ROW($AL$134),0)=3)),
OFFSET('Calc - OTHER PERS'!$S$11,COLUMN()-COLUMN($AL$134) + (ROW()-ROW($AL$134))*14,0),0)</f>
        <v>0</v>
      </c>
      <c r="AM147" s="29">
        <f ca="1">IF(AND((OFFSET('DATA INPUT'!$C$51, ROW()-ROW($AL$134),0)=$AL$10),
 (OFFSET('DATA INPUT'!$V$51,ROW()-ROW($AL$134),0)=3)),
OFFSET('Calc - OTHER PERS'!$S$11,COLUMN()-COLUMN($AL$134) + (ROW()-ROW($AL$134))*14,0),0)</f>
        <v>0</v>
      </c>
      <c r="AN147" s="29">
        <f ca="1">IF(AND((OFFSET('DATA INPUT'!$C$51, ROW()-ROW($AL$134),0)=$AL$10),
 (OFFSET('DATA INPUT'!$V$51,ROW()-ROW($AL$134),0)=3)),
OFFSET('Calc - OTHER PERS'!$S$11,COLUMN()-COLUMN($AL$134) + (ROW()-ROW($AL$134))*14,0),0)</f>
        <v>0</v>
      </c>
      <c r="AO147" s="29">
        <f ca="1">IF(AND((OFFSET('DATA INPUT'!$C$51, ROW()-ROW($AL$134),0)=$AL$10),
 (OFFSET('DATA INPUT'!$V$51,ROW()-ROW($AL$134),0)=3)),
OFFSET('Calc - OTHER PERS'!$S$11,COLUMN()-COLUMN($AL$134) + (ROW()-ROW($AL$134))*14,0),0)</f>
        <v>0</v>
      </c>
      <c r="AP147" s="29">
        <f ca="1">IF(AND((OFFSET('DATA INPUT'!$C$51, ROW()-ROW($AL$134),0)=$AL$10),
 (OFFSET('DATA INPUT'!$V$51,ROW()-ROW($AL$134),0)=3)),
OFFSET('Calc - OTHER PERS'!$S$11,COLUMN()-COLUMN($AL$134) + (ROW()-ROW($AL$134))*14,0),0)</f>
        <v>0</v>
      </c>
      <c r="AQ147" s="29">
        <f ca="1">IF(AND((OFFSET('DATA INPUT'!$C$51, ROW()-ROW($AL$134),0)=$AL$10),
 (OFFSET('DATA INPUT'!$V$51,ROW()-ROW($AL$134),0)=3)),
OFFSET('Calc - OTHER PERS'!$S$11,COLUMN()-COLUMN($AL$134) + (ROW()-ROW($AL$134))*14,0),0)</f>
        <v>0</v>
      </c>
      <c r="AR147" s="178">
        <f t="shared" ca="1" si="559"/>
        <v>0</v>
      </c>
      <c r="AT147" s="2221">
        <f ca="1">IF(AND((OFFSET('DATA INPUT'!$C$51, ROW()-ROW($AT$134),0)=$AT$10),
 (OFFSET('DATA INPUT'!$V$51,ROW()-ROW($AT$134),0)=3)),
OFFSET('Calc - OTHER PERS'!$S$11,COLUMN()-COLUMN($AT$134) + (ROW()-ROW($AT$134))*14,0),0)</f>
        <v>0</v>
      </c>
      <c r="AU147" s="29">
        <f ca="1">IF(AND((OFFSET('DATA INPUT'!$C$51, ROW()-ROW($AT$134),0)=$AT$10),
 (OFFSET('DATA INPUT'!$V$51,ROW()-ROW($AT$134),0)=3)),
OFFSET('Calc - OTHER PERS'!$S$11,COLUMN()-COLUMN($AT$134) + (ROW()-ROW($AT$134))*14,0),0)</f>
        <v>0</v>
      </c>
      <c r="AV147" s="29">
        <f ca="1">IF(AND((OFFSET('DATA INPUT'!$C$51, ROW()-ROW($AT$134),0)=$AT$10),
 (OFFSET('DATA INPUT'!$V$51,ROW()-ROW($AT$134),0)=3)),
OFFSET('Calc - OTHER PERS'!$S$11,COLUMN()-COLUMN($AT$134) + (ROW()-ROW($AT$134))*14,0),0)</f>
        <v>0</v>
      </c>
      <c r="AW147" s="29">
        <f ca="1">IF(AND((OFFSET('DATA INPUT'!$C$51, ROW()-ROW($AT$134),0)=$AT$10),
 (OFFSET('DATA INPUT'!$V$51,ROW()-ROW($AT$134),0)=3)),
OFFSET('Calc - OTHER PERS'!$S$11,COLUMN()-COLUMN($AT$134) + (ROW()-ROW($AT$134))*14,0),0)</f>
        <v>0</v>
      </c>
      <c r="AX147" s="29">
        <f ca="1">IF(AND((OFFSET('DATA INPUT'!$C$51, ROW()-ROW($AT$134),0)=$AT$10),
 (OFFSET('DATA INPUT'!$V$51,ROW()-ROW($AT$134),0)=3)),
OFFSET('Calc - OTHER PERS'!$S$11,COLUMN()-COLUMN($AT$134) + (ROW()-ROW($AT$134))*14,0),0)</f>
        <v>0</v>
      </c>
      <c r="AY147" s="29">
        <f ca="1">IF(AND((OFFSET('DATA INPUT'!$C$51, ROW()-ROW($AT$134),0)=$AT$10),
 (OFFSET('DATA INPUT'!$V$51,ROW()-ROW($AT$134),0)=3)),
OFFSET('Calc - OTHER PERS'!$S$11,COLUMN()-COLUMN($AT$134) + (ROW()-ROW($AT$134))*14,0),0)</f>
        <v>0</v>
      </c>
      <c r="AZ147" s="150">
        <f t="shared" ca="1" si="560"/>
        <v>0</v>
      </c>
      <c r="BB147" s="2221">
        <f ca="1">IF(AND((OFFSET('DATA INPUT'!$C$51, ROW()-ROW($BB$134),0)=$BB$10),
 (OFFSET('DATA INPUT'!$V$51,ROW()-ROW($BB$134),0)=3)),
OFFSET('Calc - OTHER PERS'!$S$11,COLUMN()-COLUMN($BB$134) + (ROW()-ROW($BB$134))*14,0),0)</f>
        <v>0</v>
      </c>
      <c r="BC147" s="29">
        <f ca="1">IF(AND((OFFSET('DATA INPUT'!$C$51, ROW()-ROW($BB$134),0)=$BB$10),
 (OFFSET('DATA INPUT'!$V$51,ROW()-ROW($BB$134),0)=3)),
OFFSET('Calc - OTHER PERS'!$S$11,COLUMN()-COLUMN($BB$134) + (ROW()-ROW($BB$134))*14,0),0)</f>
        <v>0</v>
      </c>
      <c r="BD147" s="29">
        <f ca="1">IF(AND((OFFSET('DATA INPUT'!$C$51, ROW()-ROW($BB$134),0)=$BB$10),
 (OFFSET('DATA INPUT'!$V$51,ROW()-ROW($BB$134),0)=3)),
OFFSET('Calc - OTHER PERS'!$S$11,COLUMN()-COLUMN($BB$134) + (ROW()-ROW($BB$134))*14,0),0)</f>
        <v>0</v>
      </c>
      <c r="BE147" s="29">
        <f ca="1">IF(AND((OFFSET('DATA INPUT'!$C$51, ROW()-ROW($BB$134),0)=$BB$10),
 (OFFSET('DATA INPUT'!$V$51,ROW()-ROW($BB$134),0)=3)),
OFFSET('Calc - OTHER PERS'!$S$11,COLUMN()-COLUMN($BB$134) + (ROW()-ROW($BB$134))*14,0),0)</f>
        <v>0</v>
      </c>
      <c r="BF147" s="29">
        <f ca="1">IF(AND((OFFSET('DATA INPUT'!$C$51, ROW()-ROW($BB$134),0)=$BB$10),
 (OFFSET('DATA INPUT'!$V$51,ROW()-ROW($BB$134),0)=3)),
OFFSET('Calc - OTHER PERS'!$S$11,COLUMN()-COLUMN($BB$134) + (ROW()-ROW($BB$134))*14,0),0)</f>
        <v>0</v>
      </c>
      <c r="BG147" s="29">
        <f ca="1">IF(AND((OFFSET('DATA INPUT'!$C$51, ROW()-ROW($BB$134),0)=$BB$10),
 (OFFSET('DATA INPUT'!$V$51,ROW()-ROW($BB$134),0)=3)),
OFFSET('Calc - OTHER PERS'!$S$11,COLUMN()-COLUMN($BB$134) + (ROW()-ROW($BB$134))*14,0),0)</f>
        <v>0</v>
      </c>
      <c r="BH147" s="192">
        <f t="shared" ca="1" si="561"/>
        <v>0</v>
      </c>
      <c r="BJ147" s="2221"/>
      <c r="BK147" s="29"/>
      <c r="BL147" s="29"/>
      <c r="BM147" s="29"/>
      <c r="BN147" s="29"/>
      <c r="BO147" s="29"/>
      <c r="BP147" s="1102">
        <f t="shared" si="562"/>
        <v>0</v>
      </c>
      <c r="BR147" s="575">
        <f t="shared" ca="1" si="465"/>
        <v>0</v>
      </c>
      <c r="BS147" s="5">
        <f t="shared" ca="1" si="466"/>
        <v>0</v>
      </c>
      <c r="BT147" s="5">
        <f t="shared" ca="1" si="467"/>
        <v>0</v>
      </c>
      <c r="BU147" s="5">
        <f t="shared" ca="1" si="468"/>
        <v>0</v>
      </c>
      <c r="BV147" s="5">
        <f t="shared" ca="1" si="469"/>
        <v>0</v>
      </c>
      <c r="BW147" s="5">
        <f t="shared" ca="1" si="470"/>
        <v>0</v>
      </c>
      <c r="BX147" s="2175">
        <f t="shared" ca="1" si="471"/>
        <v>0</v>
      </c>
      <c r="BY147" s="573">
        <f t="shared" ca="1" si="472"/>
        <v>0</v>
      </c>
      <c r="BZ147" s="257"/>
      <c r="CB147" s="1267"/>
      <c r="CC147" s="1268"/>
      <c r="CD147" s="1269"/>
      <c r="CE147" s="1269"/>
      <c r="CF147" s="1269"/>
      <c r="CG147" s="1270"/>
      <c r="CH147" s="1271"/>
      <c r="CI147" s="1272"/>
      <c r="CJ147" s="1272"/>
      <c r="CK147" s="1272"/>
      <c r="CL147" s="1273"/>
      <c r="CM147" s="1274"/>
      <c r="CN147" s="1275"/>
      <c r="CO147" s="1276"/>
      <c r="CP147" s="1234"/>
      <c r="CS147" s="575"/>
      <c r="CT147" s="5"/>
      <c r="CU147" s="1180"/>
      <c r="CV147" s="575"/>
      <c r="CW147" s="5"/>
      <c r="CX147" s="1249"/>
      <c r="CY147" s="575"/>
      <c r="CZ147" s="5"/>
      <c r="DA147" s="1180"/>
      <c r="DB147" s="575"/>
      <c r="DC147" s="5"/>
      <c r="DD147" s="1180"/>
      <c r="DE147" s="1181"/>
      <c r="DG147" s="575"/>
      <c r="DH147" s="5"/>
      <c r="DI147" s="1180"/>
      <c r="DJ147" s="575"/>
      <c r="DK147" s="5"/>
      <c r="DL147" s="1249"/>
      <c r="DM147" s="575"/>
      <c r="DN147" s="5"/>
      <c r="DO147" s="1180"/>
      <c r="DP147" s="575"/>
      <c r="DQ147" s="5"/>
      <c r="DR147" s="1180"/>
      <c r="DS147" s="1181"/>
      <c r="DU147" s="575"/>
      <c r="DV147" s="5"/>
      <c r="DW147" s="1180"/>
      <c r="DX147" s="575"/>
      <c r="DY147" s="5"/>
      <c r="DZ147" s="1249"/>
      <c r="EA147" s="575"/>
      <c r="EB147" s="5"/>
      <c r="EC147" s="1180"/>
      <c r="ED147" s="575"/>
      <c r="EE147" s="5"/>
      <c r="EF147" s="1180"/>
      <c r="EG147" s="1181"/>
      <c r="EI147" s="25"/>
      <c r="EJ147" s="3211"/>
      <c r="EK147" s="123" t="str">
        <f t="shared" si="563"/>
        <v xml:space="preserve"> - </v>
      </c>
      <c r="EL147" s="5">
        <f t="shared" ca="1" si="564"/>
        <v>0</v>
      </c>
      <c r="EM147" s="5">
        <f t="shared" ca="1" si="565"/>
        <v>0</v>
      </c>
      <c r="EN147" s="5">
        <f t="shared" ca="1" si="566"/>
        <v>0</v>
      </c>
      <c r="EO147" s="5">
        <f t="shared" ca="1" si="567"/>
        <v>0</v>
      </c>
      <c r="EP147" s="5">
        <f t="shared" ca="1" si="568"/>
        <v>0</v>
      </c>
      <c r="EQ147" s="5">
        <f t="shared" ca="1" si="569"/>
        <v>0</v>
      </c>
      <c r="ER147" s="88">
        <f t="shared" ca="1" si="570"/>
        <v>0</v>
      </c>
      <c r="ES147" s="24"/>
      <c r="ET147" s="8"/>
      <c r="EU147" s="24"/>
      <c r="EV147" s="575">
        <f t="shared" ca="1" si="571"/>
        <v>0</v>
      </c>
      <c r="EW147" s="5">
        <f t="shared" ca="1" si="572"/>
        <v>0</v>
      </c>
      <c r="EX147" s="5">
        <f t="shared" ca="1" si="573"/>
        <v>0</v>
      </c>
      <c r="EY147" s="5">
        <f t="shared" ca="1" si="574"/>
        <v>0</v>
      </c>
      <c r="EZ147" s="5">
        <f t="shared" ca="1" si="575"/>
        <v>0</v>
      </c>
      <c r="FA147" s="5">
        <f t="shared" ca="1" si="576"/>
        <v>0</v>
      </c>
      <c r="FB147" s="164">
        <f t="shared" ca="1" si="491"/>
        <v>0</v>
      </c>
      <c r="FC147" s="1"/>
      <c r="FD147" s="2221">
        <f t="shared" ca="1" si="577"/>
        <v>0</v>
      </c>
      <c r="FE147" s="29">
        <f t="shared" ca="1" si="578"/>
        <v>0</v>
      </c>
      <c r="FF147" s="29">
        <f t="shared" ca="1" si="579"/>
        <v>0</v>
      </c>
      <c r="FG147" s="29">
        <f t="shared" ca="1" si="580"/>
        <v>0</v>
      </c>
      <c r="FH147" s="29">
        <f t="shared" ca="1" si="581"/>
        <v>0</v>
      </c>
      <c r="FI147" s="29">
        <f t="shared" ca="1" si="582"/>
        <v>0</v>
      </c>
      <c r="FJ147" s="138">
        <f t="shared" ca="1" si="498"/>
        <v>0</v>
      </c>
      <c r="FL147" s="2221">
        <f t="shared" ca="1" si="583"/>
        <v>0</v>
      </c>
      <c r="FM147" s="29">
        <f t="shared" ca="1" si="584"/>
        <v>0</v>
      </c>
      <c r="FN147" s="29">
        <f t="shared" ca="1" si="585"/>
        <v>0</v>
      </c>
      <c r="FO147" s="29">
        <f t="shared" ca="1" si="586"/>
        <v>0</v>
      </c>
      <c r="FP147" s="29">
        <f t="shared" ca="1" si="587"/>
        <v>0</v>
      </c>
      <c r="FQ147" s="29">
        <f t="shared" ca="1" si="588"/>
        <v>0</v>
      </c>
      <c r="FR147" s="206">
        <f t="shared" ca="1" si="589"/>
        <v>0</v>
      </c>
      <c r="FT147" s="2221">
        <f t="shared" ca="1" si="590"/>
        <v>0</v>
      </c>
      <c r="FU147" s="29">
        <f t="shared" ca="1" si="591"/>
        <v>0</v>
      </c>
      <c r="FV147" s="29">
        <f t="shared" ca="1" si="592"/>
        <v>0</v>
      </c>
      <c r="FW147" s="29">
        <f t="shared" ca="1" si="593"/>
        <v>0</v>
      </c>
      <c r="FX147" s="29">
        <f t="shared" ca="1" si="594"/>
        <v>0</v>
      </c>
      <c r="FY147" s="29">
        <f t="shared" ca="1" si="595"/>
        <v>0</v>
      </c>
      <c r="FZ147" s="178">
        <f t="shared" ca="1" si="596"/>
        <v>0</v>
      </c>
      <c r="GB147" s="2221">
        <f t="shared" ca="1" si="597"/>
        <v>0</v>
      </c>
      <c r="GC147" s="29">
        <f t="shared" ca="1" si="598"/>
        <v>0</v>
      </c>
      <c r="GD147" s="29">
        <f t="shared" ca="1" si="599"/>
        <v>0</v>
      </c>
      <c r="GE147" s="29">
        <f t="shared" ca="1" si="600"/>
        <v>0</v>
      </c>
      <c r="GF147" s="29">
        <f t="shared" ca="1" si="601"/>
        <v>0</v>
      </c>
      <c r="GG147" s="29">
        <f t="shared" ca="1" si="602"/>
        <v>0</v>
      </c>
      <c r="GH147" s="150">
        <f t="shared" ca="1" si="603"/>
        <v>0</v>
      </c>
      <c r="GJ147" s="2221">
        <f t="shared" ca="1" si="604"/>
        <v>0</v>
      </c>
      <c r="GK147" s="29">
        <f t="shared" ca="1" si="605"/>
        <v>0</v>
      </c>
      <c r="GL147" s="29">
        <f t="shared" ca="1" si="606"/>
        <v>0</v>
      </c>
      <c r="GM147" s="29">
        <f t="shared" ca="1" si="607"/>
        <v>0</v>
      </c>
      <c r="GN147" s="29">
        <f t="shared" ca="1" si="608"/>
        <v>0</v>
      </c>
      <c r="GO147" s="29">
        <f t="shared" ca="1" si="609"/>
        <v>0</v>
      </c>
      <c r="GP147" s="192">
        <f t="shared" ca="1" si="610"/>
        <v>0</v>
      </c>
      <c r="GR147" s="2221"/>
      <c r="GS147" s="29"/>
      <c r="GT147" s="29"/>
      <c r="GU147" s="29"/>
      <c r="GV147" s="29"/>
      <c r="GW147" s="29"/>
      <c r="GX147" s="1102">
        <f t="shared" si="611"/>
        <v>0</v>
      </c>
      <c r="GZ147" s="575">
        <f t="shared" ca="1" si="528"/>
        <v>0</v>
      </c>
      <c r="HA147" s="5">
        <f t="shared" ca="1" si="529"/>
        <v>0</v>
      </c>
      <c r="HB147" s="5">
        <f t="shared" ca="1" si="530"/>
        <v>0</v>
      </c>
      <c r="HC147" s="5">
        <f t="shared" ca="1" si="531"/>
        <v>0</v>
      </c>
      <c r="HD147" s="5">
        <f t="shared" ca="1" si="532"/>
        <v>0</v>
      </c>
      <c r="HE147" s="5">
        <f t="shared" ca="1" si="533"/>
        <v>0</v>
      </c>
      <c r="HF147" s="2175">
        <f t="shared" ca="1" si="534"/>
        <v>0</v>
      </c>
      <c r="HG147" s="573">
        <f t="shared" ca="1" si="535"/>
        <v>0</v>
      </c>
      <c r="HH147" s="257"/>
    </row>
    <row r="148" spans="1:216" ht="15" hidden="1" customHeight="1" thickBot="1" x14ac:dyDescent="0.3">
      <c r="A148" s="22"/>
      <c r="B148" s="3211"/>
      <c r="C148" s="424" t="str">
        <f>('DATA INPUT'!B65&amp;" "&amp;"-"&amp;" "&amp;'DATA INPUT'!H65)</f>
        <v xml:space="preserve"> - </v>
      </c>
      <c r="D148" s="29">
        <f ca="1">'Calc - OTHER PERS'!L207</f>
        <v>0</v>
      </c>
      <c r="E148" s="29">
        <f ca="1">'Calc - OTHER PERS'!L208</f>
        <v>0</v>
      </c>
      <c r="F148" s="29">
        <f ca="1">'Calc - OTHER PERS'!L209</f>
        <v>0</v>
      </c>
      <c r="G148" s="29">
        <f ca="1">'Calc - OTHER PERS'!L210</f>
        <v>0</v>
      </c>
      <c r="H148" s="29">
        <f ca="1">'Calc - OTHER PERS'!L211</f>
        <v>0</v>
      </c>
      <c r="I148" s="29">
        <f ca="1">'Calc - OTHER PERS'!L212</f>
        <v>0</v>
      </c>
      <c r="J148" s="88">
        <f t="shared" ca="1" si="557"/>
        <v>0</v>
      </c>
      <c r="K148" s="8"/>
      <c r="L148" s="8"/>
      <c r="M148" s="8"/>
      <c r="N148" s="1034">
        <f ca="1">IF(AND((OFFSET('DATA INPUT'!$C$51, ROW()-ROW($N$134),0)=$N$10),
 (OFFSET('DATA INPUT'!$V$51,ROW()-ROW($N$134),0)=3)),
OFFSET('Calc - OTHER PERS'!$S$11,COLUMN()-COLUMN($N$134) + (ROW()-ROW($N$134))*14,0),0)</f>
        <v>0</v>
      </c>
      <c r="O148" s="321">
        <f ca="1">IF(AND((OFFSET('DATA INPUT'!$C$51, ROW()-ROW($N$134),0)=$N$10),
 (OFFSET('DATA INPUT'!$V$51,ROW()-ROW($N$134),0)=3)),
OFFSET('Calc - OTHER PERS'!$S$11,COLUMN()-COLUMN($N$134) + (ROW()-ROW($N$134))*14,0),0)</f>
        <v>0</v>
      </c>
      <c r="P148" s="321">
        <f ca="1">IF(AND((OFFSET('DATA INPUT'!$C$51, ROW()-ROW($N$134),0)=$N$10),
 (OFFSET('DATA INPUT'!$V$51,ROW()-ROW($N$134),0)=3)),
OFFSET('Calc - OTHER PERS'!$S$11,COLUMN()-COLUMN($N$134) + (ROW()-ROW($N$134))*14,0),0)</f>
        <v>0</v>
      </c>
      <c r="Q148" s="321">
        <f ca="1">IF(AND((OFFSET('DATA INPUT'!$C$51, ROW()-ROW($N$134),0)=$N$10),
 (OFFSET('DATA INPUT'!$V$51,ROW()-ROW($N$134),0)=3)),
OFFSET('Calc - OTHER PERS'!$S$11,COLUMN()-COLUMN($N$134) + (ROW()-ROW($N$134))*14,0),0)</f>
        <v>0</v>
      </c>
      <c r="R148" s="321">
        <f ca="1">IF(AND((OFFSET('DATA INPUT'!$C$51, ROW()-ROW($N$134),0)=$N$10),
 (OFFSET('DATA INPUT'!$V$51,ROW()-ROW($N$134),0)=3)),
OFFSET('Calc - OTHER PERS'!$S$11,COLUMN()-COLUMN($N$134) + (ROW()-ROW($N$134))*14,0),0)</f>
        <v>0</v>
      </c>
      <c r="S148" s="321">
        <f ca="1">IF(AND((OFFSET('DATA INPUT'!$C$51, ROW()-ROW($N$134),0)=$N$10),
 (OFFSET('DATA INPUT'!$V$51,ROW()-ROW($N$134),0)=3)),
OFFSET('Calc - OTHER PERS'!$S$11,COLUMN()-COLUMN($N$134) + (ROW()-ROW($N$134))*14,0),0)</f>
        <v>0</v>
      </c>
      <c r="T148" s="164">
        <f t="shared" ca="1" si="458"/>
        <v>0</v>
      </c>
      <c r="U148" s="1"/>
      <c r="V148" s="575">
        <f ca="1">IF(AND((OFFSET('DATA INPUT'!$C$51, ROW()-ROW($V$134),0)=$V$10),
 (OFFSET('DATA INPUT'!$V$51,ROW()-ROW($V$134),0)=3)),
OFFSET('Calc - OTHER PERS'!$S$11,COLUMN()-COLUMN($V$134) + (ROW()-ROW($V$134))*14,0),0)</f>
        <v>0</v>
      </c>
      <c r="W148" s="5">
        <f ca="1">IF(AND((OFFSET('DATA INPUT'!$C$51, ROW()-ROW($V$134),0)=$V$10),
 (OFFSET('DATA INPUT'!$V$51,ROW()-ROW($V$134),0)=3)),
OFFSET('Calc - OTHER PERS'!$S$11,COLUMN()-COLUMN($V$134) + (ROW()-ROW($V$134))*14,0),0)</f>
        <v>0</v>
      </c>
      <c r="X148" s="5">
        <f ca="1">IF(AND((OFFSET('DATA INPUT'!$C$51, ROW()-ROW($V$134),0)=$V$10),
 (OFFSET('DATA INPUT'!$V$51,ROW()-ROW($V$134),0)=3)),
OFFSET('Calc - OTHER PERS'!$S$11,COLUMN()-COLUMN($V$134) + (ROW()-ROW($V$134))*14,0),0)</f>
        <v>0</v>
      </c>
      <c r="Y148" s="5">
        <f ca="1">IF(AND((OFFSET('DATA INPUT'!$C$51, ROW()-ROW($V$134),0)=$V$10),
 (OFFSET('DATA INPUT'!$V$51,ROW()-ROW($V$134),0)=3)),
OFFSET('Calc - OTHER PERS'!$S$11,COLUMN()-COLUMN($V$134) + (ROW()-ROW($V$134))*14,0),0)</f>
        <v>0</v>
      </c>
      <c r="Z148" s="5">
        <f ca="1">IF(AND((OFFSET('DATA INPUT'!$C$51, ROW()-ROW($V$134),0)=$V$10),
 (OFFSET('DATA INPUT'!$V$51,ROW()-ROW($V$134),0)=3)),
OFFSET('Calc - OTHER PERS'!$S$11,COLUMN()-COLUMN($V$134) + (ROW()-ROW($V$134))*14,0),0)</f>
        <v>0</v>
      </c>
      <c r="AA148" s="5">
        <f ca="1">IF(AND((OFFSET('DATA INPUT'!$C$51, ROW()-ROW($V$134),0)=$V$10),
 (OFFSET('DATA INPUT'!$V$51,ROW()-ROW($V$134),0)=3)),
OFFSET('Calc - OTHER PERS'!$S$11,COLUMN()-COLUMN($V$134) + (ROW()-ROW($V$134))*14,0),0)</f>
        <v>0</v>
      </c>
      <c r="AB148" s="138">
        <f t="shared" ca="1" si="459"/>
        <v>0</v>
      </c>
      <c r="AD148" s="575">
        <f ca="1">IF(AND((OFFSET('DATA INPUT'!$C$51, ROW()-ROW($AD$134),0)=$AD$10),
 (OFFSET('DATA INPUT'!$V$51,ROW()-ROW($AD$134),0)=3)),
OFFSET('Calc - OTHER PERS'!$S$11,COLUMN()-COLUMN($AD$134) + (ROW()-ROW($AD$134))*14,0),0)</f>
        <v>0</v>
      </c>
      <c r="AE148" s="5">
        <f ca="1">IF(AND((OFFSET('DATA INPUT'!$C$51, ROW()-ROW($AD$134),0)=$AD$10),
 (OFFSET('DATA INPUT'!$V$51,ROW()-ROW($AD$134),0)=3)),
OFFSET('Calc - OTHER PERS'!$S$11,COLUMN()-COLUMN($AD$134) + (ROW()-ROW($AD$134))*14,0),0)</f>
        <v>0</v>
      </c>
      <c r="AF148" s="5">
        <f ca="1">IF(AND((OFFSET('DATA INPUT'!$C$51, ROW()-ROW($AD$134),0)=$AD$10),
 (OFFSET('DATA INPUT'!$V$51,ROW()-ROW($AD$134),0)=3)),
OFFSET('Calc - OTHER PERS'!$S$11,COLUMN()-COLUMN($AD$134) + (ROW()-ROW($AD$134))*14,0),0)</f>
        <v>0</v>
      </c>
      <c r="AG148" s="5">
        <f ca="1">IF(AND((OFFSET('DATA INPUT'!$C$51, ROW()-ROW($AD$134),0)=$AD$10),
 (OFFSET('DATA INPUT'!$V$51,ROW()-ROW($AD$134),0)=3)),
OFFSET('Calc - OTHER PERS'!$S$11,COLUMN()-COLUMN($AD$134) + (ROW()-ROW($AD$134))*14,0),0)</f>
        <v>0</v>
      </c>
      <c r="AH148" s="5">
        <f ca="1">IF(AND((OFFSET('DATA INPUT'!$C$51, ROW()-ROW($AD$134),0)=$AD$10),
 (OFFSET('DATA INPUT'!$V$51,ROW()-ROW($AD$134),0)=3)),
OFFSET('Calc - OTHER PERS'!$S$11,COLUMN()-COLUMN($AD$134) + (ROW()-ROW($AD$134))*14,0),0)</f>
        <v>0</v>
      </c>
      <c r="AI148" s="5">
        <f ca="1">IF(AND((OFFSET('DATA INPUT'!$C$51, ROW()-ROW($AD$134),0)=$AD$10),
 (OFFSET('DATA INPUT'!$V$51,ROW()-ROW($AD$134),0)=3)),
OFFSET('Calc - OTHER PERS'!$S$11,COLUMN()-COLUMN($AD$134) + (ROW()-ROW($AD$134))*14,0),0)</f>
        <v>0</v>
      </c>
      <c r="AJ148" s="206">
        <f t="shared" ca="1" si="558"/>
        <v>0</v>
      </c>
      <c r="AL148" s="575">
        <f ca="1">IF(AND((OFFSET('DATA INPUT'!$C$51, ROW()-ROW($AL$134),0)=$AL$10),
 (OFFSET('DATA INPUT'!$V$51,ROW()-ROW($AL$134),0)=3)),
OFFSET('Calc - OTHER PERS'!$S$11,COLUMN()-COLUMN($AL$134) + (ROW()-ROW($AL$134))*14,0),0)</f>
        <v>0</v>
      </c>
      <c r="AM148" s="5">
        <f ca="1">IF(AND((OFFSET('DATA INPUT'!$C$51, ROW()-ROW($AL$134),0)=$AL$10),
 (OFFSET('DATA INPUT'!$V$51,ROW()-ROW($AL$134),0)=3)),
OFFSET('Calc - OTHER PERS'!$S$11,COLUMN()-COLUMN($AL$134) + (ROW()-ROW($AL$134))*14,0),0)</f>
        <v>0</v>
      </c>
      <c r="AN148" s="5">
        <f ca="1">IF(AND((OFFSET('DATA INPUT'!$C$51, ROW()-ROW($AL$134),0)=$AL$10),
 (OFFSET('DATA INPUT'!$V$51,ROW()-ROW($AL$134),0)=3)),
OFFSET('Calc - OTHER PERS'!$S$11,COLUMN()-COLUMN($AL$134) + (ROW()-ROW($AL$134))*14,0),0)</f>
        <v>0</v>
      </c>
      <c r="AO148" s="5">
        <f ca="1">IF(AND((OFFSET('DATA INPUT'!$C$51, ROW()-ROW($AL$134),0)=$AL$10),
 (OFFSET('DATA INPUT'!$V$51,ROW()-ROW($AL$134),0)=3)),
OFFSET('Calc - OTHER PERS'!$S$11,COLUMN()-COLUMN($AL$134) + (ROW()-ROW($AL$134))*14,0),0)</f>
        <v>0</v>
      </c>
      <c r="AP148" s="5">
        <f ca="1">IF(AND((OFFSET('DATA INPUT'!$C$51, ROW()-ROW($AL$134),0)=$AL$10),
 (OFFSET('DATA INPUT'!$V$51,ROW()-ROW($AL$134),0)=3)),
OFFSET('Calc - OTHER PERS'!$S$11,COLUMN()-COLUMN($AL$134) + (ROW()-ROW($AL$134))*14,0),0)</f>
        <v>0</v>
      </c>
      <c r="AQ148" s="5">
        <f ca="1">IF(AND((OFFSET('DATA INPUT'!$C$51, ROW()-ROW($AL$134),0)=$AL$10),
 (OFFSET('DATA INPUT'!$V$51,ROW()-ROW($AL$134),0)=3)),
OFFSET('Calc - OTHER PERS'!$S$11,COLUMN()-COLUMN($AL$134) + (ROW()-ROW($AL$134))*14,0),0)</f>
        <v>0</v>
      </c>
      <c r="AR148" s="178">
        <f t="shared" ca="1" si="559"/>
        <v>0</v>
      </c>
      <c r="AT148" s="575">
        <f ca="1">IF(AND((OFFSET('DATA INPUT'!$C$51, ROW()-ROW($AT$134),0)=$AT$10),
 (OFFSET('DATA INPUT'!$V$51,ROW()-ROW($AT$134),0)=3)),
OFFSET('Calc - OTHER PERS'!$S$11,COLUMN()-COLUMN($AT$134) + (ROW()-ROW($AT$134))*14,0),0)</f>
        <v>0</v>
      </c>
      <c r="AU148" s="5">
        <f ca="1">IF(AND((OFFSET('DATA INPUT'!$C$51, ROW()-ROW($AT$134),0)=$AT$10),
 (OFFSET('DATA INPUT'!$V$51,ROW()-ROW($AT$134),0)=3)),
OFFSET('Calc - OTHER PERS'!$S$11,COLUMN()-COLUMN($AT$134) + (ROW()-ROW($AT$134))*14,0),0)</f>
        <v>0</v>
      </c>
      <c r="AV148" s="5">
        <f ca="1">IF(AND((OFFSET('DATA INPUT'!$C$51, ROW()-ROW($AT$134),0)=$AT$10),
 (OFFSET('DATA INPUT'!$V$51,ROW()-ROW($AT$134),0)=3)),
OFFSET('Calc - OTHER PERS'!$S$11,COLUMN()-COLUMN($AT$134) + (ROW()-ROW($AT$134))*14,0),0)</f>
        <v>0</v>
      </c>
      <c r="AW148" s="5">
        <f ca="1">IF(AND((OFFSET('DATA INPUT'!$C$51, ROW()-ROW($AT$134),0)=$AT$10),
 (OFFSET('DATA INPUT'!$V$51,ROW()-ROW($AT$134),0)=3)),
OFFSET('Calc - OTHER PERS'!$S$11,COLUMN()-COLUMN($AT$134) + (ROW()-ROW($AT$134))*14,0),0)</f>
        <v>0</v>
      </c>
      <c r="AX148" s="5">
        <f ca="1">IF(AND((OFFSET('DATA INPUT'!$C$51, ROW()-ROW($AT$134),0)=$AT$10),
 (OFFSET('DATA INPUT'!$V$51,ROW()-ROW($AT$134),0)=3)),
OFFSET('Calc - OTHER PERS'!$S$11,COLUMN()-COLUMN($AT$134) + (ROW()-ROW($AT$134))*14,0),0)</f>
        <v>0</v>
      </c>
      <c r="AY148" s="5">
        <f ca="1">IF(AND((OFFSET('DATA INPUT'!$C$51, ROW()-ROW($AT$134),0)=$AT$10),
 (OFFSET('DATA INPUT'!$V$51,ROW()-ROW($AT$134),0)=3)),
OFFSET('Calc - OTHER PERS'!$S$11,COLUMN()-COLUMN($AT$134) + (ROW()-ROW($AT$134))*14,0),0)</f>
        <v>0</v>
      </c>
      <c r="AZ148" s="150">
        <f t="shared" ca="1" si="560"/>
        <v>0</v>
      </c>
      <c r="BB148" s="575">
        <f ca="1">IF(AND((OFFSET('DATA INPUT'!$C$51, ROW()-ROW($BB$134),0)=$BB$10),
 (OFFSET('DATA INPUT'!$V$51,ROW()-ROW($BB$134),0)=3)),
OFFSET('Calc - OTHER PERS'!$S$11,COLUMN()-COLUMN($BB$134) + (ROW()-ROW($BB$134))*14,0),0)</f>
        <v>0</v>
      </c>
      <c r="BC148" s="5">
        <f ca="1">IF(AND((OFFSET('DATA INPUT'!$C$51, ROW()-ROW($BB$134),0)=$BB$10),
 (OFFSET('DATA INPUT'!$V$51,ROW()-ROW($BB$134),0)=3)),
OFFSET('Calc - OTHER PERS'!$S$11,COLUMN()-COLUMN($BB$134) + (ROW()-ROW($BB$134))*14,0),0)</f>
        <v>0</v>
      </c>
      <c r="BD148" s="5">
        <f ca="1">IF(AND((OFFSET('DATA INPUT'!$C$51, ROW()-ROW($BB$134),0)=$BB$10),
 (OFFSET('DATA INPUT'!$V$51,ROW()-ROW($BB$134),0)=3)),
OFFSET('Calc - OTHER PERS'!$S$11,COLUMN()-COLUMN($BB$134) + (ROW()-ROW($BB$134))*14,0),0)</f>
        <v>0</v>
      </c>
      <c r="BE148" s="5">
        <f ca="1">IF(AND((OFFSET('DATA INPUT'!$C$51, ROW()-ROW($BB$134),0)=$BB$10),
 (OFFSET('DATA INPUT'!$V$51,ROW()-ROW($BB$134),0)=3)),
OFFSET('Calc - OTHER PERS'!$S$11,COLUMN()-COLUMN($BB$134) + (ROW()-ROW($BB$134))*14,0),0)</f>
        <v>0</v>
      </c>
      <c r="BF148" s="5">
        <f ca="1">IF(AND((OFFSET('DATA INPUT'!$C$51, ROW()-ROW($BB$134),0)=$BB$10),
 (OFFSET('DATA INPUT'!$V$51,ROW()-ROW($BB$134),0)=3)),
OFFSET('Calc - OTHER PERS'!$S$11,COLUMN()-COLUMN($BB$134) + (ROW()-ROW($BB$134))*14,0),0)</f>
        <v>0</v>
      </c>
      <c r="BG148" s="5">
        <f ca="1">IF(AND((OFFSET('DATA INPUT'!$C$51, ROW()-ROW($BB$134),0)=$BB$10),
 (OFFSET('DATA INPUT'!$V$51,ROW()-ROW($BB$134),0)=3)),
OFFSET('Calc - OTHER PERS'!$S$11,COLUMN()-COLUMN($BB$134) + (ROW()-ROW($BB$134))*14,0),0)</f>
        <v>0</v>
      </c>
      <c r="BH148" s="192">
        <f t="shared" ca="1" si="561"/>
        <v>0</v>
      </c>
      <c r="BJ148" s="575"/>
      <c r="BK148" s="5"/>
      <c r="BL148" s="5"/>
      <c r="BM148" s="5"/>
      <c r="BN148" s="5"/>
      <c r="BO148" s="5"/>
      <c r="BP148" s="1102">
        <f t="shared" si="562"/>
        <v>0</v>
      </c>
      <c r="BR148" s="575">
        <f t="shared" ca="1" si="465"/>
        <v>0</v>
      </c>
      <c r="BS148" s="5">
        <f t="shared" ca="1" si="466"/>
        <v>0</v>
      </c>
      <c r="BT148" s="5">
        <f t="shared" ca="1" si="467"/>
        <v>0</v>
      </c>
      <c r="BU148" s="5">
        <f t="shared" ca="1" si="468"/>
        <v>0</v>
      </c>
      <c r="BV148" s="5">
        <f t="shared" ca="1" si="469"/>
        <v>0</v>
      </c>
      <c r="BW148" s="5">
        <f t="shared" ca="1" si="470"/>
        <v>0</v>
      </c>
      <c r="BX148" s="2175">
        <f t="shared" ca="1" si="471"/>
        <v>0</v>
      </c>
      <c r="BY148" s="573">
        <f t="shared" ca="1" si="472"/>
        <v>0</v>
      </c>
      <c r="BZ148" s="257"/>
      <c r="CB148" s="1247">
        <f ca="1">'Calc - OTHER PERS'!$L$53</f>
        <v>0</v>
      </c>
      <c r="CC148" s="387">
        <f ca="1">'Calc - OTHER PERS'!$L$54/12*3</f>
        <v>0</v>
      </c>
      <c r="CD148" s="56">
        <f ca="1">'Calc - OTHER PERS'!$L$54/12*3</f>
        <v>0</v>
      </c>
      <c r="CE148" s="56">
        <f ca="1">'Calc - OTHER PERS'!$L$54/12*2</f>
        <v>0</v>
      </c>
      <c r="CF148" s="56">
        <f ca="1">'Calc - OTHER PERS'!$L$54/12*1</f>
        <v>0</v>
      </c>
      <c r="CG148" s="1183">
        <f ca="1">'Calc - OTHER PERS'!$L$54/12*3</f>
        <v>0</v>
      </c>
      <c r="CH148" s="1248">
        <f ca="1">'Calc - OTHER PERS'!$L$55/12*3</f>
        <v>0</v>
      </c>
      <c r="CI148" s="1185">
        <f ca="1">'Calc - OTHER PERS'!$L$55/12*3</f>
        <v>0</v>
      </c>
      <c r="CJ148" s="1185">
        <f ca="1">'Calc - OTHER PERS'!$L$55/12*2</f>
        <v>0</v>
      </c>
      <c r="CK148" s="1185">
        <f ca="1">'Calc - OTHER PERS'!$L$55/12*1</f>
        <v>0</v>
      </c>
      <c r="CL148" s="1186">
        <f ca="1">'Calc - OTHER PERS'!$L$55/12*3</f>
        <v>0</v>
      </c>
      <c r="CM148" s="1187">
        <f ca="1">'Calc - OTHER PERS'!$L$56/8*3</f>
        <v>0</v>
      </c>
      <c r="CN148" s="1091">
        <f ca="1">'Calc - OTHER PERS'!$L$56/8*3</f>
        <v>0</v>
      </c>
      <c r="CO148" s="1189">
        <f ca="1">'Calc - OTHER PERS'!$L$56/8*2</f>
        <v>0</v>
      </c>
      <c r="CP148" s="1234">
        <f t="shared" ref="CP148:CP156" ca="1" si="612">SUM(CB148:CO148)</f>
        <v>0</v>
      </c>
      <c r="CS148" s="575"/>
      <c r="CT148" s="5"/>
      <c r="CU148" s="1180"/>
      <c r="CV148" s="575"/>
      <c r="CW148" s="5"/>
      <c r="CX148" s="1249"/>
      <c r="CY148" s="575"/>
      <c r="CZ148" s="5"/>
      <c r="DA148" s="1180"/>
      <c r="DB148" s="575"/>
      <c r="DC148" s="5"/>
      <c r="DD148" s="1180"/>
      <c r="DE148" s="1181">
        <f>SUM(CS148:DD148)</f>
        <v>0</v>
      </c>
      <c r="DG148" s="575"/>
      <c r="DH148" s="5"/>
      <c r="DI148" s="1180"/>
      <c r="DJ148" s="575"/>
      <c r="DK148" s="5"/>
      <c r="DL148" s="1249"/>
      <c r="DM148" s="575"/>
      <c r="DN148" s="5"/>
      <c r="DO148" s="1180"/>
      <c r="DP148" s="575"/>
      <c r="DQ148" s="5"/>
      <c r="DR148" s="1180"/>
      <c r="DS148" s="1181">
        <f>SUM(DG148:DR148)</f>
        <v>0</v>
      </c>
      <c r="DU148" s="575"/>
      <c r="DV148" s="5"/>
      <c r="DW148" s="1180"/>
      <c r="DX148" s="575"/>
      <c r="DY148" s="5"/>
      <c r="DZ148" s="1249"/>
      <c r="EA148" s="575"/>
      <c r="EB148" s="5"/>
      <c r="EC148" s="1180"/>
      <c r="ED148" s="575"/>
      <c r="EE148" s="5"/>
      <c r="EF148" s="1180"/>
      <c r="EG148" s="1181">
        <f>SUM(DU148:EF148)</f>
        <v>0</v>
      </c>
      <c r="EI148" s="22"/>
      <c r="EJ148" s="3211"/>
      <c r="EK148" s="123" t="str">
        <f t="shared" si="563"/>
        <v xml:space="preserve"> - </v>
      </c>
      <c r="EL148" s="5">
        <f t="shared" ca="1" si="564"/>
        <v>0</v>
      </c>
      <c r="EM148" s="5">
        <f t="shared" ca="1" si="565"/>
        <v>0</v>
      </c>
      <c r="EN148" s="5">
        <f t="shared" ca="1" si="566"/>
        <v>0</v>
      </c>
      <c r="EO148" s="5">
        <f t="shared" ca="1" si="567"/>
        <v>0</v>
      </c>
      <c r="EP148" s="5">
        <f t="shared" ca="1" si="568"/>
        <v>0</v>
      </c>
      <c r="EQ148" s="5">
        <f t="shared" ca="1" si="569"/>
        <v>0</v>
      </c>
      <c r="ER148" s="88">
        <f t="shared" ca="1" si="570"/>
        <v>0</v>
      </c>
      <c r="ES148" s="8"/>
      <c r="ET148" s="8"/>
      <c r="EU148" s="8"/>
      <c r="EV148" s="575">
        <f t="shared" ca="1" si="571"/>
        <v>0</v>
      </c>
      <c r="EW148" s="5">
        <f t="shared" ca="1" si="572"/>
        <v>0</v>
      </c>
      <c r="EX148" s="5">
        <f t="shared" ca="1" si="573"/>
        <v>0</v>
      </c>
      <c r="EY148" s="5">
        <f t="shared" ca="1" si="574"/>
        <v>0</v>
      </c>
      <c r="EZ148" s="5">
        <f t="shared" ca="1" si="575"/>
        <v>0</v>
      </c>
      <c r="FA148" s="5">
        <f t="shared" ca="1" si="576"/>
        <v>0</v>
      </c>
      <c r="FB148" s="164">
        <f t="shared" ca="1" si="491"/>
        <v>0</v>
      </c>
      <c r="FC148" s="1"/>
      <c r="FD148" s="575">
        <f t="shared" ca="1" si="577"/>
        <v>0</v>
      </c>
      <c r="FE148" s="5">
        <f t="shared" ca="1" si="578"/>
        <v>0</v>
      </c>
      <c r="FF148" s="5">
        <f t="shared" ca="1" si="579"/>
        <v>0</v>
      </c>
      <c r="FG148" s="5">
        <f t="shared" ca="1" si="580"/>
        <v>0</v>
      </c>
      <c r="FH148" s="5">
        <f t="shared" ca="1" si="581"/>
        <v>0</v>
      </c>
      <c r="FI148" s="5">
        <f t="shared" ca="1" si="582"/>
        <v>0</v>
      </c>
      <c r="FJ148" s="138">
        <f t="shared" ca="1" si="498"/>
        <v>0</v>
      </c>
      <c r="FL148" s="575">
        <f t="shared" ca="1" si="583"/>
        <v>0</v>
      </c>
      <c r="FM148" s="5">
        <f t="shared" ca="1" si="584"/>
        <v>0</v>
      </c>
      <c r="FN148" s="5">
        <f t="shared" ca="1" si="585"/>
        <v>0</v>
      </c>
      <c r="FO148" s="5">
        <f t="shared" ca="1" si="586"/>
        <v>0</v>
      </c>
      <c r="FP148" s="5">
        <f t="shared" ca="1" si="587"/>
        <v>0</v>
      </c>
      <c r="FQ148" s="5">
        <f t="shared" ca="1" si="588"/>
        <v>0</v>
      </c>
      <c r="FR148" s="206">
        <f t="shared" ca="1" si="589"/>
        <v>0</v>
      </c>
      <c r="FT148" s="575">
        <f t="shared" ca="1" si="590"/>
        <v>0</v>
      </c>
      <c r="FU148" s="5">
        <f t="shared" ca="1" si="591"/>
        <v>0</v>
      </c>
      <c r="FV148" s="5">
        <f t="shared" ca="1" si="592"/>
        <v>0</v>
      </c>
      <c r="FW148" s="5">
        <f t="shared" ca="1" si="593"/>
        <v>0</v>
      </c>
      <c r="FX148" s="5">
        <f t="shared" ca="1" si="594"/>
        <v>0</v>
      </c>
      <c r="FY148" s="5">
        <f t="shared" ca="1" si="595"/>
        <v>0</v>
      </c>
      <c r="FZ148" s="178">
        <f t="shared" ca="1" si="596"/>
        <v>0</v>
      </c>
      <c r="GB148" s="575">
        <f t="shared" ca="1" si="597"/>
        <v>0</v>
      </c>
      <c r="GC148" s="5">
        <f t="shared" ca="1" si="598"/>
        <v>0</v>
      </c>
      <c r="GD148" s="5">
        <f t="shared" ca="1" si="599"/>
        <v>0</v>
      </c>
      <c r="GE148" s="5">
        <f t="shared" ca="1" si="600"/>
        <v>0</v>
      </c>
      <c r="GF148" s="5">
        <f t="shared" ca="1" si="601"/>
        <v>0</v>
      </c>
      <c r="GG148" s="5">
        <f t="shared" ca="1" si="602"/>
        <v>0</v>
      </c>
      <c r="GH148" s="150">
        <f t="shared" ca="1" si="603"/>
        <v>0</v>
      </c>
      <c r="GJ148" s="575">
        <f t="shared" ca="1" si="604"/>
        <v>0</v>
      </c>
      <c r="GK148" s="5">
        <f t="shared" ca="1" si="605"/>
        <v>0</v>
      </c>
      <c r="GL148" s="5">
        <f t="shared" ca="1" si="606"/>
        <v>0</v>
      </c>
      <c r="GM148" s="5">
        <f t="shared" ca="1" si="607"/>
        <v>0</v>
      </c>
      <c r="GN148" s="5">
        <f t="shared" ca="1" si="608"/>
        <v>0</v>
      </c>
      <c r="GO148" s="5">
        <f t="shared" ca="1" si="609"/>
        <v>0</v>
      </c>
      <c r="GP148" s="192">
        <f t="shared" ca="1" si="610"/>
        <v>0</v>
      </c>
      <c r="GR148" s="575"/>
      <c r="GS148" s="5"/>
      <c r="GT148" s="5"/>
      <c r="GU148" s="5"/>
      <c r="GV148" s="5"/>
      <c r="GW148" s="5"/>
      <c r="GX148" s="1102">
        <f t="shared" si="611"/>
        <v>0</v>
      </c>
      <c r="GZ148" s="575">
        <f t="shared" ca="1" si="528"/>
        <v>0</v>
      </c>
      <c r="HA148" s="5">
        <f t="shared" ca="1" si="529"/>
        <v>0</v>
      </c>
      <c r="HB148" s="5">
        <f t="shared" ca="1" si="530"/>
        <v>0</v>
      </c>
      <c r="HC148" s="5">
        <f t="shared" ca="1" si="531"/>
        <v>0</v>
      </c>
      <c r="HD148" s="5">
        <f t="shared" ca="1" si="532"/>
        <v>0</v>
      </c>
      <c r="HE148" s="5">
        <f t="shared" ca="1" si="533"/>
        <v>0</v>
      </c>
      <c r="HF148" s="2175">
        <f t="shared" ca="1" si="534"/>
        <v>0</v>
      </c>
      <c r="HG148" s="573">
        <f t="shared" ca="1" si="535"/>
        <v>0</v>
      </c>
      <c r="HH148" s="257"/>
    </row>
    <row r="149" spans="1:216" ht="15" hidden="1" customHeight="1" thickBot="1" x14ac:dyDescent="0.3">
      <c r="A149" s="22"/>
      <c r="B149" s="3212" t="s">
        <v>241</v>
      </c>
      <c r="C149" s="3224"/>
      <c r="D149" s="96">
        <f t="shared" ref="D149:J149" ca="1" si="613">SUM(D134:D148)</f>
        <v>5070</v>
      </c>
      <c r="E149" s="96">
        <f t="shared" ca="1" si="613"/>
        <v>0</v>
      </c>
      <c r="F149" s="96">
        <f t="shared" ca="1" si="613"/>
        <v>0</v>
      </c>
      <c r="G149" s="96">
        <f t="shared" ca="1" si="613"/>
        <v>0</v>
      </c>
      <c r="H149" s="96">
        <f t="shared" ca="1" si="613"/>
        <v>0</v>
      </c>
      <c r="I149" s="96">
        <f t="shared" ca="1" si="613"/>
        <v>0</v>
      </c>
      <c r="J149" s="356">
        <f t="shared" ca="1" si="613"/>
        <v>5070</v>
      </c>
      <c r="K149" s="2389"/>
      <c r="L149" s="8"/>
      <c r="M149" s="8"/>
      <c r="N149" s="2290">
        <f t="shared" ref="N149:T149" ca="1" si="614">SUM(N134:N148)</f>
        <v>0</v>
      </c>
      <c r="O149" s="2252">
        <f t="shared" ca="1" si="614"/>
        <v>0</v>
      </c>
      <c r="P149" s="2252">
        <f t="shared" ca="1" si="614"/>
        <v>0</v>
      </c>
      <c r="Q149" s="2252">
        <f t="shared" ca="1" si="614"/>
        <v>0</v>
      </c>
      <c r="R149" s="2252">
        <f t="shared" ca="1" si="614"/>
        <v>0</v>
      </c>
      <c r="S149" s="2252">
        <f t="shared" ca="1" si="614"/>
        <v>0</v>
      </c>
      <c r="T149" s="165">
        <f t="shared" ca="1" si="614"/>
        <v>0</v>
      </c>
      <c r="U149" s="1"/>
      <c r="V149" s="2291">
        <f t="shared" ref="V149:AB149" ca="1" si="615">SUM(V134:V148)</f>
        <v>0</v>
      </c>
      <c r="W149" s="2256">
        <f t="shared" ca="1" si="615"/>
        <v>0</v>
      </c>
      <c r="X149" s="2256">
        <f t="shared" ca="1" si="615"/>
        <v>0</v>
      </c>
      <c r="Y149" s="2256">
        <f t="shared" ca="1" si="615"/>
        <v>0</v>
      </c>
      <c r="Z149" s="2256">
        <f t="shared" ca="1" si="615"/>
        <v>0</v>
      </c>
      <c r="AA149" s="2256">
        <f t="shared" ca="1" si="615"/>
        <v>0</v>
      </c>
      <c r="AB149" s="139">
        <f t="shared" ca="1" si="615"/>
        <v>0</v>
      </c>
      <c r="AD149" s="2292">
        <f t="shared" ref="AD149:AJ149" ca="1" si="616">SUM(AD134:AD148)</f>
        <v>0</v>
      </c>
      <c r="AE149" s="2249">
        <f t="shared" ca="1" si="616"/>
        <v>0</v>
      </c>
      <c r="AF149" s="2249">
        <f t="shared" ca="1" si="616"/>
        <v>0</v>
      </c>
      <c r="AG149" s="2249">
        <f t="shared" ca="1" si="616"/>
        <v>0</v>
      </c>
      <c r="AH149" s="2249">
        <f t="shared" ca="1" si="616"/>
        <v>0</v>
      </c>
      <c r="AI149" s="2249">
        <f t="shared" ca="1" si="616"/>
        <v>0</v>
      </c>
      <c r="AJ149" s="207">
        <f t="shared" ca="1" si="616"/>
        <v>0</v>
      </c>
      <c r="AL149" s="2293">
        <f t="shared" ref="AL149:AR149" ca="1" si="617">SUM(AL134:AL148)</f>
        <v>0</v>
      </c>
      <c r="AM149" s="2245">
        <f t="shared" ca="1" si="617"/>
        <v>0</v>
      </c>
      <c r="AN149" s="2245">
        <f t="shared" ca="1" si="617"/>
        <v>0</v>
      </c>
      <c r="AO149" s="2245">
        <f t="shared" ca="1" si="617"/>
        <v>0</v>
      </c>
      <c r="AP149" s="2245">
        <f t="shared" ca="1" si="617"/>
        <v>0</v>
      </c>
      <c r="AQ149" s="2245">
        <f t="shared" ca="1" si="617"/>
        <v>0</v>
      </c>
      <c r="AR149" s="2247">
        <f t="shared" ca="1" si="617"/>
        <v>0</v>
      </c>
      <c r="AT149" s="2294">
        <f t="shared" ref="AT149:AZ149" ca="1" si="618">SUM(AT134:AT148)</f>
        <v>0</v>
      </c>
      <c r="AU149" s="2242">
        <f t="shared" ca="1" si="618"/>
        <v>0</v>
      </c>
      <c r="AV149" s="2242">
        <f t="shared" ca="1" si="618"/>
        <v>0</v>
      </c>
      <c r="AW149" s="2242">
        <f t="shared" ca="1" si="618"/>
        <v>0</v>
      </c>
      <c r="AX149" s="2242">
        <f t="shared" ca="1" si="618"/>
        <v>0</v>
      </c>
      <c r="AY149" s="2242">
        <f t="shared" ca="1" si="618"/>
        <v>0</v>
      </c>
      <c r="AZ149" s="151">
        <f t="shared" ca="1" si="618"/>
        <v>0</v>
      </c>
      <c r="BB149" s="2295">
        <f t="shared" ref="BB149:BH149" ca="1" si="619">SUM(BB134:BB148)</f>
        <v>0</v>
      </c>
      <c r="BC149" s="2239">
        <f t="shared" ca="1" si="619"/>
        <v>0</v>
      </c>
      <c r="BD149" s="2239">
        <f t="shared" ca="1" si="619"/>
        <v>0</v>
      </c>
      <c r="BE149" s="2239">
        <f t="shared" ca="1" si="619"/>
        <v>0</v>
      </c>
      <c r="BF149" s="2239">
        <f t="shared" ca="1" si="619"/>
        <v>0</v>
      </c>
      <c r="BG149" s="2239">
        <f t="shared" ca="1" si="619"/>
        <v>0</v>
      </c>
      <c r="BH149" s="193">
        <f t="shared" ca="1" si="619"/>
        <v>0</v>
      </c>
      <c r="BJ149" s="2297">
        <f t="shared" ref="BJ149:BP149" si="620">SUM(BJ134:BJ148)</f>
        <v>0</v>
      </c>
      <c r="BK149" s="2298">
        <f t="shared" si="620"/>
        <v>0</v>
      </c>
      <c r="BL149" s="2298">
        <f t="shared" si="620"/>
        <v>0</v>
      </c>
      <c r="BM149" s="2298">
        <f t="shared" si="620"/>
        <v>0</v>
      </c>
      <c r="BN149" s="2298">
        <f t="shared" si="620"/>
        <v>0</v>
      </c>
      <c r="BO149" s="2298">
        <f t="shared" si="620"/>
        <v>0</v>
      </c>
      <c r="BP149" s="2254">
        <f t="shared" si="620"/>
        <v>0</v>
      </c>
      <c r="BR149" s="1215">
        <f t="shared" ref="BR149:BX149" ca="1" si="621">SUM(BR134:BR148)</f>
        <v>0</v>
      </c>
      <c r="BS149" s="1216">
        <f t="shared" ca="1" si="621"/>
        <v>0</v>
      </c>
      <c r="BT149" s="1216">
        <f t="shared" ca="1" si="621"/>
        <v>0</v>
      </c>
      <c r="BU149" s="1216">
        <f t="shared" ca="1" si="621"/>
        <v>0</v>
      </c>
      <c r="BV149" s="1216">
        <f t="shared" ca="1" si="621"/>
        <v>0</v>
      </c>
      <c r="BW149" s="1216">
        <f t="shared" ca="1" si="621"/>
        <v>0</v>
      </c>
      <c r="BX149" s="1216">
        <f t="shared" ca="1" si="621"/>
        <v>0</v>
      </c>
      <c r="BY149" s="275">
        <f t="shared" ca="1" si="472"/>
        <v>5070</v>
      </c>
      <c r="BZ149" s="257"/>
      <c r="CB149" s="96">
        <f t="shared" ref="CB149:CO149" ca="1" si="622">SUM(CB134:CB148)</f>
        <v>5070</v>
      </c>
      <c r="CC149" s="96">
        <f t="shared" ca="1" si="622"/>
        <v>0</v>
      </c>
      <c r="CD149" s="96">
        <f t="shared" ca="1" si="622"/>
        <v>0</v>
      </c>
      <c r="CE149" s="96">
        <f t="shared" ca="1" si="622"/>
        <v>0</v>
      </c>
      <c r="CF149" s="96">
        <f t="shared" ca="1" si="622"/>
        <v>0</v>
      </c>
      <c r="CG149" s="96">
        <f t="shared" ca="1" si="622"/>
        <v>0</v>
      </c>
      <c r="CH149" s="96">
        <f t="shared" ca="1" si="622"/>
        <v>0</v>
      </c>
      <c r="CI149" s="96">
        <f t="shared" ca="1" si="622"/>
        <v>0</v>
      </c>
      <c r="CJ149" s="96">
        <f t="shared" ca="1" si="622"/>
        <v>0</v>
      </c>
      <c r="CK149" s="96">
        <f t="shared" ca="1" si="622"/>
        <v>0</v>
      </c>
      <c r="CL149" s="96">
        <f t="shared" ca="1" si="622"/>
        <v>0</v>
      </c>
      <c r="CM149" s="96">
        <f t="shared" ca="1" si="622"/>
        <v>0</v>
      </c>
      <c r="CN149" s="96">
        <f t="shared" ca="1" si="622"/>
        <v>0</v>
      </c>
      <c r="CO149" s="96">
        <f t="shared" ca="1" si="622"/>
        <v>0</v>
      </c>
      <c r="CP149" s="1234">
        <f t="shared" ca="1" si="612"/>
        <v>5070</v>
      </c>
      <c r="CS149" s="575"/>
      <c r="CT149" s="5"/>
      <c r="CU149" s="1180"/>
      <c r="CV149" s="575"/>
      <c r="CW149" s="5"/>
      <c r="CX149" s="1249"/>
      <c r="CY149" s="575"/>
      <c r="CZ149" s="5"/>
      <c r="DA149" s="1180"/>
      <c r="DB149" s="575"/>
      <c r="DC149" s="5"/>
      <c r="DD149" s="1180"/>
      <c r="DE149" s="1181"/>
      <c r="DG149" s="575"/>
      <c r="DH149" s="5"/>
      <c r="DI149" s="1180"/>
      <c r="DJ149" s="575"/>
      <c r="DK149" s="5"/>
      <c r="DL149" s="1249"/>
      <c r="DM149" s="575"/>
      <c r="DN149" s="5"/>
      <c r="DO149" s="1180"/>
      <c r="DP149" s="575"/>
      <c r="DQ149" s="5"/>
      <c r="DR149" s="1180"/>
      <c r="DS149" s="1181"/>
      <c r="DU149" s="575"/>
      <c r="DV149" s="5"/>
      <c r="DW149" s="1180"/>
      <c r="DX149" s="575"/>
      <c r="DY149" s="5"/>
      <c r="DZ149" s="1249"/>
      <c r="EA149" s="575"/>
      <c r="EB149" s="5"/>
      <c r="EC149" s="1180"/>
      <c r="ED149" s="575"/>
      <c r="EE149" s="5"/>
      <c r="EF149" s="1180"/>
      <c r="EG149" s="1181"/>
      <c r="EI149" s="22"/>
      <c r="EJ149" s="3212" t="s">
        <v>241</v>
      </c>
      <c r="EK149" s="3224"/>
      <c r="EL149" s="96">
        <f t="shared" ref="EL149:ER149" ca="1" si="623">SUM(EL134:EL148)</f>
        <v>5070</v>
      </c>
      <c r="EM149" s="96">
        <f t="shared" ca="1" si="623"/>
        <v>0</v>
      </c>
      <c r="EN149" s="96">
        <f t="shared" ca="1" si="623"/>
        <v>0</v>
      </c>
      <c r="EO149" s="96">
        <f t="shared" ca="1" si="623"/>
        <v>0</v>
      </c>
      <c r="EP149" s="96">
        <f t="shared" ca="1" si="623"/>
        <v>0</v>
      </c>
      <c r="EQ149" s="96">
        <f t="shared" ca="1" si="623"/>
        <v>0</v>
      </c>
      <c r="ER149" s="356">
        <f t="shared" ca="1" si="623"/>
        <v>5070</v>
      </c>
      <c r="ES149" s="2389"/>
      <c r="ET149" s="8"/>
      <c r="EU149" s="8"/>
      <c r="EV149" s="2290">
        <f t="shared" ref="EV149:FB149" ca="1" si="624">SUM(EV134:EV148)</f>
        <v>0</v>
      </c>
      <c r="EW149" s="2252">
        <f t="shared" ca="1" si="624"/>
        <v>0</v>
      </c>
      <c r="EX149" s="2252">
        <f t="shared" ca="1" si="624"/>
        <v>0</v>
      </c>
      <c r="EY149" s="2252">
        <f t="shared" ca="1" si="624"/>
        <v>0</v>
      </c>
      <c r="EZ149" s="2252">
        <f t="shared" ca="1" si="624"/>
        <v>0</v>
      </c>
      <c r="FA149" s="2252">
        <f t="shared" ca="1" si="624"/>
        <v>0</v>
      </c>
      <c r="FB149" s="165">
        <f t="shared" ca="1" si="624"/>
        <v>0</v>
      </c>
      <c r="FC149" s="1"/>
      <c r="FD149" s="2291">
        <f t="shared" ref="FD149:FJ149" ca="1" si="625">SUM(FD134:FD148)</f>
        <v>0</v>
      </c>
      <c r="FE149" s="2256">
        <f t="shared" ca="1" si="625"/>
        <v>0</v>
      </c>
      <c r="FF149" s="2256">
        <f t="shared" ca="1" si="625"/>
        <v>0</v>
      </c>
      <c r="FG149" s="2256">
        <f t="shared" ca="1" si="625"/>
        <v>0</v>
      </c>
      <c r="FH149" s="2256">
        <f t="shared" ca="1" si="625"/>
        <v>0</v>
      </c>
      <c r="FI149" s="2256">
        <f t="shared" ca="1" si="625"/>
        <v>0</v>
      </c>
      <c r="FJ149" s="139">
        <f t="shared" ca="1" si="625"/>
        <v>0</v>
      </c>
      <c r="FL149" s="2292">
        <f t="shared" ref="FL149:FR149" ca="1" si="626">SUM(FL134:FL148)</f>
        <v>0</v>
      </c>
      <c r="FM149" s="2249">
        <f t="shared" ca="1" si="626"/>
        <v>0</v>
      </c>
      <c r="FN149" s="2249">
        <f t="shared" ca="1" si="626"/>
        <v>0</v>
      </c>
      <c r="FO149" s="2249">
        <f t="shared" ca="1" si="626"/>
        <v>0</v>
      </c>
      <c r="FP149" s="2249">
        <f t="shared" ca="1" si="626"/>
        <v>0</v>
      </c>
      <c r="FQ149" s="2249">
        <f t="shared" ca="1" si="626"/>
        <v>0</v>
      </c>
      <c r="FR149" s="207">
        <f t="shared" ca="1" si="626"/>
        <v>0</v>
      </c>
      <c r="FT149" s="2293">
        <f t="shared" ref="FT149:FZ149" ca="1" si="627">SUM(FT134:FT148)</f>
        <v>0</v>
      </c>
      <c r="FU149" s="2245">
        <f t="shared" ca="1" si="627"/>
        <v>0</v>
      </c>
      <c r="FV149" s="2245">
        <f t="shared" ca="1" si="627"/>
        <v>0</v>
      </c>
      <c r="FW149" s="2245">
        <f t="shared" ca="1" si="627"/>
        <v>0</v>
      </c>
      <c r="FX149" s="2245">
        <f t="shared" ca="1" si="627"/>
        <v>0</v>
      </c>
      <c r="FY149" s="2245">
        <f t="shared" ca="1" si="627"/>
        <v>0</v>
      </c>
      <c r="FZ149" s="2247">
        <f t="shared" ca="1" si="627"/>
        <v>0</v>
      </c>
      <c r="GB149" s="2294">
        <f t="shared" ref="GB149:GH149" ca="1" si="628">SUM(GB134:GB148)</f>
        <v>0</v>
      </c>
      <c r="GC149" s="2242">
        <f t="shared" ca="1" si="628"/>
        <v>0</v>
      </c>
      <c r="GD149" s="2242">
        <f t="shared" ca="1" si="628"/>
        <v>0</v>
      </c>
      <c r="GE149" s="2242">
        <f t="shared" ca="1" si="628"/>
        <v>0</v>
      </c>
      <c r="GF149" s="2242">
        <f t="shared" ca="1" si="628"/>
        <v>0</v>
      </c>
      <c r="GG149" s="2242">
        <f t="shared" ca="1" si="628"/>
        <v>0</v>
      </c>
      <c r="GH149" s="151">
        <f t="shared" ca="1" si="628"/>
        <v>0</v>
      </c>
      <c r="GJ149" s="2295">
        <f t="shared" ref="GJ149:GP149" ca="1" si="629">SUM(GJ134:GJ148)</f>
        <v>0</v>
      </c>
      <c r="GK149" s="2239">
        <f t="shared" ca="1" si="629"/>
        <v>0</v>
      </c>
      <c r="GL149" s="2239">
        <f t="shared" ca="1" si="629"/>
        <v>0</v>
      </c>
      <c r="GM149" s="2239">
        <f t="shared" ca="1" si="629"/>
        <v>0</v>
      </c>
      <c r="GN149" s="2239">
        <f t="shared" ca="1" si="629"/>
        <v>0</v>
      </c>
      <c r="GO149" s="2239">
        <f t="shared" ca="1" si="629"/>
        <v>0</v>
      </c>
      <c r="GP149" s="193">
        <f t="shared" ca="1" si="629"/>
        <v>0</v>
      </c>
      <c r="GR149" s="2297">
        <f t="shared" ref="GR149:GX149" si="630">SUM(GR134:GR148)</f>
        <v>0</v>
      </c>
      <c r="GS149" s="2298">
        <f t="shared" si="630"/>
        <v>0</v>
      </c>
      <c r="GT149" s="2298">
        <f t="shared" si="630"/>
        <v>0</v>
      </c>
      <c r="GU149" s="2298">
        <f t="shared" si="630"/>
        <v>0</v>
      </c>
      <c r="GV149" s="2298">
        <f t="shared" si="630"/>
        <v>0</v>
      </c>
      <c r="GW149" s="2298">
        <f t="shared" si="630"/>
        <v>0</v>
      </c>
      <c r="GX149" s="2254">
        <f t="shared" si="630"/>
        <v>0</v>
      </c>
      <c r="GZ149" s="1215">
        <f t="shared" ref="GZ149:HF149" ca="1" si="631">SUM(GZ134:GZ148)</f>
        <v>0</v>
      </c>
      <c r="HA149" s="1216">
        <f t="shared" ca="1" si="631"/>
        <v>0</v>
      </c>
      <c r="HB149" s="1216">
        <f t="shared" ca="1" si="631"/>
        <v>0</v>
      </c>
      <c r="HC149" s="1216">
        <f t="shared" ca="1" si="631"/>
        <v>0</v>
      </c>
      <c r="HD149" s="1216">
        <f t="shared" ca="1" si="631"/>
        <v>0</v>
      </c>
      <c r="HE149" s="1216">
        <f t="shared" ca="1" si="631"/>
        <v>0</v>
      </c>
      <c r="HF149" s="1216">
        <f t="shared" ca="1" si="631"/>
        <v>0</v>
      </c>
      <c r="HG149" s="275">
        <f t="shared" ca="1" si="535"/>
        <v>5070</v>
      </c>
      <c r="HH149" s="257"/>
    </row>
    <row r="150" spans="1:216" ht="15" hidden="1" customHeight="1" x14ac:dyDescent="0.25">
      <c r="A150" s="22"/>
      <c r="B150" s="3222" t="s">
        <v>574</v>
      </c>
      <c r="C150" s="419" t="str">
        <f>'Calc - OTHER PERS'!A219</f>
        <v>Hourly Student(s) #1</v>
      </c>
      <c r="D150" s="86">
        <f>'Calc - OTHER PERS'!J224</f>
        <v>0</v>
      </c>
      <c r="E150" s="86">
        <f>'Calc - OTHER PERS'!J225</f>
        <v>0</v>
      </c>
      <c r="F150" s="86">
        <f>'Calc - OTHER PERS'!J226</f>
        <v>0</v>
      </c>
      <c r="G150" s="86">
        <f>'Calc - OTHER PERS'!J227</f>
        <v>0</v>
      </c>
      <c r="H150" s="86">
        <f>'Calc - OTHER PERS'!J228</f>
        <v>0</v>
      </c>
      <c r="I150" s="86">
        <f>'Calc - OTHER PERS'!J229</f>
        <v>0</v>
      </c>
      <c r="J150" s="87">
        <f>SUM(D150:I150)</f>
        <v>0</v>
      </c>
      <c r="K150" s="8"/>
      <c r="L150" s="8"/>
      <c r="M150" s="8"/>
      <c r="N150" s="41"/>
      <c r="O150" s="41"/>
      <c r="P150" s="41"/>
      <c r="Q150" s="41"/>
      <c r="R150" s="41"/>
      <c r="S150" s="41"/>
      <c r="T150" s="381">
        <f>SUM(N150:S150)</f>
        <v>0</v>
      </c>
      <c r="U150" s="1"/>
      <c r="V150" s="41"/>
      <c r="W150" s="41"/>
      <c r="X150" s="41"/>
      <c r="Y150" s="41"/>
      <c r="Z150" s="41"/>
      <c r="AA150" s="41"/>
      <c r="AB150" s="395">
        <f>SUM(V150:AA150)</f>
        <v>0</v>
      </c>
      <c r="AD150" s="41"/>
      <c r="AE150" s="41"/>
      <c r="AF150" s="41"/>
      <c r="AG150" s="41"/>
      <c r="AH150" s="41"/>
      <c r="AI150" s="41"/>
      <c r="AJ150" s="396">
        <f>SUM(AD150:AI150)</f>
        <v>0</v>
      </c>
      <c r="AL150" s="41"/>
      <c r="AM150" s="41"/>
      <c r="AN150" s="41"/>
      <c r="AO150" s="41"/>
      <c r="AP150" s="41"/>
      <c r="AQ150" s="41"/>
      <c r="AR150" s="397">
        <f>SUM(AL150:AQ150)</f>
        <v>0</v>
      </c>
      <c r="AT150" s="41"/>
      <c r="AU150" s="41"/>
      <c r="AV150" s="41"/>
      <c r="AW150" s="41"/>
      <c r="AX150" s="41"/>
      <c r="AY150" s="41"/>
      <c r="AZ150" s="398">
        <f>SUM(AT150:AY150)</f>
        <v>0</v>
      </c>
      <c r="BB150" s="41"/>
      <c r="BC150" s="41"/>
      <c r="BD150" s="41"/>
      <c r="BE150" s="41"/>
      <c r="BF150" s="41"/>
      <c r="BG150" s="41"/>
      <c r="BH150" s="399">
        <f>SUM(BB150:BG150)</f>
        <v>0</v>
      </c>
      <c r="BJ150" s="41"/>
      <c r="BK150" s="41"/>
      <c r="BL150" s="41"/>
      <c r="BM150" s="41"/>
      <c r="BN150" s="41"/>
      <c r="BO150" s="41"/>
      <c r="BP150" s="1112">
        <f>SUM(BJ150:BO150)</f>
        <v>0</v>
      </c>
      <c r="BR150" s="1244">
        <f t="shared" ref="BR150:BW156" si="632">SUM(N150,V150,AD150,AL150,AT150,BB150)</f>
        <v>0</v>
      </c>
      <c r="BS150" s="1244">
        <f t="shared" si="632"/>
        <v>0</v>
      </c>
      <c r="BT150" s="1244">
        <f t="shared" si="632"/>
        <v>0</v>
      </c>
      <c r="BU150" s="1244">
        <f t="shared" si="632"/>
        <v>0</v>
      </c>
      <c r="BV150" s="1244">
        <f t="shared" si="632"/>
        <v>0</v>
      </c>
      <c r="BW150" s="1244">
        <f t="shared" si="632"/>
        <v>0</v>
      </c>
      <c r="BX150" s="2232">
        <f t="shared" ref="BX150:BX156" si="633">SUM(BR150:BW150)</f>
        <v>0</v>
      </c>
      <c r="BY150" s="2184">
        <f t="shared" si="472"/>
        <v>0</v>
      </c>
      <c r="BZ150" s="257"/>
      <c r="CB150" s="1288">
        <f>'Calc - OTHER PERS'!$J$224</f>
        <v>0</v>
      </c>
      <c r="CC150" s="1170">
        <f>'Calc - OTHER PERS'!$J$225/12*3</f>
        <v>0</v>
      </c>
      <c r="CD150" s="1171">
        <f>'Calc - OTHER PERS'!$J$225/12*3</f>
        <v>0</v>
      </c>
      <c r="CE150" s="1171">
        <f>'Calc - OTHER PERS'!$J$225/12*2</f>
        <v>0</v>
      </c>
      <c r="CF150" s="1171">
        <f>'Calc - OTHER PERS'!$J$225/12*1</f>
        <v>0</v>
      </c>
      <c r="CG150" s="1172">
        <f>'Calc - OTHER PERS'!$J$225/12*3</f>
        <v>0</v>
      </c>
      <c r="CH150" s="1289">
        <f>'Calc - OTHER PERS'!$J$226/12*3</f>
        <v>0</v>
      </c>
      <c r="CI150" s="1174">
        <f>'Calc - OTHER PERS'!$J$226/12*3</f>
        <v>0</v>
      </c>
      <c r="CJ150" s="1174">
        <f>'Calc - OTHER PERS'!$J$226/12*2</f>
        <v>0</v>
      </c>
      <c r="CK150" s="1174">
        <f>'Calc - OTHER PERS'!$J$226/12*1</f>
        <v>0</v>
      </c>
      <c r="CL150" s="1175">
        <f>'Calc - OTHER PERS'!$J$226/12*3</f>
        <v>0</v>
      </c>
      <c r="CM150" s="1176">
        <f>'Calc - OTHER PERS'!$J$227/8*3</f>
        <v>0</v>
      </c>
      <c r="CN150" s="1290">
        <f>'Calc - OTHER PERS'!$J$227/8*3</f>
        <v>0</v>
      </c>
      <c r="CO150" s="1178">
        <f>'Calc - OTHER PERS'!$J$227/8*2</f>
        <v>0</v>
      </c>
      <c r="CP150" s="1234">
        <f t="shared" si="612"/>
        <v>0</v>
      </c>
      <c r="CS150" s="575"/>
      <c r="CT150" s="5"/>
      <c r="CU150" s="1180"/>
      <c r="CV150" s="575"/>
      <c r="CW150" s="5"/>
      <c r="CX150" s="1249"/>
      <c r="CY150" s="575"/>
      <c r="CZ150" s="5"/>
      <c r="DA150" s="1180"/>
      <c r="DB150" s="575"/>
      <c r="DC150" s="5"/>
      <c r="DD150" s="1180"/>
      <c r="DE150" s="1181">
        <f>SUM(CS150:DD150)</f>
        <v>0</v>
      </c>
      <c r="DG150" s="575"/>
      <c r="DH150" s="5"/>
      <c r="DI150" s="1180"/>
      <c r="DJ150" s="575"/>
      <c r="DK150" s="5"/>
      <c r="DL150" s="1249"/>
      <c r="DM150" s="575"/>
      <c r="DN150" s="5"/>
      <c r="DO150" s="1180"/>
      <c r="DP150" s="575"/>
      <c r="DQ150" s="5"/>
      <c r="DR150" s="1180"/>
      <c r="DS150" s="1181">
        <f>SUM(DG150:DR150)</f>
        <v>0</v>
      </c>
      <c r="DU150" s="575"/>
      <c r="DV150" s="5"/>
      <c r="DW150" s="1180"/>
      <c r="DX150" s="575"/>
      <c r="DY150" s="5"/>
      <c r="DZ150" s="1249"/>
      <c r="EA150" s="575"/>
      <c r="EB150" s="5"/>
      <c r="EC150" s="1180"/>
      <c r="ED150" s="575"/>
      <c r="EE150" s="5"/>
      <c r="EF150" s="1180"/>
      <c r="EG150" s="1181">
        <f>SUM(DU150:EF150)</f>
        <v>0</v>
      </c>
      <c r="EI150" s="22"/>
      <c r="EJ150" s="3222" t="s">
        <v>574</v>
      </c>
      <c r="EK150" s="419" t="str">
        <f>C150</f>
        <v>Hourly Student(s) #1</v>
      </c>
      <c r="EL150" s="86">
        <f t="shared" ref="EL150:EQ152" si="634">ROUND(D150,0)</f>
        <v>0</v>
      </c>
      <c r="EM150" s="86">
        <f t="shared" si="634"/>
        <v>0</v>
      </c>
      <c r="EN150" s="86">
        <f t="shared" si="634"/>
        <v>0</v>
      </c>
      <c r="EO150" s="86">
        <f t="shared" si="634"/>
        <v>0</v>
      </c>
      <c r="EP150" s="86">
        <f t="shared" si="634"/>
        <v>0</v>
      </c>
      <c r="EQ150" s="86">
        <f t="shared" si="634"/>
        <v>0</v>
      </c>
      <c r="ER150" s="87">
        <f>SUM(EL150:EQ150)</f>
        <v>0</v>
      </c>
      <c r="ES150" s="8"/>
      <c r="ET150" s="8"/>
      <c r="EU150" s="8"/>
      <c r="EV150" s="41">
        <f t="shared" ref="EV150:FA152" si="635">ROUND(N150,0)</f>
        <v>0</v>
      </c>
      <c r="EW150" s="41">
        <f t="shared" si="635"/>
        <v>0</v>
      </c>
      <c r="EX150" s="41">
        <f t="shared" si="635"/>
        <v>0</v>
      </c>
      <c r="EY150" s="41">
        <f t="shared" si="635"/>
        <v>0</v>
      </c>
      <c r="EZ150" s="41">
        <f t="shared" si="635"/>
        <v>0</v>
      </c>
      <c r="FA150" s="41">
        <f t="shared" si="635"/>
        <v>0</v>
      </c>
      <c r="FB150" s="381">
        <f>SUM(EV150:FA150)</f>
        <v>0</v>
      </c>
      <c r="FC150" s="1"/>
      <c r="FD150" s="41">
        <f t="shared" ref="FD150:FI152" si="636">ROUND(V150,0)</f>
        <v>0</v>
      </c>
      <c r="FE150" s="41">
        <f t="shared" si="636"/>
        <v>0</v>
      </c>
      <c r="FF150" s="41">
        <f t="shared" si="636"/>
        <v>0</v>
      </c>
      <c r="FG150" s="41">
        <f t="shared" si="636"/>
        <v>0</v>
      </c>
      <c r="FH150" s="41">
        <f t="shared" si="636"/>
        <v>0</v>
      </c>
      <c r="FI150" s="41">
        <f t="shared" si="636"/>
        <v>0</v>
      </c>
      <c r="FJ150" s="395">
        <f>SUM(FD150:FI150)</f>
        <v>0</v>
      </c>
      <c r="FL150" s="41">
        <f t="shared" ref="FL150:FQ152" si="637">ROUND(AD150,0)</f>
        <v>0</v>
      </c>
      <c r="FM150" s="41">
        <f t="shared" si="637"/>
        <v>0</v>
      </c>
      <c r="FN150" s="41">
        <f t="shared" si="637"/>
        <v>0</v>
      </c>
      <c r="FO150" s="41">
        <f t="shared" si="637"/>
        <v>0</v>
      </c>
      <c r="FP150" s="41">
        <f t="shared" si="637"/>
        <v>0</v>
      </c>
      <c r="FQ150" s="41">
        <f t="shared" si="637"/>
        <v>0</v>
      </c>
      <c r="FR150" s="396">
        <f>SUM(FL150:FQ150)</f>
        <v>0</v>
      </c>
      <c r="FT150" s="41">
        <f t="shared" ref="FT150:FY152" si="638">ROUND(AL150,0)</f>
        <v>0</v>
      </c>
      <c r="FU150" s="41">
        <f t="shared" si="638"/>
        <v>0</v>
      </c>
      <c r="FV150" s="41">
        <f t="shared" si="638"/>
        <v>0</v>
      </c>
      <c r="FW150" s="41">
        <f t="shared" si="638"/>
        <v>0</v>
      </c>
      <c r="FX150" s="41">
        <f t="shared" si="638"/>
        <v>0</v>
      </c>
      <c r="FY150" s="41">
        <f t="shared" si="638"/>
        <v>0</v>
      </c>
      <c r="FZ150" s="397">
        <f>SUM(FT150:FY150)</f>
        <v>0</v>
      </c>
      <c r="GB150" s="41">
        <f t="shared" ref="GB150:GG152" si="639">ROUND(AT150,0)</f>
        <v>0</v>
      </c>
      <c r="GC150" s="41">
        <f t="shared" si="639"/>
        <v>0</v>
      </c>
      <c r="GD150" s="41">
        <f t="shared" si="639"/>
        <v>0</v>
      </c>
      <c r="GE150" s="41">
        <f t="shared" si="639"/>
        <v>0</v>
      </c>
      <c r="GF150" s="41">
        <f t="shared" si="639"/>
        <v>0</v>
      </c>
      <c r="GG150" s="41">
        <f t="shared" si="639"/>
        <v>0</v>
      </c>
      <c r="GH150" s="398">
        <f>SUM(GB150:GG150)</f>
        <v>0</v>
      </c>
      <c r="GJ150" s="41">
        <f t="shared" ref="GJ150:GO152" si="640">ROUND(BB150,0)</f>
        <v>0</v>
      </c>
      <c r="GK150" s="41">
        <f t="shared" si="640"/>
        <v>0</v>
      </c>
      <c r="GL150" s="41">
        <f t="shared" si="640"/>
        <v>0</v>
      </c>
      <c r="GM150" s="41">
        <f t="shared" si="640"/>
        <v>0</v>
      </c>
      <c r="GN150" s="41">
        <f t="shared" si="640"/>
        <v>0</v>
      </c>
      <c r="GO150" s="41">
        <f t="shared" si="640"/>
        <v>0</v>
      </c>
      <c r="GP150" s="399">
        <f>SUM(GJ150:GO150)</f>
        <v>0</v>
      </c>
      <c r="GR150" s="41"/>
      <c r="GS150" s="41"/>
      <c r="GT150" s="41"/>
      <c r="GU150" s="41"/>
      <c r="GV150" s="41"/>
      <c r="GW150" s="41"/>
      <c r="GX150" s="1112">
        <f>SUM(GR150:GW150)</f>
        <v>0</v>
      </c>
      <c r="GZ150" s="1244">
        <f t="shared" ref="GZ150:HE156" si="641">SUM(EV150,FD150,FL150,FT150,GB150,GJ150)</f>
        <v>0</v>
      </c>
      <c r="HA150" s="1244">
        <f t="shared" si="641"/>
        <v>0</v>
      </c>
      <c r="HB150" s="1244">
        <f t="shared" si="641"/>
        <v>0</v>
      </c>
      <c r="HC150" s="1244">
        <f t="shared" si="641"/>
        <v>0</v>
      </c>
      <c r="HD150" s="1244">
        <f t="shared" si="641"/>
        <v>0</v>
      </c>
      <c r="HE150" s="1244">
        <f t="shared" si="641"/>
        <v>0</v>
      </c>
      <c r="HF150" s="2232">
        <f t="shared" ref="HF150:HF156" si="642">SUM(GZ150:HE150)</f>
        <v>0</v>
      </c>
      <c r="HG150" s="2184">
        <f t="shared" si="535"/>
        <v>0</v>
      </c>
      <c r="HH150" s="257"/>
    </row>
    <row r="151" spans="1:216" ht="15" hidden="1" customHeight="1" x14ac:dyDescent="0.25">
      <c r="A151" s="22"/>
      <c r="B151" s="3211"/>
      <c r="C151" s="379" t="str">
        <f>'Calc - OTHER PERS'!A232</f>
        <v>Hourly Student(s) #2</v>
      </c>
      <c r="D151" s="5">
        <f>'Calc - OTHER PERS'!J237</f>
        <v>0</v>
      </c>
      <c r="E151" s="5">
        <f>'Calc - OTHER PERS'!J238</f>
        <v>0</v>
      </c>
      <c r="F151" s="5">
        <f>'Calc - OTHER PERS'!J239</f>
        <v>0</v>
      </c>
      <c r="G151" s="5">
        <f>'Calc - OTHER PERS'!J240</f>
        <v>0</v>
      </c>
      <c r="H151" s="5">
        <f>'Calc - OTHER PERS'!J241</f>
        <v>0</v>
      </c>
      <c r="I151" s="5">
        <f>'Calc - OTHER PERS'!J242</f>
        <v>0</v>
      </c>
      <c r="J151" s="88">
        <f>SUM(D151:I151)</f>
        <v>0</v>
      </c>
      <c r="K151" s="8"/>
      <c r="L151" s="8"/>
      <c r="M151" s="8"/>
      <c r="N151" s="5"/>
      <c r="O151" s="5"/>
      <c r="P151" s="5"/>
      <c r="Q151" s="5"/>
      <c r="R151" s="5"/>
      <c r="S151" s="5"/>
      <c r="T151" s="167">
        <f>SUM(N151:S151)</f>
        <v>0</v>
      </c>
      <c r="U151" s="1"/>
      <c r="V151" s="5"/>
      <c r="W151" s="5"/>
      <c r="X151" s="5"/>
      <c r="Y151" s="5"/>
      <c r="Z151" s="5"/>
      <c r="AA151" s="5"/>
      <c r="AB151" s="48">
        <f>SUM(V151:AA151)</f>
        <v>0</v>
      </c>
      <c r="AD151" s="5"/>
      <c r="AE151" s="5"/>
      <c r="AF151" s="5"/>
      <c r="AG151" s="5"/>
      <c r="AH151" s="5"/>
      <c r="AI151" s="5"/>
      <c r="AJ151" s="209">
        <f>SUM(AD151:AI151)</f>
        <v>0</v>
      </c>
      <c r="AL151" s="5"/>
      <c r="AM151" s="5"/>
      <c r="AN151" s="5"/>
      <c r="AO151" s="5"/>
      <c r="AP151" s="5"/>
      <c r="AQ151" s="5"/>
      <c r="AR151" s="181">
        <f>SUM(AL151:AQ151)</f>
        <v>0</v>
      </c>
      <c r="AT151" s="5"/>
      <c r="AU151" s="5"/>
      <c r="AV151" s="5"/>
      <c r="AW151" s="5"/>
      <c r="AX151" s="5"/>
      <c r="AY151" s="5"/>
      <c r="AZ151" s="153">
        <f>SUM(AT151:AY151)</f>
        <v>0</v>
      </c>
      <c r="BB151" s="5"/>
      <c r="BC151" s="5"/>
      <c r="BD151" s="5"/>
      <c r="BE151" s="5"/>
      <c r="BF151" s="5"/>
      <c r="BG151" s="5"/>
      <c r="BH151" s="195">
        <f>SUM(BB151:BG151)</f>
        <v>0</v>
      </c>
      <c r="BJ151" s="5"/>
      <c r="BK151" s="5"/>
      <c r="BL151" s="5"/>
      <c r="BM151" s="5"/>
      <c r="BN151" s="5"/>
      <c r="BO151" s="5"/>
      <c r="BP151" s="1105">
        <f>SUM(BJ151:BO151)</f>
        <v>0</v>
      </c>
      <c r="BR151" s="575">
        <f t="shared" si="632"/>
        <v>0</v>
      </c>
      <c r="BS151" s="575">
        <f t="shared" si="632"/>
        <v>0</v>
      </c>
      <c r="BT151" s="575">
        <f t="shared" si="632"/>
        <v>0</v>
      </c>
      <c r="BU151" s="575">
        <f t="shared" si="632"/>
        <v>0</v>
      </c>
      <c r="BV151" s="575">
        <f t="shared" si="632"/>
        <v>0</v>
      </c>
      <c r="BW151" s="575">
        <f t="shared" si="632"/>
        <v>0</v>
      </c>
      <c r="BX151" s="991">
        <f t="shared" si="633"/>
        <v>0</v>
      </c>
      <c r="BY151" s="573">
        <f t="shared" si="472"/>
        <v>0</v>
      </c>
      <c r="BZ151" s="257"/>
      <c r="CB151" s="1247">
        <f>'Calc - OTHER PERS'!$J$237</f>
        <v>0</v>
      </c>
      <c r="CC151" s="387">
        <f>'Calc - OTHER PERS'!$J$238/12*3</f>
        <v>0</v>
      </c>
      <c r="CD151" s="56">
        <f>'Calc - OTHER PERS'!$J$238/12*3</f>
        <v>0</v>
      </c>
      <c r="CE151" s="56">
        <f>'Calc - OTHER PERS'!$J$238/12*2</f>
        <v>0</v>
      </c>
      <c r="CF151" s="56">
        <f>'Calc - OTHER PERS'!$J$238/12*1</f>
        <v>0</v>
      </c>
      <c r="CG151" s="1183">
        <f>'Calc - OTHER PERS'!$J$238/12*3</f>
        <v>0</v>
      </c>
      <c r="CH151" s="1248">
        <f>'Calc - OTHER PERS'!$J$239/12*3</f>
        <v>0</v>
      </c>
      <c r="CI151" s="1185">
        <f>'Calc - OTHER PERS'!$J$239/12*3</f>
        <v>0</v>
      </c>
      <c r="CJ151" s="1185">
        <f>'Calc - OTHER PERS'!$J$239/12*2</f>
        <v>0</v>
      </c>
      <c r="CK151" s="1185">
        <f>'Calc - OTHER PERS'!$J$239/12*1</f>
        <v>0</v>
      </c>
      <c r="CL151" s="1186">
        <f>'Calc - OTHER PERS'!$J$239/12*3</f>
        <v>0</v>
      </c>
      <c r="CM151" s="1187">
        <f>'Calc - OTHER PERS'!$J$240/8*3</f>
        <v>0</v>
      </c>
      <c r="CN151" s="1091">
        <f>'Calc - OTHER PERS'!$J$240/8*3</f>
        <v>0</v>
      </c>
      <c r="CO151" s="1189">
        <f>'Calc - OTHER PERS'!$J$240/8*2</f>
        <v>0</v>
      </c>
      <c r="CP151" s="1234">
        <f t="shared" si="612"/>
        <v>0</v>
      </c>
      <c r="CS151" s="575"/>
      <c r="CT151" s="5"/>
      <c r="CU151" s="1180"/>
      <c r="CV151" s="575"/>
      <c r="CW151" s="5"/>
      <c r="CX151" s="1249"/>
      <c r="CY151" s="575"/>
      <c r="CZ151" s="5"/>
      <c r="DA151" s="1180"/>
      <c r="DB151" s="575"/>
      <c r="DC151" s="5"/>
      <c r="DD151" s="1180"/>
      <c r="DE151" s="1181">
        <f>SUM(CS151:DD151)</f>
        <v>0</v>
      </c>
      <c r="DG151" s="575"/>
      <c r="DH151" s="5"/>
      <c r="DI151" s="1180"/>
      <c r="DJ151" s="575"/>
      <c r="DK151" s="5"/>
      <c r="DL151" s="1249"/>
      <c r="DM151" s="575"/>
      <c r="DN151" s="5"/>
      <c r="DO151" s="1180"/>
      <c r="DP151" s="575"/>
      <c r="DQ151" s="5"/>
      <c r="DR151" s="1180"/>
      <c r="DS151" s="1181">
        <f>SUM(DG151:DR151)</f>
        <v>0</v>
      </c>
      <c r="DU151" s="575"/>
      <c r="DV151" s="5"/>
      <c r="DW151" s="1180"/>
      <c r="DX151" s="575"/>
      <c r="DY151" s="5"/>
      <c r="DZ151" s="1249"/>
      <c r="EA151" s="575"/>
      <c r="EB151" s="5"/>
      <c r="EC151" s="1180"/>
      <c r="ED151" s="575"/>
      <c r="EE151" s="5"/>
      <c r="EF151" s="1180"/>
      <c r="EG151" s="1181">
        <f>SUM(DU151:EF151)</f>
        <v>0</v>
      </c>
      <c r="EI151" s="22"/>
      <c r="EJ151" s="3211"/>
      <c r="EK151" s="379" t="str">
        <f>C151</f>
        <v>Hourly Student(s) #2</v>
      </c>
      <c r="EL151" s="5">
        <f t="shared" si="634"/>
        <v>0</v>
      </c>
      <c r="EM151" s="5">
        <f t="shared" si="634"/>
        <v>0</v>
      </c>
      <c r="EN151" s="5">
        <f t="shared" si="634"/>
        <v>0</v>
      </c>
      <c r="EO151" s="5">
        <f t="shared" si="634"/>
        <v>0</v>
      </c>
      <c r="EP151" s="5">
        <f t="shared" si="634"/>
        <v>0</v>
      </c>
      <c r="EQ151" s="5">
        <f t="shared" si="634"/>
        <v>0</v>
      </c>
      <c r="ER151" s="88">
        <f>SUM(EL151:EQ151)</f>
        <v>0</v>
      </c>
      <c r="ES151" s="8"/>
      <c r="ET151" s="8"/>
      <c r="EU151" s="8"/>
      <c r="EV151" s="5">
        <f t="shared" si="635"/>
        <v>0</v>
      </c>
      <c r="EW151" s="5">
        <f t="shared" si="635"/>
        <v>0</v>
      </c>
      <c r="EX151" s="5">
        <f t="shared" si="635"/>
        <v>0</v>
      </c>
      <c r="EY151" s="5">
        <f t="shared" si="635"/>
        <v>0</v>
      </c>
      <c r="EZ151" s="5">
        <f t="shared" si="635"/>
        <v>0</v>
      </c>
      <c r="FA151" s="5">
        <f t="shared" si="635"/>
        <v>0</v>
      </c>
      <c r="FB151" s="167">
        <f>SUM(EV151:FA151)</f>
        <v>0</v>
      </c>
      <c r="FC151" s="1"/>
      <c r="FD151" s="5">
        <f t="shared" si="636"/>
        <v>0</v>
      </c>
      <c r="FE151" s="5">
        <f t="shared" si="636"/>
        <v>0</v>
      </c>
      <c r="FF151" s="5">
        <f t="shared" si="636"/>
        <v>0</v>
      </c>
      <c r="FG151" s="5">
        <f t="shared" si="636"/>
        <v>0</v>
      </c>
      <c r="FH151" s="5">
        <f t="shared" si="636"/>
        <v>0</v>
      </c>
      <c r="FI151" s="5">
        <f t="shared" si="636"/>
        <v>0</v>
      </c>
      <c r="FJ151" s="48">
        <f>SUM(FD151:FI151)</f>
        <v>0</v>
      </c>
      <c r="FL151" s="5">
        <f t="shared" si="637"/>
        <v>0</v>
      </c>
      <c r="FM151" s="5">
        <f t="shared" si="637"/>
        <v>0</v>
      </c>
      <c r="FN151" s="5">
        <f t="shared" si="637"/>
        <v>0</v>
      </c>
      <c r="FO151" s="5">
        <f t="shared" si="637"/>
        <v>0</v>
      </c>
      <c r="FP151" s="5">
        <f t="shared" si="637"/>
        <v>0</v>
      </c>
      <c r="FQ151" s="5">
        <f t="shared" si="637"/>
        <v>0</v>
      </c>
      <c r="FR151" s="209">
        <f>SUM(FL151:FQ151)</f>
        <v>0</v>
      </c>
      <c r="FT151" s="5">
        <f t="shared" si="638"/>
        <v>0</v>
      </c>
      <c r="FU151" s="5">
        <f t="shared" si="638"/>
        <v>0</v>
      </c>
      <c r="FV151" s="5">
        <f t="shared" si="638"/>
        <v>0</v>
      </c>
      <c r="FW151" s="5">
        <f t="shared" si="638"/>
        <v>0</v>
      </c>
      <c r="FX151" s="5">
        <f t="shared" si="638"/>
        <v>0</v>
      </c>
      <c r="FY151" s="5">
        <f t="shared" si="638"/>
        <v>0</v>
      </c>
      <c r="FZ151" s="181">
        <f>SUM(FT151:FY151)</f>
        <v>0</v>
      </c>
      <c r="GB151" s="5">
        <f t="shared" si="639"/>
        <v>0</v>
      </c>
      <c r="GC151" s="5">
        <f t="shared" si="639"/>
        <v>0</v>
      </c>
      <c r="GD151" s="5">
        <f t="shared" si="639"/>
        <v>0</v>
      </c>
      <c r="GE151" s="5">
        <f t="shared" si="639"/>
        <v>0</v>
      </c>
      <c r="GF151" s="5">
        <f t="shared" si="639"/>
        <v>0</v>
      </c>
      <c r="GG151" s="5">
        <f t="shared" si="639"/>
        <v>0</v>
      </c>
      <c r="GH151" s="153">
        <f>SUM(GB151:GG151)</f>
        <v>0</v>
      </c>
      <c r="GJ151" s="5">
        <f t="shared" si="640"/>
        <v>0</v>
      </c>
      <c r="GK151" s="5">
        <f t="shared" si="640"/>
        <v>0</v>
      </c>
      <c r="GL151" s="5">
        <f t="shared" si="640"/>
        <v>0</v>
      </c>
      <c r="GM151" s="5">
        <f t="shared" si="640"/>
        <v>0</v>
      </c>
      <c r="GN151" s="5">
        <f t="shared" si="640"/>
        <v>0</v>
      </c>
      <c r="GO151" s="5">
        <f t="shared" si="640"/>
        <v>0</v>
      </c>
      <c r="GP151" s="195">
        <f>SUM(GJ151:GO151)</f>
        <v>0</v>
      </c>
      <c r="GR151" s="5"/>
      <c r="GS151" s="5"/>
      <c r="GT151" s="5"/>
      <c r="GU151" s="5"/>
      <c r="GV151" s="5"/>
      <c r="GW151" s="5"/>
      <c r="GX151" s="1105">
        <f>SUM(GR151:GW151)</f>
        <v>0</v>
      </c>
      <c r="GZ151" s="575">
        <f t="shared" si="641"/>
        <v>0</v>
      </c>
      <c r="HA151" s="575">
        <f t="shared" si="641"/>
        <v>0</v>
      </c>
      <c r="HB151" s="575">
        <f t="shared" si="641"/>
        <v>0</v>
      </c>
      <c r="HC151" s="575">
        <f t="shared" si="641"/>
        <v>0</v>
      </c>
      <c r="HD151" s="575">
        <f t="shared" si="641"/>
        <v>0</v>
      </c>
      <c r="HE151" s="575">
        <f t="shared" si="641"/>
        <v>0</v>
      </c>
      <c r="HF151" s="991">
        <f t="shared" si="642"/>
        <v>0</v>
      </c>
      <c r="HG151" s="573">
        <f t="shared" si="535"/>
        <v>0</v>
      </c>
      <c r="HH151" s="257"/>
    </row>
    <row r="152" spans="1:216" ht="15" hidden="1" customHeight="1" thickBot="1" x14ac:dyDescent="0.3">
      <c r="A152" s="22"/>
      <c r="B152" s="3223"/>
      <c r="C152" s="420" t="str">
        <f>'Calc - OTHER PERS'!A245</f>
        <v>Hourly Student(s) #3</v>
      </c>
      <c r="D152" s="42">
        <f>'Calc - OTHER PERS'!J250</f>
        <v>0</v>
      </c>
      <c r="E152" s="42">
        <f>'Calc - OTHER PERS'!J251</f>
        <v>0</v>
      </c>
      <c r="F152" s="42">
        <f>'Calc - OTHER PERS'!J252</f>
        <v>0</v>
      </c>
      <c r="G152" s="42">
        <f>'Calc - OTHER PERS'!J253</f>
        <v>0</v>
      </c>
      <c r="H152" s="42">
        <f>'Calc - OTHER PERS'!J254</f>
        <v>0</v>
      </c>
      <c r="I152" s="42">
        <f>'Calc - OTHER PERS'!J255</f>
        <v>0</v>
      </c>
      <c r="J152" s="90">
        <f>SUM(D152:I152)</f>
        <v>0</v>
      </c>
      <c r="K152" s="8"/>
      <c r="L152" s="4"/>
      <c r="M152" s="8"/>
      <c r="N152" s="5"/>
      <c r="O152" s="5"/>
      <c r="P152" s="5"/>
      <c r="Q152" s="5"/>
      <c r="R152" s="5"/>
      <c r="S152" s="5"/>
      <c r="T152" s="167">
        <f>SUM(N152:S152)</f>
        <v>0</v>
      </c>
      <c r="U152" s="1"/>
      <c r="V152" s="5"/>
      <c r="W152" s="5"/>
      <c r="X152" s="5"/>
      <c r="Y152" s="5"/>
      <c r="Z152" s="5"/>
      <c r="AA152" s="5"/>
      <c r="AB152" s="48">
        <f>SUM(V152:AA152)</f>
        <v>0</v>
      </c>
      <c r="AD152" s="5"/>
      <c r="AE152" s="5"/>
      <c r="AF152" s="5"/>
      <c r="AG152" s="5"/>
      <c r="AH152" s="5"/>
      <c r="AI152" s="5"/>
      <c r="AJ152" s="209">
        <f>SUM(AD152:AI152)</f>
        <v>0</v>
      </c>
      <c r="AL152" s="5"/>
      <c r="AM152" s="5"/>
      <c r="AN152" s="5"/>
      <c r="AO152" s="5"/>
      <c r="AP152" s="5"/>
      <c r="AQ152" s="5"/>
      <c r="AR152" s="181">
        <f>SUM(AL152:AQ152)</f>
        <v>0</v>
      </c>
      <c r="AT152" s="5"/>
      <c r="AU152" s="5"/>
      <c r="AV152" s="5"/>
      <c r="AW152" s="5"/>
      <c r="AX152" s="5"/>
      <c r="AY152" s="5"/>
      <c r="AZ152" s="153">
        <f>SUM(AT152:AY152)</f>
        <v>0</v>
      </c>
      <c r="BB152" s="5"/>
      <c r="BC152" s="5"/>
      <c r="BD152" s="5"/>
      <c r="BE152" s="5"/>
      <c r="BF152" s="5"/>
      <c r="BG152" s="5"/>
      <c r="BH152" s="195">
        <f>SUM(BB152:BG152)</f>
        <v>0</v>
      </c>
      <c r="BJ152" s="5"/>
      <c r="BK152" s="5"/>
      <c r="BL152" s="5"/>
      <c r="BM152" s="5"/>
      <c r="BN152" s="5"/>
      <c r="BO152" s="5"/>
      <c r="BP152" s="1105">
        <f>SUM(BJ152:BO152)</f>
        <v>0</v>
      </c>
      <c r="BR152" s="575">
        <f t="shared" si="632"/>
        <v>0</v>
      </c>
      <c r="BS152" s="575">
        <f t="shared" si="632"/>
        <v>0</v>
      </c>
      <c r="BT152" s="575">
        <f t="shared" si="632"/>
        <v>0</v>
      </c>
      <c r="BU152" s="575">
        <f t="shared" si="632"/>
        <v>0</v>
      </c>
      <c r="BV152" s="575">
        <f t="shared" si="632"/>
        <v>0</v>
      </c>
      <c r="BW152" s="575">
        <f t="shared" si="632"/>
        <v>0</v>
      </c>
      <c r="BX152" s="991">
        <f t="shared" si="633"/>
        <v>0</v>
      </c>
      <c r="BY152" s="573">
        <f t="shared" si="472"/>
        <v>0</v>
      </c>
      <c r="BZ152" s="257"/>
      <c r="CB152" s="1250">
        <f>'Calc - OTHER PERS'!$J$250</f>
        <v>0</v>
      </c>
      <c r="CC152" s="1201">
        <f>'Calc - OTHER PERS'!$J$251/12*3</f>
        <v>0</v>
      </c>
      <c r="CD152" s="1202">
        <f>'Calc - OTHER PERS'!$J$251/12*3</f>
        <v>0</v>
      </c>
      <c r="CE152" s="1202">
        <f>'Calc - OTHER PERS'!$J$251/12*2</f>
        <v>0</v>
      </c>
      <c r="CF152" s="1202">
        <f>'Calc - OTHER PERS'!$J$251/12*1</f>
        <v>0</v>
      </c>
      <c r="CG152" s="1203">
        <f>'Calc - OTHER PERS'!$J$251/12*3</f>
        <v>0</v>
      </c>
      <c r="CH152" s="1251">
        <f>'Calc - OTHER PERS'!$J$252/12*3</f>
        <v>0</v>
      </c>
      <c r="CI152" s="1205">
        <f>'Calc - OTHER PERS'!$J$252/12*3</f>
        <v>0</v>
      </c>
      <c r="CJ152" s="1205">
        <f>'Calc - OTHER PERS'!$J$252/12*2</f>
        <v>0</v>
      </c>
      <c r="CK152" s="1205">
        <f>'Calc - OTHER PERS'!$J$252/12*1</f>
        <v>0</v>
      </c>
      <c r="CL152" s="1206">
        <f>'Calc - OTHER PERS'!$J$252/12*3</f>
        <v>0</v>
      </c>
      <c r="CM152" s="1207">
        <f>'Calc - OTHER PERS'!$J$253/8*3</f>
        <v>0</v>
      </c>
      <c r="CN152" s="1252">
        <f>'Calc - OTHER PERS'!$J$253/8*3</f>
        <v>0</v>
      </c>
      <c r="CO152" s="1209">
        <f>'Calc - OTHER PERS'!$J$253/8*2</f>
        <v>0</v>
      </c>
      <c r="CP152" s="1237">
        <f t="shared" si="612"/>
        <v>0</v>
      </c>
      <c r="CS152" s="1034"/>
      <c r="CT152" s="321"/>
      <c r="CU152" s="1253"/>
      <c r="CV152" s="1034"/>
      <c r="CW152" s="321"/>
      <c r="CX152" s="1254"/>
      <c r="CY152" s="1034"/>
      <c r="CZ152" s="321"/>
      <c r="DA152" s="1253"/>
      <c r="DB152" s="1034"/>
      <c r="DC152" s="321"/>
      <c r="DD152" s="1253"/>
      <c r="DE152" s="1255">
        <f>SUM(CS152:DD152)</f>
        <v>0</v>
      </c>
      <c r="DG152" s="1034"/>
      <c r="DH152" s="321"/>
      <c r="DI152" s="1253"/>
      <c r="DJ152" s="1034"/>
      <c r="DK152" s="321"/>
      <c r="DL152" s="1254"/>
      <c r="DM152" s="1034"/>
      <c r="DN152" s="321"/>
      <c r="DO152" s="1253"/>
      <c r="DP152" s="1034"/>
      <c r="DQ152" s="321"/>
      <c r="DR152" s="1253"/>
      <c r="DS152" s="1255">
        <f>SUM(DG152:DR152)</f>
        <v>0</v>
      </c>
      <c r="DU152" s="1034"/>
      <c r="DV152" s="321"/>
      <c r="DW152" s="1253"/>
      <c r="DX152" s="1034"/>
      <c r="DY152" s="321"/>
      <c r="DZ152" s="1254"/>
      <c r="EA152" s="1034"/>
      <c r="EB152" s="321"/>
      <c r="EC152" s="1253"/>
      <c r="ED152" s="1034"/>
      <c r="EE152" s="321"/>
      <c r="EF152" s="1253"/>
      <c r="EG152" s="1255">
        <f>SUM(DU152:EF152)</f>
        <v>0</v>
      </c>
      <c r="EI152" s="22"/>
      <c r="EJ152" s="3223"/>
      <c r="EK152" s="420" t="str">
        <f>C152</f>
        <v>Hourly Student(s) #3</v>
      </c>
      <c r="EL152" s="5">
        <f t="shared" si="634"/>
        <v>0</v>
      </c>
      <c r="EM152" s="5">
        <f t="shared" si="634"/>
        <v>0</v>
      </c>
      <c r="EN152" s="5">
        <f t="shared" si="634"/>
        <v>0</v>
      </c>
      <c r="EO152" s="5">
        <f t="shared" si="634"/>
        <v>0</v>
      </c>
      <c r="EP152" s="5">
        <f t="shared" si="634"/>
        <v>0</v>
      </c>
      <c r="EQ152" s="5">
        <f t="shared" si="634"/>
        <v>0</v>
      </c>
      <c r="ER152" s="90">
        <f>SUM(EL152:EQ152)</f>
        <v>0</v>
      </c>
      <c r="ES152" s="8"/>
      <c r="ET152" s="4"/>
      <c r="EU152" s="8"/>
      <c r="EV152" s="5">
        <f t="shared" si="635"/>
        <v>0</v>
      </c>
      <c r="EW152" s="5">
        <f t="shared" si="635"/>
        <v>0</v>
      </c>
      <c r="EX152" s="5">
        <f t="shared" si="635"/>
        <v>0</v>
      </c>
      <c r="EY152" s="5">
        <f t="shared" si="635"/>
        <v>0</v>
      </c>
      <c r="EZ152" s="5">
        <f t="shared" si="635"/>
        <v>0</v>
      </c>
      <c r="FA152" s="5">
        <f t="shared" si="635"/>
        <v>0</v>
      </c>
      <c r="FB152" s="167">
        <f>SUM(EV152:FA152)</f>
        <v>0</v>
      </c>
      <c r="FC152" s="1"/>
      <c r="FD152" s="5">
        <f t="shared" si="636"/>
        <v>0</v>
      </c>
      <c r="FE152" s="5">
        <f t="shared" si="636"/>
        <v>0</v>
      </c>
      <c r="FF152" s="5">
        <f t="shared" si="636"/>
        <v>0</v>
      </c>
      <c r="FG152" s="5">
        <f t="shared" si="636"/>
        <v>0</v>
      </c>
      <c r="FH152" s="5">
        <f t="shared" si="636"/>
        <v>0</v>
      </c>
      <c r="FI152" s="5">
        <f t="shared" si="636"/>
        <v>0</v>
      </c>
      <c r="FJ152" s="48">
        <f>SUM(FD152:FI152)</f>
        <v>0</v>
      </c>
      <c r="FL152" s="5">
        <f t="shared" si="637"/>
        <v>0</v>
      </c>
      <c r="FM152" s="5">
        <f t="shared" si="637"/>
        <v>0</v>
      </c>
      <c r="FN152" s="5">
        <f t="shared" si="637"/>
        <v>0</v>
      </c>
      <c r="FO152" s="5">
        <f t="shared" si="637"/>
        <v>0</v>
      </c>
      <c r="FP152" s="5">
        <f t="shared" si="637"/>
        <v>0</v>
      </c>
      <c r="FQ152" s="5">
        <f t="shared" si="637"/>
        <v>0</v>
      </c>
      <c r="FR152" s="209">
        <f>SUM(FL152:FQ152)</f>
        <v>0</v>
      </c>
      <c r="FT152" s="5">
        <f t="shared" si="638"/>
        <v>0</v>
      </c>
      <c r="FU152" s="5">
        <f t="shared" si="638"/>
        <v>0</v>
      </c>
      <c r="FV152" s="5">
        <f t="shared" si="638"/>
        <v>0</v>
      </c>
      <c r="FW152" s="5">
        <f t="shared" si="638"/>
        <v>0</v>
      </c>
      <c r="FX152" s="5">
        <f t="shared" si="638"/>
        <v>0</v>
      </c>
      <c r="FY152" s="5">
        <f t="shared" si="638"/>
        <v>0</v>
      </c>
      <c r="FZ152" s="181">
        <f>SUM(FT152:FY152)</f>
        <v>0</v>
      </c>
      <c r="GB152" s="5">
        <f t="shared" si="639"/>
        <v>0</v>
      </c>
      <c r="GC152" s="5">
        <f t="shared" si="639"/>
        <v>0</v>
      </c>
      <c r="GD152" s="5">
        <f t="shared" si="639"/>
        <v>0</v>
      </c>
      <c r="GE152" s="5">
        <f t="shared" si="639"/>
        <v>0</v>
      </c>
      <c r="GF152" s="5">
        <f t="shared" si="639"/>
        <v>0</v>
      </c>
      <c r="GG152" s="5">
        <f t="shared" si="639"/>
        <v>0</v>
      </c>
      <c r="GH152" s="153">
        <f>SUM(GB152:GG152)</f>
        <v>0</v>
      </c>
      <c r="GJ152" s="5">
        <f t="shared" si="640"/>
        <v>0</v>
      </c>
      <c r="GK152" s="5">
        <f t="shared" si="640"/>
        <v>0</v>
      </c>
      <c r="GL152" s="5">
        <f t="shared" si="640"/>
        <v>0</v>
      </c>
      <c r="GM152" s="5">
        <f t="shared" si="640"/>
        <v>0</v>
      </c>
      <c r="GN152" s="5">
        <f t="shared" si="640"/>
        <v>0</v>
      </c>
      <c r="GO152" s="5">
        <f t="shared" si="640"/>
        <v>0</v>
      </c>
      <c r="GP152" s="195">
        <f>SUM(GJ152:GO152)</f>
        <v>0</v>
      </c>
      <c r="GR152" s="5"/>
      <c r="GS152" s="5"/>
      <c r="GT152" s="5"/>
      <c r="GU152" s="5"/>
      <c r="GV152" s="5"/>
      <c r="GW152" s="5"/>
      <c r="GX152" s="1105">
        <f>SUM(GR152:GW152)</f>
        <v>0</v>
      </c>
      <c r="GZ152" s="575">
        <f t="shared" si="641"/>
        <v>0</v>
      </c>
      <c r="HA152" s="575">
        <f t="shared" si="641"/>
        <v>0</v>
      </c>
      <c r="HB152" s="575">
        <f t="shared" si="641"/>
        <v>0</v>
      </c>
      <c r="HC152" s="575">
        <f t="shared" si="641"/>
        <v>0</v>
      </c>
      <c r="HD152" s="575">
        <f t="shared" si="641"/>
        <v>0</v>
      </c>
      <c r="HE152" s="575">
        <f t="shared" si="641"/>
        <v>0</v>
      </c>
      <c r="HF152" s="991">
        <f t="shared" si="642"/>
        <v>0</v>
      </c>
      <c r="HG152" s="573">
        <f t="shared" si="535"/>
        <v>0</v>
      </c>
      <c r="HH152" s="257"/>
    </row>
    <row r="153" spans="1:216" ht="15" hidden="1" customHeight="1" thickBot="1" x14ac:dyDescent="0.3">
      <c r="A153" s="414"/>
      <c r="B153" s="3212" t="s">
        <v>829</v>
      </c>
      <c r="C153" s="3224"/>
      <c r="D153" s="415">
        <f t="shared" ref="D153:J153" si="643">SUM(D150:D152)</f>
        <v>0</v>
      </c>
      <c r="E153" s="355">
        <f t="shared" si="643"/>
        <v>0</v>
      </c>
      <c r="F153" s="355">
        <f t="shared" si="643"/>
        <v>0</v>
      </c>
      <c r="G153" s="355">
        <f t="shared" si="643"/>
        <v>0</v>
      </c>
      <c r="H153" s="355">
        <f t="shared" si="643"/>
        <v>0</v>
      </c>
      <c r="I153" s="355">
        <f t="shared" si="643"/>
        <v>0</v>
      </c>
      <c r="J153" s="356">
        <f t="shared" si="643"/>
        <v>0</v>
      </c>
      <c r="K153" s="353">
        <f>SUM(D153:I153)</f>
        <v>0</v>
      </c>
      <c r="L153" s="13"/>
      <c r="M153" s="4"/>
      <c r="N153" s="171">
        <f t="shared" ref="N153:T153" si="644">SUM(N150:N152)</f>
        <v>0</v>
      </c>
      <c r="O153" s="171">
        <f t="shared" si="644"/>
        <v>0</v>
      </c>
      <c r="P153" s="171">
        <f t="shared" si="644"/>
        <v>0</v>
      </c>
      <c r="Q153" s="171">
        <f t="shared" si="644"/>
        <v>0</v>
      </c>
      <c r="R153" s="171">
        <f t="shared" si="644"/>
        <v>0</v>
      </c>
      <c r="S153" s="171">
        <f t="shared" si="644"/>
        <v>0</v>
      </c>
      <c r="T153" s="167">
        <f t="shared" si="644"/>
        <v>0</v>
      </c>
      <c r="U153" s="1"/>
      <c r="V153" s="144">
        <f t="shared" ref="V153:AB153" si="645">SUM(V150:V152)</f>
        <v>0</v>
      </c>
      <c r="W153" s="144">
        <f t="shared" si="645"/>
        <v>0</v>
      </c>
      <c r="X153" s="144">
        <f t="shared" si="645"/>
        <v>0</v>
      </c>
      <c r="Y153" s="144">
        <f t="shared" si="645"/>
        <v>0</v>
      </c>
      <c r="Z153" s="144">
        <f t="shared" si="645"/>
        <v>0</v>
      </c>
      <c r="AA153" s="144">
        <f t="shared" si="645"/>
        <v>0</v>
      </c>
      <c r="AB153" s="48">
        <f t="shared" si="645"/>
        <v>0</v>
      </c>
      <c r="AD153" s="213">
        <f t="shared" ref="AD153:AJ153" si="646">SUM(AD150:AD152)</f>
        <v>0</v>
      </c>
      <c r="AE153" s="213">
        <f t="shared" si="646"/>
        <v>0</v>
      </c>
      <c r="AF153" s="213">
        <f t="shared" si="646"/>
        <v>0</v>
      </c>
      <c r="AG153" s="213">
        <f t="shared" si="646"/>
        <v>0</v>
      </c>
      <c r="AH153" s="213">
        <f t="shared" si="646"/>
        <v>0</v>
      </c>
      <c r="AI153" s="213">
        <f t="shared" si="646"/>
        <v>0</v>
      </c>
      <c r="AJ153" s="209">
        <f t="shared" si="646"/>
        <v>0</v>
      </c>
      <c r="AL153" s="185">
        <f t="shared" ref="AL153:AR153" si="647">SUM(AL150:AL152)</f>
        <v>0</v>
      </c>
      <c r="AM153" s="185">
        <f t="shared" si="647"/>
        <v>0</v>
      </c>
      <c r="AN153" s="185">
        <f t="shared" si="647"/>
        <v>0</v>
      </c>
      <c r="AO153" s="185">
        <f t="shared" si="647"/>
        <v>0</v>
      </c>
      <c r="AP153" s="185">
        <f t="shared" si="647"/>
        <v>0</v>
      </c>
      <c r="AQ153" s="185">
        <f t="shared" si="647"/>
        <v>0</v>
      </c>
      <c r="AR153" s="181">
        <f t="shared" si="647"/>
        <v>0</v>
      </c>
      <c r="AT153" s="157">
        <f t="shared" ref="AT153:AZ153" si="648">SUM(AT150:AT152)</f>
        <v>0</v>
      </c>
      <c r="AU153" s="157">
        <f t="shared" si="648"/>
        <v>0</v>
      </c>
      <c r="AV153" s="157">
        <f t="shared" si="648"/>
        <v>0</v>
      </c>
      <c r="AW153" s="157">
        <f t="shared" si="648"/>
        <v>0</v>
      </c>
      <c r="AX153" s="157">
        <f t="shared" si="648"/>
        <v>0</v>
      </c>
      <c r="AY153" s="157">
        <f t="shared" si="648"/>
        <v>0</v>
      </c>
      <c r="AZ153" s="153">
        <f t="shared" si="648"/>
        <v>0</v>
      </c>
      <c r="BB153" s="199">
        <f t="shared" ref="BB153:BH153" si="649">SUM(BB150:BB152)</f>
        <v>0</v>
      </c>
      <c r="BC153" s="199">
        <f t="shared" si="649"/>
        <v>0</v>
      </c>
      <c r="BD153" s="199">
        <f t="shared" si="649"/>
        <v>0</v>
      </c>
      <c r="BE153" s="199">
        <f t="shared" si="649"/>
        <v>0</v>
      </c>
      <c r="BF153" s="199">
        <f t="shared" si="649"/>
        <v>0</v>
      </c>
      <c r="BG153" s="199">
        <f t="shared" si="649"/>
        <v>0</v>
      </c>
      <c r="BH153" s="195">
        <f t="shared" si="649"/>
        <v>0</v>
      </c>
      <c r="BJ153" s="1108">
        <f t="shared" ref="BJ153:BP153" si="650">SUM(BJ150:BJ152)</f>
        <v>0</v>
      </c>
      <c r="BK153" s="1108">
        <f t="shared" si="650"/>
        <v>0</v>
      </c>
      <c r="BL153" s="1108">
        <f t="shared" si="650"/>
        <v>0</v>
      </c>
      <c r="BM153" s="1108">
        <f t="shared" si="650"/>
        <v>0</v>
      </c>
      <c r="BN153" s="1108">
        <f t="shared" si="650"/>
        <v>0</v>
      </c>
      <c r="BO153" s="1108">
        <f t="shared" si="650"/>
        <v>0</v>
      </c>
      <c r="BP153" s="1105">
        <f t="shared" si="650"/>
        <v>0</v>
      </c>
      <c r="BR153" s="991">
        <f t="shared" si="632"/>
        <v>0</v>
      </c>
      <c r="BS153" s="991">
        <f t="shared" si="632"/>
        <v>0</v>
      </c>
      <c r="BT153" s="991">
        <f t="shared" si="632"/>
        <v>0</v>
      </c>
      <c r="BU153" s="991">
        <f t="shared" si="632"/>
        <v>0</v>
      </c>
      <c r="BV153" s="991">
        <f t="shared" si="632"/>
        <v>0</v>
      </c>
      <c r="BW153" s="991">
        <f t="shared" si="632"/>
        <v>0</v>
      </c>
      <c r="BX153" s="991">
        <f t="shared" si="633"/>
        <v>0</v>
      </c>
      <c r="BY153" s="573">
        <f t="shared" si="472"/>
        <v>0</v>
      </c>
      <c r="BZ153" s="257"/>
      <c r="CB153" s="1291">
        <f t="shared" ref="CB153:CO153" si="651">SUM(CB150:CB152)</f>
        <v>0</v>
      </c>
      <c r="CC153" s="1292">
        <f t="shared" si="651"/>
        <v>0</v>
      </c>
      <c r="CD153" s="1293">
        <f t="shared" si="651"/>
        <v>0</v>
      </c>
      <c r="CE153" s="1293">
        <f t="shared" si="651"/>
        <v>0</v>
      </c>
      <c r="CF153" s="1293">
        <f t="shared" si="651"/>
        <v>0</v>
      </c>
      <c r="CG153" s="1294">
        <f t="shared" si="651"/>
        <v>0</v>
      </c>
      <c r="CH153" s="1292">
        <f t="shared" si="651"/>
        <v>0</v>
      </c>
      <c r="CI153" s="1293">
        <f t="shared" si="651"/>
        <v>0</v>
      </c>
      <c r="CJ153" s="1293">
        <f t="shared" si="651"/>
        <v>0</v>
      </c>
      <c r="CK153" s="1293">
        <f t="shared" si="651"/>
        <v>0</v>
      </c>
      <c r="CL153" s="1295">
        <f t="shared" si="651"/>
        <v>0</v>
      </c>
      <c r="CM153" s="1292">
        <f t="shared" si="651"/>
        <v>0</v>
      </c>
      <c r="CN153" s="1293">
        <f t="shared" si="651"/>
        <v>0</v>
      </c>
      <c r="CO153" s="1294">
        <f t="shared" si="651"/>
        <v>0</v>
      </c>
      <c r="CP153" s="1237">
        <f t="shared" si="612"/>
        <v>0</v>
      </c>
      <c r="CS153" s="1296">
        <f t="shared" ref="CS153:DE153" si="652">SUM(CS134:CS152)</f>
        <v>0</v>
      </c>
      <c r="CT153" s="1297">
        <f t="shared" si="652"/>
        <v>0</v>
      </c>
      <c r="CU153" s="1297">
        <f t="shared" si="652"/>
        <v>0</v>
      </c>
      <c r="CV153" s="1297">
        <f t="shared" si="652"/>
        <v>0</v>
      </c>
      <c r="CW153" s="1297">
        <f t="shared" si="652"/>
        <v>0</v>
      </c>
      <c r="CX153" s="1297">
        <f t="shared" si="652"/>
        <v>0</v>
      </c>
      <c r="CY153" s="1297">
        <f t="shared" si="652"/>
        <v>0</v>
      </c>
      <c r="CZ153" s="1297">
        <f t="shared" si="652"/>
        <v>0</v>
      </c>
      <c r="DA153" s="1297">
        <f t="shared" si="652"/>
        <v>0</v>
      </c>
      <c r="DB153" s="1297">
        <f t="shared" si="652"/>
        <v>0</v>
      </c>
      <c r="DC153" s="1297">
        <f t="shared" si="652"/>
        <v>0</v>
      </c>
      <c r="DD153" s="1297">
        <f t="shared" si="652"/>
        <v>0</v>
      </c>
      <c r="DE153" s="1297">
        <f t="shared" si="652"/>
        <v>0</v>
      </c>
      <c r="DG153" s="1296">
        <f t="shared" ref="DG153:DS153" si="653">SUM(DG134:DG152)</f>
        <v>0</v>
      </c>
      <c r="DH153" s="1297">
        <f t="shared" si="653"/>
        <v>0</v>
      </c>
      <c r="DI153" s="1297">
        <f t="shared" si="653"/>
        <v>0</v>
      </c>
      <c r="DJ153" s="1297">
        <f t="shared" si="653"/>
        <v>0</v>
      </c>
      <c r="DK153" s="1297">
        <f t="shared" si="653"/>
        <v>0</v>
      </c>
      <c r="DL153" s="1297">
        <f t="shared" si="653"/>
        <v>0</v>
      </c>
      <c r="DM153" s="1297">
        <f t="shared" si="653"/>
        <v>0</v>
      </c>
      <c r="DN153" s="1297">
        <f t="shared" si="653"/>
        <v>0</v>
      </c>
      <c r="DO153" s="1297">
        <f t="shared" si="653"/>
        <v>0</v>
      </c>
      <c r="DP153" s="1297">
        <f t="shared" si="653"/>
        <v>0</v>
      </c>
      <c r="DQ153" s="1297">
        <f t="shared" si="653"/>
        <v>0</v>
      </c>
      <c r="DR153" s="1297">
        <f t="shared" si="653"/>
        <v>0</v>
      </c>
      <c r="DS153" s="1297">
        <f t="shared" si="653"/>
        <v>0</v>
      </c>
      <c r="DU153" s="1296">
        <f t="shared" ref="DU153:EG153" si="654">SUM(DU134:DU152)</f>
        <v>0</v>
      </c>
      <c r="DV153" s="1297">
        <f t="shared" si="654"/>
        <v>0</v>
      </c>
      <c r="DW153" s="1297">
        <f t="shared" si="654"/>
        <v>0</v>
      </c>
      <c r="DX153" s="1297">
        <f t="shared" si="654"/>
        <v>0</v>
      </c>
      <c r="DY153" s="1297">
        <f t="shared" si="654"/>
        <v>0</v>
      </c>
      <c r="DZ153" s="1297">
        <f t="shared" si="654"/>
        <v>0</v>
      </c>
      <c r="EA153" s="1297">
        <f t="shared" si="654"/>
        <v>0</v>
      </c>
      <c r="EB153" s="1297">
        <f t="shared" si="654"/>
        <v>0</v>
      </c>
      <c r="EC153" s="1297">
        <f t="shared" si="654"/>
        <v>0</v>
      </c>
      <c r="ED153" s="1297">
        <f t="shared" si="654"/>
        <v>0</v>
      </c>
      <c r="EE153" s="1297">
        <f t="shared" si="654"/>
        <v>0</v>
      </c>
      <c r="EF153" s="1297">
        <f t="shared" si="654"/>
        <v>0</v>
      </c>
      <c r="EG153" s="1297">
        <f t="shared" si="654"/>
        <v>0</v>
      </c>
      <c r="EI153" s="414"/>
      <c r="EJ153" s="3212" t="s">
        <v>829</v>
      </c>
      <c r="EK153" s="3224"/>
      <c r="EL153" s="415">
        <f t="shared" ref="EL153:ER153" si="655">SUM(EL150:EL152)</f>
        <v>0</v>
      </c>
      <c r="EM153" s="355">
        <f t="shared" si="655"/>
        <v>0</v>
      </c>
      <c r="EN153" s="355">
        <f t="shared" si="655"/>
        <v>0</v>
      </c>
      <c r="EO153" s="355">
        <f t="shared" si="655"/>
        <v>0</v>
      </c>
      <c r="EP153" s="355">
        <f t="shared" si="655"/>
        <v>0</v>
      </c>
      <c r="EQ153" s="355">
        <f t="shared" si="655"/>
        <v>0</v>
      </c>
      <c r="ER153" s="356">
        <f t="shared" si="655"/>
        <v>0</v>
      </c>
      <c r="ES153" s="353">
        <f>SUM(EL153:EQ153)</f>
        <v>0</v>
      </c>
      <c r="ET153" s="13"/>
      <c r="EU153" s="4"/>
      <c r="EV153" s="171">
        <f t="shared" ref="EV153:FB153" si="656">SUM(EV150:EV152)</f>
        <v>0</v>
      </c>
      <c r="EW153" s="171">
        <f t="shared" si="656"/>
        <v>0</v>
      </c>
      <c r="EX153" s="171">
        <f t="shared" si="656"/>
        <v>0</v>
      </c>
      <c r="EY153" s="171">
        <f t="shared" si="656"/>
        <v>0</v>
      </c>
      <c r="EZ153" s="171">
        <f t="shared" si="656"/>
        <v>0</v>
      </c>
      <c r="FA153" s="171">
        <f t="shared" si="656"/>
        <v>0</v>
      </c>
      <c r="FB153" s="167">
        <f t="shared" si="656"/>
        <v>0</v>
      </c>
      <c r="FC153" s="1"/>
      <c r="FD153" s="144">
        <f t="shared" ref="FD153:FJ153" si="657">SUM(FD150:FD152)</f>
        <v>0</v>
      </c>
      <c r="FE153" s="144">
        <f t="shared" si="657"/>
        <v>0</v>
      </c>
      <c r="FF153" s="144">
        <f t="shared" si="657"/>
        <v>0</v>
      </c>
      <c r="FG153" s="144">
        <f t="shared" si="657"/>
        <v>0</v>
      </c>
      <c r="FH153" s="144">
        <f t="shared" si="657"/>
        <v>0</v>
      </c>
      <c r="FI153" s="144">
        <f t="shared" si="657"/>
        <v>0</v>
      </c>
      <c r="FJ153" s="48">
        <f t="shared" si="657"/>
        <v>0</v>
      </c>
      <c r="FL153" s="213">
        <f t="shared" ref="FL153:FR153" si="658">SUM(FL150:FL152)</f>
        <v>0</v>
      </c>
      <c r="FM153" s="213">
        <f t="shared" si="658"/>
        <v>0</v>
      </c>
      <c r="FN153" s="213">
        <f t="shared" si="658"/>
        <v>0</v>
      </c>
      <c r="FO153" s="213">
        <f t="shared" si="658"/>
        <v>0</v>
      </c>
      <c r="FP153" s="213">
        <f t="shared" si="658"/>
        <v>0</v>
      </c>
      <c r="FQ153" s="213">
        <f t="shared" si="658"/>
        <v>0</v>
      </c>
      <c r="FR153" s="209">
        <f t="shared" si="658"/>
        <v>0</v>
      </c>
      <c r="FT153" s="185">
        <f t="shared" ref="FT153:FZ153" si="659">SUM(FT150:FT152)</f>
        <v>0</v>
      </c>
      <c r="FU153" s="185">
        <f t="shared" si="659"/>
        <v>0</v>
      </c>
      <c r="FV153" s="185">
        <f t="shared" si="659"/>
        <v>0</v>
      </c>
      <c r="FW153" s="185">
        <f t="shared" si="659"/>
        <v>0</v>
      </c>
      <c r="FX153" s="185">
        <f t="shared" si="659"/>
        <v>0</v>
      </c>
      <c r="FY153" s="185">
        <f t="shared" si="659"/>
        <v>0</v>
      </c>
      <c r="FZ153" s="181">
        <f t="shared" si="659"/>
        <v>0</v>
      </c>
      <c r="GB153" s="157">
        <f t="shared" ref="GB153:GH153" si="660">SUM(GB150:GB152)</f>
        <v>0</v>
      </c>
      <c r="GC153" s="157">
        <f t="shared" si="660"/>
        <v>0</v>
      </c>
      <c r="GD153" s="157">
        <f t="shared" si="660"/>
        <v>0</v>
      </c>
      <c r="GE153" s="157">
        <f t="shared" si="660"/>
        <v>0</v>
      </c>
      <c r="GF153" s="157">
        <f t="shared" si="660"/>
        <v>0</v>
      </c>
      <c r="GG153" s="157">
        <f t="shared" si="660"/>
        <v>0</v>
      </c>
      <c r="GH153" s="153">
        <f t="shared" si="660"/>
        <v>0</v>
      </c>
      <c r="GJ153" s="199">
        <f t="shared" ref="GJ153:GP153" si="661">SUM(GJ150:GJ152)</f>
        <v>0</v>
      </c>
      <c r="GK153" s="199">
        <f t="shared" si="661"/>
        <v>0</v>
      </c>
      <c r="GL153" s="199">
        <f t="shared" si="661"/>
        <v>0</v>
      </c>
      <c r="GM153" s="199">
        <f t="shared" si="661"/>
        <v>0</v>
      </c>
      <c r="GN153" s="199">
        <f t="shared" si="661"/>
        <v>0</v>
      </c>
      <c r="GO153" s="199">
        <f t="shared" si="661"/>
        <v>0</v>
      </c>
      <c r="GP153" s="195">
        <f t="shared" si="661"/>
        <v>0</v>
      </c>
      <c r="GR153" s="1108">
        <f t="shared" ref="GR153:GX153" si="662">SUM(GR150:GR152)</f>
        <v>0</v>
      </c>
      <c r="GS153" s="1108">
        <f t="shared" si="662"/>
        <v>0</v>
      </c>
      <c r="GT153" s="1108">
        <f t="shared" si="662"/>
        <v>0</v>
      </c>
      <c r="GU153" s="1108">
        <f t="shared" si="662"/>
        <v>0</v>
      </c>
      <c r="GV153" s="1108">
        <f t="shared" si="662"/>
        <v>0</v>
      </c>
      <c r="GW153" s="1108">
        <f t="shared" si="662"/>
        <v>0</v>
      </c>
      <c r="GX153" s="1105">
        <f t="shared" si="662"/>
        <v>0</v>
      </c>
      <c r="GZ153" s="991">
        <f t="shared" si="641"/>
        <v>0</v>
      </c>
      <c r="HA153" s="991">
        <f t="shared" si="641"/>
        <v>0</v>
      </c>
      <c r="HB153" s="991">
        <f t="shared" si="641"/>
        <v>0</v>
      </c>
      <c r="HC153" s="991">
        <f t="shared" si="641"/>
        <v>0</v>
      </c>
      <c r="HD153" s="991">
        <f t="shared" si="641"/>
        <v>0</v>
      </c>
      <c r="HE153" s="991">
        <f t="shared" si="641"/>
        <v>0</v>
      </c>
      <c r="HF153" s="991">
        <f t="shared" si="642"/>
        <v>0</v>
      </c>
      <c r="HG153" s="573">
        <f t="shared" si="535"/>
        <v>0</v>
      </c>
      <c r="HH153" s="257"/>
    </row>
    <row r="154" spans="1:216" ht="15" hidden="1" customHeight="1" thickBot="1" x14ac:dyDescent="0.3">
      <c r="A154" s="414"/>
      <c r="B154" s="2258"/>
      <c r="C154" s="472" t="s">
        <v>830</v>
      </c>
      <c r="D154" s="2259">
        <f t="shared" ref="D154:J154" ca="1" si="663">SUM(D149,D153)</f>
        <v>5070</v>
      </c>
      <c r="E154" s="412">
        <f t="shared" ca="1" si="663"/>
        <v>0</v>
      </c>
      <c r="F154" s="412">
        <f t="shared" ca="1" si="663"/>
        <v>0</v>
      </c>
      <c r="G154" s="412">
        <f t="shared" ca="1" si="663"/>
        <v>0</v>
      </c>
      <c r="H154" s="412">
        <f t="shared" ca="1" si="663"/>
        <v>0</v>
      </c>
      <c r="I154" s="412">
        <f t="shared" ca="1" si="663"/>
        <v>0</v>
      </c>
      <c r="J154" s="1239">
        <f t="shared" ca="1" si="663"/>
        <v>5070</v>
      </c>
      <c r="K154" s="353">
        <f ca="1">SUM(D154:I154)</f>
        <v>5070</v>
      </c>
      <c r="L154" s="13"/>
      <c r="M154" s="4"/>
      <c r="N154" s="171">
        <f t="shared" ref="N154:T154" ca="1" si="664">SUM(N149,N153)</f>
        <v>0</v>
      </c>
      <c r="O154" s="171">
        <f t="shared" ca="1" si="664"/>
        <v>0</v>
      </c>
      <c r="P154" s="171">
        <f t="shared" ca="1" si="664"/>
        <v>0</v>
      </c>
      <c r="Q154" s="171">
        <f t="shared" ca="1" si="664"/>
        <v>0</v>
      </c>
      <c r="R154" s="171">
        <f t="shared" ca="1" si="664"/>
        <v>0</v>
      </c>
      <c r="S154" s="171">
        <f t="shared" ca="1" si="664"/>
        <v>0</v>
      </c>
      <c r="T154" s="167">
        <f t="shared" ca="1" si="664"/>
        <v>0</v>
      </c>
      <c r="U154" s="1"/>
      <c r="V154" s="144">
        <f t="shared" ref="V154:AB154" ca="1" si="665">SUM(V149,V153)</f>
        <v>0</v>
      </c>
      <c r="W154" s="144">
        <f t="shared" ca="1" si="665"/>
        <v>0</v>
      </c>
      <c r="X154" s="144">
        <f t="shared" ca="1" si="665"/>
        <v>0</v>
      </c>
      <c r="Y154" s="144">
        <f t="shared" ca="1" si="665"/>
        <v>0</v>
      </c>
      <c r="Z154" s="144">
        <f t="shared" ca="1" si="665"/>
        <v>0</v>
      </c>
      <c r="AA154" s="144">
        <f t="shared" ca="1" si="665"/>
        <v>0</v>
      </c>
      <c r="AB154" s="48">
        <f t="shared" ca="1" si="665"/>
        <v>0</v>
      </c>
      <c r="AD154" s="213">
        <f t="shared" ref="AD154:AJ154" ca="1" si="666">SUM(AD149,AD153)</f>
        <v>0</v>
      </c>
      <c r="AE154" s="213">
        <f t="shared" ca="1" si="666"/>
        <v>0</v>
      </c>
      <c r="AF154" s="213">
        <f t="shared" ca="1" si="666"/>
        <v>0</v>
      </c>
      <c r="AG154" s="213">
        <f t="shared" ca="1" si="666"/>
        <v>0</v>
      </c>
      <c r="AH154" s="213">
        <f t="shared" ca="1" si="666"/>
        <v>0</v>
      </c>
      <c r="AI154" s="213">
        <f t="shared" ca="1" si="666"/>
        <v>0</v>
      </c>
      <c r="AJ154" s="209">
        <f t="shared" ca="1" si="666"/>
        <v>0</v>
      </c>
      <c r="AL154" s="185">
        <f t="shared" ref="AL154:AR154" ca="1" si="667">SUM(AL149,AL153)</f>
        <v>0</v>
      </c>
      <c r="AM154" s="185">
        <f t="shared" ca="1" si="667"/>
        <v>0</v>
      </c>
      <c r="AN154" s="185">
        <f t="shared" ca="1" si="667"/>
        <v>0</v>
      </c>
      <c r="AO154" s="185">
        <f t="shared" ca="1" si="667"/>
        <v>0</v>
      </c>
      <c r="AP154" s="185">
        <f t="shared" ca="1" si="667"/>
        <v>0</v>
      </c>
      <c r="AQ154" s="185">
        <f t="shared" ca="1" si="667"/>
        <v>0</v>
      </c>
      <c r="AR154" s="181">
        <f t="shared" ca="1" si="667"/>
        <v>0</v>
      </c>
      <c r="AT154" s="157">
        <f t="shared" ref="AT154:AZ154" ca="1" si="668">SUM(AT149,AT153)</f>
        <v>0</v>
      </c>
      <c r="AU154" s="157">
        <f t="shared" ca="1" si="668"/>
        <v>0</v>
      </c>
      <c r="AV154" s="157">
        <f t="shared" ca="1" si="668"/>
        <v>0</v>
      </c>
      <c r="AW154" s="157">
        <f t="shared" ca="1" si="668"/>
        <v>0</v>
      </c>
      <c r="AX154" s="157">
        <f t="shared" ca="1" si="668"/>
        <v>0</v>
      </c>
      <c r="AY154" s="157">
        <f t="shared" ca="1" si="668"/>
        <v>0</v>
      </c>
      <c r="AZ154" s="153">
        <f t="shared" ca="1" si="668"/>
        <v>0</v>
      </c>
      <c r="BB154" s="199">
        <f t="shared" ref="BB154:BH154" ca="1" si="669">SUM(BB149,BB153)</f>
        <v>0</v>
      </c>
      <c r="BC154" s="199">
        <f t="shared" ca="1" si="669"/>
        <v>0</v>
      </c>
      <c r="BD154" s="199">
        <f t="shared" ca="1" si="669"/>
        <v>0</v>
      </c>
      <c r="BE154" s="199">
        <f t="shared" ca="1" si="669"/>
        <v>0</v>
      </c>
      <c r="BF154" s="199">
        <f t="shared" ca="1" si="669"/>
        <v>0</v>
      </c>
      <c r="BG154" s="199">
        <f t="shared" ca="1" si="669"/>
        <v>0</v>
      </c>
      <c r="BH154" s="195">
        <f t="shared" ca="1" si="669"/>
        <v>0</v>
      </c>
      <c r="BJ154" s="1108">
        <f t="shared" ref="BJ154:BP154" si="670">SUM(BJ149,BJ153)</f>
        <v>0</v>
      </c>
      <c r="BK154" s="1108">
        <f t="shared" si="670"/>
        <v>0</v>
      </c>
      <c r="BL154" s="1108">
        <f t="shared" si="670"/>
        <v>0</v>
      </c>
      <c r="BM154" s="1108">
        <f t="shared" si="670"/>
        <v>0</v>
      </c>
      <c r="BN154" s="1108">
        <f t="shared" si="670"/>
        <v>0</v>
      </c>
      <c r="BO154" s="1108">
        <f t="shared" si="670"/>
        <v>0</v>
      </c>
      <c r="BP154" s="1105">
        <f t="shared" si="670"/>
        <v>0</v>
      </c>
      <c r="BR154" s="991">
        <f t="shared" ca="1" si="632"/>
        <v>0</v>
      </c>
      <c r="BS154" s="991">
        <f t="shared" ca="1" si="632"/>
        <v>0</v>
      </c>
      <c r="BT154" s="991">
        <f t="shared" ca="1" si="632"/>
        <v>0</v>
      </c>
      <c r="BU154" s="991">
        <f t="shared" ca="1" si="632"/>
        <v>0</v>
      </c>
      <c r="BV154" s="991">
        <f t="shared" ca="1" si="632"/>
        <v>0</v>
      </c>
      <c r="BW154" s="991">
        <f t="shared" ca="1" si="632"/>
        <v>0</v>
      </c>
      <c r="BX154" s="991">
        <f t="shared" ca="1" si="633"/>
        <v>0</v>
      </c>
      <c r="BY154" s="573">
        <f t="shared" ca="1" si="472"/>
        <v>5070</v>
      </c>
      <c r="BZ154" s="257"/>
      <c r="CB154" s="1211">
        <f t="shared" ref="CB154:CO154" ca="1" si="671">SUM(CB149,CB153)</f>
        <v>5070</v>
      </c>
      <c r="CC154" s="1292">
        <f t="shared" ca="1" si="671"/>
        <v>0</v>
      </c>
      <c r="CD154" s="1293">
        <f t="shared" ca="1" si="671"/>
        <v>0</v>
      </c>
      <c r="CE154" s="1293">
        <f t="shared" ca="1" si="671"/>
        <v>0</v>
      </c>
      <c r="CF154" s="1293">
        <f t="shared" ca="1" si="671"/>
        <v>0</v>
      </c>
      <c r="CG154" s="1294">
        <f t="shared" ca="1" si="671"/>
        <v>0</v>
      </c>
      <c r="CH154" s="1292">
        <f t="shared" ca="1" si="671"/>
        <v>0</v>
      </c>
      <c r="CI154" s="1293">
        <f t="shared" ca="1" si="671"/>
        <v>0</v>
      </c>
      <c r="CJ154" s="1293">
        <f t="shared" ca="1" si="671"/>
        <v>0</v>
      </c>
      <c r="CK154" s="1293">
        <f t="shared" ca="1" si="671"/>
        <v>0</v>
      </c>
      <c r="CL154" s="1295">
        <f t="shared" ca="1" si="671"/>
        <v>0</v>
      </c>
      <c r="CM154" s="1292">
        <f t="shared" ca="1" si="671"/>
        <v>0</v>
      </c>
      <c r="CN154" s="1293">
        <f t="shared" ca="1" si="671"/>
        <v>0</v>
      </c>
      <c r="CO154" s="1294">
        <f t="shared" ca="1" si="671"/>
        <v>0</v>
      </c>
      <c r="CP154" s="1237">
        <f t="shared" ca="1" si="612"/>
        <v>5070</v>
      </c>
      <c r="CS154" s="2266"/>
      <c r="CT154" s="2267"/>
      <c r="CU154" s="1297"/>
      <c r="CV154" s="2268"/>
      <c r="CW154" s="2267"/>
      <c r="CX154" s="2267"/>
      <c r="CY154" s="2268"/>
      <c r="CZ154" s="2267"/>
      <c r="DA154" s="1297"/>
      <c r="DB154" s="2268"/>
      <c r="DC154" s="2267"/>
      <c r="DD154" s="1297"/>
      <c r="DE154" s="2269"/>
      <c r="DG154" s="2266"/>
      <c r="DH154" s="2267"/>
      <c r="DI154" s="1297"/>
      <c r="DJ154" s="2268"/>
      <c r="DK154" s="2267"/>
      <c r="DL154" s="2267"/>
      <c r="DM154" s="2268"/>
      <c r="DN154" s="2267"/>
      <c r="DO154" s="1297"/>
      <c r="DP154" s="2268"/>
      <c r="DQ154" s="2267"/>
      <c r="DR154" s="1297"/>
      <c r="DS154" s="2269"/>
      <c r="DU154" s="2266"/>
      <c r="DV154" s="2267"/>
      <c r="DW154" s="1297"/>
      <c r="DX154" s="2268"/>
      <c r="DY154" s="2267"/>
      <c r="DZ154" s="2267"/>
      <c r="EA154" s="2268"/>
      <c r="EB154" s="2267"/>
      <c r="EC154" s="1297"/>
      <c r="ED154" s="2268"/>
      <c r="EE154" s="2267"/>
      <c r="EF154" s="1297"/>
      <c r="EG154" s="2269"/>
      <c r="EI154" s="414"/>
      <c r="EJ154" s="2258"/>
      <c r="EK154" s="472" t="s">
        <v>830</v>
      </c>
      <c r="EL154" s="2259">
        <f t="shared" ref="EL154:ER154" ca="1" si="672">SUM(EL149,EL153)</f>
        <v>5070</v>
      </c>
      <c r="EM154" s="412">
        <f t="shared" ca="1" si="672"/>
        <v>0</v>
      </c>
      <c r="EN154" s="412">
        <f t="shared" ca="1" si="672"/>
        <v>0</v>
      </c>
      <c r="EO154" s="412">
        <f t="shared" ca="1" si="672"/>
        <v>0</v>
      </c>
      <c r="EP154" s="412">
        <f t="shared" ca="1" si="672"/>
        <v>0</v>
      </c>
      <c r="EQ154" s="412">
        <f t="shared" ca="1" si="672"/>
        <v>0</v>
      </c>
      <c r="ER154" s="1239">
        <f t="shared" ca="1" si="672"/>
        <v>5070</v>
      </c>
      <c r="ES154" s="353">
        <f ca="1">SUM(EL154:EQ154)</f>
        <v>5070</v>
      </c>
      <c r="ET154" s="13"/>
      <c r="EU154" s="4"/>
      <c r="EV154" s="171">
        <f t="shared" ref="EV154:FB154" ca="1" si="673">SUM(EV149,EV153)</f>
        <v>0</v>
      </c>
      <c r="EW154" s="171">
        <f t="shared" ca="1" si="673"/>
        <v>0</v>
      </c>
      <c r="EX154" s="171">
        <f t="shared" ca="1" si="673"/>
        <v>0</v>
      </c>
      <c r="EY154" s="171">
        <f t="shared" ca="1" si="673"/>
        <v>0</v>
      </c>
      <c r="EZ154" s="171">
        <f t="shared" ca="1" si="673"/>
        <v>0</v>
      </c>
      <c r="FA154" s="171">
        <f t="shared" ca="1" si="673"/>
        <v>0</v>
      </c>
      <c r="FB154" s="167">
        <f t="shared" ca="1" si="673"/>
        <v>0</v>
      </c>
      <c r="FC154" s="1"/>
      <c r="FD154" s="144">
        <f t="shared" ref="FD154:FJ154" ca="1" si="674">SUM(FD149,FD153)</f>
        <v>0</v>
      </c>
      <c r="FE154" s="144">
        <f t="shared" ca="1" si="674"/>
        <v>0</v>
      </c>
      <c r="FF154" s="144">
        <f t="shared" ca="1" si="674"/>
        <v>0</v>
      </c>
      <c r="FG154" s="144">
        <f t="shared" ca="1" si="674"/>
        <v>0</v>
      </c>
      <c r="FH154" s="144">
        <f t="shared" ca="1" si="674"/>
        <v>0</v>
      </c>
      <c r="FI154" s="144">
        <f t="shared" ca="1" si="674"/>
        <v>0</v>
      </c>
      <c r="FJ154" s="48">
        <f t="shared" ca="1" si="674"/>
        <v>0</v>
      </c>
      <c r="FL154" s="213">
        <f t="shared" ref="FL154:FR154" ca="1" si="675">SUM(FL149,FL153)</f>
        <v>0</v>
      </c>
      <c r="FM154" s="213">
        <f t="shared" ca="1" si="675"/>
        <v>0</v>
      </c>
      <c r="FN154" s="213">
        <f t="shared" ca="1" si="675"/>
        <v>0</v>
      </c>
      <c r="FO154" s="213">
        <f t="shared" ca="1" si="675"/>
        <v>0</v>
      </c>
      <c r="FP154" s="213">
        <f t="shared" ca="1" si="675"/>
        <v>0</v>
      </c>
      <c r="FQ154" s="213">
        <f t="shared" ca="1" si="675"/>
        <v>0</v>
      </c>
      <c r="FR154" s="209">
        <f t="shared" ca="1" si="675"/>
        <v>0</v>
      </c>
      <c r="FT154" s="185">
        <f t="shared" ref="FT154:FZ154" ca="1" si="676">SUM(FT149,FT153)</f>
        <v>0</v>
      </c>
      <c r="FU154" s="185">
        <f t="shared" ca="1" si="676"/>
        <v>0</v>
      </c>
      <c r="FV154" s="185">
        <f t="shared" ca="1" si="676"/>
        <v>0</v>
      </c>
      <c r="FW154" s="185">
        <f t="shared" ca="1" si="676"/>
        <v>0</v>
      </c>
      <c r="FX154" s="185">
        <f t="shared" ca="1" si="676"/>
        <v>0</v>
      </c>
      <c r="FY154" s="185">
        <f t="shared" ca="1" si="676"/>
        <v>0</v>
      </c>
      <c r="FZ154" s="181">
        <f t="shared" ca="1" si="676"/>
        <v>0</v>
      </c>
      <c r="GB154" s="157">
        <f t="shared" ref="GB154:GH154" ca="1" si="677">SUM(GB149,GB153)</f>
        <v>0</v>
      </c>
      <c r="GC154" s="157">
        <f t="shared" ca="1" si="677"/>
        <v>0</v>
      </c>
      <c r="GD154" s="157">
        <f t="shared" ca="1" si="677"/>
        <v>0</v>
      </c>
      <c r="GE154" s="157">
        <f t="shared" ca="1" si="677"/>
        <v>0</v>
      </c>
      <c r="GF154" s="157">
        <f t="shared" ca="1" si="677"/>
        <v>0</v>
      </c>
      <c r="GG154" s="157">
        <f t="shared" ca="1" si="677"/>
        <v>0</v>
      </c>
      <c r="GH154" s="153">
        <f t="shared" ca="1" si="677"/>
        <v>0</v>
      </c>
      <c r="GJ154" s="199">
        <f t="shared" ref="GJ154:GP154" ca="1" si="678">SUM(GJ149,GJ153)</f>
        <v>0</v>
      </c>
      <c r="GK154" s="199">
        <f t="shared" ca="1" si="678"/>
        <v>0</v>
      </c>
      <c r="GL154" s="199">
        <f t="shared" ca="1" si="678"/>
        <v>0</v>
      </c>
      <c r="GM154" s="199">
        <f t="shared" ca="1" si="678"/>
        <v>0</v>
      </c>
      <c r="GN154" s="199">
        <f t="shared" ca="1" si="678"/>
        <v>0</v>
      </c>
      <c r="GO154" s="199">
        <f t="shared" ca="1" si="678"/>
        <v>0</v>
      </c>
      <c r="GP154" s="195">
        <f t="shared" ca="1" si="678"/>
        <v>0</v>
      </c>
      <c r="GR154" s="1108">
        <f t="shared" ref="GR154:GX154" si="679">SUM(GR149,GR153)</f>
        <v>0</v>
      </c>
      <c r="GS154" s="1108">
        <f t="shared" si="679"/>
        <v>0</v>
      </c>
      <c r="GT154" s="1108">
        <f t="shared" si="679"/>
        <v>0</v>
      </c>
      <c r="GU154" s="1108">
        <f t="shared" si="679"/>
        <v>0</v>
      </c>
      <c r="GV154" s="1108">
        <f t="shared" si="679"/>
        <v>0</v>
      </c>
      <c r="GW154" s="1108">
        <f t="shared" si="679"/>
        <v>0</v>
      </c>
      <c r="GX154" s="1105">
        <f t="shared" si="679"/>
        <v>0</v>
      </c>
      <c r="GZ154" s="991">
        <f t="shared" ca="1" si="641"/>
        <v>0</v>
      </c>
      <c r="HA154" s="991">
        <f t="shared" ca="1" si="641"/>
        <v>0</v>
      </c>
      <c r="HB154" s="991">
        <f t="shared" ca="1" si="641"/>
        <v>0</v>
      </c>
      <c r="HC154" s="991">
        <f t="shared" ca="1" si="641"/>
        <v>0</v>
      </c>
      <c r="HD154" s="991">
        <f t="shared" ca="1" si="641"/>
        <v>0</v>
      </c>
      <c r="HE154" s="991">
        <f t="shared" ca="1" si="641"/>
        <v>0</v>
      </c>
      <c r="HF154" s="991">
        <f t="shared" ca="1" si="642"/>
        <v>0</v>
      </c>
      <c r="HG154" s="573">
        <f t="shared" ca="1" si="535"/>
        <v>5070</v>
      </c>
      <c r="HH154" s="257"/>
    </row>
    <row r="155" spans="1:216" ht="15" customHeight="1" thickBot="1" x14ac:dyDescent="0.3">
      <c r="A155" s="25"/>
      <c r="B155" s="417"/>
      <c r="C155" s="2270" t="s">
        <v>20</v>
      </c>
      <c r="D155" s="2271">
        <f t="shared" ref="D155:J155" ca="1" si="680">SUM(D117,D133,D154)</f>
        <v>13578.471971999999</v>
      </c>
      <c r="E155" s="2272">
        <f t="shared" ca="1" si="680"/>
        <v>0</v>
      </c>
      <c r="F155" s="2272">
        <f t="shared" ca="1" si="680"/>
        <v>0</v>
      </c>
      <c r="G155" s="2272">
        <f t="shared" ca="1" si="680"/>
        <v>0</v>
      </c>
      <c r="H155" s="2272">
        <f t="shared" ca="1" si="680"/>
        <v>0</v>
      </c>
      <c r="I155" s="2272">
        <f t="shared" ca="1" si="680"/>
        <v>0</v>
      </c>
      <c r="J155" s="2273">
        <f t="shared" ca="1" si="680"/>
        <v>13578.471971999999</v>
      </c>
      <c r="K155" s="13">
        <f ca="1">SUM(D155:I155)</f>
        <v>13578.471971999999</v>
      </c>
      <c r="L155" s="13"/>
      <c r="M155" s="13"/>
      <c r="N155" s="2274">
        <f t="shared" ref="N155:T155" ca="1" si="681">SUM(N117,N133,N154)</f>
        <v>0</v>
      </c>
      <c r="O155" s="2274">
        <f t="shared" ca="1" si="681"/>
        <v>0</v>
      </c>
      <c r="P155" s="2274">
        <f t="shared" ca="1" si="681"/>
        <v>0</v>
      </c>
      <c r="Q155" s="2274">
        <f t="shared" ca="1" si="681"/>
        <v>0</v>
      </c>
      <c r="R155" s="2274">
        <f t="shared" ca="1" si="681"/>
        <v>0</v>
      </c>
      <c r="S155" s="2274">
        <f t="shared" ca="1" si="681"/>
        <v>0</v>
      </c>
      <c r="T155" s="2275">
        <f t="shared" ca="1" si="681"/>
        <v>0</v>
      </c>
      <c r="U155" s="1"/>
      <c r="V155" s="2276">
        <f t="shared" ref="V155:AB155" ca="1" si="682">SUM(V117,V133,V154)</f>
        <v>0</v>
      </c>
      <c r="W155" s="2276">
        <f t="shared" ca="1" si="682"/>
        <v>0</v>
      </c>
      <c r="X155" s="2276">
        <f t="shared" ca="1" si="682"/>
        <v>0</v>
      </c>
      <c r="Y155" s="2276">
        <f t="shared" ca="1" si="682"/>
        <v>0</v>
      </c>
      <c r="Z155" s="2276">
        <f t="shared" ca="1" si="682"/>
        <v>0</v>
      </c>
      <c r="AA155" s="2276">
        <f t="shared" ca="1" si="682"/>
        <v>0</v>
      </c>
      <c r="AB155" s="2277">
        <f t="shared" ca="1" si="682"/>
        <v>0</v>
      </c>
      <c r="AD155" s="2278">
        <f t="shared" ref="AD155:AJ155" ca="1" si="683">SUM(AD117,AD133,AD154)</f>
        <v>0</v>
      </c>
      <c r="AE155" s="2278">
        <f t="shared" ca="1" si="683"/>
        <v>0</v>
      </c>
      <c r="AF155" s="2278">
        <f t="shared" ca="1" si="683"/>
        <v>0</v>
      </c>
      <c r="AG155" s="2278">
        <f t="shared" ca="1" si="683"/>
        <v>0</v>
      </c>
      <c r="AH155" s="2278">
        <f t="shared" ca="1" si="683"/>
        <v>0</v>
      </c>
      <c r="AI155" s="2278">
        <f t="shared" ca="1" si="683"/>
        <v>0</v>
      </c>
      <c r="AJ155" s="2279">
        <f t="shared" ca="1" si="683"/>
        <v>0</v>
      </c>
      <c r="AL155" s="2280">
        <f t="shared" ref="AL155:AR155" ca="1" si="684">SUM(AL117,AL133,AL154)</f>
        <v>0</v>
      </c>
      <c r="AM155" s="2280">
        <f t="shared" ca="1" si="684"/>
        <v>0</v>
      </c>
      <c r="AN155" s="2280">
        <f t="shared" ca="1" si="684"/>
        <v>0</v>
      </c>
      <c r="AO155" s="2280">
        <f t="shared" ca="1" si="684"/>
        <v>0</v>
      </c>
      <c r="AP155" s="2280">
        <f t="shared" ca="1" si="684"/>
        <v>0</v>
      </c>
      <c r="AQ155" s="2280">
        <f t="shared" ca="1" si="684"/>
        <v>0</v>
      </c>
      <c r="AR155" s="2281">
        <f t="shared" ca="1" si="684"/>
        <v>0</v>
      </c>
      <c r="AT155" s="2282">
        <f t="shared" ref="AT155:AZ155" ca="1" si="685">SUM(AT117,AT133,AT154)</f>
        <v>0</v>
      </c>
      <c r="AU155" s="2282">
        <f t="shared" ca="1" si="685"/>
        <v>0</v>
      </c>
      <c r="AV155" s="2282">
        <f t="shared" ca="1" si="685"/>
        <v>0</v>
      </c>
      <c r="AW155" s="2282">
        <f t="shared" ca="1" si="685"/>
        <v>0</v>
      </c>
      <c r="AX155" s="2282">
        <f t="shared" ca="1" si="685"/>
        <v>0</v>
      </c>
      <c r="AY155" s="2282">
        <f t="shared" ca="1" si="685"/>
        <v>0</v>
      </c>
      <c r="AZ155" s="2283">
        <f t="shared" ca="1" si="685"/>
        <v>0</v>
      </c>
      <c r="BB155" s="2284">
        <f t="shared" ref="BB155:BH155" ca="1" si="686">SUM(BB117,BB133,BB154)</f>
        <v>0</v>
      </c>
      <c r="BC155" s="2284">
        <f t="shared" ca="1" si="686"/>
        <v>0</v>
      </c>
      <c r="BD155" s="2284">
        <f t="shared" ca="1" si="686"/>
        <v>0</v>
      </c>
      <c r="BE155" s="2284">
        <f t="shared" ca="1" si="686"/>
        <v>0</v>
      </c>
      <c r="BF155" s="2284">
        <f t="shared" ca="1" si="686"/>
        <v>0</v>
      </c>
      <c r="BG155" s="2284">
        <f t="shared" ca="1" si="686"/>
        <v>0</v>
      </c>
      <c r="BH155" s="2285">
        <f t="shared" ca="1" si="686"/>
        <v>0</v>
      </c>
      <c r="BJ155" s="2286">
        <f t="shared" ref="BJ155:BP155" si="687">SUM(BJ117,BJ133,BJ154)</f>
        <v>0</v>
      </c>
      <c r="BK155" s="2286">
        <f t="shared" si="687"/>
        <v>0</v>
      </c>
      <c r="BL155" s="2286">
        <f t="shared" si="687"/>
        <v>0</v>
      </c>
      <c r="BM155" s="2286">
        <f t="shared" si="687"/>
        <v>0</v>
      </c>
      <c r="BN155" s="2286">
        <f t="shared" si="687"/>
        <v>0</v>
      </c>
      <c r="BO155" s="2286">
        <f t="shared" si="687"/>
        <v>0</v>
      </c>
      <c r="BP155" s="2287">
        <f t="shared" si="687"/>
        <v>0</v>
      </c>
      <c r="BR155" s="2288">
        <f t="shared" ca="1" si="632"/>
        <v>0</v>
      </c>
      <c r="BS155" s="2288">
        <f t="shared" ca="1" si="632"/>
        <v>0</v>
      </c>
      <c r="BT155" s="2288">
        <f t="shared" ca="1" si="632"/>
        <v>0</v>
      </c>
      <c r="BU155" s="2288">
        <f t="shared" ca="1" si="632"/>
        <v>0</v>
      </c>
      <c r="BV155" s="2288">
        <f t="shared" ca="1" si="632"/>
        <v>0</v>
      </c>
      <c r="BW155" s="2288">
        <f t="shared" ca="1" si="632"/>
        <v>0</v>
      </c>
      <c r="BX155" s="2288">
        <f t="shared" ca="1" si="633"/>
        <v>0</v>
      </c>
      <c r="BY155" s="2289">
        <f t="shared" ca="1" si="472"/>
        <v>13578.471971999999</v>
      </c>
      <c r="BZ155" s="257"/>
      <c r="CB155" s="1211">
        <f t="shared" ref="CB155:CO155" ca="1" si="688">SUM(CB117,CB133,CB154)</f>
        <v>5070</v>
      </c>
      <c r="CC155" s="1238">
        <f t="shared" ca="1" si="688"/>
        <v>0</v>
      </c>
      <c r="CD155" s="412">
        <f t="shared" ca="1" si="688"/>
        <v>0</v>
      </c>
      <c r="CE155" s="412">
        <f t="shared" ca="1" si="688"/>
        <v>0</v>
      </c>
      <c r="CF155" s="412">
        <f t="shared" ca="1" si="688"/>
        <v>0</v>
      </c>
      <c r="CG155" s="1239">
        <f t="shared" ca="1" si="688"/>
        <v>0</v>
      </c>
      <c r="CH155" s="1238">
        <f t="shared" ca="1" si="688"/>
        <v>0</v>
      </c>
      <c r="CI155" s="412">
        <f t="shared" ca="1" si="688"/>
        <v>0</v>
      </c>
      <c r="CJ155" s="412">
        <f t="shared" ca="1" si="688"/>
        <v>0</v>
      </c>
      <c r="CK155" s="412">
        <f t="shared" ca="1" si="688"/>
        <v>0</v>
      </c>
      <c r="CL155" s="1240">
        <f t="shared" ca="1" si="688"/>
        <v>0</v>
      </c>
      <c r="CM155" s="1238">
        <f t="shared" ca="1" si="688"/>
        <v>0</v>
      </c>
      <c r="CN155" s="412">
        <f t="shared" ca="1" si="688"/>
        <v>0</v>
      </c>
      <c r="CO155" s="1239">
        <f t="shared" ca="1" si="688"/>
        <v>0</v>
      </c>
      <c r="CP155" s="1237">
        <f t="shared" ca="1" si="612"/>
        <v>5070</v>
      </c>
      <c r="CS155" s="1298">
        <f t="shared" ref="CS155:DE155" si="689">SUM(CS117,CS133,CS153)</f>
        <v>0</v>
      </c>
      <c r="CT155" s="355">
        <f t="shared" si="689"/>
        <v>0</v>
      </c>
      <c r="CU155" s="631">
        <f t="shared" si="689"/>
        <v>0</v>
      </c>
      <c r="CV155" s="1298">
        <f t="shared" si="689"/>
        <v>0</v>
      </c>
      <c r="CW155" s="355">
        <f t="shared" si="689"/>
        <v>0</v>
      </c>
      <c r="CX155" s="632">
        <f t="shared" si="689"/>
        <v>0</v>
      </c>
      <c r="CY155" s="1298">
        <f t="shared" si="689"/>
        <v>0</v>
      </c>
      <c r="CZ155" s="355">
        <f t="shared" si="689"/>
        <v>0</v>
      </c>
      <c r="DA155" s="631">
        <f t="shared" si="689"/>
        <v>0</v>
      </c>
      <c r="DB155" s="1298">
        <f t="shared" si="689"/>
        <v>0</v>
      </c>
      <c r="DC155" s="355">
        <f t="shared" si="689"/>
        <v>0</v>
      </c>
      <c r="DD155" s="631">
        <f t="shared" si="689"/>
        <v>0</v>
      </c>
      <c r="DE155" s="1299">
        <f t="shared" si="689"/>
        <v>0</v>
      </c>
      <c r="DG155" s="1298">
        <f t="shared" ref="DG155:DS155" si="690">SUM(DG117,DG133,DG153)</f>
        <v>0</v>
      </c>
      <c r="DH155" s="355">
        <f t="shared" si="690"/>
        <v>0</v>
      </c>
      <c r="DI155" s="631">
        <f t="shared" si="690"/>
        <v>0</v>
      </c>
      <c r="DJ155" s="1298">
        <f t="shared" si="690"/>
        <v>0</v>
      </c>
      <c r="DK155" s="355">
        <f t="shared" si="690"/>
        <v>0</v>
      </c>
      <c r="DL155" s="632">
        <f t="shared" si="690"/>
        <v>0</v>
      </c>
      <c r="DM155" s="1298">
        <f t="shared" si="690"/>
        <v>0</v>
      </c>
      <c r="DN155" s="355">
        <f t="shared" si="690"/>
        <v>0</v>
      </c>
      <c r="DO155" s="631">
        <f t="shared" si="690"/>
        <v>0</v>
      </c>
      <c r="DP155" s="1298">
        <f t="shared" si="690"/>
        <v>0</v>
      </c>
      <c r="DQ155" s="355">
        <f t="shared" si="690"/>
        <v>0</v>
      </c>
      <c r="DR155" s="631">
        <f t="shared" si="690"/>
        <v>0</v>
      </c>
      <c r="DS155" s="1299">
        <f t="shared" si="690"/>
        <v>0</v>
      </c>
      <c r="DU155" s="1298">
        <f t="shared" ref="DU155:EG155" si="691">SUM(DU117,DU133,DU153)</f>
        <v>0</v>
      </c>
      <c r="DV155" s="355">
        <f t="shared" si="691"/>
        <v>0</v>
      </c>
      <c r="DW155" s="631">
        <f t="shared" si="691"/>
        <v>0</v>
      </c>
      <c r="DX155" s="1298">
        <f t="shared" si="691"/>
        <v>0</v>
      </c>
      <c r="DY155" s="355">
        <f t="shared" si="691"/>
        <v>0</v>
      </c>
      <c r="DZ155" s="632">
        <f t="shared" si="691"/>
        <v>0</v>
      </c>
      <c r="EA155" s="1298">
        <f t="shared" si="691"/>
        <v>0</v>
      </c>
      <c r="EB155" s="355">
        <f t="shared" si="691"/>
        <v>0</v>
      </c>
      <c r="EC155" s="631">
        <f t="shared" si="691"/>
        <v>0</v>
      </c>
      <c r="ED155" s="1298">
        <f t="shared" si="691"/>
        <v>0</v>
      </c>
      <c r="EE155" s="355">
        <f t="shared" si="691"/>
        <v>0</v>
      </c>
      <c r="EF155" s="631">
        <f t="shared" si="691"/>
        <v>0</v>
      </c>
      <c r="EG155" s="1299">
        <f t="shared" si="691"/>
        <v>0</v>
      </c>
      <c r="EI155" s="25"/>
      <c r="EJ155" s="417"/>
      <c r="EK155" s="2270" t="s">
        <v>20</v>
      </c>
      <c r="EL155" s="2271">
        <f t="shared" ref="EL155:ER155" ca="1" si="692">SUM(EL117,EL133,EL154)</f>
        <v>13578</v>
      </c>
      <c r="EM155" s="2272">
        <f t="shared" ca="1" si="692"/>
        <v>0</v>
      </c>
      <c r="EN155" s="2272">
        <f t="shared" ca="1" si="692"/>
        <v>0</v>
      </c>
      <c r="EO155" s="2272">
        <f t="shared" ca="1" si="692"/>
        <v>0</v>
      </c>
      <c r="EP155" s="2272">
        <f t="shared" ca="1" si="692"/>
        <v>0</v>
      </c>
      <c r="EQ155" s="2272">
        <f t="shared" ca="1" si="692"/>
        <v>0</v>
      </c>
      <c r="ER155" s="2273">
        <f t="shared" ca="1" si="692"/>
        <v>13578</v>
      </c>
      <c r="ES155" s="13">
        <f ca="1">SUM(EL155:EQ155)</f>
        <v>13578</v>
      </c>
      <c r="ET155" s="13"/>
      <c r="EU155" s="13"/>
      <c r="EV155" s="2274">
        <f t="shared" ref="EV155:FB155" ca="1" si="693">SUM(EV117,EV133,EV154)</f>
        <v>0</v>
      </c>
      <c r="EW155" s="2274">
        <f t="shared" ca="1" si="693"/>
        <v>0</v>
      </c>
      <c r="EX155" s="2274">
        <f t="shared" ca="1" si="693"/>
        <v>0</v>
      </c>
      <c r="EY155" s="2274">
        <f t="shared" ca="1" si="693"/>
        <v>0</v>
      </c>
      <c r="EZ155" s="2274">
        <f t="shared" ca="1" si="693"/>
        <v>0</v>
      </c>
      <c r="FA155" s="2274">
        <f t="shared" ca="1" si="693"/>
        <v>0</v>
      </c>
      <c r="FB155" s="2275">
        <f t="shared" ca="1" si="693"/>
        <v>0</v>
      </c>
      <c r="FC155" s="1"/>
      <c r="FD155" s="2276">
        <f t="shared" ref="FD155:FJ155" ca="1" si="694">SUM(FD117,FD133,FD154)</f>
        <v>0</v>
      </c>
      <c r="FE155" s="2276">
        <f t="shared" ca="1" si="694"/>
        <v>0</v>
      </c>
      <c r="FF155" s="2276">
        <f t="shared" ca="1" si="694"/>
        <v>0</v>
      </c>
      <c r="FG155" s="2276">
        <f t="shared" ca="1" si="694"/>
        <v>0</v>
      </c>
      <c r="FH155" s="2276">
        <f t="shared" ca="1" si="694"/>
        <v>0</v>
      </c>
      <c r="FI155" s="2276">
        <f t="shared" ca="1" si="694"/>
        <v>0</v>
      </c>
      <c r="FJ155" s="2277">
        <f t="shared" ca="1" si="694"/>
        <v>0</v>
      </c>
      <c r="FL155" s="2278">
        <f t="shared" ref="FL155:FR155" ca="1" si="695">SUM(FL117,FL133,FL154)</f>
        <v>0</v>
      </c>
      <c r="FM155" s="2278">
        <f t="shared" ca="1" si="695"/>
        <v>0</v>
      </c>
      <c r="FN155" s="2278">
        <f t="shared" ca="1" si="695"/>
        <v>0</v>
      </c>
      <c r="FO155" s="2278">
        <f t="shared" ca="1" si="695"/>
        <v>0</v>
      </c>
      <c r="FP155" s="2278">
        <f t="shared" ca="1" si="695"/>
        <v>0</v>
      </c>
      <c r="FQ155" s="2278">
        <f t="shared" ca="1" si="695"/>
        <v>0</v>
      </c>
      <c r="FR155" s="2279">
        <f t="shared" ca="1" si="695"/>
        <v>0</v>
      </c>
      <c r="FT155" s="2280">
        <f t="shared" ref="FT155:FZ155" ca="1" si="696">SUM(FT117,FT133,FT154)</f>
        <v>0</v>
      </c>
      <c r="FU155" s="2280">
        <f t="shared" ca="1" si="696"/>
        <v>0</v>
      </c>
      <c r="FV155" s="2280">
        <f t="shared" ca="1" si="696"/>
        <v>0</v>
      </c>
      <c r="FW155" s="2280">
        <f t="shared" ca="1" si="696"/>
        <v>0</v>
      </c>
      <c r="FX155" s="2280">
        <f t="shared" ca="1" si="696"/>
        <v>0</v>
      </c>
      <c r="FY155" s="2280">
        <f t="shared" ca="1" si="696"/>
        <v>0</v>
      </c>
      <c r="FZ155" s="2281">
        <f t="shared" ca="1" si="696"/>
        <v>0</v>
      </c>
      <c r="GB155" s="2282">
        <f t="shared" ref="GB155:GH155" ca="1" si="697">SUM(GB117,GB133,GB154)</f>
        <v>0</v>
      </c>
      <c r="GC155" s="2282">
        <f t="shared" ca="1" si="697"/>
        <v>0</v>
      </c>
      <c r="GD155" s="2282">
        <f t="shared" ca="1" si="697"/>
        <v>0</v>
      </c>
      <c r="GE155" s="2282">
        <f t="shared" ca="1" si="697"/>
        <v>0</v>
      </c>
      <c r="GF155" s="2282">
        <f t="shared" ca="1" si="697"/>
        <v>0</v>
      </c>
      <c r="GG155" s="2282">
        <f t="shared" ca="1" si="697"/>
        <v>0</v>
      </c>
      <c r="GH155" s="2283">
        <f t="shared" ca="1" si="697"/>
        <v>0</v>
      </c>
      <c r="GJ155" s="2284">
        <f t="shared" ref="GJ155:GP155" ca="1" si="698">SUM(GJ117,GJ133,GJ154)</f>
        <v>0</v>
      </c>
      <c r="GK155" s="2284">
        <f t="shared" ca="1" si="698"/>
        <v>0</v>
      </c>
      <c r="GL155" s="2284">
        <f t="shared" ca="1" si="698"/>
        <v>0</v>
      </c>
      <c r="GM155" s="2284">
        <f t="shared" ca="1" si="698"/>
        <v>0</v>
      </c>
      <c r="GN155" s="2284">
        <f t="shared" ca="1" si="698"/>
        <v>0</v>
      </c>
      <c r="GO155" s="2284">
        <f t="shared" ca="1" si="698"/>
        <v>0</v>
      </c>
      <c r="GP155" s="2285">
        <f t="shared" ca="1" si="698"/>
        <v>0</v>
      </c>
      <c r="GR155" s="2286">
        <f t="shared" ref="GR155:GX155" si="699">SUM(GR117,GR133,GR154)</f>
        <v>0</v>
      </c>
      <c r="GS155" s="2286">
        <f t="shared" si="699"/>
        <v>0</v>
      </c>
      <c r="GT155" s="2286">
        <f t="shared" si="699"/>
        <v>0</v>
      </c>
      <c r="GU155" s="2286">
        <f t="shared" si="699"/>
        <v>0</v>
      </c>
      <c r="GV155" s="2286">
        <f t="shared" si="699"/>
        <v>0</v>
      </c>
      <c r="GW155" s="2286">
        <f t="shared" si="699"/>
        <v>0</v>
      </c>
      <c r="GX155" s="2287">
        <f t="shared" si="699"/>
        <v>0</v>
      </c>
      <c r="GZ155" s="2288">
        <f t="shared" ca="1" si="641"/>
        <v>0</v>
      </c>
      <c r="HA155" s="2288">
        <f t="shared" ca="1" si="641"/>
        <v>0</v>
      </c>
      <c r="HB155" s="2288">
        <f t="shared" ca="1" si="641"/>
        <v>0</v>
      </c>
      <c r="HC155" s="2288">
        <f t="shared" ca="1" si="641"/>
        <v>0</v>
      </c>
      <c r="HD155" s="2288">
        <f t="shared" ca="1" si="641"/>
        <v>0</v>
      </c>
      <c r="HE155" s="2288">
        <f t="shared" ca="1" si="641"/>
        <v>0</v>
      </c>
      <c r="HF155" s="2288">
        <f t="shared" ca="1" si="642"/>
        <v>0</v>
      </c>
      <c r="HG155" s="2289">
        <f t="shared" ca="1" si="535"/>
        <v>13578</v>
      </c>
      <c r="HH155" s="257"/>
    </row>
    <row r="156" spans="1:216" ht="15" customHeight="1" thickBot="1" x14ac:dyDescent="0.3">
      <c r="A156" s="407"/>
      <c r="B156" s="417"/>
      <c r="C156" s="467" t="s">
        <v>137</v>
      </c>
      <c r="D156" s="416">
        <f t="shared" ref="D156:J156" ca="1" si="700">SUM(D155,D84)</f>
        <v>46610.467971999999</v>
      </c>
      <c r="E156" s="96">
        <f t="shared" ca="1" si="700"/>
        <v>0</v>
      </c>
      <c r="F156" s="96">
        <f t="shared" ca="1" si="700"/>
        <v>0</v>
      </c>
      <c r="G156" s="96">
        <f t="shared" ca="1" si="700"/>
        <v>0</v>
      </c>
      <c r="H156" s="96">
        <f t="shared" ca="1" si="700"/>
        <v>0</v>
      </c>
      <c r="I156" s="96">
        <f t="shared" ca="1" si="700"/>
        <v>0</v>
      </c>
      <c r="J156" s="96">
        <f t="shared" ca="1" si="700"/>
        <v>46610.467971999999</v>
      </c>
      <c r="K156" s="13">
        <f ca="1">SUM(D156:I156)</f>
        <v>46610.467971999999</v>
      </c>
      <c r="L156" s="13"/>
      <c r="M156" s="13"/>
      <c r="N156" s="168">
        <f t="shared" ref="N156:T156" ca="1" si="701">SUM(N155,N84)</f>
        <v>0</v>
      </c>
      <c r="O156" s="168">
        <f t="shared" ca="1" si="701"/>
        <v>0</v>
      </c>
      <c r="P156" s="168">
        <f t="shared" ca="1" si="701"/>
        <v>0</v>
      </c>
      <c r="Q156" s="168">
        <f t="shared" ca="1" si="701"/>
        <v>0</v>
      </c>
      <c r="R156" s="168">
        <f t="shared" ca="1" si="701"/>
        <v>0</v>
      </c>
      <c r="S156" s="168">
        <f t="shared" ca="1" si="701"/>
        <v>0</v>
      </c>
      <c r="T156" s="167">
        <f t="shared" ca="1" si="701"/>
        <v>0</v>
      </c>
      <c r="U156" s="1"/>
      <c r="V156" s="141">
        <f t="shared" ref="V156:AB156" ca="1" si="702">SUM(V155,V84)</f>
        <v>0</v>
      </c>
      <c r="W156" s="141">
        <f t="shared" ca="1" si="702"/>
        <v>0</v>
      </c>
      <c r="X156" s="141">
        <f t="shared" ca="1" si="702"/>
        <v>0</v>
      </c>
      <c r="Y156" s="141">
        <f t="shared" ca="1" si="702"/>
        <v>0</v>
      </c>
      <c r="Z156" s="141">
        <f t="shared" ca="1" si="702"/>
        <v>0</v>
      </c>
      <c r="AA156" s="141">
        <f t="shared" ca="1" si="702"/>
        <v>0</v>
      </c>
      <c r="AB156" s="48">
        <f t="shared" ca="1" si="702"/>
        <v>0</v>
      </c>
      <c r="AD156" s="210">
        <f t="shared" ref="AD156:AJ156" ca="1" si="703">SUM(AD155,AD84)</f>
        <v>0</v>
      </c>
      <c r="AE156" s="210">
        <f t="shared" ca="1" si="703"/>
        <v>0</v>
      </c>
      <c r="AF156" s="210">
        <f t="shared" ca="1" si="703"/>
        <v>0</v>
      </c>
      <c r="AG156" s="210">
        <f t="shared" ca="1" si="703"/>
        <v>0</v>
      </c>
      <c r="AH156" s="210">
        <f t="shared" ca="1" si="703"/>
        <v>0</v>
      </c>
      <c r="AI156" s="210">
        <f t="shared" ca="1" si="703"/>
        <v>0</v>
      </c>
      <c r="AJ156" s="209">
        <f t="shared" ca="1" si="703"/>
        <v>0</v>
      </c>
      <c r="AL156" s="182">
        <f t="shared" ref="AL156:AR156" ca="1" si="704">SUM(AL155,AL84)</f>
        <v>0</v>
      </c>
      <c r="AM156" s="182">
        <f t="shared" ca="1" si="704"/>
        <v>0</v>
      </c>
      <c r="AN156" s="182">
        <f t="shared" ca="1" si="704"/>
        <v>0</v>
      </c>
      <c r="AO156" s="182">
        <f t="shared" ca="1" si="704"/>
        <v>0</v>
      </c>
      <c r="AP156" s="182">
        <f t="shared" ca="1" si="704"/>
        <v>0</v>
      </c>
      <c r="AQ156" s="182">
        <f t="shared" ca="1" si="704"/>
        <v>0</v>
      </c>
      <c r="AR156" s="181">
        <f t="shared" ca="1" si="704"/>
        <v>0</v>
      </c>
      <c r="AT156" s="154">
        <f t="shared" ref="AT156:AZ156" ca="1" si="705">SUM(AT155,AT84)</f>
        <v>0</v>
      </c>
      <c r="AU156" s="154">
        <f t="shared" ca="1" si="705"/>
        <v>0</v>
      </c>
      <c r="AV156" s="154">
        <f t="shared" ca="1" si="705"/>
        <v>0</v>
      </c>
      <c r="AW156" s="154">
        <f t="shared" ca="1" si="705"/>
        <v>0</v>
      </c>
      <c r="AX156" s="154">
        <f t="shared" ca="1" si="705"/>
        <v>0</v>
      </c>
      <c r="AY156" s="154">
        <f t="shared" ca="1" si="705"/>
        <v>0</v>
      </c>
      <c r="AZ156" s="153">
        <f t="shared" ca="1" si="705"/>
        <v>0</v>
      </c>
      <c r="BB156" s="196">
        <f t="shared" ref="BB156:BH156" ca="1" si="706">SUM(BB155,BB84)</f>
        <v>0</v>
      </c>
      <c r="BC156" s="196">
        <f t="shared" ca="1" si="706"/>
        <v>0</v>
      </c>
      <c r="BD156" s="196">
        <f t="shared" ca="1" si="706"/>
        <v>0</v>
      </c>
      <c r="BE156" s="196">
        <f t="shared" ca="1" si="706"/>
        <v>0</v>
      </c>
      <c r="BF156" s="196">
        <f t="shared" ca="1" si="706"/>
        <v>0</v>
      </c>
      <c r="BG156" s="196">
        <f t="shared" ca="1" si="706"/>
        <v>0</v>
      </c>
      <c r="BH156" s="195">
        <f t="shared" ca="1" si="706"/>
        <v>0</v>
      </c>
      <c r="BJ156" s="1106">
        <f t="shared" ref="BJ156:BP156" si="707">SUM(BJ155,BJ84)</f>
        <v>0</v>
      </c>
      <c r="BK156" s="1106">
        <f t="shared" si="707"/>
        <v>0</v>
      </c>
      <c r="BL156" s="1106">
        <f t="shared" si="707"/>
        <v>0</v>
      </c>
      <c r="BM156" s="1106">
        <f t="shared" si="707"/>
        <v>0</v>
      </c>
      <c r="BN156" s="1106">
        <f t="shared" si="707"/>
        <v>0</v>
      </c>
      <c r="BO156" s="1106">
        <f t="shared" si="707"/>
        <v>0</v>
      </c>
      <c r="BP156" s="1105">
        <f t="shared" si="707"/>
        <v>0</v>
      </c>
      <c r="BR156" s="993">
        <f t="shared" ca="1" si="632"/>
        <v>0</v>
      </c>
      <c r="BS156" s="993">
        <f t="shared" ca="1" si="632"/>
        <v>0</v>
      </c>
      <c r="BT156" s="993">
        <f t="shared" ca="1" si="632"/>
        <v>0</v>
      </c>
      <c r="BU156" s="993">
        <f t="shared" ca="1" si="632"/>
        <v>0</v>
      </c>
      <c r="BV156" s="993">
        <f t="shared" ca="1" si="632"/>
        <v>0</v>
      </c>
      <c r="BW156" s="993">
        <f t="shared" ca="1" si="632"/>
        <v>0</v>
      </c>
      <c r="BX156" s="993">
        <f t="shared" ca="1" si="633"/>
        <v>0</v>
      </c>
      <c r="BY156" s="275">
        <f t="shared" ca="1" si="472"/>
        <v>46610.467971999999</v>
      </c>
      <c r="BZ156" s="257"/>
      <c r="CB156" s="1300">
        <f t="shared" ref="CB156:CO156" ca="1" si="708">SUM(CB155,CB84)</f>
        <v>21320</v>
      </c>
      <c r="CC156" s="1238">
        <f t="shared" ca="1" si="708"/>
        <v>0</v>
      </c>
      <c r="CD156" s="412">
        <f t="shared" ca="1" si="708"/>
        <v>0</v>
      </c>
      <c r="CE156" s="412">
        <f t="shared" ca="1" si="708"/>
        <v>0</v>
      </c>
      <c r="CF156" s="412">
        <f t="shared" ca="1" si="708"/>
        <v>0</v>
      </c>
      <c r="CG156" s="1239">
        <f t="shared" ca="1" si="708"/>
        <v>0</v>
      </c>
      <c r="CH156" s="1238">
        <f t="shared" ca="1" si="708"/>
        <v>0</v>
      </c>
      <c r="CI156" s="412">
        <f t="shared" ca="1" si="708"/>
        <v>0</v>
      </c>
      <c r="CJ156" s="412">
        <f t="shared" ca="1" si="708"/>
        <v>0</v>
      </c>
      <c r="CK156" s="412">
        <f t="shared" ca="1" si="708"/>
        <v>0</v>
      </c>
      <c r="CL156" s="1240">
        <f t="shared" ca="1" si="708"/>
        <v>0</v>
      </c>
      <c r="CM156" s="1238">
        <f t="shared" ca="1" si="708"/>
        <v>0</v>
      </c>
      <c r="CN156" s="412">
        <f t="shared" ca="1" si="708"/>
        <v>0</v>
      </c>
      <c r="CO156" s="1239">
        <f t="shared" ca="1" si="708"/>
        <v>0</v>
      </c>
      <c r="CP156" s="1237">
        <f t="shared" ca="1" si="612"/>
        <v>21320</v>
      </c>
      <c r="CS156" s="1298">
        <f t="shared" ref="CS156:DE156" si="709">SUM(CS155,CS84)</f>
        <v>0</v>
      </c>
      <c r="CT156" s="355">
        <f t="shared" si="709"/>
        <v>0</v>
      </c>
      <c r="CU156" s="631">
        <f t="shared" si="709"/>
        <v>0</v>
      </c>
      <c r="CV156" s="1298">
        <f t="shared" si="709"/>
        <v>0</v>
      </c>
      <c r="CW156" s="355">
        <f t="shared" si="709"/>
        <v>0</v>
      </c>
      <c r="CX156" s="632">
        <f t="shared" si="709"/>
        <v>0</v>
      </c>
      <c r="CY156" s="1298">
        <f t="shared" si="709"/>
        <v>0</v>
      </c>
      <c r="CZ156" s="355">
        <f t="shared" si="709"/>
        <v>0</v>
      </c>
      <c r="DA156" s="631">
        <f t="shared" si="709"/>
        <v>0</v>
      </c>
      <c r="DB156" s="1298">
        <f t="shared" si="709"/>
        <v>0</v>
      </c>
      <c r="DC156" s="355">
        <f t="shared" si="709"/>
        <v>0</v>
      </c>
      <c r="DD156" s="631">
        <f t="shared" si="709"/>
        <v>0</v>
      </c>
      <c r="DE156" s="1299">
        <f t="shared" si="709"/>
        <v>0</v>
      </c>
      <c r="DG156" s="1298">
        <f t="shared" ref="DG156:DS156" si="710">SUM(DG155,DG84)</f>
        <v>0</v>
      </c>
      <c r="DH156" s="355">
        <f t="shared" si="710"/>
        <v>0</v>
      </c>
      <c r="DI156" s="631">
        <f t="shared" si="710"/>
        <v>0</v>
      </c>
      <c r="DJ156" s="1298">
        <f t="shared" si="710"/>
        <v>0</v>
      </c>
      <c r="DK156" s="355">
        <f t="shared" si="710"/>
        <v>0</v>
      </c>
      <c r="DL156" s="632">
        <f t="shared" si="710"/>
        <v>0</v>
      </c>
      <c r="DM156" s="1298">
        <f t="shared" si="710"/>
        <v>0</v>
      </c>
      <c r="DN156" s="355">
        <f t="shared" si="710"/>
        <v>0</v>
      </c>
      <c r="DO156" s="631">
        <f t="shared" si="710"/>
        <v>0</v>
      </c>
      <c r="DP156" s="1298">
        <f t="shared" si="710"/>
        <v>0</v>
      </c>
      <c r="DQ156" s="355">
        <f t="shared" si="710"/>
        <v>0</v>
      </c>
      <c r="DR156" s="631">
        <f t="shared" si="710"/>
        <v>0</v>
      </c>
      <c r="DS156" s="1299">
        <f t="shared" si="710"/>
        <v>0</v>
      </c>
      <c r="DU156" s="1298">
        <f t="shared" ref="DU156:EG156" si="711">SUM(DU155,DU84)</f>
        <v>0</v>
      </c>
      <c r="DV156" s="355">
        <f t="shared" si="711"/>
        <v>0</v>
      </c>
      <c r="DW156" s="631">
        <f t="shared" si="711"/>
        <v>0</v>
      </c>
      <c r="DX156" s="1298">
        <f t="shared" si="711"/>
        <v>0</v>
      </c>
      <c r="DY156" s="355">
        <f t="shared" si="711"/>
        <v>0</v>
      </c>
      <c r="DZ156" s="632">
        <f t="shared" si="711"/>
        <v>0</v>
      </c>
      <c r="EA156" s="1298">
        <f t="shared" si="711"/>
        <v>0</v>
      </c>
      <c r="EB156" s="355">
        <f t="shared" si="711"/>
        <v>0</v>
      </c>
      <c r="EC156" s="631">
        <f t="shared" si="711"/>
        <v>0</v>
      </c>
      <c r="ED156" s="1298">
        <f t="shared" si="711"/>
        <v>0</v>
      </c>
      <c r="EE156" s="355">
        <f t="shared" si="711"/>
        <v>0</v>
      </c>
      <c r="EF156" s="631">
        <f t="shared" si="711"/>
        <v>0</v>
      </c>
      <c r="EG156" s="1299">
        <f t="shared" si="711"/>
        <v>0</v>
      </c>
      <c r="EI156" s="407"/>
      <c r="EJ156" s="417"/>
      <c r="EK156" s="467" t="s">
        <v>137</v>
      </c>
      <c r="EL156" s="416">
        <f t="shared" ref="EL156:ER156" ca="1" si="712">SUM(EL155,EL84)</f>
        <v>46610</v>
      </c>
      <c r="EM156" s="96">
        <f t="shared" ca="1" si="712"/>
        <v>0</v>
      </c>
      <c r="EN156" s="96">
        <f t="shared" ca="1" si="712"/>
        <v>0</v>
      </c>
      <c r="EO156" s="96">
        <f t="shared" ca="1" si="712"/>
        <v>0</v>
      </c>
      <c r="EP156" s="96">
        <f t="shared" ca="1" si="712"/>
        <v>0</v>
      </c>
      <c r="EQ156" s="96">
        <f t="shared" ca="1" si="712"/>
        <v>0</v>
      </c>
      <c r="ER156" s="96">
        <f t="shared" ca="1" si="712"/>
        <v>46610</v>
      </c>
      <c r="ES156" s="13">
        <f ca="1">SUM(EL156:EQ156)</f>
        <v>46610</v>
      </c>
      <c r="ET156" s="13"/>
      <c r="EU156" s="13"/>
      <c r="EV156" s="168">
        <f t="shared" ref="EV156:FB156" ca="1" si="713">SUM(EV155,EV84)</f>
        <v>0</v>
      </c>
      <c r="EW156" s="168">
        <f t="shared" ca="1" si="713"/>
        <v>0</v>
      </c>
      <c r="EX156" s="168">
        <f t="shared" ca="1" si="713"/>
        <v>0</v>
      </c>
      <c r="EY156" s="168">
        <f t="shared" ca="1" si="713"/>
        <v>0</v>
      </c>
      <c r="EZ156" s="168">
        <f t="shared" ca="1" si="713"/>
        <v>0</v>
      </c>
      <c r="FA156" s="168">
        <f t="shared" ca="1" si="713"/>
        <v>0</v>
      </c>
      <c r="FB156" s="167">
        <f t="shared" ca="1" si="713"/>
        <v>0</v>
      </c>
      <c r="FC156" s="1"/>
      <c r="FD156" s="141">
        <f t="shared" ref="FD156:FJ156" ca="1" si="714">SUM(FD155,FD84)</f>
        <v>0</v>
      </c>
      <c r="FE156" s="141">
        <f t="shared" ca="1" si="714"/>
        <v>0</v>
      </c>
      <c r="FF156" s="141">
        <f t="shared" ca="1" si="714"/>
        <v>0</v>
      </c>
      <c r="FG156" s="141">
        <f t="shared" ca="1" si="714"/>
        <v>0</v>
      </c>
      <c r="FH156" s="141">
        <f t="shared" ca="1" si="714"/>
        <v>0</v>
      </c>
      <c r="FI156" s="141">
        <f t="shared" ca="1" si="714"/>
        <v>0</v>
      </c>
      <c r="FJ156" s="48">
        <f t="shared" ca="1" si="714"/>
        <v>0</v>
      </c>
      <c r="FL156" s="210">
        <f t="shared" ref="FL156:FR156" ca="1" si="715">SUM(FL155,FL84)</f>
        <v>0</v>
      </c>
      <c r="FM156" s="210">
        <f t="shared" ca="1" si="715"/>
        <v>0</v>
      </c>
      <c r="FN156" s="210">
        <f t="shared" ca="1" si="715"/>
        <v>0</v>
      </c>
      <c r="FO156" s="210">
        <f t="shared" ca="1" si="715"/>
        <v>0</v>
      </c>
      <c r="FP156" s="210">
        <f t="shared" ca="1" si="715"/>
        <v>0</v>
      </c>
      <c r="FQ156" s="210">
        <f t="shared" ca="1" si="715"/>
        <v>0</v>
      </c>
      <c r="FR156" s="209">
        <f t="shared" ca="1" si="715"/>
        <v>0</v>
      </c>
      <c r="FT156" s="182">
        <f t="shared" ref="FT156:FZ156" ca="1" si="716">SUM(FT155,FT84)</f>
        <v>0</v>
      </c>
      <c r="FU156" s="182">
        <f t="shared" ca="1" si="716"/>
        <v>0</v>
      </c>
      <c r="FV156" s="182">
        <f t="shared" ca="1" si="716"/>
        <v>0</v>
      </c>
      <c r="FW156" s="182">
        <f t="shared" ca="1" si="716"/>
        <v>0</v>
      </c>
      <c r="FX156" s="182">
        <f t="shared" ca="1" si="716"/>
        <v>0</v>
      </c>
      <c r="FY156" s="182">
        <f t="shared" ca="1" si="716"/>
        <v>0</v>
      </c>
      <c r="FZ156" s="181">
        <f t="shared" ca="1" si="716"/>
        <v>0</v>
      </c>
      <c r="GB156" s="154">
        <f t="shared" ref="GB156:GH156" ca="1" si="717">SUM(GB155,GB84)</f>
        <v>0</v>
      </c>
      <c r="GC156" s="154">
        <f t="shared" ca="1" si="717"/>
        <v>0</v>
      </c>
      <c r="GD156" s="154">
        <f t="shared" ca="1" si="717"/>
        <v>0</v>
      </c>
      <c r="GE156" s="154">
        <f t="shared" ca="1" si="717"/>
        <v>0</v>
      </c>
      <c r="GF156" s="154">
        <f t="shared" ca="1" si="717"/>
        <v>0</v>
      </c>
      <c r="GG156" s="154">
        <f t="shared" ca="1" si="717"/>
        <v>0</v>
      </c>
      <c r="GH156" s="153">
        <f t="shared" ca="1" si="717"/>
        <v>0</v>
      </c>
      <c r="GJ156" s="196">
        <f t="shared" ref="GJ156:GP156" ca="1" si="718">SUM(GJ155,GJ84)</f>
        <v>0</v>
      </c>
      <c r="GK156" s="196">
        <f t="shared" ca="1" si="718"/>
        <v>0</v>
      </c>
      <c r="GL156" s="196">
        <f t="shared" ca="1" si="718"/>
        <v>0</v>
      </c>
      <c r="GM156" s="196">
        <f t="shared" ca="1" si="718"/>
        <v>0</v>
      </c>
      <c r="GN156" s="196">
        <f t="shared" ca="1" si="718"/>
        <v>0</v>
      </c>
      <c r="GO156" s="196">
        <f t="shared" ca="1" si="718"/>
        <v>0</v>
      </c>
      <c r="GP156" s="195">
        <f t="shared" ca="1" si="718"/>
        <v>0</v>
      </c>
      <c r="GR156" s="1106">
        <f t="shared" ref="GR156:GX156" si="719">SUM(GR155,GR84)</f>
        <v>0</v>
      </c>
      <c r="GS156" s="1106">
        <f t="shared" si="719"/>
        <v>0</v>
      </c>
      <c r="GT156" s="1106">
        <f t="shared" si="719"/>
        <v>0</v>
      </c>
      <c r="GU156" s="1106">
        <f t="shared" si="719"/>
        <v>0</v>
      </c>
      <c r="GV156" s="1106">
        <f t="shared" si="719"/>
        <v>0</v>
      </c>
      <c r="GW156" s="1106">
        <f t="shared" si="719"/>
        <v>0</v>
      </c>
      <c r="GX156" s="1105">
        <f t="shared" si="719"/>
        <v>0</v>
      </c>
      <c r="GZ156" s="993">
        <f t="shared" ca="1" si="641"/>
        <v>0</v>
      </c>
      <c r="HA156" s="993">
        <f t="shared" ca="1" si="641"/>
        <v>0</v>
      </c>
      <c r="HB156" s="993">
        <f t="shared" ca="1" si="641"/>
        <v>0</v>
      </c>
      <c r="HC156" s="993">
        <f t="shared" ca="1" si="641"/>
        <v>0</v>
      </c>
      <c r="HD156" s="993">
        <f t="shared" ca="1" si="641"/>
        <v>0</v>
      </c>
      <c r="HE156" s="993">
        <f t="shared" ca="1" si="641"/>
        <v>0</v>
      </c>
      <c r="HF156" s="993">
        <f t="shared" ca="1" si="642"/>
        <v>0</v>
      </c>
      <c r="HG156" s="275">
        <f t="shared" ca="1" si="535"/>
        <v>46610</v>
      </c>
      <c r="HH156" s="257"/>
    </row>
    <row r="157" spans="1:216" ht="15" customHeight="1" thickBot="1" x14ac:dyDescent="0.3">
      <c r="A157" s="3228"/>
      <c r="B157" s="3229"/>
      <c r="C157" s="3229"/>
      <c r="D157" s="3229"/>
      <c r="E157" s="3229"/>
      <c r="F157" s="3229"/>
      <c r="G157" s="3229"/>
      <c r="H157" s="3229"/>
      <c r="I157" s="3229"/>
      <c r="J157" s="3229"/>
      <c r="K157" s="13"/>
      <c r="L157" s="6"/>
      <c r="M157" s="13"/>
      <c r="T157" s="1"/>
      <c r="U157" s="1"/>
      <c r="AB157" s="1"/>
      <c r="AJ157" s="1"/>
      <c r="AR157" s="1"/>
      <c r="AZ157" s="1"/>
      <c r="BH157" s="1"/>
      <c r="BX157" s="1"/>
      <c r="BY157" s="1"/>
      <c r="BZ157" s="1"/>
      <c r="CB157" s="1217"/>
      <c r="CC157" s="1217"/>
      <c r="CD157" s="1217"/>
      <c r="CE157" s="1217"/>
      <c r="CF157" s="1217"/>
      <c r="CG157" s="1217"/>
      <c r="CH157" s="1217"/>
      <c r="CI157" s="1217"/>
      <c r="CJ157" s="1217"/>
      <c r="CK157" s="1217"/>
      <c r="CL157" s="1217"/>
      <c r="CM157" s="1217"/>
      <c r="CN157" s="1217"/>
      <c r="CO157" s="1217"/>
      <c r="CP157" s="1217"/>
      <c r="EI157" s="3228"/>
      <c r="EJ157" s="3229"/>
      <c r="EK157" s="3229"/>
      <c r="EL157" s="3229"/>
      <c r="EM157" s="3229"/>
      <c r="EN157" s="3229"/>
      <c r="EO157" s="3229"/>
      <c r="EP157" s="3229"/>
      <c r="EQ157" s="3229"/>
      <c r="ER157" s="3229"/>
      <c r="ES157" s="13"/>
      <c r="ET157" s="6"/>
      <c r="EU157" s="13"/>
      <c r="FB157" s="1"/>
      <c r="FC157" s="1"/>
      <c r="FJ157" s="1"/>
      <c r="FR157" s="1"/>
      <c r="FZ157" s="1"/>
      <c r="GH157" s="1"/>
      <c r="GP157" s="1"/>
      <c r="HF157" s="1"/>
      <c r="HG157" s="1"/>
      <c r="HH157" s="1"/>
    </row>
    <row r="158" spans="1:216" ht="15" customHeight="1" thickBot="1" x14ac:dyDescent="0.3">
      <c r="A158" s="429" t="s">
        <v>27</v>
      </c>
      <c r="B158" s="2699" t="s">
        <v>6</v>
      </c>
      <c r="C158" s="2700"/>
      <c r="D158" s="2700"/>
      <c r="E158" s="2700"/>
      <c r="F158" s="2700"/>
      <c r="G158" s="2700"/>
      <c r="H158" s="2700"/>
      <c r="I158" s="2700"/>
      <c r="J158" s="2701"/>
      <c r="K158" s="6"/>
      <c r="L158" s="6"/>
      <c r="M158" s="6"/>
      <c r="N158" s="870" t="s">
        <v>6</v>
      </c>
      <c r="O158" s="1098"/>
      <c r="P158" s="1098"/>
      <c r="Q158" s="1098"/>
      <c r="R158" s="1098"/>
      <c r="S158" s="1098"/>
      <c r="T158" s="1099"/>
      <c r="U158" s="24"/>
      <c r="V158" s="870" t="s">
        <v>6</v>
      </c>
      <c r="W158" s="1098"/>
      <c r="X158" s="1098"/>
      <c r="Y158" s="1098"/>
      <c r="Z158" s="1098"/>
      <c r="AA158" s="1098"/>
      <c r="AB158" s="1099"/>
      <c r="AC158" s="24"/>
      <c r="AD158" s="870" t="s">
        <v>6</v>
      </c>
      <c r="AE158" s="1098"/>
      <c r="AF158" s="1098"/>
      <c r="AG158" s="1098"/>
      <c r="AH158" s="1098"/>
      <c r="AI158" s="1098"/>
      <c r="AJ158" s="1099"/>
      <c r="AK158" s="24"/>
      <c r="AL158" s="870" t="s">
        <v>6</v>
      </c>
      <c r="AM158" s="1098"/>
      <c r="AN158" s="1098"/>
      <c r="AO158" s="1098"/>
      <c r="AP158" s="1098"/>
      <c r="AQ158" s="1098"/>
      <c r="AR158" s="1099"/>
      <c r="AS158" s="24"/>
      <c r="AT158" s="870" t="s">
        <v>6</v>
      </c>
      <c r="AU158" s="1098"/>
      <c r="AV158" s="1098"/>
      <c r="AW158" s="1098"/>
      <c r="AX158" s="1098"/>
      <c r="AY158" s="1098"/>
      <c r="AZ158" s="1099"/>
      <c r="BB158" s="465" t="s">
        <v>6</v>
      </c>
      <c r="BC158" s="678"/>
      <c r="BD158" s="678"/>
      <c r="BE158" s="678"/>
      <c r="BF158" s="678"/>
      <c r="BG158" s="678"/>
      <c r="BH158" s="1097"/>
      <c r="BJ158" s="870" t="s">
        <v>6</v>
      </c>
      <c r="BK158" s="861"/>
      <c r="BL158" s="861"/>
      <c r="BM158" s="861"/>
      <c r="BN158" s="861"/>
      <c r="BO158" s="861"/>
      <c r="BP158" s="1125"/>
      <c r="BR158" s="1010" t="s">
        <v>6</v>
      </c>
      <c r="BS158" s="1011"/>
      <c r="BT158" s="1011"/>
      <c r="BU158" s="1011"/>
      <c r="BV158" s="1011"/>
      <c r="BW158" s="1011"/>
      <c r="BX158" s="1011"/>
      <c r="BY158" s="1012"/>
      <c r="BZ158" s="1"/>
      <c r="CB158" s="2721" t="s">
        <v>6</v>
      </c>
      <c r="CC158" s="2722"/>
      <c r="CD158" s="2722"/>
      <c r="CE158" s="2722"/>
      <c r="CF158" s="2722"/>
      <c r="CG158" s="2722"/>
      <c r="CH158" s="2722"/>
      <c r="CI158" s="2722"/>
      <c r="CJ158" s="2722"/>
      <c r="CK158" s="2722"/>
      <c r="CL158" s="2722"/>
      <c r="CM158" s="2722"/>
      <c r="CN158" s="2722"/>
      <c r="CO158" s="2722"/>
      <c r="CP158" s="2723"/>
      <c r="CS158" s="328" t="s">
        <v>141</v>
      </c>
      <c r="CT158" s="597"/>
      <c r="CU158" s="597"/>
      <c r="CV158" s="597"/>
      <c r="CW158" s="597"/>
      <c r="CX158" s="597"/>
      <c r="CY158" s="597"/>
      <c r="CZ158" s="597"/>
      <c r="DA158" s="597"/>
      <c r="DB158" s="597"/>
      <c r="DC158" s="597"/>
      <c r="DD158" s="597"/>
      <c r="DE158" s="596"/>
      <c r="DG158" s="328" t="s">
        <v>141</v>
      </c>
      <c r="DH158" s="597"/>
      <c r="DI158" s="597"/>
      <c r="DJ158" s="597"/>
      <c r="DK158" s="597"/>
      <c r="DL158" s="597"/>
      <c r="DM158" s="597"/>
      <c r="DN158" s="597"/>
      <c r="DO158" s="597"/>
      <c r="DP158" s="597"/>
      <c r="DQ158" s="597"/>
      <c r="DR158" s="597"/>
      <c r="DS158" s="596"/>
      <c r="DU158" s="328" t="s">
        <v>141</v>
      </c>
      <c r="DV158" s="597"/>
      <c r="DW158" s="597"/>
      <c r="DX158" s="597"/>
      <c r="DY158" s="597"/>
      <c r="DZ158" s="597"/>
      <c r="EA158" s="597"/>
      <c r="EB158" s="597"/>
      <c r="EC158" s="597"/>
      <c r="ED158" s="597"/>
      <c r="EE158" s="597"/>
      <c r="EF158" s="597"/>
      <c r="EG158" s="596"/>
      <c r="EI158" s="429" t="s">
        <v>27</v>
      </c>
      <c r="EJ158" s="2699" t="s">
        <v>6</v>
      </c>
      <c r="EK158" s="2700"/>
      <c r="EL158" s="2700"/>
      <c r="EM158" s="2700"/>
      <c r="EN158" s="2700"/>
      <c r="EO158" s="2700"/>
      <c r="EP158" s="2700"/>
      <c r="EQ158" s="2700"/>
      <c r="ER158" s="2701"/>
      <c r="ES158" s="6"/>
      <c r="ET158" s="6"/>
      <c r="EU158" s="6"/>
      <c r="EV158" s="870" t="s">
        <v>6</v>
      </c>
      <c r="EW158" s="1098"/>
      <c r="EX158" s="1098"/>
      <c r="EY158" s="1098"/>
      <c r="EZ158" s="1098"/>
      <c r="FA158" s="1098"/>
      <c r="FB158" s="1099"/>
      <c r="FC158" s="24"/>
      <c r="FD158" s="870" t="s">
        <v>6</v>
      </c>
      <c r="FE158" s="1098"/>
      <c r="FF158" s="1098"/>
      <c r="FG158" s="1098"/>
      <c r="FH158" s="1098"/>
      <c r="FI158" s="1098"/>
      <c r="FJ158" s="1099"/>
      <c r="FK158" s="24"/>
      <c r="FL158" s="870" t="s">
        <v>6</v>
      </c>
      <c r="FM158" s="1098"/>
      <c r="FN158" s="1098"/>
      <c r="FO158" s="1098"/>
      <c r="FP158" s="1098"/>
      <c r="FQ158" s="1098"/>
      <c r="FR158" s="1099"/>
      <c r="FS158" s="24"/>
      <c r="FT158" s="870" t="s">
        <v>6</v>
      </c>
      <c r="FU158" s="1098"/>
      <c r="FV158" s="1098"/>
      <c r="FW158" s="1098"/>
      <c r="FX158" s="1098"/>
      <c r="FY158" s="1098"/>
      <c r="FZ158" s="1099"/>
      <c r="GA158" s="24"/>
      <c r="GB158" s="870" t="s">
        <v>6</v>
      </c>
      <c r="GC158" s="1098"/>
      <c r="GD158" s="1098"/>
      <c r="GE158" s="1098"/>
      <c r="GF158" s="1098"/>
      <c r="GG158" s="1098"/>
      <c r="GH158" s="1099"/>
      <c r="GJ158" s="465" t="s">
        <v>6</v>
      </c>
      <c r="GK158" s="678"/>
      <c r="GL158" s="678"/>
      <c r="GM158" s="678"/>
      <c r="GN158" s="678"/>
      <c r="GO158" s="678"/>
      <c r="GP158" s="1097"/>
      <c r="GR158" s="870" t="s">
        <v>6</v>
      </c>
      <c r="GS158" s="861"/>
      <c r="GT158" s="861"/>
      <c r="GU158" s="861"/>
      <c r="GV158" s="861"/>
      <c r="GW158" s="861"/>
      <c r="GX158" s="1125"/>
      <c r="GZ158" s="1010" t="s">
        <v>6</v>
      </c>
      <c r="HA158" s="1011"/>
      <c r="HB158" s="1011"/>
      <c r="HC158" s="1011"/>
      <c r="HD158" s="1011"/>
      <c r="HE158" s="1011"/>
      <c r="HF158" s="1011"/>
      <c r="HG158" s="1012"/>
      <c r="HH158" s="1"/>
    </row>
    <row r="159" spans="1:216" ht="15" hidden="1" customHeight="1" x14ac:dyDescent="0.25">
      <c r="A159" s="432" t="s">
        <v>47</v>
      </c>
      <c r="B159" s="433"/>
      <c r="C159" s="434">
        <f>'DATA INPUT'!B85</f>
        <v>0</v>
      </c>
      <c r="D159" s="409">
        <f>'DATA INPUT'!I85</f>
        <v>0</v>
      </c>
      <c r="E159" s="409">
        <f>'DATA INPUT'!J85</f>
        <v>0</v>
      </c>
      <c r="F159" s="409">
        <f>'DATA INPUT'!K85</f>
        <v>0</v>
      </c>
      <c r="G159" s="409">
        <f>'DATA INPUT'!L85</f>
        <v>0</v>
      </c>
      <c r="H159" s="409">
        <f>'DATA INPUT'!M85</f>
        <v>0</v>
      </c>
      <c r="I159" s="409">
        <f>'DATA INPUT'!N85</f>
        <v>0</v>
      </c>
      <c r="J159" s="345">
        <f t="shared" ref="J159:J164" si="720">SUM(D159:I159)</f>
        <v>0</v>
      </c>
      <c r="K159" s="6"/>
      <c r="L159" s="6"/>
      <c r="M159" s="6"/>
      <c r="N159" s="21"/>
      <c r="O159" s="21"/>
      <c r="P159" s="21"/>
      <c r="Q159" s="21"/>
      <c r="R159" s="21"/>
      <c r="S159" s="21"/>
      <c r="T159" s="167">
        <f t="shared" ref="T159:T164" si="721">SUM(N159:S159)</f>
        <v>0</v>
      </c>
      <c r="U159" s="1"/>
      <c r="V159" s="21"/>
      <c r="W159" s="21"/>
      <c r="X159" s="21"/>
      <c r="Y159" s="21"/>
      <c r="Z159" s="21"/>
      <c r="AA159" s="21"/>
      <c r="AB159" s="48">
        <f t="shared" ref="AB159:AB164" si="722">SUM(V159:AA159)</f>
        <v>0</v>
      </c>
      <c r="AD159" s="21"/>
      <c r="AE159" s="21"/>
      <c r="AF159" s="21"/>
      <c r="AG159" s="21"/>
      <c r="AH159" s="21"/>
      <c r="AI159" s="21"/>
      <c r="AJ159" s="209">
        <f t="shared" ref="AJ159:AJ164" si="723">SUM(AD159:AI159)</f>
        <v>0</v>
      </c>
      <c r="AL159" s="21"/>
      <c r="AM159" s="21"/>
      <c r="AN159" s="21"/>
      <c r="AO159" s="21"/>
      <c r="AP159" s="21"/>
      <c r="AQ159" s="21"/>
      <c r="AR159" s="181">
        <f t="shared" ref="AR159:AR164" si="724">SUM(AL159:AQ159)</f>
        <v>0</v>
      </c>
      <c r="AT159" s="21"/>
      <c r="AU159" s="21"/>
      <c r="AV159" s="21"/>
      <c r="AW159" s="21"/>
      <c r="AX159" s="21"/>
      <c r="AY159" s="21"/>
      <c r="AZ159" s="153">
        <f t="shared" ref="AZ159:AZ164" si="725">SUM(AT159:AY159)</f>
        <v>0</v>
      </c>
      <c r="BB159" s="21"/>
      <c r="BC159" s="21"/>
      <c r="BD159" s="21"/>
      <c r="BE159" s="21"/>
      <c r="BF159" s="21"/>
      <c r="BG159" s="21"/>
      <c r="BH159" s="195">
        <f t="shared" ref="BH159:BH164" si="726">SUM(BB159:BG159)</f>
        <v>0</v>
      </c>
      <c r="BJ159" s="21"/>
      <c r="BK159" s="21"/>
      <c r="BL159" s="21"/>
      <c r="BM159" s="21"/>
      <c r="BN159" s="21"/>
      <c r="BO159" s="21"/>
      <c r="BP159" s="1105">
        <f t="shared" ref="BP159:BP164" si="727">SUM(BJ159:BO159)</f>
        <v>0</v>
      </c>
      <c r="BR159" s="574">
        <f t="shared" ref="BR159:BW165" si="728">SUM(N159,V159,AD159,AL159,AT159,BB159)</f>
        <v>0</v>
      </c>
      <c r="BS159" s="574">
        <f t="shared" si="728"/>
        <v>0</v>
      </c>
      <c r="BT159" s="574">
        <f t="shared" si="728"/>
        <v>0</v>
      </c>
      <c r="BU159" s="574">
        <f t="shared" si="728"/>
        <v>0</v>
      </c>
      <c r="BV159" s="574">
        <f t="shared" si="728"/>
        <v>0</v>
      </c>
      <c r="BW159" s="574">
        <f t="shared" si="728"/>
        <v>0</v>
      </c>
      <c r="BX159" s="990">
        <f t="shared" ref="BX159:BX164" si="729">SUM(BR159:BW159)</f>
        <v>0</v>
      </c>
      <c r="BY159" s="276">
        <f t="shared" ref="BY159:BY164" si="730">SUM(J159+BX159)</f>
        <v>0</v>
      </c>
      <c r="BZ159" s="257"/>
      <c r="CB159" s="1301">
        <f>D165</f>
        <v>0</v>
      </c>
      <c r="CC159" s="1302">
        <f>E165</f>
        <v>0</v>
      </c>
      <c r="CD159" s="1303"/>
      <c r="CE159" s="1303"/>
      <c r="CF159" s="1303"/>
      <c r="CG159" s="1304"/>
      <c r="CH159" s="1289">
        <f t="shared" ref="CH159:CH164" si="731">$F159</f>
        <v>0</v>
      </c>
      <c r="CI159" s="1305"/>
      <c r="CJ159" s="1305"/>
      <c r="CK159" s="1305"/>
      <c r="CL159" s="1306"/>
      <c r="CM159" s="1165">
        <f t="shared" ref="CM159:CM164" si="732">$G159</f>
        <v>0</v>
      </c>
      <c r="CN159" s="1166"/>
      <c r="CO159" s="1307"/>
      <c r="CP159" s="1168">
        <f t="shared" ref="CP159:CP165" si="733">SUM(CB159:CO159)</f>
        <v>0</v>
      </c>
      <c r="CS159" s="574"/>
      <c r="CT159" s="86"/>
      <c r="CU159" s="1169"/>
      <c r="CV159" s="574"/>
      <c r="CW159" s="86"/>
      <c r="CX159" s="1169"/>
      <c r="CY159" s="574"/>
      <c r="CZ159" s="86"/>
      <c r="DA159" s="1169"/>
      <c r="DB159" s="574"/>
      <c r="DC159" s="86"/>
      <c r="DD159" s="1169"/>
      <c r="DE159" s="1065">
        <f t="shared" ref="DE159:DE164" si="734">SUM(CS159:DD159)</f>
        <v>0</v>
      </c>
      <c r="DG159" s="574"/>
      <c r="DH159" s="86"/>
      <c r="DI159" s="1169"/>
      <c r="DJ159" s="574"/>
      <c r="DK159" s="86"/>
      <c r="DL159" s="1169"/>
      <c r="DM159" s="574"/>
      <c r="DN159" s="86"/>
      <c r="DO159" s="1169"/>
      <c r="DP159" s="574"/>
      <c r="DQ159" s="86"/>
      <c r="DR159" s="1169"/>
      <c r="DS159" s="1065">
        <f t="shared" ref="DS159:DS164" si="735">SUM(DG159:DR159)</f>
        <v>0</v>
      </c>
      <c r="DU159" s="574"/>
      <c r="DV159" s="86"/>
      <c r="DW159" s="1169"/>
      <c r="DX159" s="574"/>
      <c r="DY159" s="86"/>
      <c r="DZ159" s="1169"/>
      <c r="EA159" s="574"/>
      <c r="EB159" s="86"/>
      <c r="EC159" s="1169"/>
      <c r="ED159" s="574"/>
      <c r="EE159" s="86"/>
      <c r="EF159" s="1169"/>
      <c r="EG159" s="1065">
        <f t="shared" ref="EG159:EG164" si="736">SUM(DU159:EF159)</f>
        <v>0</v>
      </c>
      <c r="EI159" s="432" t="s">
        <v>47</v>
      </c>
      <c r="EJ159" s="433"/>
      <c r="EK159" s="434">
        <f t="shared" ref="EK159:EK164" si="737">C159</f>
        <v>0</v>
      </c>
      <c r="EL159" s="409">
        <f t="shared" ref="EL159:EQ164" si="738">ROUND(D159,0)</f>
        <v>0</v>
      </c>
      <c r="EM159" s="409">
        <f t="shared" si="738"/>
        <v>0</v>
      </c>
      <c r="EN159" s="409">
        <f t="shared" si="738"/>
        <v>0</v>
      </c>
      <c r="EO159" s="409">
        <f t="shared" si="738"/>
        <v>0</v>
      </c>
      <c r="EP159" s="409">
        <f t="shared" si="738"/>
        <v>0</v>
      </c>
      <c r="EQ159" s="409">
        <f t="shared" si="738"/>
        <v>0</v>
      </c>
      <c r="ER159" s="345">
        <f t="shared" ref="ER159:ER164" si="739">SUM(EL159:EQ159)</f>
        <v>0</v>
      </c>
      <c r="ES159" s="6"/>
      <c r="ET159" s="6"/>
      <c r="EU159" s="6"/>
      <c r="EV159" s="21">
        <f t="shared" ref="EV159:FA164" si="740">ROUND(N159,0)</f>
        <v>0</v>
      </c>
      <c r="EW159" s="21">
        <f t="shared" si="740"/>
        <v>0</v>
      </c>
      <c r="EX159" s="21">
        <f t="shared" si="740"/>
        <v>0</v>
      </c>
      <c r="EY159" s="21">
        <f t="shared" si="740"/>
        <v>0</v>
      </c>
      <c r="EZ159" s="21">
        <f t="shared" si="740"/>
        <v>0</v>
      </c>
      <c r="FA159" s="21">
        <f t="shared" si="740"/>
        <v>0</v>
      </c>
      <c r="FB159" s="167">
        <f t="shared" ref="FB159:FB164" si="741">SUM(EV159:FA159)</f>
        <v>0</v>
      </c>
      <c r="FC159" s="1"/>
      <c r="FD159" s="21">
        <f t="shared" ref="FD159:FI164" si="742">ROUND(V159,0)</f>
        <v>0</v>
      </c>
      <c r="FE159" s="21">
        <f t="shared" si="742"/>
        <v>0</v>
      </c>
      <c r="FF159" s="21">
        <f t="shared" si="742"/>
        <v>0</v>
      </c>
      <c r="FG159" s="21">
        <f t="shared" si="742"/>
        <v>0</v>
      </c>
      <c r="FH159" s="21">
        <f t="shared" si="742"/>
        <v>0</v>
      </c>
      <c r="FI159" s="21">
        <f t="shared" si="742"/>
        <v>0</v>
      </c>
      <c r="FJ159" s="48">
        <f t="shared" ref="FJ159:FJ164" si="743">SUM(FD159:FI159)</f>
        <v>0</v>
      </c>
      <c r="FL159" s="21">
        <f t="shared" ref="FL159:FQ164" si="744">ROUND(AD159,0)</f>
        <v>0</v>
      </c>
      <c r="FM159" s="21">
        <f t="shared" si="744"/>
        <v>0</v>
      </c>
      <c r="FN159" s="21">
        <f t="shared" si="744"/>
        <v>0</v>
      </c>
      <c r="FO159" s="21">
        <f t="shared" si="744"/>
        <v>0</v>
      </c>
      <c r="FP159" s="21">
        <f t="shared" si="744"/>
        <v>0</v>
      </c>
      <c r="FQ159" s="21">
        <f t="shared" si="744"/>
        <v>0</v>
      </c>
      <c r="FR159" s="209">
        <f t="shared" ref="FR159:FR164" si="745">SUM(FL159:FQ159)</f>
        <v>0</v>
      </c>
      <c r="FT159" s="21">
        <f t="shared" ref="FT159:FY164" si="746">ROUND(AL159,0)</f>
        <v>0</v>
      </c>
      <c r="FU159" s="21">
        <f t="shared" si="746"/>
        <v>0</v>
      </c>
      <c r="FV159" s="21">
        <f t="shared" si="746"/>
        <v>0</v>
      </c>
      <c r="FW159" s="21">
        <f t="shared" si="746"/>
        <v>0</v>
      </c>
      <c r="FX159" s="21">
        <f t="shared" si="746"/>
        <v>0</v>
      </c>
      <c r="FY159" s="21">
        <f t="shared" si="746"/>
        <v>0</v>
      </c>
      <c r="FZ159" s="181">
        <f t="shared" ref="FZ159:FZ164" si="747">SUM(FT159:FY159)</f>
        <v>0</v>
      </c>
      <c r="GB159" s="21">
        <f t="shared" ref="GB159:GG164" si="748">ROUND(AT159,0)</f>
        <v>0</v>
      </c>
      <c r="GC159" s="21">
        <f t="shared" si="748"/>
        <v>0</v>
      </c>
      <c r="GD159" s="21">
        <f t="shared" si="748"/>
        <v>0</v>
      </c>
      <c r="GE159" s="21">
        <f t="shared" si="748"/>
        <v>0</v>
      </c>
      <c r="GF159" s="21">
        <f t="shared" si="748"/>
        <v>0</v>
      </c>
      <c r="GG159" s="21">
        <f t="shared" si="748"/>
        <v>0</v>
      </c>
      <c r="GH159" s="153">
        <f t="shared" ref="GH159:GH164" si="749">SUM(GB159:GG159)</f>
        <v>0</v>
      </c>
      <c r="GJ159" s="21">
        <f t="shared" ref="GJ159:GO164" si="750">ROUND(BB159,0)</f>
        <v>0</v>
      </c>
      <c r="GK159" s="21">
        <f t="shared" si="750"/>
        <v>0</v>
      </c>
      <c r="GL159" s="21">
        <f t="shared" si="750"/>
        <v>0</v>
      </c>
      <c r="GM159" s="21">
        <f t="shared" si="750"/>
        <v>0</v>
      </c>
      <c r="GN159" s="21">
        <f t="shared" si="750"/>
        <v>0</v>
      </c>
      <c r="GO159" s="21">
        <f t="shared" si="750"/>
        <v>0</v>
      </c>
      <c r="GP159" s="195">
        <f t="shared" ref="GP159:GP164" si="751">SUM(GJ159:GO159)</f>
        <v>0</v>
      </c>
      <c r="GR159" s="21"/>
      <c r="GS159" s="21"/>
      <c r="GT159" s="21"/>
      <c r="GU159" s="21"/>
      <c r="GV159" s="21"/>
      <c r="GW159" s="21"/>
      <c r="GX159" s="1105">
        <f t="shared" ref="GX159:GX164" si="752">SUM(GR159:GW159)</f>
        <v>0</v>
      </c>
      <c r="GZ159" s="574">
        <f t="shared" ref="GZ159:HE165" si="753">SUM(EV159,FD159,FL159,FT159,GB159,GJ159)</f>
        <v>0</v>
      </c>
      <c r="HA159" s="574">
        <f t="shared" si="753"/>
        <v>0</v>
      </c>
      <c r="HB159" s="574">
        <f t="shared" si="753"/>
        <v>0</v>
      </c>
      <c r="HC159" s="574">
        <f t="shared" si="753"/>
        <v>0</v>
      </c>
      <c r="HD159" s="574">
        <f t="shared" si="753"/>
        <v>0</v>
      </c>
      <c r="HE159" s="574">
        <f t="shared" si="753"/>
        <v>0</v>
      </c>
      <c r="HF159" s="990">
        <f t="shared" ref="HF159:HF164" si="754">SUM(GZ159:HE159)</f>
        <v>0</v>
      </c>
      <c r="HG159" s="276">
        <f t="shared" ref="HG159:HG164" si="755">SUM(ER159+HF159)</f>
        <v>0</v>
      </c>
      <c r="HH159" s="257"/>
    </row>
    <row r="160" spans="1:216" ht="15" hidden="1" customHeight="1" x14ac:dyDescent="0.25">
      <c r="A160" s="27" t="s">
        <v>48</v>
      </c>
      <c r="B160" s="34"/>
      <c r="C160" s="63">
        <f>'DATA INPUT'!B86</f>
        <v>0</v>
      </c>
      <c r="D160" s="21">
        <f>'DATA INPUT'!I86</f>
        <v>0</v>
      </c>
      <c r="E160" s="21">
        <f>'DATA INPUT'!J86</f>
        <v>0</v>
      </c>
      <c r="F160" s="21">
        <f>'DATA INPUT'!K86</f>
        <v>0</v>
      </c>
      <c r="G160" s="21">
        <f>'DATA INPUT'!L86</f>
        <v>0</v>
      </c>
      <c r="H160" s="21">
        <f>'DATA INPUT'!M86</f>
        <v>0</v>
      </c>
      <c r="I160" s="21">
        <f>'DATA INPUT'!N86</f>
        <v>0</v>
      </c>
      <c r="J160" s="12">
        <f t="shared" si="720"/>
        <v>0</v>
      </c>
      <c r="K160" s="6"/>
      <c r="L160" s="6"/>
      <c r="M160" s="6"/>
      <c r="N160" s="21"/>
      <c r="O160" s="21"/>
      <c r="P160" s="21"/>
      <c r="Q160" s="21"/>
      <c r="R160" s="21"/>
      <c r="S160" s="21"/>
      <c r="T160" s="167">
        <f t="shared" si="721"/>
        <v>0</v>
      </c>
      <c r="U160" s="1"/>
      <c r="V160" s="21"/>
      <c r="W160" s="21"/>
      <c r="X160" s="21"/>
      <c r="Y160" s="21"/>
      <c r="Z160" s="21"/>
      <c r="AA160" s="21"/>
      <c r="AB160" s="48">
        <f t="shared" si="722"/>
        <v>0</v>
      </c>
      <c r="AD160" s="21"/>
      <c r="AE160" s="21"/>
      <c r="AF160" s="21"/>
      <c r="AG160" s="21"/>
      <c r="AH160" s="21"/>
      <c r="AI160" s="21"/>
      <c r="AJ160" s="209">
        <f t="shared" si="723"/>
        <v>0</v>
      </c>
      <c r="AL160" s="21"/>
      <c r="AM160" s="21"/>
      <c r="AN160" s="21"/>
      <c r="AO160" s="21"/>
      <c r="AP160" s="21"/>
      <c r="AQ160" s="21"/>
      <c r="AR160" s="181">
        <f t="shared" si="724"/>
        <v>0</v>
      </c>
      <c r="AT160" s="21"/>
      <c r="AU160" s="21"/>
      <c r="AV160" s="21"/>
      <c r="AW160" s="21"/>
      <c r="AX160" s="21"/>
      <c r="AY160" s="21"/>
      <c r="AZ160" s="153">
        <f t="shared" si="725"/>
        <v>0</v>
      </c>
      <c r="BB160" s="21"/>
      <c r="BC160" s="21"/>
      <c r="BD160" s="21"/>
      <c r="BE160" s="21"/>
      <c r="BF160" s="21"/>
      <c r="BG160" s="21"/>
      <c r="BH160" s="195">
        <f t="shared" si="726"/>
        <v>0</v>
      </c>
      <c r="BJ160" s="21"/>
      <c r="BK160" s="21"/>
      <c r="BL160" s="21"/>
      <c r="BM160" s="21"/>
      <c r="BN160" s="21"/>
      <c r="BO160" s="21"/>
      <c r="BP160" s="1105">
        <f t="shared" si="727"/>
        <v>0</v>
      </c>
      <c r="BR160" s="575">
        <f t="shared" si="728"/>
        <v>0</v>
      </c>
      <c r="BS160" s="575">
        <f t="shared" si="728"/>
        <v>0</v>
      </c>
      <c r="BT160" s="575">
        <f t="shared" si="728"/>
        <v>0</v>
      </c>
      <c r="BU160" s="575">
        <f t="shared" si="728"/>
        <v>0</v>
      </c>
      <c r="BV160" s="575">
        <f t="shared" si="728"/>
        <v>0</v>
      </c>
      <c r="BW160" s="575">
        <f t="shared" si="728"/>
        <v>0</v>
      </c>
      <c r="BX160" s="991">
        <f t="shared" si="729"/>
        <v>0</v>
      </c>
      <c r="BY160" s="573">
        <f t="shared" si="730"/>
        <v>0</v>
      </c>
      <c r="BZ160" s="257"/>
      <c r="CB160" s="1308">
        <f t="shared" ref="CB160:CC164" si="756">D163</f>
        <v>0</v>
      </c>
      <c r="CC160" s="1190">
        <f t="shared" si="756"/>
        <v>0</v>
      </c>
      <c r="CD160" s="1191"/>
      <c r="CE160" s="1191"/>
      <c r="CF160" s="1191"/>
      <c r="CG160" s="1192"/>
      <c r="CH160" s="1289">
        <f t="shared" si="731"/>
        <v>0</v>
      </c>
      <c r="CI160" s="1193"/>
      <c r="CJ160" s="1193"/>
      <c r="CK160" s="1193"/>
      <c r="CL160" s="1194"/>
      <c r="CM160" s="1187">
        <f t="shared" si="732"/>
        <v>0</v>
      </c>
      <c r="CN160" s="1188"/>
      <c r="CO160" s="1196"/>
      <c r="CP160" s="1224">
        <f t="shared" si="733"/>
        <v>0</v>
      </c>
      <c r="CS160" s="575"/>
      <c r="CT160" s="5"/>
      <c r="CU160" s="1180"/>
      <c r="CV160" s="575"/>
      <c r="CW160" s="5"/>
      <c r="CX160" s="1180"/>
      <c r="CY160" s="575"/>
      <c r="CZ160" s="5"/>
      <c r="DA160" s="1180"/>
      <c r="DB160" s="575"/>
      <c r="DC160" s="5"/>
      <c r="DD160" s="1180"/>
      <c r="DE160" s="1181">
        <f t="shared" si="734"/>
        <v>0</v>
      </c>
      <c r="DG160" s="575"/>
      <c r="DH160" s="5"/>
      <c r="DI160" s="1180"/>
      <c r="DJ160" s="575"/>
      <c r="DK160" s="5"/>
      <c r="DL160" s="1180"/>
      <c r="DM160" s="575"/>
      <c r="DN160" s="5"/>
      <c r="DO160" s="1180"/>
      <c r="DP160" s="575"/>
      <c r="DQ160" s="5"/>
      <c r="DR160" s="1180"/>
      <c r="DS160" s="1181">
        <f t="shared" si="735"/>
        <v>0</v>
      </c>
      <c r="DU160" s="575"/>
      <c r="DV160" s="5"/>
      <c r="DW160" s="1180"/>
      <c r="DX160" s="575"/>
      <c r="DY160" s="5"/>
      <c r="DZ160" s="1180"/>
      <c r="EA160" s="575"/>
      <c r="EB160" s="5"/>
      <c r="EC160" s="1180"/>
      <c r="ED160" s="575"/>
      <c r="EE160" s="5"/>
      <c r="EF160" s="1180"/>
      <c r="EG160" s="1181">
        <f t="shared" si="736"/>
        <v>0</v>
      </c>
      <c r="EI160" s="27" t="s">
        <v>48</v>
      </c>
      <c r="EJ160" s="34"/>
      <c r="EK160" s="63">
        <f t="shared" si="737"/>
        <v>0</v>
      </c>
      <c r="EL160" s="21">
        <f t="shared" si="738"/>
        <v>0</v>
      </c>
      <c r="EM160" s="21">
        <f t="shared" si="738"/>
        <v>0</v>
      </c>
      <c r="EN160" s="21">
        <f t="shared" si="738"/>
        <v>0</v>
      </c>
      <c r="EO160" s="21">
        <f t="shared" si="738"/>
        <v>0</v>
      </c>
      <c r="EP160" s="21">
        <f t="shared" si="738"/>
        <v>0</v>
      </c>
      <c r="EQ160" s="21">
        <f t="shared" si="738"/>
        <v>0</v>
      </c>
      <c r="ER160" s="12">
        <f t="shared" si="739"/>
        <v>0</v>
      </c>
      <c r="ES160" s="6"/>
      <c r="ET160" s="6"/>
      <c r="EU160" s="6"/>
      <c r="EV160" s="21">
        <f t="shared" si="740"/>
        <v>0</v>
      </c>
      <c r="EW160" s="21">
        <f t="shared" si="740"/>
        <v>0</v>
      </c>
      <c r="EX160" s="21">
        <f t="shared" si="740"/>
        <v>0</v>
      </c>
      <c r="EY160" s="21">
        <f t="shared" si="740"/>
        <v>0</v>
      </c>
      <c r="EZ160" s="21">
        <f t="shared" si="740"/>
        <v>0</v>
      </c>
      <c r="FA160" s="21">
        <f t="shared" si="740"/>
        <v>0</v>
      </c>
      <c r="FB160" s="167">
        <f t="shared" si="741"/>
        <v>0</v>
      </c>
      <c r="FC160" s="1"/>
      <c r="FD160" s="21">
        <f t="shared" si="742"/>
        <v>0</v>
      </c>
      <c r="FE160" s="21">
        <f t="shared" si="742"/>
        <v>0</v>
      </c>
      <c r="FF160" s="21">
        <f t="shared" si="742"/>
        <v>0</v>
      </c>
      <c r="FG160" s="21">
        <f t="shared" si="742"/>
        <v>0</v>
      </c>
      <c r="FH160" s="21">
        <f t="shared" si="742"/>
        <v>0</v>
      </c>
      <c r="FI160" s="21">
        <f t="shared" si="742"/>
        <v>0</v>
      </c>
      <c r="FJ160" s="48">
        <f t="shared" si="743"/>
        <v>0</v>
      </c>
      <c r="FL160" s="21">
        <f t="shared" si="744"/>
        <v>0</v>
      </c>
      <c r="FM160" s="21">
        <f t="shared" si="744"/>
        <v>0</v>
      </c>
      <c r="FN160" s="21">
        <f t="shared" si="744"/>
        <v>0</v>
      </c>
      <c r="FO160" s="21">
        <f t="shared" si="744"/>
        <v>0</v>
      </c>
      <c r="FP160" s="21">
        <f t="shared" si="744"/>
        <v>0</v>
      </c>
      <c r="FQ160" s="21">
        <f t="shared" si="744"/>
        <v>0</v>
      </c>
      <c r="FR160" s="209">
        <f t="shared" si="745"/>
        <v>0</v>
      </c>
      <c r="FT160" s="21">
        <f t="shared" si="746"/>
        <v>0</v>
      </c>
      <c r="FU160" s="21">
        <f t="shared" si="746"/>
        <v>0</v>
      </c>
      <c r="FV160" s="21">
        <f t="shared" si="746"/>
        <v>0</v>
      </c>
      <c r="FW160" s="21">
        <f t="shared" si="746"/>
        <v>0</v>
      </c>
      <c r="FX160" s="21">
        <f t="shared" si="746"/>
        <v>0</v>
      </c>
      <c r="FY160" s="21">
        <f t="shared" si="746"/>
        <v>0</v>
      </c>
      <c r="FZ160" s="181">
        <f t="shared" si="747"/>
        <v>0</v>
      </c>
      <c r="GB160" s="21">
        <f t="shared" si="748"/>
        <v>0</v>
      </c>
      <c r="GC160" s="21">
        <f t="shared" si="748"/>
        <v>0</v>
      </c>
      <c r="GD160" s="21">
        <f t="shared" si="748"/>
        <v>0</v>
      </c>
      <c r="GE160" s="21">
        <f t="shared" si="748"/>
        <v>0</v>
      </c>
      <c r="GF160" s="21">
        <f t="shared" si="748"/>
        <v>0</v>
      </c>
      <c r="GG160" s="21">
        <f t="shared" si="748"/>
        <v>0</v>
      </c>
      <c r="GH160" s="153">
        <f t="shared" si="749"/>
        <v>0</v>
      </c>
      <c r="GJ160" s="21">
        <f t="shared" si="750"/>
        <v>0</v>
      </c>
      <c r="GK160" s="21">
        <f t="shared" si="750"/>
        <v>0</v>
      </c>
      <c r="GL160" s="21">
        <f t="shared" si="750"/>
        <v>0</v>
      </c>
      <c r="GM160" s="21">
        <f t="shared" si="750"/>
        <v>0</v>
      </c>
      <c r="GN160" s="21">
        <f t="shared" si="750"/>
        <v>0</v>
      </c>
      <c r="GO160" s="21">
        <f t="shared" si="750"/>
        <v>0</v>
      </c>
      <c r="GP160" s="195">
        <f t="shared" si="751"/>
        <v>0</v>
      </c>
      <c r="GR160" s="21"/>
      <c r="GS160" s="21"/>
      <c r="GT160" s="21"/>
      <c r="GU160" s="21"/>
      <c r="GV160" s="21"/>
      <c r="GW160" s="21"/>
      <c r="GX160" s="1105">
        <f t="shared" si="752"/>
        <v>0</v>
      </c>
      <c r="GZ160" s="575">
        <f t="shared" si="753"/>
        <v>0</v>
      </c>
      <c r="HA160" s="575">
        <f t="shared" si="753"/>
        <v>0</v>
      </c>
      <c r="HB160" s="575">
        <f t="shared" si="753"/>
        <v>0</v>
      </c>
      <c r="HC160" s="575">
        <f t="shared" si="753"/>
        <v>0</v>
      </c>
      <c r="HD160" s="575">
        <f t="shared" si="753"/>
        <v>0</v>
      </c>
      <c r="HE160" s="575">
        <f t="shared" si="753"/>
        <v>0</v>
      </c>
      <c r="HF160" s="991">
        <f t="shared" si="754"/>
        <v>0</v>
      </c>
      <c r="HG160" s="573">
        <f t="shared" si="755"/>
        <v>0</v>
      </c>
      <c r="HH160" s="257"/>
    </row>
    <row r="161" spans="1:216" ht="15" hidden="1" customHeight="1" x14ac:dyDescent="0.25">
      <c r="A161" s="432" t="s">
        <v>49</v>
      </c>
      <c r="B161" s="34"/>
      <c r="C161" s="63">
        <f>'DATA INPUT'!B87</f>
        <v>0</v>
      </c>
      <c r="D161" s="21">
        <f>'DATA INPUT'!I87</f>
        <v>0</v>
      </c>
      <c r="E161" s="21">
        <f>'DATA INPUT'!J87</f>
        <v>0</v>
      </c>
      <c r="F161" s="21">
        <f>'DATA INPUT'!K87</f>
        <v>0</v>
      </c>
      <c r="G161" s="21">
        <f>'DATA INPUT'!L87</f>
        <v>0</v>
      </c>
      <c r="H161" s="21">
        <f>'DATA INPUT'!M87</f>
        <v>0</v>
      </c>
      <c r="I161" s="21">
        <f>'DATA INPUT'!N87</f>
        <v>0</v>
      </c>
      <c r="J161" s="12">
        <f t="shared" si="720"/>
        <v>0</v>
      </c>
      <c r="K161" s="6"/>
      <c r="L161" s="6"/>
      <c r="M161" s="6"/>
      <c r="N161" s="21"/>
      <c r="O161" s="21"/>
      <c r="P161" s="21"/>
      <c r="Q161" s="21"/>
      <c r="R161" s="21"/>
      <c r="S161" s="21"/>
      <c r="T161" s="167">
        <f t="shared" si="721"/>
        <v>0</v>
      </c>
      <c r="U161" s="1"/>
      <c r="V161" s="21"/>
      <c r="W161" s="21"/>
      <c r="X161" s="21"/>
      <c r="Y161" s="21"/>
      <c r="Z161" s="21"/>
      <c r="AA161" s="21"/>
      <c r="AB161" s="48">
        <f t="shared" si="722"/>
        <v>0</v>
      </c>
      <c r="AD161" s="21"/>
      <c r="AE161" s="21"/>
      <c r="AF161" s="21"/>
      <c r="AG161" s="21"/>
      <c r="AH161" s="21"/>
      <c r="AI161" s="21"/>
      <c r="AJ161" s="209">
        <f t="shared" si="723"/>
        <v>0</v>
      </c>
      <c r="AL161" s="21"/>
      <c r="AM161" s="21"/>
      <c r="AN161" s="21"/>
      <c r="AO161" s="21"/>
      <c r="AP161" s="21"/>
      <c r="AQ161" s="21"/>
      <c r="AR161" s="181">
        <f t="shared" si="724"/>
        <v>0</v>
      </c>
      <c r="AT161" s="21"/>
      <c r="AU161" s="21"/>
      <c r="AV161" s="21"/>
      <c r="AW161" s="21"/>
      <c r="AX161" s="21"/>
      <c r="AY161" s="21"/>
      <c r="AZ161" s="153">
        <f t="shared" si="725"/>
        <v>0</v>
      </c>
      <c r="BB161" s="21"/>
      <c r="BC161" s="21"/>
      <c r="BD161" s="21"/>
      <c r="BE161" s="21"/>
      <c r="BF161" s="21"/>
      <c r="BG161" s="21"/>
      <c r="BH161" s="195">
        <f t="shared" si="726"/>
        <v>0</v>
      </c>
      <c r="BJ161" s="21"/>
      <c r="BK161" s="21"/>
      <c r="BL161" s="21"/>
      <c r="BM161" s="21"/>
      <c r="BN161" s="21"/>
      <c r="BO161" s="21"/>
      <c r="BP161" s="1105">
        <f t="shared" si="727"/>
        <v>0</v>
      </c>
      <c r="BR161" s="575">
        <f t="shared" si="728"/>
        <v>0</v>
      </c>
      <c r="BS161" s="575">
        <f t="shared" si="728"/>
        <v>0</v>
      </c>
      <c r="BT161" s="575">
        <f t="shared" si="728"/>
        <v>0</v>
      </c>
      <c r="BU161" s="575">
        <f t="shared" si="728"/>
        <v>0</v>
      </c>
      <c r="BV161" s="575">
        <f t="shared" si="728"/>
        <v>0</v>
      </c>
      <c r="BW161" s="575">
        <f t="shared" si="728"/>
        <v>0</v>
      </c>
      <c r="BX161" s="991">
        <f t="shared" si="729"/>
        <v>0</v>
      </c>
      <c r="BY161" s="573">
        <f t="shared" si="730"/>
        <v>0</v>
      </c>
      <c r="BZ161" s="257"/>
      <c r="CB161" s="1308">
        <f t="shared" si="756"/>
        <v>0</v>
      </c>
      <c r="CC161" s="1190">
        <f t="shared" si="756"/>
        <v>0</v>
      </c>
      <c r="CD161" s="1191"/>
      <c r="CE161" s="1191"/>
      <c r="CF161" s="1191"/>
      <c r="CG161" s="1192"/>
      <c r="CH161" s="1289">
        <f t="shared" si="731"/>
        <v>0</v>
      </c>
      <c r="CI161" s="1193"/>
      <c r="CJ161" s="1193"/>
      <c r="CK161" s="1193"/>
      <c r="CL161" s="1194"/>
      <c r="CM161" s="1187">
        <f t="shared" si="732"/>
        <v>0</v>
      </c>
      <c r="CN161" s="1188"/>
      <c r="CO161" s="1196"/>
      <c r="CP161" s="1224">
        <f t="shared" si="733"/>
        <v>0</v>
      </c>
      <c r="CS161" s="575"/>
      <c r="CT161" s="5"/>
      <c r="CU161" s="1180"/>
      <c r="CV161" s="575"/>
      <c r="CW161" s="5"/>
      <c r="CX161" s="1180"/>
      <c r="CY161" s="575"/>
      <c r="CZ161" s="5"/>
      <c r="DA161" s="1180"/>
      <c r="DB161" s="575"/>
      <c r="DC161" s="5"/>
      <c r="DD161" s="1180"/>
      <c r="DE161" s="1181">
        <f t="shared" si="734"/>
        <v>0</v>
      </c>
      <c r="DG161" s="575"/>
      <c r="DH161" s="5"/>
      <c r="DI161" s="1180"/>
      <c r="DJ161" s="575"/>
      <c r="DK161" s="5"/>
      <c r="DL161" s="1180"/>
      <c r="DM161" s="575"/>
      <c r="DN161" s="5"/>
      <c r="DO161" s="1180"/>
      <c r="DP161" s="575"/>
      <c r="DQ161" s="5"/>
      <c r="DR161" s="1180"/>
      <c r="DS161" s="1181">
        <f t="shared" si="735"/>
        <v>0</v>
      </c>
      <c r="DU161" s="575"/>
      <c r="DV161" s="5"/>
      <c r="DW161" s="1180"/>
      <c r="DX161" s="575"/>
      <c r="DY161" s="5"/>
      <c r="DZ161" s="1180"/>
      <c r="EA161" s="575"/>
      <c r="EB161" s="5"/>
      <c r="EC161" s="1180"/>
      <c r="ED161" s="575"/>
      <c r="EE161" s="5"/>
      <c r="EF161" s="1180"/>
      <c r="EG161" s="1181">
        <f t="shared" si="736"/>
        <v>0</v>
      </c>
      <c r="EI161" s="432" t="s">
        <v>49</v>
      </c>
      <c r="EJ161" s="34"/>
      <c r="EK161" s="63">
        <f t="shared" si="737"/>
        <v>0</v>
      </c>
      <c r="EL161" s="21">
        <f t="shared" si="738"/>
        <v>0</v>
      </c>
      <c r="EM161" s="21">
        <f t="shared" si="738"/>
        <v>0</v>
      </c>
      <c r="EN161" s="21">
        <f t="shared" si="738"/>
        <v>0</v>
      </c>
      <c r="EO161" s="21">
        <f t="shared" si="738"/>
        <v>0</v>
      </c>
      <c r="EP161" s="21">
        <f t="shared" si="738"/>
        <v>0</v>
      </c>
      <c r="EQ161" s="21">
        <f t="shared" si="738"/>
        <v>0</v>
      </c>
      <c r="ER161" s="12">
        <f t="shared" si="739"/>
        <v>0</v>
      </c>
      <c r="ES161" s="6"/>
      <c r="ET161" s="6"/>
      <c r="EU161" s="6"/>
      <c r="EV161" s="21">
        <f t="shared" si="740"/>
        <v>0</v>
      </c>
      <c r="EW161" s="21">
        <f t="shared" si="740"/>
        <v>0</v>
      </c>
      <c r="EX161" s="21">
        <f t="shared" si="740"/>
        <v>0</v>
      </c>
      <c r="EY161" s="21">
        <f t="shared" si="740"/>
        <v>0</v>
      </c>
      <c r="EZ161" s="21">
        <f t="shared" si="740"/>
        <v>0</v>
      </c>
      <c r="FA161" s="21">
        <f t="shared" si="740"/>
        <v>0</v>
      </c>
      <c r="FB161" s="167">
        <f t="shared" si="741"/>
        <v>0</v>
      </c>
      <c r="FC161" s="1"/>
      <c r="FD161" s="21">
        <f t="shared" si="742"/>
        <v>0</v>
      </c>
      <c r="FE161" s="21">
        <f t="shared" si="742"/>
        <v>0</v>
      </c>
      <c r="FF161" s="21">
        <f t="shared" si="742"/>
        <v>0</v>
      </c>
      <c r="FG161" s="21">
        <f t="shared" si="742"/>
        <v>0</v>
      </c>
      <c r="FH161" s="21">
        <f t="shared" si="742"/>
        <v>0</v>
      </c>
      <c r="FI161" s="21">
        <f t="shared" si="742"/>
        <v>0</v>
      </c>
      <c r="FJ161" s="48">
        <f t="shared" si="743"/>
        <v>0</v>
      </c>
      <c r="FL161" s="21">
        <f t="shared" si="744"/>
        <v>0</v>
      </c>
      <c r="FM161" s="21">
        <f t="shared" si="744"/>
        <v>0</v>
      </c>
      <c r="FN161" s="21">
        <f t="shared" si="744"/>
        <v>0</v>
      </c>
      <c r="FO161" s="21">
        <f t="shared" si="744"/>
        <v>0</v>
      </c>
      <c r="FP161" s="21">
        <f t="shared" si="744"/>
        <v>0</v>
      </c>
      <c r="FQ161" s="21">
        <f t="shared" si="744"/>
        <v>0</v>
      </c>
      <c r="FR161" s="209">
        <f t="shared" si="745"/>
        <v>0</v>
      </c>
      <c r="FT161" s="21">
        <f t="shared" si="746"/>
        <v>0</v>
      </c>
      <c r="FU161" s="21">
        <f t="shared" si="746"/>
        <v>0</v>
      </c>
      <c r="FV161" s="21">
        <f t="shared" si="746"/>
        <v>0</v>
      </c>
      <c r="FW161" s="21">
        <f t="shared" si="746"/>
        <v>0</v>
      </c>
      <c r="FX161" s="21">
        <f t="shared" si="746"/>
        <v>0</v>
      </c>
      <c r="FY161" s="21">
        <f t="shared" si="746"/>
        <v>0</v>
      </c>
      <c r="FZ161" s="181">
        <f t="shared" si="747"/>
        <v>0</v>
      </c>
      <c r="GB161" s="21">
        <f t="shared" si="748"/>
        <v>0</v>
      </c>
      <c r="GC161" s="21">
        <f t="shared" si="748"/>
        <v>0</v>
      </c>
      <c r="GD161" s="21">
        <f t="shared" si="748"/>
        <v>0</v>
      </c>
      <c r="GE161" s="21">
        <f t="shared" si="748"/>
        <v>0</v>
      </c>
      <c r="GF161" s="21">
        <f t="shared" si="748"/>
        <v>0</v>
      </c>
      <c r="GG161" s="21">
        <f t="shared" si="748"/>
        <v>0</v>
      </c>
      <c r="GH161" s="153">
        <f t="shared" si="749"/>
        <v>0</v>
      </c>
      <c r="GJ161" s="21">
        <f t="shared" si="750"/>
        <v>0</v>
      </c>
      <c r="GK161" s="21">
        <f t="shared" si="750"/>
        <v>0</v>
      </c>
      <c r="GL161" s="21">
        <f t="shared" si="750"/>
        <v>0</v>
      </c>
      <c r="GM161" s="21">
        <f t="shared" si="750"/>
        <v>0</v>
      </c>
      <c r="GN161" s="21">
        <f t="shared" si="750"/>
        <v>0</v>
      </c>
      <c r="GO161" s="21">
        <f t="shared" si="750"/>
        <v>0</v>
      </c>
      <c r="GP161" s="195">
        <f t="shared" si="751"/>
        <v>0</v>
      </c>
      <c r="GR161" s="21"/>
      <c r="GS161" s="21"/>
      <c r="GT161" s="21"/>
      <c r="GU161" s="21"/>
      <c r="GV161" s="21"/>
      <c r="GW161" s="21"/>
      <c r="GX161" s="1105">
        <f t="shared" si="752"/>
        <v>0</v>
      </c>
      <c r="GZ161" s="575">
        <f t="shared" si="753"/>
        <v>0</v>
      </c>
      <c r="HA161" s="575">
        <f t="shared" si="753"/>
        <v>0</v>
      </c>
      <c r="HB161" s="575">
        <f t="shared" si="753"/>
        <v>0</v>
      </c>
      <c r="HC161" s="575">
        <f t="shared" si="753"/>
        <v>0</v>
      </c>
      <c r="HD161" s="575">
        <f t="shared" si="753"/>
        <v>0</v>
      </c>
      <c r="HE161" s="575">
        <f t="shared" si="753"/>
        <v>0</v>
      </c>
      <c r="HF161" s="991">
        <f t="shared" si="754"/>
        <v>0</v>
      </c>
      <c r="HG161" s="573">
        <f t="shared" si="755"/>
        <v>0</v>
      </c>
      <c r="HH161" s="257"/>
    </row>
    <row r="162" spans="1:216" ht="15" hidden="1" customHeight="1" x14ac:dyDescent="0.25">
      <c r="A162" s="27" t="s">
        <v>778</v>
      </c>
      <c r="B162" s="34"/>
      <c r="C162" s="63">
        <f>'DATA INPUT'!B88</f>
        <v>0</v>
      </c>
      <c r="D162" s="21">
        <f>'DATA INPUT'!I88</f>
        <v>0</v>
      </c>
      <c r="E162" s="21">
        <f>'DATA INPUT'!J88</f>
        <v>0</v>
      </c>
      <c r="F162" s="21">
        <f>'DATA INPUT'!K88</f>
        <v>0</v>
      </c>
      <c r="G162" s="21">
        <f>'DATA INPUT'!L88</f>
        <v>0</v>
      </c>
      <c r="H162" s="21">
        <f>'DATA INPUT'!M88</f>
        <v>0</v>
      </c>
      <c r="I162" s="21">
        <f>'DATA INPUT'!N88</f>
        <v>0</v>
      </c>
      <c r="J162" s="12">
        <f t="shared" si="720"/>
        <v>0</v>
      </c>
      <c r="K162" s="6"/>
      <c r="L162" s="6"/>
      <c r="M162" s="6"/>
      <c r="N162" s="21"/>
      <c r="O162" s="21"/>
      <c r="P162" s="21"/>
      <c r="Q162" s="21"/>
      <c r="R162" s="21"/>
      <c r="S162" s="21"/>
      <c r="T162" s="167">
        <f t="shared" si="721"/>
        <v>0</v>
      </c>
      <c r="U162" s="1"/>
      <c r="V162" s="21"/>
      <c r="W162" s="21"/>
      <c r="X162" s="21"/>
      <c r="Y162" s="21"/>
      <c r="Z162" s="21"/>
      <c r="AA162" s="21"/>
      <c r="AB162" s="48">
        <f t="shared" si="722"/>
        <v>0</v>
      </c>
      <c r="AD162" s="21"/>
      <c r="AE162" s="21"/>
      <c r="AF162" s="21"/>
      <c r="AG162" s="21"/>
      <c r="AH162" s="21"/>
      <c r="AI162" s="21"/>
      <c r="AJ162" s="209">
        <f t="shared" si="723"/>
        <v>0</v>
      </c>
      <c r="AL162" s="21"/>
      <c r="AM162" s="21"/>
      <c r="AN162" s="21"/>
      <c r="AO162" s="21"/>
      <c r="AP162" s="21"/>
      <c r="AQ162" s="21"/>
      <c r="AR162" s="181">
        <f t="shared" si="724"/>
        <v>0</v>
      </c>
      <c r="AT162" s="21"/>
      <c r="AU162" s="21"/>
      <c r="AV162" s="21"/>
      <c r="AW162" s="21"/>
      <c r="AX162" s="21"/>
      <c r="AY162" s="21"/>
      <c r="AZ162" s="153">
        <f t="shared" si="725"/>
        <v>0</v>
      </c>
      <c r="BB162" s="21"/>
      <c r="BC162" s="21"/>
      <c r="BD162" s="21"/>
      <c r="BE162" s="21"/>
      <c r="BF162" s="21"/>
      <c r="BG162" s="21"/>
      <c r="BH162" s="195">
        <f t="shared" si="726"/>
        <v>0</v>
      </c>
      <c r="BJ162" s="21"/>
      <c r="BK162" s="21"/>
      <c r="BL162" s="21"/>
      <c r="BM162" s="21"/>
      <c r="BN162" s="21"/>
      <c r="BO162" s="21"/>
      <c r="BP162" s="1105">
        <f t="shared" si="727"/>
        <v>0</v>
      </c>
      <c r="BR162" s="575">
        <f t="shared" si="728"/>
        <v>0</v>
      </c>
      <c r="BS162" s="575">
        <f t="shared" si="728"/>
        <v>0</v>
      </c>
      <c r="BT162" s="575">
        <f t="shared" si="728"/>
        <v>0</v>
      </c>
      <c r="BU162" s="575">
        <f t="shared" si="728"/>
        <v>0</v>
      </c>
      <c r="BV162" s="575">
        <f t="shared" si="728"/>
        <v>0</v>
      </c>
      <c r="BW162" s="575">
        <f t="shared" si="728"/>
        <v>0</v>
      </c>
      <c r="BX162" s="991">
        <f t="shared" si="729"/>
        <v>0</v>
      </c>
      <c r="BY162" s="573">
        <f t="shared" si="730"/>
        <v>0</v>
      </c>
      <c r="BZ162" s="257"/>
      <c r="CB162" s="1308">
        <f t="shared" si="756"/>
        <v>0</v>
      </c>
      <c r="CC162" s="1190">
        <f t="shared" si="756"/>
        <v>0</v>
      </c>
      <c r="CD162" s="1191"/>
      <c r="CE162" s="1191"/>
      <c r="CF162" s="1191"/>
      <c r="CG162" s="1192"/>
      <c r="CH162" s="1289">
        <f t="shared" si="731"/>
        <v>0</v>
      </c>
      <c r="CI162" s="1193"/>
      <c r="CJ162" s="1193"/>
      <c r="CK162" s="1193"/>
      <c r="CL162" s="1194"/>
      <c r="CM162" s="1187">
        <f t="shared" si="732"/>
        <v>0</v>
      </c>
      <c r="CN162" s="1188"/>
      <c r="CO162" s="1196"/>
      <c r="CP162" s="1224">
        <f t="shared" si="733"/>
        <v>0</v>
      </c>
      <c r="CS162" s="575"/>
      <c r="CT162" s="5"/>
      <c r="CU162" s="1180"/>
      <c r="CV162" s="575"/>
      <c r="CW162" s="5"/>
      <c r="CX162" s="1180"/>
      <c r="CY162" s="575"/>
      <c r="CZ162" s="5"/>
      <c r="DA162" s="1180"/>
      <c r="DB162" s="575"/>
      <c r="DC162" s="5"/>
      <c r="DD162" s="1180"/>
      <c r="DE162" s="1181">
        <f t="shared" si="734"/>
        <v>0</v>
      </c>
      <c r="DG162" s="575"/>
      <c r="DH162" s="5"/>
      <c r="DI162" s="1180"/>
      <c r="DJ162" s="575"/>
      <c r="DK162" s="5"/>
      <c r="DL162" s="1180"/>
      <c r="DM162" s="575"/>
      <c r="DN162" s="5"/>
      <c r="DO162" s="1180"/>
      <c r="DP162" s="575"/>
      <c r="DQ162" s="5"/>
      <c r="DR162" s="1180"/>
      <c r="DS162" s="1181">
        <f t="shared" si="735"/>
        <v>0</v>
      </c>
      <c r="DU162" s="575"/>
      <c r="DV162" s="5"/>
      <c r="DW162" s="1180"/>
      <c r="DX162" s="575"/>
      <c r="DY162" s="5"/>
      <c r="DZ162" s="1180"/>
      <c r="EA162" s="575"/>
      <c r="EB162" s="5"/>
      <c r="EC162" s="1180"/>
      <c r="ED162" s="575"/>
      <c r="EE162" s="5"/>
      <c r="EF162" s="1180"/>
      <c r="EG162" s="1181">
        <f t="shared" si="736"/>
        <v>0</v>
      </c>
      <c r="EI162" s="27" t="s">
        <v>778</v>
      </c>
      <c r="EJ162" s="34"/>
      <c r="EK162" s="63">
        <f t="shared" si="737"/>
        <v>0</v>
      </c>
      <c r="EL162" s="21">
        <f t="shared" si="738"/>
        <v>0</v>
      </c>
      <c r="EM162" s="21">
        <f t="shared" si="738"/>
        <v>0</v>
      </c>
      <c r="EN162" s="21">
        <f t="shared" si="738"/>
        <v>0</v>
      </c>
      <c r="EO162" s="21">
        <f t="shared" si="738"/>
        <v>0</v>
      </c>
      <c r="EP162" s="21">
        <f t="shared" si="738"/>
        <v>0</v>
      </c>
      <c r="EQ162" s="21">
        <f t="shared" si="738"/>
        <v>0</v>
      </c>
      <c r="ER162" s="12">
        <f t="shared" si="739"/>
        <v>0</v>
      </c>
      <c r="ES162" s="6"/>
      <c r="ET162" s="6"/>
      <c r="EU162" s="6"/>
      <c r="EV162" s="21">
        <f t="shared" si="740"/>
        <v>0</v>
      </c>
      <c r="EW162" s="21">
        <f t="shared" si="740"/>
        <v>0</v>
      </c>
      <c r="EX162" s="21">
        <f t="shared" si="740"/>
        <v>0</v>
      </c>
      <c r="EY162" s="21">
        <f t="shared" si="740"/>
        <v>0</v>
      </c>
      <c r="EZ162" s="21">
        <f t="shared" si="740"/>
        <v>0</v>
      </c>
      <c r="FA162" s="21">
        <f t="shared" si="740"/>
        <v>0</v>
      </c>
      <c r="FB162" s="167">
        <f t="shared" si="741"/>
        <v>0</v>
      </c>
      <c r="FC162" s="1"/>
      <c r="FD162" s="21">
        <f t="shared" si="742"/>
        <v>0</v>
      </c>
      <c r="FE162" s="21">
        <f t="shared" si="742"/>
        <v>0</v>
      </c>
      <c r="FF162" s="21">
        <f t="shared" si="742"/>
        <v>0</v>
      </c>
      <c r="FG162" s="21">
        <f t="shared" si="742"/>
        <v>0</v>
      </c>
      <c r="FH162" s="21">
        <f t="shared" si="742"/>
        <v>0</v>
      </c>
      <c r="FI162" s="21">
        <f t="shared" si="742"/>
        <v>0</v>
      </c>
      <c r="FJ162" s="48">
        <f t="shared" si="743"/>
        <v>0</v>
      </c>
      <c r="FL162" s="21">
        <f t="shared" si="744"/>
        <v>0</v>
      </c>
      <c r="FM162" s="21">
        <f t="shared" si="744"/>
        <v>0</v>
      </c>
      <c r="FN162" s="21">
        <f t="shared" si="744"/>
        <v>0</v>
      </c>
      <c r="FO162" s="21">
        <f t="shared" si="744"/>
        <v>0</v>
      </c>
      <c r="FP162" s="21">
        <f t="shared" si="744"/>
        <v>0</v>
      </c>
      <c r="FQ162" s="21">
        <f t="shared" si="744"/>
        <v>0</v>
      </c>
      <c r="FR162" s="209">
        <f t="shared" si="745"/>
        <v>0</v>
      </c>
      <c r="FT162" s="21">
        <f t="shared" si="746"/>
        <v>0</v>
      </c>
      <c r="FU162" s="21">
        <f t="shared" si="746"/>
        <v>0</v>
      </c>
      <c r="FV162" s="21">
        <f t="shared" si="746"/>
        <v>0</v>
      </c>
      <c r="FW162" s="21">
        <f t="shared" si="746"/>
        <v>0</v>
      </c>
      <c r="FX162" s="21">
        <f t="shared" si="746"/>
        <v>0</v>
      </c>
      <c r="FY162" s="21">
        <f t="shared" si="746"/>
        <v>0</v>
      </c>
      <c r="FZ162" s="181">
        <f t="shared" si="747"/>
        <v>0</v>
      </c>
      <c r="GB162" s="21">
        <f t="shared" si="748"/>
        <v>0</v>
      </c>
      <c r="GC162" s="21">
        <f t="shared" si="748"/>
        <v>0</v>
      </c>
      <c r="GD162" s="21">
        <f t="shared" si="748"/>
        <v>0</v>
      </c>
      <c r="GE162" s="21">
        <f t="shared" si="748"/>
        <v>0</v>
      </c>
      <c r="GF162" s="21">
        <f t="shared" si="748"/>
        <v>0</v>
      </c>
      <c r="GG162" s="21">
        <f t="shared" si="748"/>
        <v>0</v>
      </c>
      <c r="GH162" s="153">
        <f t="shared" si="749"/>
        <v>0</v>
      </c>
      <c r="GJ162" s="21">
        <f t="shared" si="750"/>
        <v>0</v>
      </c>
      <c r="GK162" s="21">
        <f t="shared" si="750"/>
        <v>0</v>
      </c>
      <c r="GL162" s="21">
        <f t="shared" si="750"/>
        <v>0</v>
      </c>
      <c r="GM162" s="21">
        <f t="shared" si="750"/>
        <v>0</v>
      </c>
      <c r="GN162" s="21">
        <f t="shared" si="750"/>
        <v>0</v>
      </c>
      <c r="GO162" s="21">
        <f t="shared" si="750"/>
        <v>0</v>
      </c>
      <c r="GP162" s="195">
        <f t="shared" si="751"/>
        <v>0</v>
      </c>
      <c r="GR162" s="21"/>
      <c r="GS162" s="21"/>
      <c r="GT162" s="21"/>
      <c r="GU162" s="21"/>
      <c r="GV162" s="21"/>
      <c r="GW162" s="21"/>
      <c r="GX162" s="1105">
        <f t="shared" si="752"/>
        <v>0</v>
      </c>
      <c r="GZ162" s="575">
        <f t="shared" si="753"/>
        <v>0</v>
      </c>
      <c r="HA162" s="575">
        <f t="shared" si="753"/>
        <v>0</v>
      </c>
      <c r="HB162" s="575">
        <f t="shared" si="753"/>
        <v>0</v>
      </c>
      <c r="HC162" s="575">
        <f t="shared" si="753"/>
        <v>0</v>
      </c>
      <c r="HD162" s="575">
        <f t="shared" si="753"/>
        <v>0</v>
      </c>
      <c r="HE162" s="575">
        <f t="shared" si="753"/>
        <v>0</v>
      </c>
      <c r="HF162" s="991">
        <f t="shared" si="754"/>
        <v>0</v>
      </c>
      <c r="HG162" s="573">
        <f t="shared" si="755"/>
        <v>0</v>
      </c>
      <c r="HH162" s="257"/>
    </row>
    <row r="163" spans="1:216" ht="15" hidden="1" customHeight="1" x14ac:dyDescent="0.25">
      <c r="A163" s="432" t="s">
        <v>779</v>
      </c>
      <c r="B163" s="34"/>
      <c r="C163" s="63">
        <f>'DATA INPUT'!B89</f>
        <v>0</v>
      </c>
      <c r="D163" s="21">
        <f>'DATA INPUT'!I89</f>
        <v>0</v>
      </c>
      <c r="E163" s="21">
        <f>'DATA INPUT'!J89</f>
        <v>0</v>
      </c>
      <c r="F163" s="21">
        <f>'DATA INPUT'!K89</f>
        <v>0</v>
      </c>
      <c r="G163" s="21">
        <f>'DATA INPUT'!L89</f>
        <v>0</v>
      </c>
      <c r="H163" s="21">
        <f>'DATA INPUT'!M89</f>
        <v>0</v>
      </c>
      <c r="I163" s="21">
        <f>'DATA INPUT'!N89</f>
        <v>0</v>
      </c>
      <c r="J163" s="12">
        <f t="shared" si="720"/>
        <v>0</v>
      </c>
      <c r="K163" s="6"/>
      <c r="L163" s="6"/>
      <c r="M163" s="6"/>
      <c r="N163" s="21"/>
      <c r="O163" s="21"/>
      <c r="P163" s="21"/>
      <c r="Q163" s="21"/>
      <c r="R163" s="21"/>
      <c r="S163" s="21"/>
      <c r="T163" s="167">
        <f t="shared" si="721"/>
        <v>0</v>
      </c>
      <c r="U163" s="1"/>
      <c r="V163" s="21"/>
      <c r="W163" s="21"/>
      <c r="X163" s="21"/>
      <c r="Y163" s="21"/>
      <c r="Z163" s="21"/>
      <c r="AA163" s="21"/>
      <c r="AB163" s="48">
        <f t="shared" si="722"/>
        <v>0</v>
      </c>
      <c r="AD163" s="21"/>
      <c r="AE163" s="21"/>
      <c r="AF163" s="21"/>
      <c r="AG163" s="21"/>
      <c r="AH163" s="21"/>
      <c r="AI163" s="21"/>
      <c r="AJ163" s="209">
        <f t="shared" si="723"/>
        <v>0</v>
      </c>
      <c r="AL163" s="21"/>
      <c r="AM163" s="21"/>
      <c r="AN163" s="21"/>
      <c r="AO163" s="21"/>
      <c r="AP163" s="21"/>
      <c r="AQ163" s="21"/>
      <c r="AR163" s="181">
        <f t="shared" si="724"/>
        <v>0</v>
      </c>
      <c r="AT163" s="21"/>
      <c r="AU163" s="21"/>
      <c r="AV163" s="21"/>
      <c r="AW163" s="21"/>
      <c r="AX163" s="21"/>
      <c r="AY163" s="21"/>
      <c r="AZ163" s="153">
        <f t="shared" si="725"/>
        <v>0</v>
      </c>
      <c r="BB163" s="21"/>
      <c r="BC163" s="21"/>
      <c r="BD163" s="21"/>
      <c r="BE163" s="21"/>
      <c r="BF163" s="21"/>
      <c r="BG163" s="21"/>
      <c r="BH163" s="195">
        <f t="shared" si="726"/>
        <v>0</v>
      </c>
      <c r="BJ163" s="21"/>
      <c r="BK163" s="21"/>
      <c r="BL163" s="21"/>
      <c r="BM163" s="21"/>
      <c r="BN163" s="21"/>
      <c r="BO163" s="21"/>
      <c r="BP163" s="1105">
        <f t="shared" si="727"/>
        <v>0</v>
      </c>
      <c r="BR163" s="575">
        <f t="shared" si="728"/>
        <v>0</v>
      </c>
      <c r="BS163" s="575">
        <f t="shared" si="728"/>
        <v>0</v>
      </c>
      <c r="BT163" s="575">
        <f t="shared" si="728"/>
        <v>0</v>
      </c>
      <c r="BU163" s="575">
        <f t="shared" si="728"/>
        <v>0</v>
      </c>
      <c r="BV163" s="575">
        <f t="shared" si="728"/>
        <v>0</v>
      </c>
      <c r="BW163" s="575">
        <f t="shared" si="728"/>
        <v>0</v>
      </c>
      <c r="BX163" s="991">
        <f t="shared" si="729"/>
        <v>0</v>
      </c>
      <c r="BY163" s="573">
        <f t="shared" si="730"/>
        <v>0</v>
      </c>
      <c r="BZ163" s="257"/>
      <c r="CB163" s="1308">
        <f t="shared" si="756"/>
        <v>0</v>
      </c>
      <c r="CC163" s="1190">
        <f t="shared" si="756"/>
        <v>0</v>
      </c>
      <c r="CD163" s="1191"/>
      <c r="CE163" s="1191"/>
      <c r="CF163" s="1191"/>
      <c r="CG163" s="1192"/>
      <c r="CH163" s="1289">
        <f t="shared" si="731"/>
        <v>0</v>
      </c>
      <c r="CI163" s="1193"/>
      <c r="CJ163" s="1193"/>
      <c r="CK163" s="1193"/>
      <c r="CL163" s="1194"/>
      <c r="CM163" s="1187">
        <f t="shared" si="732"/>
        <v>0</v>
      </c>
      <c r="CN163" s="1188"/>
      <c r="CO163" s="1196"/>
      <c r="CP163" s="1224">
        <f t="shared" si="733"/>
        <v>0</v>
      </c>
      <c r="CS163" s="575"/>
      <c r="CT163" s="5"/>
      <c r="CU163" s="1180"/>
      <c r="CV163" s="575"/>
      <c r="CW163" s="5"/>
      <c r="CX163" s="1180"/>
      <c r="CY163" s="575"/>
      <c r="CZ163" s="5"/>
      <c r="DA163" s="1180"/>
      <c r="DB163" s="575"/>
      <c r="DC163" s="5"/>
      <c r="DD163" s="1180"/>
      <c r="DE163" s="1181">
        <f t="shared" si="734"/>
        <v>0</v>
      </c>
      <c r="DG163" s="575"/>
      <c r="DH163" s="5"/>
      <c r="DI163" s="1180"/>
      <c r="DJ163" s="575"/>
      <c r="DK163" s="5"/>
      <c r="DL163" s="1180"/>
      <c r="DM163" s="575"/>
      <c r="DN163" s="5"/>
      <c r="DO163" s="1180"/>
      <c r="DP163" s="575"/>
      <c r="DQ163" s="5"/>
      <c r="DR163" s="1180"/>
      <c r="DS163" s="1181">
        <f t="shared" si="735"/>
        <v>0</v>
      </c>
      <c r="DU163" s="575"/>
      <c r="DV163" s="5"/>
      <c r="DW163" s="1180"/>
      <c r="DX163" s="575"/>
      <c r="DY163" s="5"/>
      <c r="DZ163" s="1180"/>
      <c r="EA163" s="575"/>
      <c r="EB163" s="5"/>
      <c r="EC163" s="1180"/>
      <c r="ED163" s="575"/>
      <c r="EE163" s="5"/>
      <c r="EF163" s="1180"/>
      <c r="EG163" s="1181">
        <f t="shared" si="736"/>
        <v>0</v>
      </c>
      <c r="EI163" s="432" t="s">
        <v>779</v>
      </c>
      <c r="EJ163" s="34"/>
      <c r="EK163" s="63">
        <f t="shared" si="737"/>
        <v>0</v>
      </c>
      <c r="EL163" s="21">
        <f t="shared" si="738"/>
        <v>0</v>
      </c>
      <c r="EM163" s="21">
        <f t="shared" si="738"/>
        <v>0</v>
      </c>
      <c r="EN163" s="21">
        <f t="shared" si="738"/>
        <v>0</v>
      </c>
      <c r="EO163" s="21">
        <f t="shared" si="738"/>
        <v>0</v>
      </c>
      <c r="EP163" s="21">
        <f t="shared" si="738"/>
        <v>0</v>
      </c>
      <c r="EQ163" s="21">
        <f t="shared" si="738"/>
        <v>0</v>
      </c>
      <c r="ER163" s="12">
        <f t="shared" si="739"/>
        <v>0</v>
      </c>
      <c r="ES163" s="6"/>
      <c r="ET163" s="6"/>
      <c r="EU163" s="6"/>
      <c r="EV163" s="21">
        <f t="shared" si="740"/>
        <v>0</v>
      </c>
      <c r="EW163" s="21">
        <f t="shared" si="740"/>
        <v>0</v>
      </c>
      <c r="EX163" s="21">
        <f t="shared" si="740"/>
        <v>0</v>
      </c>
      <c r="EY163" s="21">
        <f t="shared" si="740"/>
        <v>0</v>
      </c>
      <c r="EZ163" s="21">
        <f t="shared" si="740"/>
        <v>0</v>
      </c>
      <c r="FA163" s="21">
        <f t="shared" si="740"/>
        <v>0</v>
      </c>
      <c r="FB163" s="167">
        <f t="shared" si="741"/>
        <v>0</v>
      </c>
      <c r="FC163" s="1"/>
      <c r="FD163" s="21">
        <f t="shared" si="742"/>
        <v>0</v>
      </c>
      <c r="FE163" s="21">
        <f t="shared" si="742"/>
        <v>0</v>
      </c>
      <c r="FF163" s="21">
        <f t="shared" si="742"/>
        <v>0</v>
      </c>
      <c r="FG163" s="21">
        <f t="shared" si="742"/>
        <v>0</v>
      </c>
      <c r="FH163" s="21">
        <f t="shared" si="742"/>
        <v>0</v>
      </c>
      <c r="FI163" s="21">
        <f t="shared" si="742"/>
        <v>0</v>
      </c>
      <c r="FJ163" s="48">
        <f t="shared" si="743"/>
        <v>0</v>
      </c>
      <c r="FL163" s="21">
        <f t="shared" si="744"/>
        <v>0</v>
      </c>
      <c r="FM163" s="21">
        <f t="shared" si="744"/>
        <v>0</v>
      </c>
      <c r="FN163" s="21">
        <f t="shared" si="744"/>
        <v>0</v>
      </c>
      <c r="FO163" s="21">
        <f t="shared" si="744"/>
        <v>0</v>
      </c>
      <c r="FP163" s="21">
        <f t="shared" si="744"/>
        <v>0</v>
      </c>
      <c r="FQ163" s="21">
        <f t="shared" si="744"/>
        <v>0</v>
      </c>
      <c r="FR163" s="209">
        <f t="shared" si="745"/>
        <v>0</v>
      </c>
      <c r="FT163" s="21">
        <f t="shared" si="746"/>
        <v>0</v>
      </c>
      <c r="FU163" s="21">
        <f t="shared" si="746"/>
        <v>0</v>
      </c>
      <c r="FV163" s="21">
        <f t="shared" si="746"/>
        <v>0</v>
      </c>
      <c r="FW163" s="21">
        <f t="shared" si="746"/>
        <v>0</v>
      </c>
      <c r="FX163" s="21">
        <f t="shared" si="746"/>
        <v>0</v>
      </c>
      <c r="FY163" s="21">
        <f t="shared" si="746"/>
        <v>0</v>
      </c>
      <c r="FZ163" s="181">
        <f t="shared" si="747"/>
        <v>0</v>
      </c>
      <c r="GB163" s="21">
        <f t="shared" si="748"/>
        <v>0</v>
      </c>
      <c r="GC163" s="21">
        <f t="shared" si="748"/>
        <v>0</v>
      </c>
      <c r="GD163" s="21">
        <f t="shared" si="748"/>
        <v>0</v>
      </c>
      <c r="GE163" s="21">
        <f t="shared" si="748"/>
        <v>0</v>
      </c>
      <c r="GF163" s="21">
        <f t="shared" si="748"/>
        <v>0</v>
      </c>
      <c r="GG163" s="21">
        <f t="shared" si="748"/>
        <v>0</v>
      </c>
      <c r="GH163" s="153">
        <f t="shared" si="749"/>
        <v>0</v>
      </c>
      <c r="GJ163" s="21">
        <f t="shared" si="750"/>
        <v>0</v>
      </c>
      <c r="GK163" s="21">
        <f t="shared" si="750"/>
        <v>0</v>
      </c>
      <c r="GL163" s="21">
        <f t="shared" si="750"/>
        <v>0</v>
      </c>
      <c r="GM163" s="21">
        <f t="shared" si="750"/>
        <v>0</v>
      </c>
      <c r="GN163" s="21">
        <f t="shared" si="750"/>
        <v>0</v>
      </c>
      <c r="GO163" s="21">
        <f t="shared" si="750"/>
        <v>0</v>
      </c>
      <c r="GP163" s="195">
        <f t="shared" si="751"/>
        <v>0</v>
      </c>
      <c r="GR163" s="21"/>
      <c r="GS163" s="21"/>
      <c r="GT163" s="21"/>
      <c r="GU163" s="21"/>
      <c r="GV163" s="21"/>
      <c r="GW163" s="21"/>
      <c r="GX163" s="1105">
        <f t="shared" si="752"/>
        <v>0</v>
      </c>
      <c r="GZ163" s="575">
        <f t="shared" si="753"/>
        <v>0</v>
      </c>
      <c r="HA163" s="575">
        <f t="shared" si="753"/>
        <v>0</v>
      </c>
      <c r="HB163" s="575">
        <f t="shared" si="753"/>
        <v>0</v>
      </c>
      <c r="HC163" s="575">
        <f t="shared" si="753"/>
        <v>0</v>
      </c>
      <c r="HD163" s="575">
        <f t="shared" si="753"/>
        <v>0</v>
      </c>
      <c r="HE163" s="575">
        <f t="shared" si="753"/>
        <v>0</v>
      </c>
      <c r="HF163" s="991">
        <f t="shared" si="754"/>
        <v>0</v>
      </c>
      <c r="HG163" s="573">
        <f t="shared" si="755"/>
        <v>0</v>
      </c>
      <c r="HH163" s="257"/>
    </row>
    <row r="164" spans="1:216" ht="15" hidden="1" customHeight="1" thickBot="1" x14ac:dyDescent="0.3">
      <c r="A164" s="27" t="s">
        <v>780</v>
      </c>
      <c r="B164" s="444"/>
      <c r="C164" s="445">
        <f>'DATA INPUT'!B90</f>
        <v>0</v>
      </c>
      <c r="D164" s="21">
        <f>'DATA INPUT'!I90</f>
        <v>0</v>
      </c>
      <c r="E164" s="21">
        <f>'DATA INPUT'!J90</f>
        <v>0</v>
      </c>
      <c r="F164" s="21">
        <f>'DATA INPUT'!K90</f>
        <v>0</v>
      </c>
      <c r="G164" s="21">
        <f>'DATA INPUT'!L90</f>
        <v>0</v>
      </c>
      <c r="H164" s="21">
        <f>'DATA INPUT'!M90</f>
        <v>0</v>
      </c>
      <c r="I164" s="21">
        <f>'DATA INPUT'!N90</f>
        <v>0</v>
      </c>
      <c r="J164" s="12">
        <f t="shared" si="720"/>
        <v>0</v>
      </c>
      <c r="K164" s="6"/>
      <c r="L164" s="13"/>
      <c r="M164" s="6"/>
      <c r="N164" s="21"/>
      <c r="O164" s="21"/>
      <c r="P164" s="21"/>
      <c r="Q164" s="21"/>
      <c r="R164" s="21"/>
      <c r="S164" s="21"/>
      <c r="T164" s="167">
        <f t="shared" si="721"/>
        <v>0</v>
      </c>
      <c r="U164" s="1"/>
      <c r="V164" s="21"/>
      <c r="W164" s="21"/>
      <c r="X164" s="21"/>
      <c r="Y164" s="21"/>
      <c r="Z164" s="21"/>
      <c r="AA164" s="21"/>
      <c r="AB164" s="48">
        <f t="shared" si="722"/>
        <v>0</v>
      </c>
      <c r="AD164" s="21"/>
      <c r="AE164" s="21"/>
      <c r="AF164" s="21"/>
      <c r="AG164" s="21"/>
      <c r="AH164" s="21"/>
      <c r="AI164" s="21"/>
      <c r="AJ164" s="209">
        <f t="shared" si="723"/>
        <v>0</v>
      </c>
      <c r="AL164" s="21"/>
      <c r="AM164" s="21"/>
      <c r="AN164" s="21"/>
      <c r="AO164" s="21"/>
      <c r="AP164" s="21"/>
      <c r="AQ164" s="21"/>
      <c r="AR164" s="181">
        <f t="shared" si="724"/>
        <v>0</v>
      </c>
      <c r="AT164" s="21"/>
      <c r="AU164" s="21"/>
      <c r="AV164" s="21"/>
      <c r="AW164" s="21"/>
      <c r="AX164" s="21"/>
      <c r="AY164" s="21"/>
      <c r="AZ164" s="153">
        <f t="shared" si="725"/>
        <v>0</v>
      </c>
      <c r="BB164" s="21"/>
      <c r="BC164" s="21"/>
      <c r="BD164" s="21"/>
      <c r="BE164" s="21"/>
      <c r="BF164" s="21"/>
      <c r="BG164" s="21"/>
      <c r="BH164" s="195">
        <f t="shared" si="726"/>
        <v>0</v>
      </c>
      <c r="BJ164" s="21"/>
      <c r="BK164" s="21"/>
      <c r="BL164" s="21"/>
      <c r="BM164" s="21"/>
      <c r="BN164" s="21"/>
      <c r="BO164" s="21"/>
      <c r="BP164" s="1105">
        <f t="shared" si="727"/>
        <v>0</v>
      </c>
      <c r="BR164" s="575">
        <f t="shared" si="728"/>
        <v>0</v>
      </c>
      <c r="BS164" s="575">
        <f t="shared" si="728"/>
        <v>0</v>
      </c>
      <c r="BT164" s="575">
        <f t="shared" si="728"/>
        <v>0</v>
      </c>
      <c r="BU164" s="575">
        <f t="shared" si="728"/>
        <v>0</v>
      </c>
      <c r="BV164" s="575">
        <f t="shared" si="728"/>
        <v>0</v>
      </c>
      <c r="BW164" s="575">
        <f t="shared" si="728"/>
        <v>0</v>
      </c>
      <c r="BX164" s="991">
        <f t="shared" si="729"/>
        <v>0</v>
      </c>
      <c r="BY164" s="573">
        <f t="shared" si="730"/>
        <v>0</v>
      </c>
      <c r="BZ164" s="257"/>
      <c r="CB164" s="1309">
        <f t="shared" si="756"/>
        <v>0</v>
      </c>
      <c r="CC164" s="1310">
        <f t="shared" si="756"/>
        <v>0</v>
      </c>
      <c r="CD164" s="1311"/>
      <c r="CE164" s="1311"/>
      <c r="CF164" s="1311"/>
      <c r="CG164" s="1312"/>
      <c r="CH164" s="1289">
        <f t="shared" si="731"/>
        <v>0</v>
      </c>
      <c r="CI164" s="1313"/>
      <c r="CJ164" s="1313"/>
      <c r="CK164" s="1313"/>
      <c r="CL164" s="1314"/>
      <c r="CM164" s="1187">
        <f t="shared" si="732"/>
        <v>0</v>
      </c>
      <c r="CN164" s="1208"/>
      <c r="CO164" s="1315"/>
      <c r="CP164" s="1316">
        <f t="shared" si="733"/>
        <v>0</v>
      </c>
      <c r="CS164" s="575"/>
      <c r="CT164" s="5"/>
      <c r="CU164" s="1180"/>
      <c r="CV164" s="575"/>
      <c r="CW164" s="5"/>
      <c r="CX164" s="1180"/>
      <c r="CY164" s="575"/>
      <c r="CZ164" s="5"/>
      <c r="DA164" s="1180"/>
      <c r="DB164" s="575"/>
      <c r="DC164" s="5"/>
      <c r="DD164" s="1180"/>
      <c r="DE164" s="1181">
        <f t="shared" si="734"/>
        <v>0</v>
      </c>
      <c r="DG164" s="575"/>
      <c r="DH164" s="5"/>
      <c r="DI164" s="1180"/>
      <c r="DJ164" s="575"/>
      <c r="DK164" s="5"/>
      <c r="DL164" s="1180"/>
      <c r="DM164" s="575"/>
      <c r="DN164" s="5"/>
      <c r="DO164" s="1180"/>
      <c r="DP164" s="575"/>
      <c r="DQ164" s="5"/>
      <c r="DR164" s="1180"/>
      <c r="DS164" s="1181">
        <f t="shared" si="735"/>
        <v>0</v>
      </c>
      <c r="DU164" s="575"/>
      <c r="DV164" s="5"/>
      <c r="DW164" s="1180"/>
      <c r="DX164" s="575"/>
      <c r="DY164" s="5"/>
      <c r="DZ164" s="1180"/>
      <c r="EA164" s="575"/>
      <c r="EB164" s="5"/>
      <c r="EC164" s="1180"/>
      <c r="ED164" s="575"/>
      <c r="EE164" s="5"/>
      <c r="EF164" s="1180"/>
      <c r="EG164" s="1181">
        <f t="shared" si="736"/>
        <v>0</v>
      </c>
      <c r="EI164" s="27" t="s">
        <v>780</v>
      </c>
      <c r="EJ164" s="444"/>
      <c r="EK164" s="445">
        <f t="shared" si="737"/>
        <v>0</v>
      </c>
      <c r="EL164" s="21">
        <f t="shared" si="738"/>
        <v>0</v>
      </c>
      <c r="EM164" s="21">
        <f t="shared" si="738"/>
        <v>0</v>
      </c>
      <c r="EN164" s="21">
        <f t="shared" si="738"/>
        <v>0</v>
      </c>
      <c r="EO164" s="21">
        <f t="shared" si="738"/>
        <v>0</v>
      </c>
      <c r="EP164" s="21">
        <f t="shared" si="738"/>
        <v>0</v>
      </c>
      <c r="EQ164" s="21">
        <f t="shared" si="738"/>
        <v>0</v>
      </c>
      <c r="ER164" s="12">
        <f t="shared" si="739"/>
        <v>0</v>
      </c>
      <c r="ES164" s="6"/>
      <c r="ET164" s="13"/>
      <c r="EU164" s="6"/>
      <c r="EV164" s="21">
        <f t="shared" si="740"/>
        <v>0</v>
      </c>
      <c r="EW164" s="21">
        <f t="shared" si="740"/>
        <v>0</v>
      </c>
      <c r="EX164" s="21">
        <f t="shared" si="740"/>
        <v>0</v>
      </c>
      <c r="EY164" s="21">
        <f t="shared" si="740"/>
        <v>0</v>
      </c>
      <c r="EZ164" s="21">
        <f t="shared" si="740"/>
        <v>0</v>
      </c>
      <c r="FA164" s="21">
        <f t="shared" si="740"/>
        <v>0</v>
      </c>
      <c r="FB164" s="167">
        <f t="shared" si="741"/>
        <v>0</v>
      </c>
      <c r="FC164" s="1"/>
      <c r="FD164" s="21">
        <f t="shared" si="742"/>
        <v>0</v>
      </c>
      <c r="FE164" s="21">
        <f t="shared" si="742"/>
        <v>0</v>
      </c>
      <c r="FF164" s="21">
        <f t="shared" si="742"/>
        <v>0</v>
      </c>
      <c r="FG164" s="21">
        <f t="shared" si="742"/>
        <v>0</v>
      </c>
      <c r="FH164" s="21">
        <f t="shared" si="742"/>
        <v>0</v>
      </c>
      <c r="FI164" s="21">
        <f t="shared" si="742"/>
        <v>0</v>
      </c>
      <c r="FJ164" s="48">
        <f t="shared" si="743"/>
        <v>0</v>
      </c>
      <c r="FL164" s="21">
        <f t="shared" si="744"/>
        <v>0</v>
      </c>
      <c r="FM164" s="21">
        <f t="shared" si="744"/>
        <v>0</v>
      </c>
      <c r="FN164" s="21">
        <f t="shared" si="744"/>
        <v>0</v>
      </c>
      <c r="FO164" s="21">
        <f t="shared" si="744"/>
        <v>0</v>
      </c>
      <c r="FP164" s="21">
        <f t="shared" si="744"/>
        <v>0</v>
      </c>
      <c r="FQ164" s="21">
        <f t="shared" si="744"/>
        <v>0</v>
      </c>
      <c r="FR164" s="209">
        <f t="shared" si="745"/>
        <v>0</v>
      </c>
      <c r="FT164" s="21">
        <f t="shared" si="746"/>
        <v>0</v>
      </c>
      <c r="FU164" s="21">
        <f t="shared" si="746"/>
        <v>0</v>
      </c>
      <c r="FV164" s="21">
        <f t="shared" si="746"/>
        <v>0</v>
      </c>
      <c r="FW164" s="21">
        <f t="shared" si="746"/>
        <v>0</v>
      </c>
      <c r="FX164" s="21">
        <f t="shared" si="746"/>
        <v>0</v>
      </c>
      <c r="FY164" s="21">
        <f t="shared" si="746"/>
        <v>0</v>
      </c>
      <c r="FZ164" s="181">
        <f t="shared" si="747"/>
        <v>0</v>
      </c>
      <c r="GB164" s="21">
        <f t="shared" si="748"/>
        <v>0</v>
      </c>
      <c r="GC164" s="21">
        <f t="shared" si="748"/>
        <v>0</v>
      </c>
      <c r="GD164" s="21">
        <f t="shared" si="748"/>
        <v>0</v>
      </c>
      <c r="GE164" s="21">
        <f t="shared" si="748"/>
        <v>0</v>
      </c>
      <c r="GF164" s="21">
        <f t="shared" si="748"/>
        <v>0</v>
      </c>
      <c r="GG164" s="21">
        <f t="shared" si="748"/>
        <v>0</v>
      </c>
      <c r="GH164" s="153">
        <f t="shared" si="749"/>
        <v>0</v>
      </c>
      <c r="GJ164" s="21">
        <f t="shared" si="750"/>
        <v>0</v>
      </c>
      <c r="GK164" s="21">
        <f t="shared" si="750"/>
        <v>0</v>
      </c>
      <c r="GL164" s="21">
        <f t="shared" si="750"/>
        <v>0</v>
      </c>
      <c r="GM164" s="21">
        <f t="shared" si="750"/>
        <v>0</v>
      </c>
      <c r="GN164" s="21">
        <f t="shared" si="750"/>
        <v>0</v>
      </c>
      <c r="GO164" s="21">
        <f t="shared" si="750"/>
        <v>0</v>
      </c>
      <c r="GP164" s="195">
        <f t="shared" si="751"/>
        <v>0</v>
      </c>
      <c r="GR164" s="21"/>
      <c r="GS164" s="21"/>
      <c r="GT164" s="21"/>
      <c r="GU164" s="21"/>
      <c r="GV164" s="21"/>
      <c r="GW164" s="21"/>
      <c r="GX164" s="1105">
        <f t="shared" si="752"/>
        <v>0</v>
      </c>
      <c r="GZ164" s="575">
        <f t="shared" si="753"/>
        <v>0</v>
      </c>
      <c r="HA164" s="575">
        <f t="shared" si="753"/>
        <v>0</v>
      </c>
      <c r="HB164" s="575">
        <f t="shared" si="753"/>
        <v>0</v>
      </c>
      <c r="HC164" s="575">
        <f t="shared" si="753"/>
        <v>0</v>
      </c>
      <c r="HD164" s="575">
        <f t="shared" si="753"/>
        <v>0</v>
      </c>
      <c r="HE164" s="575">
        <f t="shared" si="753"/>
        <v>0</v>
      </c>
      <c r="HF164" s="991">
        <f t="shared" si="754"/>
        <v>0</v>
      </c>
      <c r="HG164" s="573">
        <f t="shared" si="755"/>
        <v>0</v>
      </c>
      <c r="HH164" s="257"/>
    </row>
    <row r="165" spans="1:216" ht="15" customHeight="1" thickBot="1" x14ac:dyDescent="0.3">
      <c r="A165" s="446"/>
      <c r="B165" s="442"/>
      <c r="C165" s="470" t="s">
        <v>46</v>
      </c>
      <c r="D165" s="443">
        <f t="shared" ref="D165:J165" si="757">SUM(D159:D164)</f>
        <v>0</v>
      </c>
      <c r="E165" s="15">
        <f t="shared" si="757"/>
        <v>0</v>
      </c>
      <c r="F165" s="15">
        <f t="shared" si="757"/>
        <v>0</v>
      </c>
      <c r="G165" s="15">
        <f t="shared" si="757"/>
        <v>0</v>
      </c>
      <c r="H165" s="15">
        <f t="shared" si="757"/>
        <v>0</v>
      </c>
      <c r="I165" s="15">
        <f t="shared" si="757"/>
        <v>0</v>
      </c>
      <c r="J165" s="15">
        <f t="shared" si="757"/>
        <v>0</v>
      </c>
      <c r="K165" s="13">
        <f>SUM(D165:I165)</f>
        <v>0</v>
      </c>
      <c r="L165" s="35"/>
      <c r="M165" s="13"/>
      <c r="N165" s="169">
        <f t="shared" ref="N165:T165" si="758">SUM(N159:N164)</f>
        <v>0</v>
      </c>
      <c r="O165" s="169">
        <f t="shared" si="758"/>
        <v>0</v>
      </c>
      <c r="P165" s="169">
        <f t="shared" si="758"/>
        <v>0</v>
      </c>
      <c r="Q165" s="169">
        <f t="shared" si="758"/>
        <v>0</v>
      </c>
      <c r="R165" s="169">
        <f t="shared" si="758"/>
        <v>0</v>
      </c>
      <c r="S165" s="169">
        <f t="shared" si="758"/>
        <v>0</v>
      </c>
      <c r="T165" s="169">
        <f t="shared" si="758"/>
        <v>0</v>
      </c>
      <c r="U165" s="1"/>
      <c r="V165" s="142">
        <f t="shared" ref="V165:AB165" si="759">SUM(V159:V164)</f>
        <v>0</v>
      </c>
      <c r="W165" s="142">
        <f t="shared" si="759"/>
        <v>0</v>
      </c>
      <c r="X165" s="142">
        <f t="shared" si="759"/>
        <v>0</v>
      </c>
      <c r="Y165" s="142">
        <f t="shared" si="759"/>
        <v>0</v>
      </c>
      <c r="Z165" s="142">
        <f t="shared" si="759"/>
        <v>0</v>
      </c>
      <c r="AA165" s="142">
        <f t="shared" si="759"/>
        <v>0</v>
      </c>
      <c r="AB165" s="142">
        <f t="shared" si="759"/>
        <v>0</v>
      </c>
      <c r="AD165" s="211">
        <f t="shared" ref="AD165:AJ165" si="760">SUM(AD159:AD164)</f>
        <v>0</v>
      </c>
      <c r="AE165" s="211">
        <f t="shared" si="760"/>
        <v>0</v>
      </c>
      <c r="AF165" s="211">
        <f t="shared" si="760"/>
        <v>0</v>
      </c>
      <c r="AG165" s="211">
        <f t="shared" si="760"/>
        <v>0</v>
      </c>
      <c r="AH165" s="211">
        <f t="shared" si="760"/>
        <v>0</v>
      </c>
      <c r="AI165" s="211">
        <f t="shared" si="760"/>
        <v>0</v>
      </c>
      <c r="AJ165" s="211">
        <f t="shared" si="760"/>
        <v>0</v>
      </c>
      <c r="AL165" s="183">
        <f t="shared" ref="AL165:AR165" si="761">SUM(AL159:AL164)</f>
        <v>0</v>
      </c>
      <c r="AM165" s="183">
        <f t="shared" si="761"/>
        <v>0</v>
      </c>
      <c r="AN165" s="183">
        <f t="shared" si="761"/>
        <v>0</v>
      </c>
      <c r="AO165" s="183">
        <f t="shared" si="761"/>
        <v>0</v>
      </c>
      <c r="AP165" s="183">
        <f t="shared" si="761"/>
        <v>0</v>
      </c>
      <c r="AQ165" s="183">
        <f t="shared" si="761"/>
        <v>0</v>
      </c>
      <c r="AR165" s="183">
        <f t="shared" si="761"/>
        <v>0</v>
      </c>
      <c r="AT165" s="155">
        <f t="shared" ref="AT165:AZ165" si="762">SUM(AT159:AT164)</f>
        <v>0</v>
      </c>
      <c r="AU165" s="155">
        <f t="shared" si="762"/>
        <v>0</v>
      </c>
      <c r="AV165" s="155">
        <f t="shared" si="762"/>
        <v>0</v>
      </c>
      <c r="AW165" s="155">
        <f t="shared" si="762"/>
        <v>0</v>
      </c>
      <c r="AX165" s="155">
        <f t="shared" si="762"/>
        <v>0</v>
      </c>
      <c r="AY165" s="155">
        <f t="shared" si="762"/>
        <v>0</v>
      </c>
      <c r="AZ165" s="155">
        <f t="shared" si="762"/>
        <v>0</v>
      </c>
      <c r="BB165" s="197">
        <f t="shared" ref="BB165:BH165" si="763">SUM(BB159:BB164)</f>
        <v>0</v>
      </c>
      <c r="BC165" s="197">
        <f t="shared" si="763"/>
        <v>0</v>
      </c>
      <c r="BD165" s="197">
        <f t="shared" si="763"/>
        <v>0</v>
      </c>
      <c r="BE165" s="197">
        <f t="shared" si="763"/>
        <v>0</v>
      </c>
      <c r="BF165" s="197">
        <f t="shared" si="763"/>
        <v>0</v>
      </c>
      <c r="BG165" s="197">
        <f t="shared" si="763"/>
        <v>0</v>
      </c>
      <c r="BH165" s="197">
        <f t="shared" si="763"/>
        <v>0</v>
      </c>
      <c r="BJ165" s="1109">
        <f t="shared" ref="BJ165:BP165" si="764">SUM(BJ159:BJ164)</f>
        <v>0</v>
      </c>
      <c r="BK165" s="1109">
        <f t="shared" si="764"/>
        <v>0</v>
      </c>
      <c r="BL165" s="1109">
        <f t="shared" si="764"/>
        <v>0</v>
      </c>
      <c r="BM165" s="1109">
        <f t="shared" si="764"/>
        <v>0</v>
      </c>
      <c r="BN165" s="1109">
        <f t="shared" si="764"/>
        <v>0</v>
      </c>
      <c r="BO165" s="1109">
        <f t="shared" si="764"/>
        <v>0</v>
      </c>
      <c r="BP165" s="1114">
        <f t="shared" si="764"/>
        <v>0</v>
      </c>
      <c r="BR165" s="995">
        <f t="shared" si="728"/>
        <v>0</v>
      </c>
      <c r="BS165" s="995">
        <f t="shared" si="728"/>
        <v>0</v>
      </c>
      <c r="BT165" s="995">
        <f t="shared" si="728"/>
        <v>0</v>
      </c>
      <c r="BU165" s="995">
        <f t="shared" si="728"/>
        <v>0</v>
      </c>
      <c r="BV165" s="995">
        <f t="shared" si="728"/>
        <v>0</v>
      </c>
      <c r="BW165" s="995">
        <f t="shared" si="728"/>
        <v>0</v>
      </c>
      <c r="BX165" s="995">
        <f>SUM(BX159:BX164)</f>
        <v>0</v>
      </c>
      <c r="BY165" s="269">
        <f>SUM(BY159:BY164)</f>
        <v>0</v>
      </c>
      <c r="BZ165" s="258"/>
      <c r="CB165" s="1317">
        <f t="shared" ref="CB165:CO165" si="765">SUM(CB159:CB164)</f>
        <v>0</v>
      </c>
      <c r="CC165" s="1318">
        <f t="shared" si="765"/>
        <v>0</v>
      </c>
      <c r="CD165" s="1319">
        <f t="shared" si="765"/>
        <v>0</v>
      </c>
      <c r="CE165" s="1319">
        <f t="shared" si="765"/>
        <v>0</v>
      </c>
      <c r="CF165" s="1319">
        <f t="shared" si="765"/>
        <v>0</v>
      </c>
      <c r="CG165" s="1320">
        <f t="shared" si="765"/>
        <v>0</v>
      </c>
      <c r="CH165" s="1318">
        <f t="shared" si="765"/>
        <v>0</v>
      </c>
      <c r="CI165" s="1319">
        <f t="shared" si="765"/>
        <v>0</v>
      </c>
      <c r="CJ165" s="1319">
        <f t="shared" si="765"/>
        <v>0</v>
      </c>
      <c r="CK165" s="1319">
        <f t="shared" si="765"/>
        <v>0</v>
      </c>
      <c r="CL165" s="1321">
        <f t="shared" si="765"/>
        <v>0</v>
      </c>
      <c r="CM165" s="1318">
        <f t="shared" si="765"/>
        <v>0</v>
      </c>
      <c r="CN165" s="1319">
        <f t="shared" si="765"/>
        <v>0</v>
      </c>
      <c r="CO165" s="1320">
        <f t="shared" si="765"/>
        <v>0</v>
      </c>
      <c r="CP165" s="1317">
        <f t="shared" si="733"/>
        <v>0</v>
      </c>
      <c r="CS165" s="1215">
        <f t="shared" ref="CS165:DE165" si="766">SUM(CS159:CS164)</f>
        <v>0</v>
      </c>
      <c r="CT165" s="1216">
        <f t="shared" si="766"/>
        <v>0</v>
      </c>
      <c r="CU165" s="275">
        <f t="shared" si="766"/>
        <v>0</v>
      </c>
      <c r="CV165" s="1215">
        <f t="shared" si="766"/>
        <v>0</v>
      </c>
      <c r="CW165" s="1216">
        <f t="shared" si="766"/>
        <v>0</v>
      </c>
      <c r="CX165" s="275">
        <f t="shared" si="766"/>
        <v>0</v>
      </c>
      <c r="CY165" s="1215">
        <f t="shared" si="766"/>
        <v>0</v>
      </c>
      <c r="CZ165" s="1216">
        <f t="shared" si="766"/>
        <v>0</v>
      </c>
      <c r="DA165" s="275">
        <f t="shared" si="766"/>
        <v>0</v>
      </c>
      <c r="DB165" s="1215">
        <f t="shared" si="766"/>
        <v>0</v>
      </c>
      <c r="DC165" s="1216">
        <f t="shared" si="766"/>
        <v>0</v>
      </c>
      <c r="DD165" s="275">
        <f t="shared" si="766"/>
        <v>0</v>
      </c>
      <c r="DE165" s="1062">
        <f t="shared" si="766"/>
        <v>0</v>
      </c>
      <c r="DG165" s="1215">
        <f t="shared" ref="DG165:DS165" si="767">SUM(DG159:DG164)</f>
        <v>0</v>
      </c>
      <c r="DH165" s="1216">
        <f t="shared" si="767"/>
        <v>0</v>
      </c>
      <c r="DI165" s="275">
        <f t="shared" si="767"/>
        <v>0</v>
      </c>
      <c r="DJ165" s="1215">
        <f t="shared" si="767"/>
        <v>0</v>
      </c>
      <c r="DK165" s="1216">
        <f t="shared" si="767"/>
        <v>0</v>
      </c>
      <c r="DL165" s="275">
        <f t="shared" si="767"/>
        <v>0</v>
      </c>
      <c r="DM165" s="1215">
        <f t="shared" si="767"/>
        <v>0</v>
      </c>
      <c r="DN165" s="1216">
        <f t="shared" si="767"/>
        <v>0</v>
      </c>
      <c r="DO165" s="275">
        <f t="shared" si="767"/>
        <v>0</v>
      </c>
      <c r="DP165" s="1215">
        <f t="shared" si="767"/>
        <v>0</v>
      </c>
      <c r="DQ165" s="1216">
        <f t="shared" si="767"/>
        <v>0</v>
      </c>
      <c r="DR165" s="275">
        <f t="shared" si="767"/>
        <v>0</v>
      </c>
      <c r="DS165" s="1062">
        <f t="shared" si="767"/>
        <v>0</v>
      </c>
      <c r="DU165" s="1215">
        <f t="shared" ref="DU165:EG165" si="768">SUM(DU159:DU164)</f>
        <v>0</v>
      </c>
      <c r="DV165" s="1216">
        <f t="shared" si="768"/>
        <v>0</v>
      </c>
      <c r="DW165" s="275">
        <f t="shared" si="768"/>
        <v>0</v>
      </c>
      <c r="DX165" s="1215">
        <f t="shared" si="768"/>
        <v>0</v>
      </c>
      <c r="DY165" s="1216">
        <f t="shared" si="768"/>
        <v>0</v>
      </c>
      <c r="DZ165" s="275">
        <f t="shared" si="768"/>
        <v>0</v>
      </c>
      <c r="EA165" s="1215">
        <f t="shared" si="768"/>
        <v>0</v>
      </c>
      <c r="EB165" s="1216">
        <f t="shared" si="768"/>
        <v>0</v>
      </c>
      <c r="EC165" s="275">
        <f t="shared" si="768"/>
        <v>0</v>
      </c>
      <c r="ED165" s="1215">
        <f t="shared" si="768"/>
        <v>0</v>
      </c>
      <c r="EE165" s="1216">
        <f t="shared" si="768"/>
        <v>0</v>
      </c>
      <c r="EF165" s="275">
        <f t="shared" si="768"/>
        <v>0</v>
      </c>
      <c r="EG165" s="1062">
        <f t="shared" si="768"/>
        <v>0</v>
      </c>
      <c r="EI165" s="446"/>
      <c r="EJ165" s="442"/>
      <c r="EK165" s="470" t="s">
        <v>46</v>
      </c>
      <c r="EL165" s="443">
        <f t="shared" ref="EL165:ER165" si="769">SUM(EL159:EL164)</f>
        <v>0</v>
      </c>
      <c r="EM165" s="15">
        <f t="shared" si="769"/>
        <v>0</v>
      </c>
      <c r="EN165" s="15">
        <f t="shared" si="769"/>
        <v>0</v>
      </c>
      <c r="EO165" s="15">
        <f t="shared" si="769"/>
        <v>0</v>
      </c>
      <c r="EP165" s="15">
        <f t="shared" si="769"/>
        <v>0</v>
      </c>
      <c r="EQ165" s="15">
        <f t="shared" si="769"/>
        <v>0</v>
      </c>
      <c r="ER165" s="15">
        <f t="shared" si="769"/>
        <v>0</v>
      </c>
      <c r="ES165" s="13">
        <f>SUM(EL165:EQ165)</f>
        <v>0</v>
      </c>
      <c r="ET165" s="35"/>
      <c r="EU165" s="13"/>
      <c r="EV165" s="169">
        <f t="shared" ref="EV165:FB165" si="770">SUM(EV159:EV164)</f>
        <v>0</v>
      </c>
      <c r="EW165" s="169">
        <f t="shared" si="770"/>
        <v>0</v>
      </c>
      <c r="EX165" s="169">
        <f t="shared" si="770"/>
        <v>0</v>
      </c>
      <c r="EY165" s="169">
        <f t="shared" si="770"/>
        <v>0</v>
      </c>
      <c r="EZ165" s="169">
        <f t="shared" si="770"/>
        <v>0</v>
      </c>
      <c r="FA165" s="169">
        <f t="shared" si="770"/>
        <v>0</v>
      </c>
      <c r="FB165" s="169">
        <f t="shared" si="770"/>
        <v>0</v>
      </c>
      <c r="FC165" s="1"/>
      <c r="FD165" s="142">
        <f t="shared" ref="FD165:FJ165" si="771">SUM(FD159:FD164)</f>
        <v>0</v>
      </c>
      <c r="FE165" s="142">
        <f t="shared" si="771"/>
        <v>0</v>
      </c>
      <c r="FF165" s="142">
        <f t="shared" si="771"/>
        <v>0</v>
      </c>
      <c r="FG165" s="142">
        <f t="shared" si="771"/>
        <v>0</v>
      </c>
      <c r="FH165" s="142">
        <f t="shared" si="771"/>
        <v>0</v>
      </c>
      <c r="FI165" s="142">
        <f t="shared" si="771"/>
        <v>0</v>
      </c>
      <c r="FJ165" s="142">
        <f t="shared" si="771"/>
        <v>0</v>
      </c>
      <c r="FL165" s="211">
        <f t="shared" ref="FL165:FR165" si="772">SUM(FL159:FL164)</f>
        <v>0</v>
      </c>
      <c r="FM165" s="211">
        <f t="shared" si="772"/>
        <v>0</v>
      </c>
      <c r="FN165" s="211">
        <f t="shared" si="772"/>
        <v>0</v>
      </c>
      <c r="FO165" s="211">
        <f t="shared" si="772"/>
        <v>0</v>
      </c>
      <c r="FP165" s="211">
        <f t="shared" si="772"/>
        <v>0</v>
      </c>
      <c r="FQ165" s="211">
        <f t="shared" si="772"/>
        <v>0</v>
      </c>
      <c r="FR165" s="211">
        <f t="shared" si="772"/>
        <v>0</v>
      </c>
      <c r="FT165" s="183">
        <f t="shared" ref="FT165:FZ165" si="773">SUM(FT159:FT164)</f>
        <v>0</v>
      </c>
      <c r="FU165" s="183">
        <f t="shared" si="773"/>
        <v>0</v>
      </c>
      <c r="FV165" s="183">
        <f t="shared" si="773"/>
        <v>0</v>
      </c>
      <c r="FW165" s="183">
        <f t="shared" si="773"/>
        <v>0</v>
      </c>
      <c r="FX165" s="183">
        <f t="shared" si="773"/>
        <v>0</v>
      </c>
      <c r="FY165" s="183">
        <f t="shared" si="773"/>
        <v>0</v>
      </c>
      <c r="FZ165" s="183">
        <f t="shared" si="773"/>
        <v>0</v>
      </c>
      <c r="GB165" s="155">
        <f t="shared" ref="GB165:GH165" si="774">SUM(GB159:GB164)</f>
        <v>0</v>
      </c>
      <c r="GC165" s="155">
        <f t="shared" si="774"/>
        <v>0</v>
      </c>
      <c r="GD165" s="155">
        <f t="shared" si="774"/>
        <v>0</v>
      </c>
      <c r="GE165" s="155">
        <f t="shared" si="774"/>
        <v>0</v>
      </c>
      <c r="GF165" s="155">
        <f t="shared" si="774"/>
        <v>0</v>
      </c>
      <c r="GG165" s="155">
        <f t="shared" si="774"/>
        <v>0</v>
      </c>
      <c r="GH165" s="155">
        <f t="shared" si="774"/>
        <v>0</v>
      </c>
      <c r="GJ165" s="197">
        <f t="shared" ref="GJ165:GP165" si="775">SUM(GJ159:GJ164)</f>
        <v>0</v>
      </c>
      <c r="GK165" s="197">
        <f t="shared" si="775"/>
        <v>0</v>
      </c>
      <c r="GL165" s="197">
        <f t="shared" si="775"/>
        <v>0</v>
      </c>
      <c r="GM165" s="197">
        <f t="shared" si="775"/>
        <v>0</v>
      </c>
      <c r="GN165" s="197">
        <f t="shared" si="775"/>
        <v>0</v>
      </c>
      <c r="GO165" s="197">
        <f t="shared" si="775"/>
        <v>0</v>
      </c>
      <c r="GP165" s="197">
        <f t="shared" si="775"/>
        <v>0</v>
      </c>
      <c r="GR165" s="1109">
        <f t="shared" ref="GR165:GX165" si="776">SUM(GR159:GR164)</f>
        <v>0</v>
      </c>
      <c r="GS165" s="1109">
        <f t="shared" si="776"/>
        <v>0</v>
      </c>
      <c r="GT165" s="1109">
        <f t="shared" si="776"/>
        <v>0</v>
      </c>
      <c r="GU165" s="1109">
        <f t="shared" si="776"/>
        <v>0</v>
      </c>
      <c r="GV165" s="1109">
        <f t="shared" si="776"/>
        <v>0</v>
      </c>
      <c r="GW165" s="1109">
        <f t="shared" si="776"/>
        <v>0</v>
      </c>
      <c r="GX165" s="1114">
        <f t="shared" si="776"/>
        <v>0</v>
      </c>
      <c r="GZ165" s="995">
        <f t="shared" si="753"/>
        <v>0</v>
      </c>
      <c r="HA165" s="995">
        <f t="shared" si="753"/>
        <v>0</v>
      </c>
      <c r="HB165" s="995">
        <f t="shared" si="753"/>
        <v>0</v>
      </c>
      <c r="HC165" s="995">
        <f t="shared" si="753"/>
        <v>0</v>
      </c>
      <c r="HD165" s="995">
        <f t="shared" si="753"/>
        <v>0</v>
      </c>
      <c r="HE165" s="995">
        <f t="shared" si="753"/>
        <v>0</v>
      </c>
      <c r="HF165" s="995">
        <f>SUM(HF159:HF164)</f>
        <v>0</v>
      </c>
      <c r="HG165" s="269">
        <f>SUM(HG159:HG164)</f>
        <v>0</v>
      </c>
      <c r="HH165" s="258"/>
    </row>
    <row r="166" spans="1:216" ht="15" customHeight="1" thickBot="1" x14ac:dyDescent="0.3">
      <c r="A166" s="3237"/>
      <c r="B166" s="3238"/>
      <c r="C166" s="3238"/>
      <c r="D166" s="3239"/>
      <c r="E166" s="3239"/>
      <c r="F166" s="3239"/>
      <c r="G166" s="3239"/>
      <c r="H166" s="3239"/>
      <c r="I166" s="3239"/>
      <c r="J166" s="3240"/>
      <c r="K166" s="35"/>
      <c r="L166" s="35"/>
      <c r="M166" s="35"/>
      <c r="T166" s="1"/>
      <c r="U166" s="1"/>
      <c r="AB166" s="1"/>
      <c r="AJ166" s="1"/>
      <c r="AR166" s="1"/>
      <c r="AZ166" s="1"/>
      <c r="BH166" s="1"/>
      <c r="BX166" s="1"/>
      <c r="BY166" s="1"/>
      <c r="BZ166" s="1"/>
      <c r="CB166" s="1217"/>
      <c r="CC166" s="1217"/>
      <c r="CD166" s="1217"/>
      <c r="CE166" s="1217"/>
      <c r="CF166" s="1217"/>
      <c r="CG166" s="1217"/>
      <c r="CH166" s="1217"/>
      <c r="CI166" s="1217"/>
      <c r="CJ166" s="1217"/>
      <c r="CK166" s="1217"/>
      <c r="CL166" s="1217"/>
      <c r="CM166" s="1217"/>
      <c r="CN166" s="1217"/>
      <c r="CO166" s="1217"/>
      <c r="CP166" s="1217"/>
      <c r="EI166" s="3237"/>
      <c r="EJ166" s="3238"/>
      <c r="EK166" s="3238"/>
      <c r="EL166" s="3239"/>
      <c r="EM166" s="3239"/>
      <c r="EN166" s="3239"/>
      <c r="EO166" s="3239"/>
      <c r="EP166" s="3239"/>
      <c r="EQ166" s="3239"/>
      <c r="ER166" s="3240"/>
      <c r="ES166" s="35"/>
      <c r="ET166" s="35"/>
      <c r="EU166" s="35"/>
      <c r="FB166" s="1"/>
      <c r="FC166" s="1"/>
      <c r="FJ166" s="1"/>
      <c r="FR166" s="1"/>
      <c r="FZ166" s="1"/>
      <c r="GH166" s="1"/>
      <c r="GP166" s="1"/>
      <c r="HF166" s="1"/>
      <c r="HG166" s="1"/>
      <c r="HH166" s="1"/>
    </row>
    <row r="167" spans="1:216" ht="15" customHeight="1" thickBot="1" x14ac:dyDescent="0.3">
      <c r="A167" s="436" t="s">
        <v>45</v>
      </c>
      <c r="B167" s="3241" t="s">
        <v>12</v>
      </c>
      <c r="C167" s="3242"/>
      <c r="D167" s="3242"/>
      <c r="E167" s="3242"/>
      <c r="F167" s="3242"/>
      <c r="G167" s="3242"/>
      <c r="H167" s="3242"/>
      <c r="I167" s="3242"/>
      <c r="J167" s="3243"/>
      <c r="K167" s="35"/>
      <c r="L167" s="35"/>
      <c r="M167" s="35"/>
      <c r="N167" s="3193" t="s">
        <v>12</v>
      </c>
      <c r="O167" s="3194"/>
      <c r="P167" s="3194"/>
      <c r="Q167" s="3194"/>
      <c r="R167" s="3194"/>
      <c r="S167" s="3194"/>
      <c r="T167" s="3195"/>
      <c r="U167" s="1"/>
      <c r="V167" s="3196" t="s">
        <v>12</v>
      </c>
      <c r="W167" s="3197"/>
      <c r="X167" s="3197"/>
      <c r="Y167" s="3197"/>
      <c r="Z167" s="3197"/>
      <c r="AA167" s="3197"/>
      <c r="AB167" s="3198"/>
      <c r="AD167" s="3196" t="s">
        <v>12</v>
      </c>
      <c r="AE167" s="3197"/>
      <c r="AF167" s="3197"/>
      <c r="AG167" s="3197"/>
      <c r="AH167" s="3197"/>
      <c r="AI167" s="3197"/>
      <c r="AJ167" s="3198"/>
      <c r="AL167" s="3196" t="s">
        <v>12</v>
      </c>
      <c r="AM167" s="3197"/>
      <c r="AN167" s="3197"/>
      <c r="AO167" s="3197"/>
      <c r="AP167" s="3197"/>
      <c r="AQ167" s="3197"/>
      <c r="AR167" s="3198"/>
      <c r="AT167" s="3196" t="s">
        <v>12</v>
      </c>
      <c r="AU167" s="3197"/>
      <c r="AV167" s="3197"/>
      <c r="AW167" s="3197"/>
      <c r="AX167" s="3197"/>
      <c r="AY167" s="3197"/>
      <c r="AZ167" s="3198"/>
      <c r="BB167" s="3196" t="s">
        <v>12</v>
      </c>
      <c r="BC167" s="3197"/>
      <c r="BD167" s="3197"/>
      <c r="BE167" s="3197"/>
      <c r="BF167" s="3197"/>
      <c r="BG167" s="3197"/>
      <c r="BH167" s="3198"/>
      <c r="BJ167" s="860" t="s">
        <v>12</v>
      </c>
      <c r="BK167" s="861"/>
      <c r="BL167" s="861"/>
      <c r="BM167" s="861"/>
      <c r="BN167" s="861"/>
      <c r="BO167" s="861"/>
      <c r="BP167" s="1125"/>
      <c r="BR167" s="1010" t="s">
        <v>12</v>
      </c>
      <c r="BS167" s="1011"/>
      <c r="BT167" s="1011"/>
      <c r="BU167" s="1011"/>
      <c r="BV167" s="1011"/>
      <c r="BW167" s="1011"/>
      <c r="BX167" s="1011"/>
      <c r="BY167" s="1012"/>
      <c r="BZ167" s="1"/>
      <c r="CB167" s="3323" t="s">
        <v>12</v>
      </c>
      <c r="CC167" s="3324"/>
      <c r="CD167" s="3324"/>
      <c r="CE167" s="3324"/>
      <c r="CF167" s="3324"/>
      <c r="CG167" s="3324"/>
      <c r="CH167" s="3324"/>
      <c r="CI167" s="3324"/>
      <c r="CJ167" s="3324"/>
      <c r="CK167" s="3324"/>
      <c r="CL167" s="3324"/>
      <c r="CM167" s="3324"/>
      <c r="CN167" s="3324"/>
      <c r="CO167" s="3324"/>
      <c r="CP167" s="3325"/>
      <c r="CS167" s="3278" t="s">
        <v>164</v>
      </c>
      <c r="CT167" s="3310"/>
      <c r="CU167" s="3310"/>
      <c r="CV167" s="3310"/>
      <c r="CW167" s="3310"/>
      <c r="CX167" s="3310"/>
      <c r="CY167" s="3310"/>
      <c r="CZ167" s="3310"/>
      <c r="DA167" s="3310"/>
      <c r="DB167" s="3310"/>
      <c r="DC167" s="3310"/>
      <c r="DD167" s="3310"/>
      <c r="DE167" s="3311"/>
      <c r="DG167" s="3278" t="s">
        <v>164</v>
      </c>
      <c r="DH167" s="3310"/>
      <c r="DI167" s="3310"/>
      <c r="DJ167" s="3310"/>
      <c r="DK167" s="3310"/>
      <c r="DL167" s="3310"/>
      <c r="DM167" s="3310"/>
      <c r="DN167" s="3310"/>
      <c r="DO167" s="3310"/>
      <c r="DP167" s="3310"/>
      <c r="DQ167" s="3310"/>
      <c r="DR167" s="3310"/>
      <c r="DS167" s="3311"/>
      <c r="DU167" s="3278" t="s">
        <v>164</v>
      </c>
      <c r="DV167" s="3310"/>
      <c r="DW167" s="3310"/>
      <c r="DX167" s="3310"/>
      <c r="DY167" s="3310"/>
      <c r="DZ167" s="3310"/>
      <c r="EA167" s="3310"/>
      <c r="EB167" s="3310"/>
      <c r="EC167" s="3310"/>
      <c r="ED167" s="3310"/>
      <c r="EE167" s="3310"/>
      <c r="EF167" s="3310"/>
      <c r="EG167" s="3311"/>
      <c r="EI167" s="436" t="s">
        <v>45</v>
      </c>
      <c r="EJ167" s="3241" t="s">
        <v>12</v>
      </c>
      <c r="EK167" s="3242"/>
      <c r="EL167" s="3242"/>
      <c r="EM167" s="3242"/>
      <c r="EN167" s="3242"/>
      <c r="EO167" s="3242"/>
      <c r="EP167" s="3242"/>
      <c r="EQ167" s="3242"/>
      <c r="ER167" s="3243"/>
      <c r="ES167" s="35"/>
      <c r="ET167" s="35"/>
      <c r="EU167" s="35"/>
      <c r="EV167" s="3193" t="s">
        <v>12</v>
      </c>
      <c r="EW167" s="3194"/>
      <c r="EX167" s="3194"/>
      <c r="EY167" s="3194"/>
      <c r="EZ167" s="3194"/>
      <c r="FA167" s="3194"/>
      <c r="FB167" s="3195"/>
      <c r="FC167" s="1"/>
      <c r="FD167" s="3196" t="s">
        <v>12</v>
      </c>
      <c r="FE167" s="3197"/>
      <c r="FF167" s="3197"/>
      <c r="FG167" s="3197"/>
      <c r="FH167" s="3197"/>
      <c r="FI167" s="3197"/>
      <c r="FJ167" s="3198"/>
      <c r="FL167" s="3196" t="s">
        <v>12</v>
      </c>
      <c r="FM167" s="3197"/>
      <c r="FN167" s="3197"/>
      <c r="FO167" s="3197"/>
      <c r="FP167" s="3197"/>
      <c r="FQ167" s="3197"/>
      <c r="FR167" s="3198"/>
      <c r="FT167" s="3196" t="s">
        <v>12</v>
      </c>
      <c r="FU167" s="3197"/>
      <c r="FV167" s="3197"/>
      <c r="FW167" s="3197"/>
      <c r="FX167" s="3197"/>
      <c r="FY167" s="3197"/>
      <c r="FZ167" s="3198"/>
      <c r="GB167" s="3196" t="s">
        <v>12</v>
      </c>
      <c r="GC167" s="3197"/>
      <c r="GD167" s="3197"/>
      <c r="GE167" s="3197"/>
      <c r="GF167" s="3197"/>
      <c r="GG167" s="3197"/>
      <c r="GH167" s="3198"/>
      <c r="GJ167" s="3196" t="s">
        <v>12</v>
      </c>
      <c r="GK167" s="3197"/>
      <c r="GL167" s="3197"/>
      <c r="GM167" s="3197"/>
      <c r="GN167" s="3197"/>
      <c r="GO167" s="3197"/>
      <c r="GP167" s="3198"/>
      <c r="GR167" s="860" t="s">
        <v>12</v>
      </c>
      <c r="GS167" s="861"/>
      <c r="GT167" s="861"/>
      <c r="GU167" s="861"/>
      <c r="GV167" s="861"/>
      <c r="GW167" s="861"/>
      <c r="GX167" s="1125"/>
      <c r="GZ167" s="1010" t="s">
        <v>12</v>
      </c>
      <c r="HA167" s="1011"/>
      <c r="HB167" s="1011"/>
      <c r="HC167" s="1011"/>
      <c r="HD167" s="1011"/>
      <c r="HE167" s="1011"/>
      <c r="HF167" s="1011"/>
      <c r="HG167" s="1012"/>
      <c r="HH167" s="1"/>
    </row>
    <row r="168" spans="1:216" ht="15" hidden="1" customHeight="1" x14ac:dyDescent="0.25">
      <c r="A168" s="432" t="s">
        <v>36</v>
      </c>
      <c r="B168" s="435"/>
      <c r="C168" s="26" t="s">
        <v>4</v>
      </c>
      <c r="D168" s="41">
        <f ca="1">'Calc - TRAVEL'!AP9</f>
        <v>2489.87</v>
      </c>
      <c r="E168" s="41">
        <f ca="1">'Calc - TRAVEL'!AP10</f>
        <v>0</v>
      </c>
      <c r="F168" s="41">
        <f ca="1">'Calc - TRAVEL'!AP11</f>
        <v>0</v>
      </c>
      <c r="G168" s="41">
        <f ca="1">'Calc - TRAVEL'!AP12</f>
        <v>0</v>
      </c>
      <c r="H168" s="41">
        <f ca="1">'Calc - TRAVEL'!AP13</f>
        <v>0</v>
      </c>
      <c r="I168" s="41">
        <f ca="1">'Calc - TRAVEL'!AP14</f>
        <v>0</v>
      </c>
      <c r="J168" s="345">
        <f ca="1">SUM(D168:I168)</f>
        <v>2489.87</v>
      </c>
      <c r="K168" s="35"/>
      <c r="M168" s="35"/>
      <c r="N168" s="5"/>
      <c r="O168" s="41"/>
      <c r="P168" s="41"/>
      <c r="Q168" s="5"/>
      <c r="R168" s="5"/>
      <c r="S168" s="5"/>
      <c r="T168" s="167">
        <f>SUM(N168:S168)</f>
        <v>0</v>
      </c>
      <c r="U168" s="1"/>
      <c r="V168" s="5"/>
      <c r="W168" s="5"/>
      <c r="X168" s="5"/>
      <c r="Y168" s="5"/>
      <c r="Z168" s="5"/>
      <c r="AA168" s="5"/>
      <c r="AB168" s="48">
        <f>SUM(V168:AA168)</f>
        <v>0</v>
      </c>
      <c r="AD168" s="5"/>
      <c r="AE168" s="5"/>
      <c r="AF168" s="5"/>
      <c r="AG168" s="5"/>
      <c r="AH168" s="5"/>
      <c r="AI168" s="5"/>
      <c r="AJ168" s="209">
        <f>SUM(AD168:AI168)</f>
        <v>0</v>
      </c>
      <c r="AL168" s="5"/>
      <c r="AM168" s="5"/>
      <c r="AN168" s="5"/>
      <c r="AO168" s="5"/>
      <c r="AP168" s="5"/>
      <c r="AQ168" s="5"/>
      <c r="AR168" s="181">
        <f>SUM(AL168:AQ168)</f>
        <v>0</v>
      </c>
      <c r="AT168" s="5"/>
      <c r="AU168" s="5"/>
      <c r="AV168" s="5"/>
      <c r="AW168" s="5"/>
      <c r="AX168" s="5"/>
      <c r="AY168" s="5"/>
      <c r="AZ168" s="153">
        <f>SUM(AT168:AY168)</f>
        <v>0</v>
      </c>
      <c r="BB168" s="5"/>
      <c r="BC168" s="5"/>
      <c r="BD168" s="5"/>
      <c r="BE168" s="5"/>
      <c r="BF168" s="5"/>
      <c r="BG168" s="5"/>
      <c r="BH168" s="195">
        <f>SUM(BB168:BG168)</f>
        <v>0</v>
      </c>
      <c r="BJ168" s="21"/>
      <c r="BK168" s="21"/>
      <c r="BL168" s="21"/>
      <c r="BM168" s="21"/>
      <c r="BN168" s="21"/>
      <c r="BO168" s="21"/>
      <c r="BP168" s="1105">
        <f>SUM(BJ168:BO168)</f>
        <v>0</v>
      </c>
      <c r="BR168" s="574">
        <f t="shared" ref="BR168:BW170" si="777">SUM(N168,V168,AD168,AL168,AT168,BB168)</f>
        <v>0</v>
      </c>
      <c r="BS168" s="574">
        <f t="shared" si="777"/>
        <v>0</v>
      </c>
      <c r="BT168" s="574">
        <f t="shared" si="777"/>
        <v>0</v>
      </c>
      <c r="BU168" s="574">
        <f t="shared" si="777"/>
        <v>0</v>
      </c>
      <c r="BV168" s="574">
        <f t="shared" si="777"/>
        <v>0</v>
      </c>
      <c r="BW168" s="574">
        <f t="shared" si="777"/>
        <v>0</v>
      </c>
      <c r="BX168" s="990">
        <f>SUM(BR168:BW168)</f>
        <v>0</v>
      </c>
      <c r="BY168" s="276">
        <f ca="1">SUM(J168+BX168)</f>
        <v>2489.87</v>
      </c>
      <c r="BZ168" s="257"/>
      <c r="CB168" s="1322">
        <f ca="1">D168</f>
        <v>2489.87</v>
      </c>
      <c r="CC168" s="386">
        <f ca="1">E168</f>
        <v>0</v>
      </c>
      <c r="CD168" s="360"/>
      <c r="CE168" s="360"/>
      <c r="CF168" s="360"/>
      <c r="CG168" s="1161"/>
      <c r="CH168" s="1289">
        <f ca="1">$F168</f>
        <v>0</v>
      </c>
      <c r="CI168" s="1163"/>
      <c r="CJ168" s="1163"/>
      <c r="CK168" s="1163"/>
      <c r="CL168" s="1164"/>
      <c r="CM168" s="1165">
        <f ca="1">$G168</f>
        <v>0</v>
      </c>
      <c r="CN168" s="1242"/>
      <c r="CO168" s="1167"/>
      <c r="CP168" s="1168">
        <f ca="1">SUM(CB168:CO168)</f>
        <v>2489.87</v>
      </c>
      <c r="CS168" s="574"/>
      <c r="CT168" s="86"/>
      <c r="CU168" s="1169"/>
      <c r="CV168" s="574"/>
      <c r="CW168" s="86"/>
      <c r="CX168" s="1169"/>
      <c r="CY168" s="574"/>
      <c r="CZ168" s="86"/>
      <c r="DA168" s="1169"/>
      <c r="DB168" s="574"/>
      <c r="DC168" s="86"/>
      <c r="DD168" s="1169"/>
      <c r="DE168" s="1065">
        <f>SUM(CS168:DD168)</f>
        <v>0</v>
      </c>
      <c r="DG168" s="574"/>
      <c r="DH168" s="86"/>
      <c r="DI168" s="1169"/>
      <c r="DJ168" s="574"/>
      <c r="DK168" s="86"/>
      <c r="DL168" s="1169"/>
      <c r="DM168" s="574"/>
      <c r="DN168" s="86"/>
      <c r="DO168" s="1169"/>
      <c r="DP168" s="574"/>
      <c r="DQ168" s="86"/>
      <c r="DR168" s="1169"/>
      <c r="DS168" s="1065">
        <f>SUM(DG168:DR168)</f>
        <v>0</v>
      </c>
      <c r="DU168" s="574"/>
      <c r="DV168" s="86"/>
      <c r="DW168" s="1169"/>
      <c r="DX168" s="574"/>
      <c r="DY168" s="86"/>
      <c r="DZ168" s="1169"/>
      <c r="EA168" s="574"/>
      <c r="EB168" s="86"/>
      <c r="EC168" s="1169"/>
      <c r="ED168" s="574"/>
      <c r="EE168" s="86"/>
      <c r="EF168" s="1169"/>
      <c r="EG168" s="1065">
        <f>SUM(DU168:EF168)</f>
        <v>0</v>
      </c>
      <c r="EI168" s="432" t="s">
        <v>36</v>
      </c>
      <c r="EJ168" s="435"/>
      <c r="EK168" s="26" t="s">
        <v>4</v>
      </c>
      <c r="EL168" s="41">
        <f t="shared" ref="EL168:EQ169" ca="1" si="778">ROUND(D168,0)</f>
        <v>2490</v>
      </c>
      <c r="EM168" s="41">
        <f t="shared" ca="1" si="778"/>
        <v>0</v>
      </c>
      <c r="EN168" s="41">
        <f t="shared" ca="1" si="778"/>
        <v>0</v>
      </c>
      <c r="EO168" s="41">
        <f t="shared" ca="1" si="778"/>
        <v>0</v>
      </c>
      <c r="EP168" s="41">
        <f t="shared" ca="1" si="778"/>
        <v>0</v>
      </c>
      <c r="EQ168" s="41">
        <f t="shared" ca="1" si="778"/>
        <v>0</v>
      </c>
      <c r="ER168" s="345">
        <f ca="1">SUM(EL168:EQ168)</f>
        <v>2490</v>
      </c>
      <c r="ES168" s="35"/>
      <c r="EU168" s="35"/>
      <c r="EV168" s="5">
        <f t="shared" ref="EV168:FA169" si="779">ROUND(N168,0)</f>
        <v>0</v>
      </c>
      <c r="EW168" s="41">
        <f t="shared" si="779"/>
        <v>0</v>
      </c>
      <c r="EX168" s="41">
        <f t="shared" si="779"/>
        <v>0</v>
      </c>
      <c r="EY168" s="5">
        <f t="shared" si="779"/>
        <v>0</v>
      </c>
      <c r="EZ168" s="5">
        <f t="shared" si="779"/>
        <v>0</v>
      </c>
      <c r="FA168" s="5">
        <f t="shared" si="779"/>
        <v>0</v>
      </c>
      <c r="FB168" s="167">
        <f>SUM(EV168:FA168)</f>
        <v>0</v>
      </c>
      <c r="FC168" s="1"/>
      <c r="FD168" s="5">
        <f t="shared" ref="FD168:FI169" si="780">ROUND(V168,0)</f>
        <v>0</v>
      </c>
      <c r="FE168" s="5">
        <f t="shared" si="780"/>
        <v>0</v>
      </c>
      <c r="FF168" s="5">
        <f t="shared" si="780"/>
        <v>0</v>
      </c>
      <c r="FG168" s="5">
        <f t="shared" si="780"/>
        <v>0</v>
      </c>
      <c r="FH168" s="5">
        <f t="shared" si="780"/>
        <v>0</v>
      </c>
      <c r="FI168" s="5">
        <f t="shared" si="780"/>
        <v>0</v>
      </c>
      <c r="FJ168" s="48">
        <f>SUM(FD168:FI168)</f>
        <v>0</v>
      </c>
      <c r="FL168" s="5">
        <f t="shared" ref="FL168:FQ169" si="781">ROUND(AD168,0)</f>
        <v>0</v>
      </c>
      <c r="FM168" s="5">
        <f t="shared" si="781"/>
        <v>0</v>
      </c>
      <c r="FN168" s="5">
        <f t="shared" si="781"/>
        <v>0</v>
      </c>
      <c r="FO168" s="5">
        <f t="shared" si="781"/>
        <v>0</v>
      </c>
      <c r="FP168" s="5">
        <f t="shared" si="781"/>
        <v>0</v>
      </c>
      <c r="FQ168" s="5">
        <f t="shared" si="781"/>
        <v>0</v>
      </c>
      <c r="FR168" s="209">
        <f>SUM(FL168:FQ168)</f>
        <v>0</v>
      </c>
      <c r="FT168" s="5">
        <f t="shared" ref="FT168:FY169" si="782">ROUND(AL168,0)</f>
        <v>0</v>
      </c>
      <c r="FU168" s="5">
        <f t="shared" si="782"/>
        <v>0</v>
      </c>
      <c r="FV168" s="5">
        <f t="shared" si="782"/>
        <v>0</v>
      </c>
      <c r="FW168" s="5">
        <f t="shared" si="782"/>
        <v>0</v>
      </c>
      <c r="FX168" s="5">
        <f t="shared" si="782"/>
        <v>0</v>
      </c>
      <c r="FY168" s="5">
        <f t="shared" si="782"/>
        <v>0</v>
      </c>
      <c r="FZ168" s="181">
        <f>SUM(FT168:FY168)</f>
        <v>0</v>
      </c>
      <c r="GB168" s="5">
        <f t="shared" ref="GB168:GG169" si="783">ROUND(AT168,0)</f>
        <v>0</v>
      </c>
      <c r="GC168" s="5">
        <f t="shared" si="783"/>
        <v>0</v>
      </c>
      <c r="GD168" s="5">
        <f t="shared" si="783"/>
        <v>0</v>
      </c>
      <c r="GE168" s="5">
        <f t="shared" si="783"/>
        <v>0</v>
      </c>
      <c r="GF168" s="5">
        <f t="shared" si="783"/>
        <v>0</v>
      </c>
      <c r="GG168" s="5">
        <f t="shared" si="783"/>
        <v>0</v>
      </c>
      <c r="GH168" s="153">
        <f>SUM(GB168:GG168)</f>
        <v>0</v>
      </c>
      <c r="GJ168" s="5">
        <f t="shared" ref="GJ168:GO169" si="784">ROUND(BB168,0)</f>
        <v>0</v>
      </c>
      <c r="GK168" s="5">
        <f t="shared" si="784"/>
        <v>0</v>
      </c>
      <c r="GL168" s="5">
        <f t="shared" si="784"/>
        <v>0</v>
      </c>
      <c r="GM168" s="5">
        <f t="shared" si="784"/>
        <v>0</v>
      </c>
      <c r="GN168" s="5">
        <f t="shared" si="784"/>
        <v>0</v>
      </c>
      <c r="GO168" s="5">
        <f t="shared" si="784"/>
        <v>0</v>
      </c>
      <c r="GP168" s="195">
        <f>SUM(GJ168:GO168)</f>
        <v>0</v>
      </c>
      <c r="GR168" s="21"/>
      <c r="GS168" s="21"/>
      <c r="GT168" s="21"/>
      <c r="GU168" s="21"/>
      <c r="GV168" s="21"/>
      <c r="GW168" s="21"/>
      <c r="GX168" s="1105">
        <f>SUM(GR168:GW168)</f>
        <v>0</v>
      </c>
      <c r="GZ168" s="574">
        <f t="shared" ref="GZ168:HE170" si="785">SUM(EV168,FD168,FL168,FT168,GB168,GJ168)</f>
        <v>0</v>
      </c>
      <c r="HA168" s="574">
        <f t="shared" si="785"/>
        <v>0</v>
      </c>
      <c r="HB168" s="574">
        <f t="shared" si="785"/>
        <v>0</v>
      </c>
      <c r="HC168" s="574">
        <f t="shared" si="785"/>
        <v>0</v>
      </c>
      <c r="HD168" s="574">
        <f t="shared" si="785"/>
        <v>0</v>
      </c>
      <c r="HE168" s="574">
        <f t="shared" si="785"/>
        <v>0</v>
      </c>
      <c r="HF168" s="990">
        <f>SUM(GZ168:HE168)</f>
        <v>0</v>
      </c>
      <c r="HG168" s="276">
        <f ca="1">SUM(ER168+HF168)</f>
        <v>2490</v>
      </c>
      <c r="HH168" s="257"/>
    </row>
    <row r="169" spans="1:216" ht="15" hidden="1" customHeight="1" thickBot="1" x14ac:dyDescent="0.3">
      <c r="A169" s="32" t="s">
        <v>37</v>
      </c>
      <c r="B169" s="441"/>
      <c r="C169" s="320" t="s">
        <v>5</v>
      </c>
      <c r="D169" s="5">
        <f ca="1">'Calc - TRAVEL'!AQ9</f>
        <v>0</v>
      </c>
      <c r="E169" s="5">
        <f ca="1">'Calc - TRAVEL'!AQ10</f>
        <v>0</v>
      </c>
      <c r="F169" s="5">
        <f ca="1">'Calc - TRAVEL'!AQ11</f>
        <v>0</v>
      </c>
      <c r="G169" s="5">
        <f ca="1">'Calc - TRAVEL'!AQ12</f>
        <v>0</v>
      </c>
      <c r="H169" s="5">
        <f ca="1">'Calc - TRAVEL'!AQ13</f>
        <v>0</v>
      </c>
      <c r="I169" s="5">
        <f ca="1">'Calc - TRAVEL'!AQ14</f>
        <v>0</v>
      </c>
      <c r="J169" s="12">
        <f ca="1">SUM(D169:I169)</f>
        <v>0</v>
      </c>
      <c r="L169" s="13"/>
      <c r="N169" s="5"/>
      <c r="O169" s="5"/>
      <c r="P169" s="5"/>
      <c r="Q169" s="5"/>
      <c r="R169" s="5"/>
      <c r="S169" s="5"/>
      <c r="T169" s="167">
        <f>SUM(N169:S169)</f>
        <v>0</v>
      </c>
      <c r="U169" s="1"/>
      <c r="V169" s="5"/>
      <c r="W169" s="5"/>
      <c r="X169" s="5"/>
      <c r="Y169" s="5"/>
      <c r="Z169" s="5"/>
      <c r="AA169" s="5"/>
      <c r="AB169" s="48">
        <f>SUM(V169:AA169)</f>
        <v>0</v>
      </c>
      <c r="AD169" s="5"/>
      <c r="AE169" s="5"/>
      <c r="AF169" s="5"/>
      <c r="AG169" s="5"/>
      <c r="AH169" s="5"/>
      <c r="AI169" s="5"/>
      <c r="AJ169" s="209">
        <f>SUM(AD169:AI169)</f>
        <v>0</v>
      </c>
      <c r="AL169" s="5"/>
      <c r="AM169" s="5"/>
      <c r="AN169" s="5"/>
      <c r="AO169" s="5"/>
      <c r="AP169" s="5"/>
      <c r="AQ169" s="5"/>
      <c r="AR169" s="181">
        <f>SUM(AL169:AQ169)</f>
        <v>0</v>
      </c>
      <c r="AT169" s="5"/>
      <c r="AU169" s="5"/>
      <c r="AV169" s="5"/>
      <c r="AW169" s="5"/>
      <c r="AX169" s="5"/>
      <c r="AY169" s="5"/>
      <c r="AZ169" s="153">
        <f>SUM(AT169:AY169)</f>
        <v>0</v>
      </c>
      <c r="BB169" s="5"/>
      <c r="BC169" s="5"/>
      <c r="BD169" s="5"/>
      <c r="BE169" s="5"/>
      <c r="BF169" s="5"/>
      <c r="BG169" s="5"/>
      <c r="BH169" s="195">
        <f>SUM(BB169:BG169)</f>
        <v>0</v>
      </c>
      <c r="BJ169" s="21"/>
      <c r="BK169" s="21"/>
      <c r="BL169" s="21"/>
      <c r="BM169" s="21"/>
      <c r="BN169" s="21"/>
      <c r="BO169" s="21"/>
      <c r="BP169" s="1105">
        <f>SUM(BJ169:BO169)</f>
        <v>0</v>
      </c>
      <c r="BR169" s="575">
        <f t="shared" si="777"/>
        <v>0</v>
      </c>
      <c r="BS169" s="575">
        <f t="shared" si="777"/>
        <v>0</v>
      </c>
      <c r="BT169" s="575">
        <f t="shared" si="777"/>
        <v>0</v>
      </c>
      <c r="BU169" s="575">
        <f t="shared" si="777"/>
        <v>0</v>
      </c>
      <c r="BV169" s="575">
        <f t="shared" si="777"/>
        <v>0</v>
      </c>
      <c r="BW169" s="575">
        <f t="shared" si="777"/>
        <v>0</v>
      </c>
      <c r="BX169" s="991">
        <f>SUM(BR169:BW169)</f>
        <v>0</v>
      </c>
      <c r="BY169" s="573">
        <f ca="1">SUM(J169+BX169)</f>
        <v>0</v>
      </c>
      <c r="BZ169" s="257"/>
      <c r="CB169" s="1323">
        <f ca="1">D169</f>
        <v>0</v>
      </c>
      <c r="CC169" s="1324">
        <f ca="1">E169</f>
        <v>0</v>
      </c>
      <c r="CD169" s="1325"/>
      <c r="CE169" s="1325"/>
      <c r="CF169" s="1325"/>
      <c r="CG169" s="1326"/>
      <c r="CH169" s="1289">
        <f ca="1">$F169</f>
        <v>0</v>
      </c>
      <c r="CI169" s="1205"/>
      <c r="CJ169" s="1205"/>
      <c r="CK169" s="1205"/>
      <c r="CL169" s="1206"/>
      <c r="CM169" s="1187">
        <f ca="1">$G169</f>
        <v>0</v>
      </c>
      <c r="CN169" s="1252"/>
      <c r="CO169" s="1209"/>
      <c r="CP169" s="1316">
        <f ca="1">SUM(CB169:CO169)</f>
        <v>0</v>
      </c>
      <c r="CS169" s="575"/>
      <c r="CT169" s="5"/>
      <c r="CU169" s="1180"/>
      <c r="CV169" s="575"/>
      <c r="CW169" s="5"/>
      <c r="CX169" s="1180"/>
      <c r="CY169" s="575"/>
      <c r="CZ169" s="5"/>
      <c r="DA169" s="1180"/>
      <c r="DB169" s="575"/>
      <c r="DC169" s="5"/>
      <c r="DD169" s="1180"/>
      <c r="DE169" s="1181">
        <f>SUM(CS169:DD169)</f>
        <v>0</v>
      </c>
      <c r="DG169" s="575"/>
      <c r="DH169" s="5"/>
      <c r="DI169" s="1180"/>
      <c r="DJ169" s="575"/>
      <c r="DK169" s="5"/>
      <c r="DL169" s="1180"/>
      <c r="DM169" s="575"/>
      <c r="DN169" s="5"/>
      <c r="DO169" s="1180"/>
      <c r="DP169" s="575"/>
      <c r="DQ169" s="5"/>
      <c r="DR169" s="1180"/>
      <c r="DS169" s="1181">
        <f>SUM(DG169:DR169)</f>
        <v>0</v>
      </c>
      <c r="DU169" s="575"/>
      <c r="DV169" s="5"/>
      <c r="DW169" s="1180"/>
      <c r="DX169" s="575"/>
      <c r="DY169" s="5"/>
      <c r="DZ169" s="1180"/>
      <c r="EA169" s="575"/>
      <c r="EB169" s="5"/>
      <c r="EC169" s="1180"/>
      <c r="ED169" s="575"/>
      <c r="EE169" s="5"/>
      <c r="EF169" s="1180"/>
      <c r="EG169" s="1181">
        <f>SUM(DU169:EF169)</f>
        <v>0</v>
      </c>
      <c r="EI169" s="32" t="s">
        <v>37</v>
      </c>
      <c r="EJ169" s="441"/>
      <c r="EK169" s="320" t="s">
        <v>5</v>
      </c>
      <c r="EL169" s="5">
        <f t="shared" ca="1" si="778"/>
        <v>0</v>
      </c>
      <c r="EM169" s="5">
        <f t="shared" ca="1" si="778"/>
        <v>0</v>
      </c>
      <c r="EN169" s="5">
        <f t="shared" ca="1" si="778"/>
        <v>0</v>
      </c>
      <c r="EO169" s="5">
        <f t="shared" ca="1" si="778"/>
        <v>0</v>
      </c>
      <c r="EP169" s="5">
        <f t="shared" ca="1" si="778"/>
        <v>0</v>
      </c>
      <c r="EQ169" s="5">
        <f t="shared" ca="1" si="778"/>
        <v>0</v>
      </c>
      <c r="ER169" s="12">
        <f ca="1">SUM(EL169:EQ169)</f>
        <v>0</v>
      </c>
      <c r="ET169" s="13"/>
      <c r="EV169" s="5">
        <f t="shared" si="779"/>
        <v>0</v>
      </c>
      <c r="EW169" s="5">
        <f t="shared" si="779"/>
        <v>0</v>
      </c>
      <c r="EX169" s="5">
        <f t="shared" si="779"/>
        <v>0</v>
      </c>
      <c r="EY169" s="5">
        <f t="shared" si="779"/>
        <v>0</v>
      </c>
      <c r="EZ169" s="5">
        <f t="shared" si="779"/>
        <v>0</v>
      </c>
      <c r="FA169" s="5">
        <f t="shared" si="779"/>
        <v>0</v>
      </c>
      <c r="FB169" s="167">
        <f>SUM(EV169:FA169)</f>
        <v>0</v>
      </c>
      <c r="FC169" s="1"/>
      <c r="FD169" s="5">
        <f t="shared" si="780"/>
        <v>0</v>
      </c>
      <c r="FE169" s="5">
        <f t="shared" si="780"/>
        <v>0</v>
      </c>
      <c r="FF169" s="5">
        <f t="shared" si="780"/>
        <v>0</v>
      </c>
      <c r="FG169" s="5">
        <f t="shared" si="780"/>
        <v>0</v>
      </c>
      <c r="FH169" s="5">
        <f t="shared" si="780"/>
        <v>0</v>
      </c>
      <c r="FI169" s="5">
        <f t="shared" si="780"/>
        <v>0</v>
      </c>
      <c r="FJ169" s="48">
        <f>SUM(FD169:FI169)</f>
        <v>0</v>
      </c>
      <c r="FL169" s="5">
        <f t="shared" si="781"/>
        <v>0</v>
      </c>
      <c r="FM169" s="5">
        <f t="shared" si="781"/>
        <v>0</v>
      </c>
      <c r="FN169" s="5">
        <f t="shared" si="781"/>
        <v>0</v>
      </c>
      <c r="FO169" s="5">
        <f t="shared" si="781"/>
        <v>0</v>
      </c>
      <c r="FP169" s="5">
        <f t="shared" si="781"/>
        <v>0</v>
      </c>
      <c r="FQ169" s="5">
        <f t="shared" si="781"/>
        <v>0</v>
      </c>
      <c r="FR169" s="209">
        <f>SUM(FL169:FQ169)</f>
        <v>0</v>
      </c>
      <c r="FT169" s="5">
        <f t="shared" si="782"/>
        <v>0</v>
      </c>
      <c r="FU169" s="5">
        <f t="shared" si="782"/>
        <v>0</v>
      </c>
      <c r="FV169" s="5">
        <f t="shared" si="782"/>
        <v>0</v>
      </c>
      <c r="FW169" s="5">
        <f t="shared" si="782"/>
        <v>0</v>
      </c>
      <c r="FX169" s="5">
        <f t="shared" si="782"/>
        <v>0</v>
      </c>
      <c r="FY169" s="5">
        <f t="shared" si="782"/>
        <v>0</v>
      </c>
      <c r="FZ169" s="181">
        <f>SUM(FT169:FY169)</f>
        <v>0</v>
      </c>
      <c r="GB169" s="5">
        <f t="shared" si="783"/>
        <v>0</v>
      </c>
      <c r="GC169" s="5">
        <f t="shared" si="783"/>
        <v>0</v>
      </c>
      <c r="GD169" s="5">
        <f t="shared" si="783"/>
        <v>0</v>
      </c>
      <c r="GE169" s="5">
        <f t="shared" si="783"/>
        <v>0</v>
      </c>
      <c r="GF169" s="5">
        <f t="shared" si="783"/>
        <v>0</v>
      </c>
      <c r="GG169" s="5">
        <f t="shared" si="783"/>
        <v>0</v>
      </c>
      <c r="GH169" s="153">
        <f>SUM(GB169:GG169)</f>
        <v>0</v>
      </c>
      <c r="GJ169" s="5">
        <f t="shared" si="784"/>
        <v>0</v>
      </c>
      <c r="GK169" s="5">
        <f t="shared" si="784"/>
        <v>0</v>
      </c>
      <c r="GL169" s="5">
        <f t="shared" si="784"/>
        <v>0</v>
      </c>
      <c r="GM169" s="5">
        <f t="shared" si="784"/>
        <v>0</v>
      </c>
      <c r="GN169" s="5">
        <f t="shared" si="784"/>
        <v>0</v>
      </c>
      <c r="GO169" s="5">
        <f t="shared" si="784"/>
        <v>0</v>
      </c>
      <c r="GP169" s="195">
        <f>SUM(GJ169:GO169)</f>
        <v>0</v>
      </c>
      <c r="GR169" s="21"/>
      <c r="GS169" s="21"/>
      <c r="GT169" s="21"/>
      <c r="GU169" s="21"/>
      <c r="GV169" s="21"/>
      <c r="GW169" s="21"/>
      <c r="GX169" s="1105">
        <f>SUM(GR169:GW169)</f>
        <v>0</v>
      </c>
      <c r="GZ169" s="575">
        <f t="shared" si="785"/>
        <v>0</v>
      </c>
      <c r="HA169" s="575">
        <f t="shared" si="785"/>
        <v>0</v>
      </c>
      <c r="HB169" s="575">
        <f t="shared" si="785"/>
        <v>0</v>
      </c>
      <c r="HC169" s="575">
        <f t="shared" si="785"/>
        <v>0</v>
      </c>
      <c r="HD169" s="575">
        <f t="shared" si="785"/>
        <v>0</v>
      </c>
      <c r="HE169" s="575">
        <f t="shared" si="785"/>
        <v>0</v>
      </c>
      <c r="HF169" s="991">
        <f>SUM(GZ169:HE169)</f>
        <v>0</v>
      </c>
      <c r="HG169" s="573">
        <f ca="1">SUM(ER169+HF169)</f>
        <v>0</v>
      </c>
      <c r="HH169" s="257"/>
    </row>
    <row r="170" spans="1:216" ht="15" customHeight="1" thickBot="1" x14ac:dyDescent="0.3">
      <c r="A170" s="446"/>
      <c r="B170" s="442"/>
      <c r="C170" s="468" t="s">
        <v>40</v>
      </c>
      <c r="D170" s="440">
        <f t="shared" ref="D170:J170" ca="1" si="786">SUM(D168:D169)</f>
        <v>2489.87</v>
      </c>
      <c r="E170" s="7">
        <f t="shared" ca="1" si="786"/>
        <v>0</v>
      </c>
      <c r="F170" s="7">
        <f t="shared" ca="1" si="786"/>
        <v>0</v>
      </c>
      <c r="G170" s="7">
        <f t="shared" ca="1" si="786"/>
        <v>0</v>
      </c>
      <c r="H170" s="7">
        <f t="shared" ca="1" si="786"/>
        <v>0</v>
      </c>
      <c r="I170" s="7">
        <f t="shared" ca="1" si="786"/>
        <v>0</v>
      </c>
      <c r="J170" s="18">
        <f t="shared" ca="1" si="786"/>
        <v>2489.87</v>
      </c>
      <c r="K170" s="13">
        <f ca="1">SUM(D170:I170)</f>
        <v>2489.87</v>
      </c>
      <c r="L170" s="35"/>
      <c r="M170" s="13"/>
      <c r="N170" s="171">
        <f t="shared" ref="N170:T170" si="787">SUM(N168:N169)</f>
        <v>0</v>
      </c>
      <c r="O170" s="171">
        <f t="shared" si="787"/>
        <v>0</v>
      </c>
      <c r="P170" s="171">
        <f t="shared" si="787"/>
        <v>0</v>
      </c>
      <c r="Q170" s="171">
        <f t="shared" si="787"/>
        <v>0</v>
      </c>
      <c r="R170" s="171">
        <f t="shared" si="787"/>
        <v>0</v>
      </c>
      <c r="S170" s="171">
        <f t="shared" si="787"/>
        <v>0</v>
      </c>
      <c r="T170" s="170">
        <f t="shared" si="787"/>
        <v>0</v>
      </c>
      <c r="U170" s="1"/>
      <c r="V170" s="144">
        <f t="shared" ref="V170:AB170" si="788">SUM(V168:V169)</f>
        <v>0</v>
      </c>
      <c r="W170" s="144">
        <f t="shared" si="788"/>
        <v>0</v>
      </c>
      <c r="X170" s="144">
        <f t="shared" si="788"/>
        <v>0</v>
      </c>
      <c r="Y170" s="144">
        <f t="shared" si="788"/>
        <v>0</v>
      </c>
      <c r="Z170" s="144">
        <f t="shared" si="788"/>
        <v>0</v>
      </c>
      <c r="AA170" s="144">
        <f t="shared" si="788"/>
        <v>0</v>
      </c>
      <c r="AB170" s="143">
        <f t="shared" si="788"/>
        <v>0</v>
      </c>
      <c r="AD170" s="213">
        <f t="shared" ref="AD170:AJ170" si="789">SUM(AD168:AD169)</f>
        <v>0</v>
      </c>
      <c r="AE170" s="213">
        <f t="shared" si="789"/>
        <v>0</v>
      </c>
      <c r="AF170" s="213">
        <f t="shared" si="789"/>
        <v>0</v>
      </c>
      <c r="AG170" s="213">
        <f t="shared" si="789"/>
        <v>0</v>
      </c>
      <c r="AH170" s="213">
        <f t="shared" si="789"/>
        <v>0</v>
      </c>
      <c r="AI170" s="213">
        <f t="shared" si="789"/>
        <v>0</v>
      </c>
      <c r="AJ170" s="212">
        <f t="shared" si="789"/>
        <v>0</v>
      </c>
      <c r="AL170" s="185">
        <f t="shared" ref="AL170:AR170" si="790">SUM(AL168:AL169)</f>
        <v>0</v>
      </c>
      <c r="AM170" s="185">
        <f t="shared" si="790"/>
        <v>0</v>
      </c>
      <c r="AN170" s="185">
        <f t="shared" si="790"/>
        <v>0</v>
      </c>
      <c r="AO170" s="185">
        <f t="shared" si="790"/>
        <v>0</v>
      </c>
      <c r="AP170" s="185">
        <f t="shared" si="790"/>
        <v>0</v>
      </c>
      <c r="AQ170" s="185">
        <f t="shared" si="790"/>
        <v>0</v>
      </c>
      <c r="AR170" s="184">
        <f t="shared" si="790"/>
        <v>0</v>
      </c>
      <c r="AT170" s="157">
        <f t="shared" ref="AT170:AZ170" si="791">SUM(AT168:AT169)</f>
        <v>0</v>
      </c>
      <c r="AU170" s="157">
        <f t="shared" si="791"/>
        <v>0</v>
      </c>
      <c r="AV170" s="157">
        <f t="shared" si="791"/>
        <v>0</v>
      </c>
      <c r="AW170" s="157">
        <f t="shared" si="791"/>
        <v>0</v>
      </c>
      <c r="AX170" s="157">
        <f t="shared" si="791"/>
        <v>0</v>
      </c>
      <c r="AY170" s="157">
        <f t="shared" si="791"/>
        <v>0</v>
      </c>
      <c r="AZ170" s="156">
        <f t="shared" si="791"/>
        <v>0</v>
      </c>
      <c r="BB170" s="199">
        <f t="shared" ref="BB170:BH170" si="792">SUM(BB168:BB169)</f>
        <v>0</v>
      </c>
      <c r="BC170" s="199">
        <f t="shared" si="792"/>
        <v>0</v>
      </c>
      <c r="BD170" s="199">
        <f t="shared" si="792"/>
        <v>0</v>
      </c>
      <c r="BE170" s="199">
        <f t="shared" si="792"/>
        <v>0</v>
      </c>
      <c r="BF170" s="199">
        <f t="shared" si="792"/>
        <v>0</v>
      </c>
      <c r="BG170" s="199">
        <f t="shared" si="792"/>
        <v>0</v>
      </c>
      <c r="BH170" s="198">
        <f t="shared" si="792"/>
        <v>0</v>
      </c>
      <c r="BJ170" s="1109">
        <f t="shared" ref="BJ170:BP170" si="793">SUM(BJ168:BJ169)</f>
        <v>0</v>
      </c>
      <c r="BK170" s="1109">
        <f t="shared" si="793"/>
        <v>0</v>
      </c>
      <c r="BL170" s="1109">
        <f t="shared" si="793"/>
        <v>0</v>
      </c>
      <c r="BM170" s="1109">
        <f t="shared" si="793"/>
        <v>0</v>
      </c>
      <c r="BN170" s="1109">
        <f t="shared" si="793"/>
        <v>0</v>
      </c>
      <c r="BO170" s="1109">
        <f t="shared" si="793"/>
        <v>0</v>
      </c>
      <c r="BP170" s="1114">
        <f t="shared" si="793"/>
        <v>0</v>
      </c>
      <c r="BR170" s="996">
        <f t="shared" si="777"/>
        <v>0</v>
      </c>
      <c r="BS170" s="996">
        <f t="shared" si="777"/>
        <v>0</v>
      </c>
      <c r="BT170" s="996">
        <f t="shared" si="777"/>
        <v>0</v>
      </c>
      <c r="BU170" s="996">
        <f t="shared" si="777"/>
        <v>0</v>
      </c>
      <c r="BV170" s="996">
        <f t="shared" si="777"/>
        <v>0</v>
      </c>
      <c r="BW170" s="996">
        <f t="shared" si="777"/>
        <v>0</v>
      </c>
      <c r="BX170" s="996">
        <f>SUM(BX168:BX169)</f>
        <v>0</v>
      </c>
      <c r="BY170" s="578">
        <f ca="1">SUM(BY168:BY169)</f>
        <v>2489.87</v>
      </c>
      <c r="BZ170" s="130"/>
      <c r="CB170" s="1299">
        <f t="shared" ref="CB170:CO170" ca="1" si="794">SUM(CB168:CB169)</f>
        <v>2489.87</v>
      </c>
      <c r="CC170" s="1298">
        <f t="shared" ca="1" si="794"/>
        <v>0</v>
      </c>
      <c r="CD170" s="355">
        <f t="shared" si="794"/>
        <v>0</v>
      </c>
      <c r="CE170" s="355">
        <f t="shared" si="794"/>
        <v>0</v>
      </c>
      <c r="CF170" s="355">
        <f t="shared" si="794"/>
        <v>0</v>
      </c>
      <c r="CG170" s="631">
        <f t="shared" si="794"/>
        <v>0</v>
      </c>
      <c r="CH170" s="1298">
        <f t="shared" ca="1" si="794"/>
        <v>0</v>
      </c>
      <c r="CI170" s="355">
        <f t="shared" si="794"/>
        <v>0</v>
      </c>
      <c r="CJ170" s="355">
        <f t="shared" si="794"/>
        <v>0</v>
      </c>
      <c r="CK170" s="355">
        <f t="shared" si="794"/>
        <v>0</v>
      </c>
      <c r="CL170" s="632">
        <f t="shared" si="794"/>
        <v>0</v>
      </c>
      <c r="CM170" s="1298">
        <f t="shared" ca="1" si="794"/>
        <v>0</v>
      </c>
      <c r="CN170" s="355">
        <f t="shared" si="794"/>
        <v>0</v>
      </c>
      <c r="CO170" s="631">
        <f t="shared" si="794"/>
        <v>0</v>
      </c>
      <c r="CP170" s="1327">
        <f ca="1">SUM(CB170:CO170)</f>
        <v>2489.87</v>
      </c>
      <c r="CS170" s="1215">
        <f t="shared" ref="CS170:DE170" si="795">SUM(CS168:CS169)</f>
        <v>0</v>
      </c>
      <c r="CT170" s="1216">
        <f t="shared" si="795"/>
        <v>0</v>
      </c>
      <c r="CU170" s="275">
        <f t="shared" si="795"/>
        <v>0</v>
      </c>
      <c r="CV170" s="1215">
        <f t="shared" si="795"/>
        <v>0</v>
      </c>
      <c r="CW170" s="1216">
        <f t="shared" si="795"/>
        <v>0</v>
      </c>
      <c r="CX170" s="275">
        <f t="shared" si="795"/>
        <v>0</v>
      </c>
      <c r="CY170" s="1215">
        <f t="shared" si="795"/>
        <v>0</v>
      </c>
      <c r="CZ170" s="1216">
        <f t="shared" si="795"/>
        <v>0</v>
      </c>
      <c r="DA170" s="275">
        <f t="shared" si="795"/>
        <v>0</v>
      </c>
      <c r="DB170" s="1215">
        <f t="shared" si="795"/>
        <v>0</v>
      </c>
      <c r="DC170" s="1216">
        <f t="shared" si="795"/>
        <v>0</v>
      </c>
      <c r="DD170" s="275">
        <f t="shared" si="795"/>
        <v>0</v>
      </c>
      <c r="DE170" s="1062">
        <f t="shared" si="795"/>
        <v>0</v>
      </c>
      <c r="DG170" s="1215">
        <f t="shared" ref="DG170:DS170" si="796">SUM(DG168:DG169)</f>
        <v>0</v>
      </c>
      <c r="DH170" s="1216">
        <f t="shared" si="796"/>
        <v>0</v>
      </c>
      <c r="DI170" s="275">
        <f t="shared" si="796"/>
        <v>0</v>
      </c>
      <c r="DJ170" s="1215">
        <f t="shared" si="796"/>
        <v>0</v>
      </c>
      <c r="DK170" s="1216">
        <f t="shared" si="796"/>
        <v>0</v>
      </c>
      <c r="DL170" s="275">
        <f t="shared" si="796"/>
        <v>0</v>
      </c>
      <c r="DM170" s="1215">
        <f t="shared" si="796"/>
        <v>0</v>
      </c>
      <c r="DN170" s="1216">
        <f t="shared" si="796"/>
        <v>0</v>
      </c>
      <c r="DO170" s="275">
        <f t="shared" si="796"/>
        <v>0</v>
      </c>
      <c r="DP170" s="1215">
        <f t="shared" si="796"/>
        <v>0</v>
      </c>
      <c r="DQ170" s="1216">
        <f t="shared" si="796"/>
        <v>0</v>
      </c>
      <c r="DR170" s="275">
        <f t="shared" si="796"/>
        <v>0</v>
      </c>
      <c r="DS170" s="1062">
        <f t="shared" si="796"/>
        <v>0</v>
      </c>
      <c r="DU170" s="1215">
        <f t="shared" ref="DU170:EG170" si="797">SUM(DU168:DU169)</f>
        <v>0</v>
      </c>
      <c r="DV170" s="1216">
        <f t="shared" si="797"/>
        <v>0</v>
      </c>
      <c r="DW170" s="275">
        <f t="shared" si="797"/>
        <v>0</v>
      </c>
      <c r="DX170" s="1215">
        <f t="shared" si="797"/>
        <v>0</v>
      </c>
      <c r="DY170" s="1216">
        <f t="shared" si="797"/>
        <v>0</v>
      </c>
      <c r="DZ170" s="275">
        <f t="shared" si="797"/>
        <v>0</v>
      </c>
      <c r="EA170" s="1215">
        <f t="shared" si="797"/>
        <v>0</v>
      </c>
      <c r="EB170" s="1216">
        <f t="shared" si="797"/>
        <v>0</v>
      </c>
      <c r="EC170" s="275">
        <f t="shared" si="797"/>
        <v>0</v>
      </c>
      <c r="ED170" s="1215">
        <f t="shared" si="797"/>
        <v>0</v>
      </c>
      <c r="EE170" s="1216">
        <f t="shared" si="797"/>
        <v>0</v>
      </c>
      <c r="EF170" s="275">
        <f t="shared" si="797"/>
        <v>0</v>
      </c>
      <c r="EG170" s="1062">
        <f t="shared" si="797"/>
        <v>0</v>
      </c>
      <c r="EI170" s="446"/>
      <c r="EJ170" s="442"/>
      <c r="EK170" s="468" t="s">
        <v>40</v>
      </c>
      <c r="EL170" s="440">
        <f t="shared" ref="EL170:ER170" ca="1" si="798">SUM(EL168:EL169)</f>
        <v>2490</v>
      </c>
      <c r="EM170" s="7">
        <f t="shared" ca="1" si="798"/>
        <v>0</v>
      </c>
      <c r="EN170" s="7">
        <f t="shared" ca="1" si="798"/>
        <v>0</v>
      </c>
      <c r="EO170" s="7">
        <f t="shared" ca="1" si="798"/>
        <v>0</v>
      </c>
      <c r="EP170" s="7">
        <f t="shared" ca="1" si="798"/>
        <v>0</v>
      </c>
      <c r="EQ170" s="7">
        <f t="shared" ca="1" si="798"/>
        <v>0</v>
      </c>
      <c r="ER170" s="18">
        <f t="shared" ca="1" si="798"/>
        <v>2490</v>
      </c>
      <c r="ES170" s="13">
        <f ca="1">SUM(EL170:EQ170)</f>
        <v>2490</v>
      </c>
      <c r="ET170" s="35"/>
      <c r="EU170" s="13"/>
      <c r="EV170" s="171">
        <f t="shared" ref="EV170:FB170" si="799">SUM(EV168:EV169)</f>
        <v>0</v>
      </c>
      <c r="EW170" s="171">
        <f t="shared" si="799"/>
        <v>0</v>
      </c>
      <c r="EX170" s="171">
        <f t="shared" si="799"/>
        <v>0</v>
      </c>
      <c r="EY170" s="171">
        <f t="shared" si="799"/>
        <v>0</v>
      </c>
      <c r="EZ170" s="171">
        <f t="shared" si="799"/>
        <v>0</v>
      </c>
      <c r="FA170" s="171">
        <f t="shared" si="799"/>
        <v>0</v>
      </c>
      <c r="FB170" s="170">
        <f t="shared" si="799"/>
        <v>0</v>
      </c>
      <c r="FC170" s="1"/>
      <c r="FD170" s="144">
        <f t="shared" ref="FD170:FJ170" si="800">SUM(FD168:FD169)</f>
        <v>0</v>
      </c>
      <c r="FE170" s="144">
        <f t="shared" si="800"/>
        <v>0</v>
      </c>
      <c r="FF170" s="144">
        <f t="shared" si="800"/>
        <v>0</v>
      </c>
      <c r="FG170" s="144">
        <f t="shared" si="800"/>
        <v>0</v>
      </c>
      <c r="FH170" s="144">
        <f t="shared" si="800"/>
        <v>0</v>
      </c>
      <c r="FI170" s="144">
        <f t="shared" si="800"/>
        <v>0</v>
      </c>
      <c r="FJ170" s="143">
        <f t="shared" si="800"/>
        <v>0</v>
      </c>
      <c r="FL170" s="213">
        <f t="shared" ref="FL170:FR170" si="801">SUM(FL168:FL169)</f>
        <v>0</v>
      </c>
      <c r="FM170" s="213">
        <f t="shared" si="801"/>
        <v>0</v>
      </c>
      <c r="FN170" s="213">
        <f t="shared" si="801"/>
        <v>0</v>
      </c>
      <c r="FO170" s="213">
        <f t="shared" si="801"/>
        <v>0</v>
      </c>
      <c r="FP170" s="213">
        <f t="shared" si="801"/>
        <v>0</v>
      </c>
      <c r="FQ170" s="213">
        <f t="shared" si="801"/>
        <v>0</v>
      </c>
      <c r="FR170" s="212">
        <f t="shared" si="801"/>
        <v>0</v>
      </c>
      <c r="FT170" s="185">
        <f t="shared" ref="FT170:FZ170" si="802">SUM(FT168:FT169)</f>
        <v>0</v>
      </c>
      <c r="FU170" s="185">
        <f t="shared" si="802"/>
        <v>0</v>
      </c>
      <c r="FV170" s="185">
        <f t="shared" si="802"/>
        <v>0</v>
      </c>
      <c r="FW170" s="185">
        <f t="shared" si="802"/>
        <v>0</v>
      </c>
      <c r="FX170" s="185">
        <f t="shared" si="802"/>
        <v>0</v>
      </c>
      <c r="FY170" s="185">
        <f t="shared" si="802"/>
        <v>0</v>
      </c>
      <c r="FZ170" s="184">
        <f t="shared" si="802"/>
        <v>0</v>
      </c>
      <c r="GB170" s="157">
        <f t="shared" ref="GB170:GH170" si="803">SUM(GB168:GB169)</f>
        <v>0</v>
      </c>
      <c r="GC170" s="157">
        <f t="shared" si="803"/>
        <v>0</v>
      </c>
      <c r="GD170" s="157">
        <f t="shared" si="803"/>
        <v>0</v>
      </c>
      <c r="GE170" s="157">
        <f t="shared" si="803"/>
        <v>0</v>
      </c>
      <c r="GF170" s="157">
        <f t="shared" si="803"/>
        <v>0</v>
      </c>
      <c r="GG170" s="157">
        <f t="shared" si="803"/>
        <v>0</v>
      </c>
      <c r="GH170" s="156">
        <f t="shared" si="803"/>
        <v>0</v>
      </c>
      <c r="GJ170" s="199">
        <f t="shared" ref="GJ170:GP170" si="804">SUM(GJ168:GJ169)</f>
        <v>0</v>
      </c>
      <c r="GK170" s="199">
        <f t="shared" si="804"/>
        <v>0</v>
      </c>
      <c r="GL170" s="199">
        <f t="shared" si="804"/>
        <v>0</v>
      </c>
      <c r="GM170" s="199">
        <f t="shared" si="804"/>
        <v>0</v>
      </c>
      <c r="GN170" s="199">
        <f t="shared" si="804"/>
        <v>0</v>
      </c>
      <c r="GO170" s="199">
        <f t="shared" si="804"/>
        <v>0</v>
      </c>
      <c r="GP170" s="198">
        <f t="shared" si="804"/>
        <v>0</v>
      </c>
      <c r="GR170" s="1109">
        <f t="shared" ref="GR170:GX170" si="805">SUM(GR168:GR169)</f>
        <v>0</v>
      </c>
      <c r="GS170" s="1109">
        <f t="shared" si="805"/>
        <v>0</v>
      </c>
      <c r="GT170" s="1109">
        <f t="shared" si="805"/>
        <v>0</v>
      </c>
      <c r="GU170" s="1109">
        <f t="shared" si="805"/>
        <v>0</v>
      </c>
      <c r="GV170" s="1109">
        <f t="shared" si="805"/>
        <v>0</v>
      </c>
      <c r="GW170" s="1109">
        <f t="shared" si="805"/>
        <v>0</v>
      </c>
      <c r="GX170" s="1114">
        <f t="shared" si="805"/>
        <v>0</v>
      </c>
      <c r="GZ170" s="996">
        <f t="shared" si="785"/>
        <v>0</v>
      </c>
      <c r="HA170" s="996">
        <f t="shared" si="785"/>
        <v>0</v>
      </c>
      <c r="HB170" s="996">
        <f t="shared" si="785"/>
        <v>0</v>
      </c>
      <c r="HC170" s="996">
        <f t="shared" si="785"/>
        <v>0</v>
      </c>
      <c r="HD170" s="996">
        <f t="shared" si="785"/>
        <v>0</v>
      </c>
      <c r="HE170" s="996">
        <f t="shared" si="785"/>
        <v>0</v>
      </c>
      <c r="HF170" s="996">
        <f>SUM(HF168:HF169)</f>
        <v>0</v>
      </c>
      <c r="HG170" s="578">
        <f ca="1">SUM(HG168:HG169)</f>
        <v>2490</v>
      </c>
      <c r="HH170" s="130"/>
    </row>
    <row r="171" spans="1:216" ht="15" customHeight="1" thickBot="1" x14ac:dyDescent="0.3">
      <c r="A171" s="3237"/>
      <c r="B171" s="3238"/>
      <c r="C171" s="3238"/>
      <c r="D171" s="3239"/>
      <c r="E171" s="3239"/>
      <c r="F171" s="3239"/>
      <c r="G171" s="3239"/>
      <c r="H171" s="3239"/>
      <c r="I171" s="3239"/>
      <c r="J171" s="3239"/>
      <c r="K171" s="35"/>
      <c r="L171" s="35"/>
      <c r="M171" s="35"/>
      <c r="T171" s="1"/>
      <c r="U171" s="1"/>
      <c r="AB171" s="1"/>
      <c r="AJ171" s="1"/>
      <c r="AR171" s="1"/>
      <c r="AZ171" s="1"/>
      <c r="BH171" s="1"/>
      <c r="BX171" s="1"/>
      <c r="BY171" s="1"/>
      <c r="BZ171" s="1"/>
      <c r="CB171" s="1217"/>
      <c r="CC171" s="1217"/>
      <c r="CD171" s="1217"/>
      <c r="CE171" s="1217"/>
      <c r="CF171" s="1217"/>
      <c r="CG171" s="1217"/>
      <c r="CH171" s="1217"/>
      <c r="CI171" s="1217"/>
      <c r="CJ171" s="1217"/>
      <c r="CK171" s="1217"/>
      <c r="CL171" s="1217"/>
      <c r="CM171" s="1217"/>
      <c r="CN171" s="1217"/>
      <c r="CO171" s="1217"/>
      <c r="CP171" s="1217"/>
      <c r="EI171" s="3237"/>
      <c r="EJ171" s="3238"/>
      <c r="EK171" s="3238"/>
      <c r="EL171" s="3239"/>
      <c r="EM171" s="3239"/>
      <c r="EN171" s="3239"/>
      <c r="EO171" s="3239"/>
      <c r="EP171" s="3239"/>
      <c r="EQ171" s="3239"/>
      <c r="ER171" s="3239"/>
      <c r="ES171" s="35"/>
      <c r="ET171" s="35"/>
      <c r="EU171" s="35"/>
      <c r="FB171" s="1"/>
      <c r="FC171" s="1"/>
      <c r="FJ171" s="1"/>
      <c r="FR171" s="1"/>
      <c r="FZ171" s="1"/>
      <c r="GH171" s="1"/>
      <c r="GP171" s="1"/>
      <c r="HF171" s="1"/>
      <c r="HG171" s="1"/>
      <c r="HH171" s="1"/>
    </row>
    <row r="172" spans="1:216" ht="15" customHeight="1" thickBot="1" x14ac:dyDescent="0.3">
      <c r="A172" s="429" t="s">
        <v>28</v>
      </c>
      <c r="B172" s="2699" t="s">
        <v>38</v>
      </c>
      <c r="C172" s="2700"/>
      <c r="D172" s="2700"/>
      <c r="E172" s="2700"/>
      <c r="F172" s="2700"/>
      <c r="G172" s="2700"/>
      <c r="H172" s="2700"/>
      <c r="I172" s="2700"/>
      <c r="J172" s="2701"/>
      <c r="K172" s="35"/>
      <c r="L172" s="35"/>
      <c r="M172" s="35"/>
      <c r="N172" s="870" t="s">
        <v>38</v>
      </c>
      <c r="O172" s="1098"/>
      <c r="P172" s="1098"/>
      <c r="Q172" s="1098"/>
      <c r="R172" s="1098"/>
      <c r="S172" s="1098"/>
      <c r="T172" s="1099"/>
      <c r="U172" s="24"/>
      <c r="V172" s="870" t="s">
        <v>38</v>
      </c>
      <c r="W172" s="1098"/>
      <c r="X172" s="1098"/>
      <c r="Y172" s="1098"/>
      <c r="Z172" s="1098"/>
      <c r="AA172" s="1098"/>
      <c r="AB172" s="1099"/>
      <c r="AC172" s="24"/>
      <c r="AD172" s="870" t="s">
        <v>38</v>
      </c>
      <c r="AE172" s="1098"/>
      <c r="AF172" s="1098"/>
      <c r="AG172" s="1098"/>
      <c r="AH172" s="1098"/>
      <c r="AI172" s="1098"/>
      <c r="AJ172" s="1099"/>
      <c r="AK172" s="24"/>
      <c r="AL172" s="870" t="s">
        <v>38</v>
      </c>
      <c r="AM172" s="1098"/>
      <c r="AN172" s="1098"/>
      <c r="AO172" s="1098"/>
      <c r="AP172" s="1098"/>
      <c r="AQ172" s="1098"/>
      <c r="AR172" s="1099"/>
      <c r="AS172" s="24"/>
      <c r="AT172" s="870" t="s">
        <v>38</v>
      </c>
      <c r="AU172" s="1098"/>
      <c r="AV172" s="1098"/>
      <c r="AW172" s="1098"/>
      <c r="AX172" s="1098"/>
      <c r="AY172" s="1098"/>
      <c r="AZ172" s="1099"/>
      <c r="BA172" s="24"/>
      <c r="BB172" s="870" t="s">
        <v>38</v>
      </c>
      <c r="BC172" s="1098"/>
      <c r="BD172" s="1098"/>
      <c r="BE172" s="1098"/>
      <c r="BF172" s="1098"/>
      <c r="BG172" s="1098"/>
      <c r="BH172" s="1099"/>
      <c r="BJ172" s="870" t="s">
        <v>38</v>
      </c>
      <c r="BK172" s="861"/>
      <c r="BL172" s="861"/>
      <c r="BM172" s="861"/>
      <c r="BN172" s="861"/>
      <c r="BO172" s="861"/>
      <c r="BP172" s="1125"/>
      <c r="BR172" s="1010" t="s">
        <v>38</v>
      </c>
      <c r="BS172" s="1011"/>
      <c r="BT172" s="1011"/>
      <c r="BU172" s="1011"/>
      <c r="BV172" s="1011"/>
      <c r="BW172" s="1011"/>
      <c r="BX172" s="1011"/>
      <c r="BY172" s="1012"/>
      <c r="BZ172" s="1"/>
      <c r="CB172" s="2721" t="s">
        <v>159</v>
      </c>
      <c r="CC172" s="2722"/>
      <c r="CD172" s="2722"/>
      <c r="CE172" s="2722"/>
      <c r="CF172" s="2722"/>
      <c r="CG172" s="2722"/>
      <c r="CH172" s="2722"/>
      <c r="CI172" s="2722"/>
      <c r="CJ172" s="2722"/>
      <c r="CK172" s="2722"/>
      <c r="CL172" s="2722"/>
      <c r="CM172" s="2722"/>
      <c r="CN172" s="2722"/>
      <c r="CO172" s="2722"/>
      <c r="CP172" s="2723"/>
      <c r="CS172" s="328" t="s">
        <v>165</v>
      </c>
      <c r="CT172" s="597"/>
      <c r="CU172" s="597"/>
      <c r="CV172" s="597"/>
      <c r="CW172" s="597"/>
      <c r="CX172" s="597"/>
      <c r="CY172" s="597"/>
      <c r="CZ172" s="597"/>
      <c r="DA172" s="597"/>
      <c r="DB172" s="597"/>
      <c r="DC172" s="597"/>
      <c r="DD172" s="597"/>
      <c r="DE172" s="596"/>
      <c r="DG172" s="328" t="s">
        <v>165</v>
      </c>
      <c r="DH172" s="597"/>
      <c r="DI172" s="597"/>
      <c r="DJ172" s="597"/>
      <c r="DK172" s="597"/>
      <c r="DL172" s="597"/>
      <c r="DM172" s="597"/>
      <c r="DN172" s="597"/>
      <c r="DO172" s="597"/>
      <c r="DP172" s="597"/>
      <c r="DQ172" s="597"/>
      <c r="DR172" s="597"/>
      <c r="DS172" s="596"/>
      <c r="DU172" s="328" t="s">
        <v>165</v>
      </c>
      <c r="DV172" s="597"/>
      <c r="DW172" s="597"/>
      <c r="DX172" s="597"/>
      <c r="DY172" s="597"/>
      <c r="DZ172" s="597"/>
      <c r="EA172" s="597"/>
      <c r="EB172" s="597"/>
      <c r="EC172" s="597"/>
      <c r="ED172" s="597"/>
      <c r="EE172" s="597"/>
      <c r="EF172" s="597"/>
      <c r="EG172" s="596"/>
      <c r="EI172" s="429" t="s">
        <v>28</v>
      </c>
      <c r="EJ172" s="2699" t="s">
        <v>38</v>
      </c>
      <c r="EK172" s="2700"/>
      <c r="EL172" s="2700"/>
      <c r="EM172" s="2700"/>
      <c r="EN172" s="2700"/>
      <c r="EO172" s="2700"/>
      <c r="EP172" s="2700"/>
      <c r="EQ172" s="2700"/>
      <c r="ER172" s="2701"/>
      <c r="ES172" s="35"/>
      <c r="ET172" s="35"/>
      <c r="EU172" s="35"/>
      <c r="EV172" s="870" t="s">
        <v>38</v>
      </c>
      <c r="EW172" s="1098"/>
      <c r="EX172" s="1098"/>
      <c r="EY172" s="1098"/>
      <c r="EZ172" s="1098"/>
      <c r="FA172" s="1098"/>
      <c r="FB172" s="1099"/>
      <c r="FC172" s="24"/>
      <c r="FD172" s="870" t="s">
        <v>38</v>
      </c>
      <c r="FE172" s="1098"/>
      <c r="FF172" s="1098"/>
      <c r="FG172" s="1098"/>
      <c r="FH172" s="1098"/>
      <c r="FI172" s="1098"/>
      <c r="FJ172" s="1099"/>
      <c r="FK172" s="24"/>
      <c r="FL172" s="870" t="s">
        <v>38</v>
      </c>
      <c r="FM172" s="1098"/>
      <c r="FN172" s="1098"/>
      <c r="FO172" s="1098"/>
      <c r="FP172" s="1098"/>
      <c r="FQ172" s="1098"/>
      <c r="FR172" s="1099"/>
      <c r="FS172" s="24"/>
      <c r="FT172" s="870" t="s">
        <v>38</v>
      </c>
      <c r="FU172" s="1098"/>
      <c r="FV172" s="1098"/>
      <c r="FW172" s="1098"/>
      <c r="FX172" s="1098"/>
      <c r="FY172" s="1098"/>
      <c r="FZ172" s="1099"/>
      <c r="GA172" s="24"/>
      <c r="GB172" s="870" t="s">
        <v>38</v>
      </c>
      <c r="GC172" s="1098"/>
      <c r="GD172" s="1098"/>
      <c r="GE172" s="1098"/>
      <c r="GF172" s="1098"/>
      <c r="GG172" s="1098"/>
      <c r="GH172" s="1099"/>
      <c r="GI172" s="24"/>
      <c r="GJ172" s="870" t="s">
        <v>38</v>
      </c>
      <c r="GK172" s="1098"/>
      <c r="GL172" s="1098"/>
      <c r="GM172" s="1098"/>
      <c r="GN172" s="1098"/>
      <c r="GO172" s="1098"/>
      <c r="GP172" s="1099"/>
      <c r="GR172" s="870" t="s">
        <v>38</v>
      </c>
      <c r="GS172" s="861"/>
      <c r="GT172" s="861"/>
      <c r="GU172" s="861"/>
      <c r="GV172" s="861"/>
      <c r="GW172" s="861"/>
      <c r="GX172" s="1125"/>
      <c r="GZ172" s="1010" t="s">
        <v>38</v>
      </c>
      <c r="HA172" s="1011"/>
      <c r="HB172" s="1011"/>
      <c r="HC172" s="1011"/>
      <c r="HD172" s="1011"/>
      <c r="HE172" s="1011"/>
      <c r="HF172" s="1011"/>
      <c r="HG172" s="1012"/>
      <c r="HH172" s="1"/>
    </row>
    <row r="173" spans="1:216" ht="15" hidden="1" customHeight="1" x14ac:dyDescent="0.25">
      <c r="A173" s="22"/>
      <c r="B173" s="23"/>
      <c r="C173" s="434" t="s">
        <v>11</v>
      </c>
      <c r="D173" s="41">
        <f>'DATA INPUT'!I120</f>
        <v>0</v>
      </c>
      <c r="E173" s="41">
        <f>'DATA INPUT'!J120</f>
        <v>0</v>
      </c>
      <c r="F173" s="41">
        <f>'DATA INPUT'!K120</f>
        <v>0</v>
      </c>
      <c r="G173" s="41">
        <f>'DATA INPUT'!L120</f>
        <v>0</v>
      </c>
      <c r="H173" s="41">
        <f>'DATA INPUT'!M120</f>
        <v>0</v>
      </c>
      <c r="I173" s="41">
        <f>'DATA INPUT'!N120</f>
        <v>0</v>
      </c>
      <c r="J173" s="345">
        <f>SUM(D173:I173)</f>
        <v>0</v>
      </c>
      <c r="K173" s="35"/>
      <c r="L173" s="35"/>
      <c r="M173" s="35"/>
      <c r="N173" s="5"/>
      <c r="O173" s="5"/>
      <c r="P173" s="5"/>
      <c r="Q173" s="5"/>
      <c r="R173" s="5"/>
      <c r="S173" s="5"/>
      <c r="T173" s="167">
        <f>SUM(N173:S173)</f>
        <v>0</v>
      </c>
      <c r="U173" s="1"/>
      <c r="V173" s="5"/>
      <c r="W173" s="5"/>
      <c r="X173" s="5"/>
      <c r="Y173" s="5"/>
      <c r="Z173" s="5"/>
      <c r="AA173" s="5"/>
      <c r="AB173" s="48">
        <f>SUM(V173:AA173)</f>
        <v>0</v>
      </c>
      <c r="AD173" s="5"/>
      <c r="AE173" s="5"/>
      <c r="AF173" s="5"/>
      <c r="AG173" s="5"/>
      <c r="AH173" s="5"/>
      <c r="AI173" s="5"/>
      <c r="AJ173" s="209">
        <f>SUM(AD173:AI173)</f>
        <v>0</v>
      </c>
      <c r="AL173" s="5"/>
      <c r="AM173" s="5"/>
      <c r="AN173" s="5"/>
      <c r="AO173" s="5"/>
      <c r="AP173" s="5"/>
      <c r="AQ173" s="5"/>
      <c r="AR173" s="181">
        <f>SUM(AL173:AQ173)</f>
        <v>0</v>
      </c>
      <c r="AT173" s="5"/>
      <c r="AU173" s="5"/>
      <c r="AV173" s="5"/>
      <c r="AW173" s="5"/>
      <c r="AX173" s="5"/>
      <c r="AY173" s="5"/>
      <c r="AZ173" s="153">
        <f>SUM(AT173:AY173)</f>
        <v>0</v>
      </c>
      <c r="BB173" s="5"/>
      <c r="BC173" s="5"/>
      <c r="BD173" s="5"/>
      <c r="BE173" s="5"/>
      <c r="BF173" s="5"/>
      <c r="BG173" s="5"/>
      <c r="BH173" s="195">
        <f>SUM(BB173:BG173)</f>
        <v>0</v>
      </c>
      <c r="BJ173" s="5"/>
      <c r="BK173" s="5"/>
      <c r="BL173" s="5"/>
      <c r="BM173" s="5"/>
      <c r="BN173" s="5"/>
      <c r="BO173" s="5"/>
      <c r="BP173" s="1105">
        <f>SUM(BJ173:BO173)</f>
        <v>0</v>
      </c>
      <c r="BR173" s="574">
        <f t="shared" ref="BR173:BW177" si="806">SUM(N173,V173,AD173,AL173,AT173,BB173)</f>
        <v>0</v>
      </c>
      <c r="BS173" s="574">
        <f t="shared" si="806"/>
        <v>0</v>
      </c>
      <c r="BT173" s="574">
        <f t="shared" si="806"/>
        <v>0</v>
      </c>
      <c r="BU173" s="574">
        <f t="shared" si="806"/>
        <v>0</v>
      </c>
      <c r="BV173" s="574">
        <f t="shared" si="806"/>
        <v>0</v>
      </c>
      <c r="BW173" s="574">
        <f t="shared" si="806"/>
        <v>0</v>
      </c>
      <c r="BX173" s="990">
        <f>SUM(BR173:BW173)</f>
        <v>0</v>
      </c>
      <c r="BY173" s="276">
        <f>SUM(J173+BX173)</f>
        <v>0</v>
      </c>
      <c r="BZ173" s="257"/>
      <c r="CB173" s="1322">
        <f t="shared" ref="CB173:CC176" si="807">D173</f>
        <v>0</v>
      </c>
      <c r="CC173" s="386">
        <f t="shared" si="807"/>
        <v>0</v>
      </c>
      <c r="CD173" s="360"/>
      <c r="CE173" s="360"/>
      <c r="CF173" s="360"/>
      <c r="CG173" s="1161"/>
      <c r="CH173" s="1289">
        <f>$F173</f>
        <v>0</v>
      </c>
      <c r="CI173" s="1163"/>
      <c r="CJ173" s="1163"/>
      <c r="CK173" s="1163"/>
      <c r="CL173" s="1164"/>
      <c r="CM173" s="1165">
        <f>$G173</f>
        <v>0</v>
      </c>
      <c r="CN173" s="1242"/>
      <c r="CO173" s="1167"/>
      <c r="CP173" s="1168">
        <f>SUM(CB173:CO173)</f>
        <v>0</v>
      </c>
      <c r="CS173" s="574"/>
      <c r="CT173" s="86"/>
      <c r="CU173" s="1169"/>
      <c r="CV173" s="574"/>
      <c r="CW173" s="86"/>
      <c r="CX173" s="1169"/>
      <c r="CY173" s="574"/>
      <c r="CZ173" s="86"/>
      <c r="DA173" s="1169"/>
      <c r="DB173" s="574"/>
      <c r="DC173" s="86"/>
      <c r="DD173" s="1169"/>
      <c r="DE173" s="1065">
        <f>SUM(CS173:DD173)</f>
        <v>0</v>
      </c>
      <c r="DG173" s="574"/>
      <c r="DH173" s="86"/>
      <c r="DI173" s="1169"/>
      <c r="DJ173" s="574"/>
      <c r="DK173" s="86"/>
      <c r="DL173" s="1169"/>
      <c r="DM173" s="574"/>
      <c r="DN173" s="86"/>
      <c r="DO173" s="1169"/>
      <c r="DP173" s="574"/>
      <c r="DQ173" s="86"/>
      <c r="DR173" s="1169"/>
      <c r="DS173" s="1065">
        <f>SUM(DG173:DR173)</f>
        <v>0</v>
      </c>
      <c r="DU173" s="574"/>
      <c r="DV173" s="86"/>
      <c r="DW173" s="1169"/>
      <c r="DX173" s="574"/>
      <c r="DY173" s="86"/>
      <c r="DZ173" s="1169"/>
      <c r="EA173" s="574"/>
      <c r="EB173" s="86"/>
      <c r="EC173" s="1169"/>
      <c r="ED173" s="574"/>
      <c r="EE173" s="86"/>
      <c r="EF173" s="1169"/>
      <c r="EG173" s="1065">
        <f>SUM(DU173:EF173)</f>
        <v>0</v>
      </c>
      <c r="EI173" s="22"/>
      <c r="EJ173" s="23"/>
      <c r="EK173" s="434" t="s">
        <v>11</v>
      </c>
      <c r="EL173" s="41">
        <f t="shared" ref="EL173:EQ176" si="808">ROUND(D173,0)</f>
        <v>0</v>
      </c>
      <c r="EM173" s="41">
        <f t="shared" si="808"/>
        <v>0</v>
      </c>
      <c r="EN173" s="41">
        <f t="shared" si="808"/>
        <v>0</v>
      </c>
      <c r="EO173" s="41">
        <f t="shared" si="808"/>
        <v>0</v>
      </c>
      <c r="EP173" s="41">
        <f t="shared" si="808"/>
        <v>0</v>
      </c>
      <c r="EQ173" s="41">
        <f t="shared" si="808"/>
        <v>0</v>
      </c>
      <c r="ER173" s="345">
        <f>SUM(EL173:EQ173)</f>
        <v>0</v>
      </c>
      <c r="ES173" s="35"/>
      <c r="ET173" s="35"/>
      <c r="EU173" s="35"/>
      <c r="EV173" s="5">
        <f t="shared" ref="EV173:FA176" si="809">ROUND(N173,0)</f>
        <v>0</v>
      </c>
      <c r="EW173" s="5">
        <f t="shared" si="809"/>
        <v>0</v>
      </c>
      <c r="EX173" s="5">
        <f t="shared" si="809"/>
        <v>0</v>
      </c>
      <c r="EY173" s="5">
        <f t="shared" si="809"/>
        <v>0</v>
      </c>
      <c r="EZ173" s="5">
        <f t="shared" si="809"/>
        <v>0</v>
      </c>
      <c r="FA173" s="5">
        <f t="shared" si="809"/>
        <v>0</v>
      </c>
      <c r="FB173" s="167">
        <f>SUM(EV173:FA173)</f>
        <v>0</v>
      </c>
      <c r="FC173" s="1"/>
      <c r="FD173" s="5">
        <f t="shared" ref="FD173:FI176" si="810">ROUND(V173,0)</f>
        <v>0</v>
      </c>
      <c r="FE173" s="5">
        <f t="shared" si="810"/>
        <v>0</v>
      </c>
      <c r="FF173" s="5">
        <f t="shared" si="810"/>
        <v>0</v>
      </c>
      <c r="FG173" s="5">
        <f t="shared" si="810"/>
        <v>0</v>
      </c>
      <c r="FH173" s="5">
        <f t="shared" si="810"/>
        <v>0</v>
      </c>
      <c r="FI173" s="5">
        <f t="shared" si="810"/>
        <v>0</v>
      </c>
      <c r="FJ173" s="48">
        <f>SUM(FD173:FI173)</f>
        <v>0</v>
      </c>
      <c r="FL173" s="5">
        <f t="shared" ref="FL173:FQ176" si="811">ROUND(AD173,0)</f>
        <v>0</v>
      </c>
      <c r="FM173" s="5">
        <f t="shared" si="811"/>
        <v>0</v>
      </c>
      <c r="FN173" s="5">
        <f t="shared" si="811"/>
        <v>0</v>
      </c>
      <c r="FO173" s="5">
        <f t="shared" si="811"/>
        <v>0</v>
      </c>
      <c r="FP173" s="5">
        <f t="shared" si="811"/>
        <v>0</v>
      </c>
      <c r="FQ173" s="5">
        <f t="shared" si="811"/>
        <v>0</v>
      </c>
      <c r="FR173" s="209">
        <f>SUM(FL173:FQ173)</f>
        <v>0</v>
      </c>
      <c r="FT173" s="5">
        <f t="shared" ref="FT173:FY176" si="812">ROUND(AL173,0)</f>
        <v>0</v>
      </c>
      <c r="FU173" s="5">
        <f t="shared" si="812"/>
        <v>0</v>
      </c>
      <c r="FV173" s="5">
        <f t="shared" si="812"/>
        <v>0</v>
      </c>
      <c r="FW173" s="5">
        <f t="shared" si="812"/>
        <v>0</v>
      </c>
      <c r="FX173" s="5">
        <f t="shared" si="812"/>
        <v>0</v>
      </c>
      <c r="FY173" s="5">
        <f t="shared" si="812"/>
        <v>0</v>
      </c>
      <c r="FZ173" s="181">
        <f>SUM(FT173:FY173)</f>
        <v>0</v>
      </c>
      <c r="GB173" s="5">
        <f t="shared" ref="GB173:GG176" si="813">ROUND(AT173,0)</f>
        <v>0</v>
      </c>
      <c r="GC173" s="5">
        <f t="shared" si="813"/>
        <v>0</v>
      </c>
      <c r="GD173" s="5">
        <f t="shared" si="813"/>
        <v>0</v>
      </c>
      <c r="GE173" s="5">
        <f t="shared" si="813"/>
        <v>0</v>
      </c>
      <c r="GF173" s="5">
        <f t="shared" si="813"/>
        <v>0</v>
      </c>
      <c r="GG173" s="5">
        <f t="shared" si="813"/>
        <v>0</v>
      </c>
      <c r="GH173" s="153">
        <f>SUM(GB173:GG173)</f>
        <v>0</v>
      </c>
      <c r="GJ173" s="5">
        <f t="shared" ref="GJ173:GO176" si="814">ROUND(BB173,0)</f>
        <v>0</v>
      </c>
      <c r="GK173" s="5">
        <f t="shared" si="814"/>
        <v>0</v>
      </c>
      <c r="GL173" s="5">
        <f t="shared" si="814"/>
        <v>0</v>
      </c>
      <c r="GM173" s="5">
        <f t="shared" si="814"/>
        <v>0</v>
      </c>
      <c r="GN173" s="5">
        <f t="shared" si="814"/>
        <v>0</v>
      </c>
      <c r="GO173" s="5">
        <f t="shared" si="814"/>
        <v>0</v>
      </c>
      <c r="GP173" s="195">
        <f>SUM(GJ173:GO173)</f>
        <v>0</v>
      </c>
      <c r="GR173" s="5"/>
      <c r="GS173" s="5"/>
      <c r="GT173" s="5"/>
      <c r="GU173" s="5"/>
      <c r="GV173" s="5"/>
      <c r="GW173" s="5"/>
      <c r="GX173" s="1105">
        <f>SUM(GR173:GW173)</f>
        <v>0</v>
      </c>
      <c r="GZ173" s="574">
        <f t="shared" ref="GZ173:HE177" si="815">SUM(EV173,FD173,FL173,FT173,GB173,GJ173)</f>
        <v>0</v>
      </c>
      <c r="HA173" s="574">
        <f t="shared" si="815"/>
        <v>0</v>
      </c>
      <c r="HB173" s="574">
        <f t="shared" si="815"/>
        <v>0</v>
      </c>
      <c r="HC173" s="574">
        <f t="shared" si="815"/>
        <v>0</v>
      </c>
      <c r="HD173" s="574">
        <f t="shared" si="815"/>
        <v>0</v>
      </c>
      <c r="HE173" s="574">
        <f t="shared" si="815"/>
        <v>0</v>
      </c>
      <c r="HF173" s="990">
        <f>SUM(GZ173:HE173)</f>
        <v>0</v>
      </c>
      <c r="HG173" s="276">
        <f>SUM(ER173+HF173)</f>
        <v>0</v>
      </c>
      <c r="HH173" s="257"/>
    </row>
    <row r="174" spans="1:216" ht="15" hidden="1" customHeight="1" x14ac:dyDescent="0.25">
      <c r="A174" s="25"/>
      <c r="B174" s="23"/>
      <c r="C174" s="63" t="s">
        <v>12</v>
      </c>
      <c r="D174" s="41">
        <f>'DATA INPUT'!I121</f>
        <v>0</v>
      </c>
      <c r="E174" s="41">
        <f>'DATA INPUT'!J121</f>
        <v>0</v>
      </c>
      <c r="F174" s="41">
        <f>'DATA INPUT'!K121</f>
        <v>0</v>
      </c>
      <c r="G174" s="41">
        <f>'DATA INPUT'!L121</f>
        <v>0</v>
      </c>
      <c r="H174" s="41">
        <f>'DATA INPUT'!M121</f>
        <v>0</v>
      </c>
      <c r="I174" s="41">
        <f>'DATA INPUT'!N121</f>
        <v>0</v>
      </c>
      <c r="J174" s="12">
        <f>SUM(D174:I174)</f>
        <v>0</v>
      </c>
      <c r="K174" s="35"/>
      <c r="L174" s="35"/>
      <c r="M174" s="35"/>
      <c r="N174" s="5"/>
      <c r="O174" s="5"/>
      <c r="P174" s="5"/>
      <c r="Q174" s="5"/>
      <c r="R174" s="5"/>
      <c r="S174" s="5"/>
      <c r="T174" s="167">
        <f>SUM(N174:S174)</f>
        <v>0</v>
      </c>
      <c r="U174" s="1"/>
      <c r="V174" s="5"/>
      <c r="W174" s="5"/>
      <c r="X174" s="5"/>
      <c r="Y174" s="5"/>
      <c r="Z174" s="5"/>
      <c r="AA174" s="5"/>
      <c r="AB174" s="48">
        <f>SUM(V174:AA174)</f>
        <v>0</v>
      </c>
      <c r="AD174" s="5"/>
      <c r="AE174" s="5"/>
      <c r="AF174" s="5"/>
      <c r="AG174" s="5"/>
      <c r="AH174" s="5"/>
      <c r="AI174" s="5"/>
      <c r="AJ174" s="209">
        <f>SUM(AD174:AI174)</f>
        <v>0</v>
      </c>
      <c r="AL174" s="5"/>
      <c r="AM174" s="5"/>
      <c r="AN174" s="5"/>
      <c r="AO174" s="5"/>
      <c r="AP174" s="5"/>
      <c r="AQ174" s="5"/>
      <c r="AR174" s="181">
        <f>SUM(AL174:AQ174)</f>
        <v>0</v>
      </c>
      <c r="AT174" s="5"/>
      <c r="AU174" s="5"/>
      <c r="AV174" s="5"/>
      <c r="AW174" s="5"/>
      <c r="AX174" s="5"/>
      <c r="AY174" s="5"/>
      <c r="AZ174" s="153">
        <f>SUM(AT174:AY174)</f>
        <v>0</v>
      </c>
      <c r="BB174" s="5"/>
      <c r="BC174" s="5"/>
      <c r="BD174" s="5"/>
      <c r="BE174" s="5"/>
      <c r="BF174" s="5"/>
      <c r="BG174" s="5"/>
      <c r="BH174" s="195">
        <f>SUM(BB174:BG174)</f>
        <v>0</v>
      </c>
      <c r="BJ174" s="5"/>
      <c r="BK174" s="5"/>
      <c r="BL174" s="5"/>
      <c r="BM174" s="5"/>
      <c r="BN174" s="5"/>
      <c r="BO174" s="5"/>
      <c r="BP174" s="1105">
        <f>SUM(BJ174:BO174)</f>
        <v>0</v>
      </c>
      <c r="BR174" s="575">
        <f t="shared" si="806"/>
        <v>0</v>
      </c>
      <c r="BS174" s="575">
        <f t="shared" si="806"/>
        <v>0</v>
      </c>
      <c r="BT174" s="575">
        <f t="shared" si="806"/>
        <v>0</v>
      </c>
      <c r="BU174" s="575">
        <f t="shared" si="806"/>
        <v>0</v>
      </c>
      <c r="BV174" s="575">
        <f t="shared" si="806"/>
        <v>0</v>
      </c>
      <c r="BW174" s="575">
        <f t="shared" si="806"/>
        <v>0</v>
      </c>
      <c r="BX174" s="991">
        <f>SUM(BR174:BW174)</f>
        <v>0</v>
      </c>
      <c r="BY174" s="573">
        <f>SUM(J174+BX174)</f>
        <v>0</v>
      </c>
      <c r="BZ174" s="257"/>
      <c r="CB174" s="1328">
        <f t="shared" si="807"/>
        <v>0</v>
      </c>
      <c r="CC174" s="387">
        <f t="shared" si="807"/>
        <v>0</v>
      </c>
      <c r="CD174" s="56"/>
      <c r="CE174" s="56"/>
      <c r="CF174" s="56"/>
      <c r="CG174" s="1183"/>
      <c r="CH174" s="1289">
        <f>$F174</f>
        <v>0</v>
      </c>
      <c r="CI174" s="1185"/>
      <c r="CJ174" s="1185"/>
      <c r="CK174" s="1185"/>
      <c r="CL174" s="1186"/>
      <c r="CM174" s="1187">
        <f>$G174</f>
        <v>0</v>
      </c>
      <c r="CN174" s="1091"/>
      <c r="CO174" s="1189"/>
      <c r="CP174" s="1224">
        <f>SUM(CB174:CO174)</f>
        <v>0</v>
      </c>
      <c r="CS174" s="575"/>
      <c r="CT174" s="5"/>
      <c r="CU174" s="1180"/>
      <c r="CV174" s="575"/>
      <c r="CW174" s="5"/>
      <c r="CX174" s="1180"/>
      <c r="CY174" s="575"/>
      <c r="CZ174" s="5"/>
      <c r="DA174" s="1180"/>
      <c r="DB174" s="575"/>
      <c r="DC174" s="5"/>
      <c r="DD174" s="1180"/>
      <c r="DE174" s="1181">
        <f>SUM(CS174:DD174)</f>
        <v>0</v>
      </c>
      <c r="DG174" s="575"/>
      <c r="DH174" s="5"/>
      <c r="DI174" s="1180"/>
      <c r="DJ174" s="575"/>
      <c r="DK174" s="5"/>
      <c r="DL174" s="1180"/>
      <c r="DM174" s="575"/>
      <c r="DN174" s="5"/>
      <c r="DO174" s="1180"/>
      <c r="DP174" s="575"/>
      <c r="DQ174" s="5"/>
      <c r="DR174" s="1180"/>
      <c r="DS174" s="1181">
        <f>SUM(DG174:DR174)</f>
        <v>0</v>
      </c>
      <c r="DU174" s="575"/>
      <c r="DV174" s="5"/>
      <c r="DW174" s="1180"/>
      <c r="DX174" s="575"/>
      <c r="DY174" s="5"/>
      <c r="DZ174" s="1180"/>
      <c r="EA174" s="575"/>
      <c r="EB174" s="5"/>
      <c r="EC174" s="1180"/>
      <c r="ED174" s="575"/>
      <c r="EE174" s="5"/>
      <c r="EF174" s="1180"/>
      <c r="EG174" s="1181">
        <f>SUM(DU174:EF174)</f>
        <v>0</v>
      </c>
      <c r="EI174" s="25"/>
      <c r="EJ174" s="23"/>
      <c r="EK174" s="63" t="s">
        <v>12</v>
      </c>
      <c r="EL174" s="5">
        <f t="shared" si="808"/>
        <v>0</v>
      </c>
      <c r="EM174" s="5">
        <f t="shared" si="808"/>
        <v>0</v>
      </c>
      <c r="EN174" s="5">
        <f t="shared" si="808"/>
        <v>0</v>
      </c>
      <c r="EO174" s="5">
        <f t="shared" si="808"/>
        <v>0</v>
      </c>
      <c r="EP174" s="5">
        <f t="shared" si="808"/>
        <v>0</v>
      </c>
      <c r="EQ174" s="5">
        <f t="shared" si="808"/>
        <v>0</v>
      </c>
      <c r="ER174" s="12">
        <f>SUM(EL174:EQ174)</f>
        <v>0</v>
      </c>
      <c r="ES174" s="35"/>
      <c r="ET174" s="35"/>
      <c r="EU174" s="35"/>
      <c r="EV174" s="5">
        <f t="shared" si="809"/>
        <v>0</v>
      </c>
      <c r="EW174" s="5">
        <f t="shared" si="809"/>
        <v>0</v>
      </c>
      <c r="EX174" s="5">
        <f t="shared" si="809"/>
        <v>0</v>
      </c>
      <c r="EY174" s="5">
        <f t="shared" si="809"/>
        <v>0</v>
      </c>
      <c r="EZ174" s="5">
        <f t="shared" si="809"/>
        <v>0</v>
      </c>
      <c r="FA174" s="5">
        <f t="shared" si="809"/>
        <v>0</v>
      </c>
      <c r="FB174" s="167">
        <f>SUM(EV174:FA174)</f>
        <v>0</v>
      </c>
      <c r="FC174" s="1"/>
      <c r="FD174" s="5">
        <f t="shared" si="810"/>
        <v>0</v>
      </c>
      <c r="FE174" s="5">
        <f t="shared" si="810"/>
        <v>0</v>
      </c>
      <c r="FF174" s="5">
        <f t="shared" si="810"/>
        <v>0</v>
      </c>
      <c r="FG174" s="5">
        <f t="shared" si="810"/>
        <v>0</v>
      </c>
      <c r="FH174" s="5">
        <f t="shared" si="810"/>
        <v>0</v>
      </c>
      <c r="FI174" s="5">
        <f t="shared" si="810"/>
        <v>0</v>
      </c>
      <c r="FJ174" s="48">
        <f>SUM(FD174:FI174)</f>
        <v>0</v>
      </c>
      <c r="FL174" s="5">
        <f t="shared" si="811"/>
        <v>0</v>
      </c>
      <c r="FM174" s="5">
        <f t="shared" si="811"/>
        <v>0</v>
      </c>
      <c r="FN174" s="5">
        <f t="shared" si="811"/>
        <v>0</v>
      </c>
      <c r="FO174" s="5">
        <f t="shared" si="811"/>
        <v>0</v>
      </c>
      <c r="FP174" s="5">
        <f t="shared" si="811"/>
        <v>0</v>
      </c>
      <c r="FQ174" s="5">
        <f t="shared" si="811"/>
        <v>0</v>
      </c>
      <c r="FR174" s="209">
        <f>SUM(FL174:FQ174)</f>
        <v>0</v>
      </c>
      <c r="FT174" s="5">
        <f t="shared" si="812"/>
        <v>0</v>
      </c>
      <c r="FU174" s="5">
        <f t="shared" si="812"/>
        <v>0</v>
      </c>
      <c r="FV174" s="5">
        <f t="shared" si="812"/>
        <v>0</v>
      </c>
      <c r="FW174" s="5">
        <f t="shared" si="812"/>
        <v>0</v>
      </c>
      <c r="FX174" s="5">
        <f t="shared" si="812"/>
        <v>0</v>
      </c>
      <c r="FY174" s="5">
        <f t="shared" si="812"/>
        <v>0</v>
      </c>
      <c r="FZ174" s="181">
        <f>SUM(FT174:FY174)</f>
        <v>0</v>
      </c>
      <c r="GB174" s="5">
        <f t="shared" si="813"/>
        <v>0</v>
      </c>
      <c r="GC174" s="5">
        <f t="shared" si="813"/>
        <v>0</v>
      </c>
      <c r="GD174" s="5">
        <f t="shared" si="813"/>
        <v>0</v>
      </c>
      <c r="GE174" s="5">
        <f t="shared" si="813"/>
        <v>0</v>
      </c>
      <c r="GF174" s="5">
        <f t="shared" si="813"/>
        <v>0</v>
      </c>
      <c r="GG174" s="5">
        <f t="shared" si="813"/>
        <v>0</v>
      </c>
      <c r="GH174" s="153">
        <f>SUM(GB174:GG174)</f>
        <v>0</v>
      </c>
      <c r="GJ174" s="5">
        <f t="shared" si="814"/>
        <v>0</v>
      </c>
      <c r="GK174" s="5">
        <f t="shared" si="814"/>
        <v>0</v>
      </c>
      <c r="GL174" s="5">
        <f t="shared" si="814"/>
        <v>0</v>
      </c>
      <c r="GM174" s="5">
        <f t="shared" si="814"/>
        <v>0</v>
      </c>
      <c r="GN174" s="5">
        <f t="shared" si="814"/>
        <v>0</v>
      </c>
      <c r="GO174" s="5">
        <f t="shared" si="814"/>
        <v>0</v>
      </c>
      <c r="GP174" s="195">
        <f>SUM(GJ174:GO174)</f>
        <v>0</v>
      </c>
      <c r="GR174" s="5"/>
      <c r="GS174" s="5"/>
      <c r="GT174" s="5"/>
      <c r="GU174" s="5"/>
      <c r="GV174" s="5"/>
      <c r="GW174" s="5"/>
      <c r="GX174" s="1105">
        <f>SUM(GR174:GW174)</f>
        <v>0</v>
      </c>
      <c r="GZ174" s="575">
        <f t="shared" si="815"/>
        <v>0</v>
      </c>
      <c r="HA174" s="575">
        <f t="shared" si="815"/>
        <v>0</v>
      </c>
      <c r="HB174" s="575">
        <f t="shared" si="815"/>
        <v>0</v>
      </c>
      <c r="HC174" s="575">
        <f t="shared" si="815"/>
        <v>0</v>
      </c>
      <c r="HD174" s="575">
        <f t="shared" si="815"/>
        <v>0</v>
      </c>
      <c r="HE174" s="575">
        <f t="shared" si="815"/>
        <v>0</v>
      </c>
      <c r="HF174" s="991">
        <f>SUM(GZ174:HE174)</f>
        <v>0</v>
      </c>
      <c r="HG174" s="573">
        <f>SUM(ER174+HF174)</f>
        <v>0</v>
      </c>
      <c r="HH174" s="257"/>
    </row>
    <row r="175" spans="1:216" ht="15" hidden="1" customHeight="1" x14ac:dyDescent="0.25">
      <c r="A175" s="25"/>
      <c r="B175" s="23"/>
      <c r="C175" s="63" t="s">
        <v>13</v>
      </c>
      <c r="D175" s="41">
        <f>'DATA INPUT'!I122</f>
        <v>0</v>
      </c>
      <c r="E175" s="41">
        <f>'DATA INPUT'!J122</f>
        <v>0</v>
      </c>
      <c r="F175" s="41">
        <f>'DATA INPUT'!K122</f>
        <v>0</v>
      </c>
      <c r="G175" s="41">
        <f>'DATA INPUT'!L122</f>
        <v>0</v>
      </c>
      <c r="H175" s="41">
        <f>'DATA INPUT'!M122</f>
        <v>0</v>
      </c>
      <c r="I175" s="41">
        <f>'DATA INPUT'!N122</f>
        <v>0</v>
      </c>
      <c r="J175" s="12">
        <f>SUM(D175:I175)</f>
        <v>0</v>
      </c>
      <c r="K175" s="35"/>
      <c r="M175" s="35"/>
      <c r="N175" s="5"/>
      <c r="O175" s="5"/>
      <c r="P175" s="5"/>
      <c r="Q175" s="5"/>
      <c r="R175" s="5"/>
      <c r="S175" s="5"/>
      <c r="T175" s="167">
        <f>SUM(N175:S175)</f>
        <v>0</v>
      </c>
      <c r="U175" s="1"/>
      <c r="V175" s="5"/>
      <c r="W175" s="5"/>
      <c r="X175" s="5"/>
      <c r="Y175" s="5"/>
      <c r="Z175" s="5"/>
      <c r="AA175" s="5"/>
      <c r="AB175" s="48">
        <f>SUM(V175:AA175)</f>
        <v>0</v>
      </c>
      <c r="AD175" s="5"/>
      <c r="AE175" s="5"/>
      <c r="AF175" s="5"/>
      <c r="AG175" s="5"/>
      <c r="AH175" s="5"/>
      <c r="AI175" s="5"/>
      <c r="AJ175" s="209">
        <f>SUM(AD175:AI175)</f>
        <v>0</v>
      </c>
      <c r="AL175" s="5"/>
      <c r="AM175" s="5"/>
      <c r="AN175" s="5"/>
      <c r="AO175" s="5"/>
      <c r="AP175" s="5"/>
      <c r="AQ175" s="5"/>
      <c r="AR175" s="181">
        <f>SUM(AL175:AQ175)</f>
        <v>0</v>
      </c>
      <c r="AT175" s="5"/>
      <c r="AU175" s="5"/>
      <c r="AV175" s="5"/>
      <c r="AW175" s="5"/>
      <c r="AX175" s="5"/>
      <c r="AY175" s="5"/>
      <c r="AZ175" s="153">
        <f>SUM(AT175:AY175)</f>
        <v>0</v>
      </c>
      <c r="BB175" s="5"/>
      <c r="BC175" s="5"/>
      <c r="BD175" s="5"/>
      <c r="BE175" s="5"/>
      <c r="BF175" s="5"/>
      <c r="BG175" s="5"/>
      <c r="BH175" s="195">
        <f>SUM(BB175:BG175)</f>
        <v>0</v>
      </c>
      <c r="BJ175" s="21"/>
      <c r="BK175" s="21"/>
      <c r="BL175" s="21"/>
      <c r="BM175" s="21"/>
      <c r="BN175" s="21"/>
      <c r="BO175" s="21"/>
      <c r="BP175" s="1105">
        <f>SUM(BJ175:BO175)</f>
        <v>0</v>
      </c>
      <c r="BR175" s="575">
        <f t="shared" si="806"/>
        <v>0</v>
      </c>
      <c r="BS175" s="575">
        <f t="shared" si="806"/>
        <v>0</v>
      </c>
      <c r="BT175" s="575">
        <f t="shared" si="806"/>
        <v>0</v>
      </c>
      <c r="BU175" s="575">
        <f t="shared" si="806"/>
        <v>0</v>
      </c>
      <c r="BV175" s="575">
        <f t="shared" si="806"/>
        <v>0</v>
      </c>
      <c r="BW175" s="575">
        <f t="shared" si="806"/>
        <v>0</v>
      </c>
      <c r="BX175" s="991">
        <f>SUM(BR175:BW175)</f>
        <v>0</v>
      </c>
      <c r="BY175" s="573">
        <f>SUM(J175+BX175)</f>
        <v>0</v>
      </c>
      <c r="BZ175" s="257"/>
      <c r="CB175" s="1328">
        <f t="shared" si="807"/>
        <v>0</v>
      </c>
      <c r="CC175" s="387">
        <f t="shared" si="807"/>
        <v>0</v>
      </c>
      <c r="CD175" s="56"/>
      <c r="CE175" s="56"/>
      <c r="CF175" s="56"/>
      <c r="CG175" s="1183"/>
      <c r="CH175" s="1289">
        <f>$F175</f>
        <v>0</v>
      </c>
      <c r="CI175" s="1185"/>
      <c r="CJ175" s="1185"/>
      <c r="CK175" s="1185"/>
      <c r="CL175" s="1186"/>
      <c r="CM175" s="1187">
        <f>$G175</f>
        <v>0</v>
      </c>
      <c r="CN175" s="1091"/>
      <c r="CO175" s="1189"/>
      <c r="CP175" s="1224">
        <f>SUM(CB175:CO175)</f>
        <v>0</v>
      </c>
      <c r="CS175" s="575"/>
      <c r="CT175" s="5"/>
      <c r="CU175" s="1180"/>
      <c r="CV175" s="575"/>
      <c r="CW175" s="5"/>
      <c r="CX175" s="1180"/>
      <c r="CY175" s="575"/>
      <c r="CZ175" s="5"/>
      <c r="DA175" s="1180"/>
      <c r="DB175" s="575"/>
      <c r="DC175" s="5"/>
      <c r="DD175" s="1180"/>
      <c r="DE175" s="1181">
        <f>SUM(CS175:DD175)</f>
        <v>0</v>
      </c>
      <c r="DG175" s="575"/>
      <c r="DH175" s="5"/>
      <c r="DI175" s="1180"/>
      <c r="DJ175" s="575"/>
      <c r="DK175" s="5"/>
      <c r="DL175" s="1180"/>
      <c r="DM175" s="575"/>
      <c r="DN175" s="5"/>
      <c r="DO175" s="1180"/>
      <c r="DP175" s="575"/>
      <c r="DQ175" s="5"/>
      <c r="DR175" s="1180"/>
      <c r="DS175" s="1181">
        <f>SUM(DG175:DR175)</f>
        <v>0</v>
      </c>
      <c r="DU175" s="575"/>
      <c r="DV175" s="5"/>
      <c r="DW175" s="1180"/>
      <c r="DX175" s="575"/>
      <c r="DY175" s="5"/>
      <c r="DZ175" s="1180"/>
      <c r="EA175" s="575"/>
      <c r="EB175" s="5"/>
      <c r="EC175" s="1180"/>
      <c r="ED175" s="575"/>
      <c r="EE175" s="5"/>
      <c r="EF175" s="1180"/>
      <c r="EG175" s="1181">
        <f>SUM(DU175:EF175)</f>
        <v>0</v>
      </c>
      <c r="EI175" s="25"/>
      <c r="EJ175" s="23"/>
      <c r="EK175" s="63" t="s">
        <v>13</v>
      </c>
      <c r="EL175" s="5">
        <f t="shared" si="808"/>
        <v>0</v>
      </c>
      <c r="EM175" s="5">
        <f t="shared" si="808"/>
        <v>0</v>
      </c>
      <c r="EN175" s="5">
        <f t="shared" si="808"/>
        <v>0</v>
      </c>
      <c r="EO175" s="5">
        <f t="shared" si="808"/>
        <v>0</v>
      </c>
      <c r="EP175" s="5">
        <f t="shared" si="808"/>
        <v>0</v>
      </c>
      <c r="EQ175" s="5">
        <f t="shared" si="808"/>
        <v>0</v>
      </c>
      <c r="ER175" s="12">
        <f>SUM(EL175:EQ175)</f>
        <v>0</v>
      </c>
      <c r="ES175" s="35"/>
      <c r="EU175" s="35"/>
      <c r="EV175" s="5">
        <f t="shared" si="809"/>
        <v>0</v>
      </c>
      <c r="EW175" s="5">
        <f t="shared" si="809"/>
        <v>0</v>
      </c>
      <c r="EX175" s="5">
        <f t="shared" si="809"/>
        <v>0</v>
      </c>
      <c r="EY175" s="5">
        <f t="shared" si="809"/>
        <v>0</v>
      </c>
      <c r="EZ175" s="5">
        <f t="shared" si="809"/>
        <v>0</v>
      </c>
      <c r="FA175" s="5">
        <f t="shared" si="809"/>
        <v>0</v>
      </c>
      <c r="FB175" s="167">
        <f>SUM(EV175:FA175)</f>
        <v>0</v>
      </c>
      <c r="FC175" s="1"/>
      <c r="FD175" s="5">
        <f t="shared" si="810"/>
        <v>0</v>
      </c>
      <c r="FE175" s="5">
        <f t="shared" si="810"/>
        <v>0</v>
      </c>
      <c r="FF175" s="5">
        <f t="shared" si="810"/>
        <v>0</v>
      </c>
      <c r="FG175" s="5">
        <f t="shared" si="810"/>
        <v>0</v>
      </c>
      <c r="FH175" s="5">
        <f t="shared" si="810"/>
        <v>0</v>
      </c>
      <c r="FI175" s="5">
        <f t="shared" si="810"/>
        <v>0</v>
      </c>
      <c r="FJ175" s="48">
        <f>SUM(FD175:FI175)</f>
        <v>0</v>
      </c>
      <c r="FL175" s="5">
        <f t="shared" si="811"/>
        <v>0</v>
      </c>
      <c r="FM175" s="5">
        <f t="shared" si="811"/>
        <v>0</v>
      </c>
      <c r="FN175" s="5">
        <f t="shared" si="811"/>
        <v>0</v>
      </c>
      <c r="FO175" s="5">
        <f t="shared" si="811"/>
        <v>0</v>
      </c>
      <c r="FP175" s="5">
        <f t="shared" si="811"/>
        <v>0</v>
      </c>
      <c r="FQ175" s="5">
        <f t="shared" si="811"/>
        <v>0</v>
      </c>
      <c r="FR175" s="209">
        <f>SUM(FL175:FQ175)</f>
        <v>0</v>
      </c>
      <c r="FT175" s="5">
        <f t="shared" si="812"/>
        <v>0</v>
      </c>
      <c r="FU175" s="5">
        <f t="shared" si="812"/>
        <v>0</v>
      </c>
      <c r="FV175" s="5">
        <f t="shared" si="812"/>
        <v>0</v>
      </c>
      <c r="FW175" s="5">
        <f t="shared" si="812"/>
        <v>0</v>
      </c>
      <c r="FX175" s="5">
        <f t="shared" si="812"/>
        <v>0</v>
      </c>
      <c r="FY175" s="5">
        <f t="shared" si="812"/>
        <v>0</v>
      </c>
      <c r="FZ175" s="181">
        <f>SUM(FT175:FY175)</f>
        <v>0</v>
      </c>
      <c r="GB175" s="5">
        <f t="shared" si="813"/>
        <v>0</v>
      </c>
      <c r="GC175" s="5">
        <f t="shared" si="813"/>
        <v>0</v>
      </c>
      <c r="GD175" s="5">
        <f t="shared" si="813"/>
        <v>0</v>
      </c>
      <c r="GE175" s="5">
        <f t="shared" si="813"/>
        <v>0</v>
      </c>
      <c r="GF175" s="5">
        <f t="shared" si="813"/>
        <v>0</v>
      </c>
      <c r="GG175" s="5">
        <f t="shared" si="813"/>
        <v>0</v>
      </c>
      <c r="GH175" s="153">
        <f>SUM(GB175:GG175)</f>
        <v>0</v>
      </c>
      <c r="GJ175" s="5">
        <f t="shared" si="814"/>
        <v>0</v>
      </c>
      <c r="GK175" s="5">
        <f t="shared" si="814"/>
        <v>0</v>
      </c>
      <c r="GL175" s="5">
        <f t="shared" si="814"/>
        <v>0</v>
      </c>
      <c r="GM175" s="5">
        <f t="shared" si="814"/>
        <v>0</v>
      </c>
      <c r="GN175" s="5">
        <f t="shared" si="814"/>
        <v>0</v>
      </c>
      <c r="GO175" s="5">
        <f t="shared" si="814"/>
        <v>0</v>
      </c>
      <c r="GP175" s="195">
        <f>SUM(GJ175:GO175)</f>
        <v>0</v>
      </c>
      <c r="GR175" s="21"/>
      <c r="GS175" s="21"/>
      <c r="GT175" s="21"/>
      <c r="GU175" s="21"/>
      <c r="GV175" s="21"/>
      <c r="GW175" s="21"/>
      <c r="GX175" s="1105">
        <f>SUM(GR175:GW175)</f>
        <v>0</v>
      </c>
      <c r="GZ175" s="575">
        <f t="shared" si="815"/>
        <v>0</v>
      </c>
      <c r="HA175" s="575">
        <f t="shared" si="815"/>
        <v>0</v>
      </c>
      <c r="HB175" s="575">
        <f t="shared" si="815"/>
        <v>0</v>
      </c>
      <c r="HC175" s="575">
        <f t="shared" si="815"/>
        <v>0</v>
      </c>
      <c r="HD175" s="575">
        <f t="shared" si="815"/>
        <v>0</v>
      </c>
      <c r="HE175" s="575">
        <f t="shared" si="815"/>
        <v>0</v>
      </c>
      <c r="HF175" s="991">
        <f>SUM(GZ175:HE175)</f>
        <v>0</v>
      </c>
      <c r="HG175" s="573">
        <f>SUM(ER175+HF175)</f>
        <v>0</v>
      </c>
      <c r="HH175" s="257"/>
    </row>
    <row r="176" spans="1:216" ht="15" hidden="1" customHeight="1" thickBot="1" x14ac:dyDescent="0.3">
      <c r="A176" s="26"/>
      <c r="B176" s="23"/>
      <c r="C176" s="445" t="s">
        <v>15</v>
      </c>
      <c r="D176" s="41">
        <f>'DATA INPUT'!I123</f>
        <v>0</v>
      </c>
      <c r="E176" s="41">
        <f>'DATA INPUT'!J123</f>
        <v>0</v>
      </c>
      <c r="F176" s="41">
        <f>'DATA INPUT'!K123</f>
        <v>0</v>
      </c>
      <c r="G176" s="41">
        <f>'DATA INPUT'!L123</f>
        <v>0</v>
      </c>
      <c r="H176" s="41">
        <f>'DATA INPUT'!M123</f>
        <v>0</v>
      </c>
      <c r="I176" s="41">
        <f>'DATA INPUT'!N123</f>
        <v>0</v>
      </c>
      <c r="J176" s="12">
        <f>SUM(D176:I176)</f>
        <v>0</v>
      </c>
      <c r="L176" s="13"/>
      <c r="N176" s="5"/>
      <c r="O176" s="5"/>
      <c r="P176" s="5"/>
      <c r="Q176" s="5"/>
      <c r="R176" s="5"/>
      <c r="S176" s="5"/>
      <c r="T176" s="167">
        <f>SUM(N176:S176)</f>
        <v>0</v>
      </c>
      <c r="U176" s="1"/>
      <c r="V176" s="5"/>
      <c r="W176" s="5"/>
      <c r="X176" s="5"/>
      <c r="Y176" s="5"/>
      <c r="Z176" s="5"/>
      <c r="AA176" s="5"/>
      <c r="AB176" s="48">
        <f>SUM(V176:AA176)</f>
        <v>0</v>
      </c>
      <c r="AD176" s="5"/>
      <c r="AE176" s="5"/>
      <c r="AF176" s="5"/>
      <c r="AG176" s="5"/>
      <c r="AH176" s="5"/>
      <c r="AI176" s="5"/>
      <c r="AJ176" s="209">
        <f>SUM(AD176:AI176)</f>
        <v>0</v>
      </c>
      <c r="AL176" s="5"/>
      <c r="AM176" s="5"/>
      <c r="AN176" s="5"/>
      <c r="AO176" s="5"/>
      <c r="AP176" s="5"/>
      <c r="AQ176" s="5"/>
      <c r="AR176" s="181">
        <f>SUM(AL176:AQ176)</f>
        <v>0</v>
      </c>
      <c r="AT176" s="5"/>
      <c r="AU176" s="5"/>
      <c r="AV176" s="5"/>
      <c r="AW176" s="5"/>
      <c r="AX176" s="5"/>
      <c r="AY176" s="5"/>
      <c r="AZ176" s="153">
        <f>SUM(AT176:AY176)</f>
        <v>0</v>
      </c>
      <c r="BB176" s="5"/>
      <c r="BC176" s="5"/>
      <c r="BD176" s="5"/>
      <c r="BE176" s="5"/>
      <c r="BF176" s="5"/>
      <c r="BG176" s="5"/>
      <c r="BH176" s="195">
        <f>SUM(BB176:BG176)</f>
        <v>0</v>
      </c>
      <c r="BJ176" s="21"/>
      <c r="BK176" s="21"/>
      <c r="BL176" s="21"/>
      <c r="BM176" s="21"/>
      <c r="BN176" s="21"/>
      <c r="BO176" s="21"/>
      <c r="BP176" s="1105">
        <f>SUM(BJ176:BO176)</f>
        <v>0</v>
      </c>
      <c r="BR176" s="575">
        <f t="shared" si="806"/>
        <v>0</v>
      </c>
      <c r="BS176" s="575">
        <f t="shared" si="806"/>
        <v>0</v>
      </c>
      <c r="BT176" s="575">
        <f t="shared" si="806"/>
        <v>0</v>
      </c>
      <c r="BU176" s="575">
        <f t="shared" si="806"/>
        <v>0</v>
      </c>
      <c r="BV176" s="575">
        <f t="shared" si="806"/>
        <v>0</v>
      </c>
      <c r="BW176" s="575">
        <f t="shared" si="806"/>
        <v>0</v>
      </c>
      <c r="BX176" s="991">
        <f>SUM(BR176:BW176)</f>
        <v>0</v>
      </c>
      <c r="BY176" s="573">
        <f>SUM(J176+BX176)</f>
        <v>0</v>
      </c>
      <c r="BZ176" s="257"/>
      <c r="CB176" s="1323">
        <f t="shared" si="807"/>
        <v>0</v>
      </c>
      <c r="CC176" s="1201">
        <f t="shared" si="807"/>
        <v>0</v>
      </c>
      <c r="CD176" s="1202"/>
      <c r="CE176" s="1202"/>
      <c r="CF176" s="1202"/>
      <c r="CG176" s="1203"/>
      <c r="CH176" s="1289">
        <f>$F176</f>
        <v>0</v>
      </c>
      <c r="CI176" s="1205"/>
      <c r="CJ176" s="1205"/>
      <c r="CK176" s="1205"/>
      <c r="CL176" s="1206"/>
      <c r="CM176" s="1187">
        <f>$G176</f>
        <v>0</v>
      </c>
      <c r="CN176" s="1252"/>
      <c r="CO176" s="1209"/>
      <c r="CP176" s="1316">
        <f>SUM(CB176:CO176)</f>
        <v>0</v>
      </c>
      <c r="CS176" s="575"/>
      <c r="CT176" s="5"/>
      <c r="CU176" s="1180"/>
      <c r="CV176" s="575"/>
      <c r="CW176" s="5"/>
      <c r="CX176" s="1180"/>
      <c r="CY176" s="575"/>
      <c r="CZ176" s="5"/>
      <c r="DA176" s="1180"/>
      <c r="DB176" s="575"/>
      <c r="DC176" s="5"/>
      <c r="DD176" s="1180"/>
      <c r="DE176" s="1181">
        <f>SUM(CS176:DD176)</f>
        <v>0</v>
      </c>
      <c r="DG176" s="575"/>
      <c r="DH176" s="5"/>
      <c r="DI176" s="1180"/>
      <c r="DJ176" s="575"/>
      <c r="DK176" s="5"/>
      <c r="DL176" s="1180"/>
      <c r="DM176" s="575"/>
      <c r="DN176" s="5"/>
      <c r="DO176" s="1180"/>
      <c r="DP176" s="575"/>
      <c r="DQ176" s="5"/>
      <c r="DR176" s="1180"/>
      <c r="DS176" s="1181">
        <f>SUM(DG176:DR176)</f>
        <v>0</v>
      </c>
      <c r="DU176" s="575"/>
      <c r="DV176" s="5"/>
      <c r="DW176" s="1180"/>
      <c r="DX176" s="575"/>
      <c r="DY176" s="5"/>
      <c r="DZ176" s="1180"/>
      <c r="EA176" s="575"/>
      <c r="EB176" s="5"/>
      <c r="EC176" s="1180"/>
      <c r="ED176" s="575"/>
      <c r="EE176" s="5"/>
      <c r="EF176" s="1180"/>
      <c r="EG176" s="1181">
        <f>SUM(DU176:EF176)</f>
        <v>0</v>
      </c>
      <c r="EI176" s="26"/>
      <c r="EJ176" s="23"/>
      <c r="EK176" s="445" t="s">
        <v>15</v>
      </c>
      <c r="EL176" s="5">
        <f t="shared" si="808"/>
        <v>0</v>
      </c>
      <c r="EM176" s="5">
        <f t="shared" si="808"/>
        <v>0</v>
      </c>
      <c r="EN176" s="5">
        <f t="shared" si="808"/>
        <v>0</v>
      </c>
      <c r="EO176" s="5">
        <f t="shared" si="808"/>
        <v>0</v>
      </c>
      <c r="EP176" s="5">
        <f t="shared" si="808"/>
        <v>0</v>
      </c>
      <c r="EQ176" s="5">
        <f t="shared" si="808"/>
        <v>0</v>
      </c>
      <c r="ER176" s="12">
        <f>SUM(EL176:EQ176)</f>
        <v>0</v>
      </c>
      <c r="ET176" s="13"/>
      <c r="EV176" s="5">
        <f t="shared" si="809"/>
        <v>0</v>
      </c>
      <c r="EW176" s="5">
        <f t="shared" si="809"/>
        <v>0</v>
      </c>
      <c r="EX176" s="5">
        <f t="shared" si="809"/>
        <v>0</v>
      </c>
      <c r="EY176" s="5">
        <f t="shared" si="809"/>
        <v>0</v>
      </c>
      <c r="EZ176" s="5">
        <f t="shared" si="809"/>
        <v>0</v>
      </c>
      <c r="FA176" s="5">
        <f t="shared" si="809"/>
        <v>0</v>
      </c>
      <c r="FB176" s="167">
        <f>SUM(EV176:FA176)</f>
        <v>0</v>
      </c>
      <c r="FC176" s="1"/>
      <c r="FD176" s="5">
        <f t="shared" si="810"/>
        <v>0</v>
      </c>
      <c r="FE176" s="5">
        <f t="shared" si="810"/>
        <v>0</v>
      </c>
      <c r="FF176" s="5">
        <f t="shared" si="810"/>
        <v>0</v>
      </c>
      <c r="FG176" s="5">
        <f t="shared" si="810"/>
        <v>0</v>
      </c>
      <c r="FH176" s="5">
        <f t="shared" si="810"/>
        <v>0</v>
      </c>
      <c r="FI176" s="5">
        <f t="shared" si="810"/>
        <v>0</v>
      </c>
      <c r="FJ176" s="48">
        <f>SUM(FD176:FI176)</f>
        <v>0</v>
      </c>
      <c r="FL176" s="5">
        <f t="shared" si="811"/>
        <v>0</v>
      </c>
      <c r="FM176" s="5">
        <f t="shared" si="811"/>
        <v>0</v>
      </c>
      <c r="FN176" s="5">
        <f t="shared" si="811"/>
        <v>0</v>
      </c>
      <c r="FO176" s="5">
        <f t="shared" si="811"/>
        <v>0</v>
      </c>
      <c r="FP176" s="5">
        <f t="shared" si="811"/>
        <v>0</v>
      </c>
      <c r="FQ176" s="5">
        <f t="shared" si="811"/>
        <v>0</v>
      </c>
      <c r="FR176" s="209">
        <f>SUM(FL176:FQ176)</f>
        <v>0</v>
      </c>
      <c r="FT176" s="5">
        <f t="shared" si="812"/>
        <v>0</v>
      </c>
      <c r="FU176" s="5">
        <f t="shared" si="812"/>
        <v>0</v>
      </c>
      <c r="FV176" s="5">
        <f t="shared" si="812"/>
        <v>0</v>
      </c>
      <c r="FW176" s="5">
        <f t="shared" si="812"/>
        <v>0</v>
      </c>
      <c r="FX176" s="5">
        <f t="shared" si="812"/>
        <v>0</v>
      </c>
      <c r="FY176" s="5">
        <f t="shared" si="812"/>
        <v>0</v>
      </c>
      <c r="FZ176" s="181">
        <f>SUM(FT176:FY176)</f>
        <v>0</v>
      </c>
      <c r="GB176" s="5">
        <f t="shared" si="813"/>
        <v>0</v>
      </c>
      <c r="GC176" s="5">
        <f t="shared" si="813"/>
        <v>0</v>
      </c>
      <c r="GD176" s="5">
        <f t="shared" si="813"/>
        <v>0</v>
      </c>
      <c r="GE176" s="5">
        <f t="shared" si="813"/>
        <v>0</v>
      </c>
      <c r="GF176" s="5">
        <f t="shared" si="813"/>
        <v>0</v>
      </c>
      <c r="GG176" s="5">
        <f t="shared" si="813"/>
        <v>0</v>
      </c>
      <c r="GH176" s="153">
        <f>SUM(GB176:GG176)</f>
        <v>0</v>
      </c>
      <c r="GJ176" s="5">
        <f t="shared" si="814"/>
        <v>0</v>
      </c>
      <c r="GK176" s="5">
        <f t="shared" si="814"/>
        <v>0</v>
      </c>
      <c r="GL176" s="5">
        <f t="shared" si="814"/>
        <v>0</v>
      </c>
      <c r="GM176" s="5">
        <f t="shared" si="814"/>
        <v>0</v>
      </c>
      <c r="GN176" s="5">
        <f t="shared" si="814"/>
        <v>0</v>
      </c>
      <c r="GO176" s="5">
        <f t="shared" si="814"/>
        <v>0</v>
      </c>
      <c r="GP176" s="195">
        <f>SUM(GJ176:GO176)</f>
        <v>0</v>
      </c>
      <c r="GR176" s="21"/>
      <c r="GS176" s="21"/>
      <c r="GT176" s="21"/>
      <c r="GU176" s="21"/>
      <c r="GV176" s="21"/>
      <c r="GW176" s="21"/>
      <c r="GX176" s="1105">
        <f>SUM(GR176:GW176)</f>
        <v>0</v>
      </c>
      <c r="GZ176" s="575">
        <f t="shared" si="815"/>
        <v>0</v>
      </c>
      <c r="HA176" s="575">
        <f t="shared" si="815"/>
        <v>0</v>
      </c>
      <c r="HB176" s="575">
        <f t="shared" si="815"/>
        <v>0</v>
      </c>
      <c r="HC176" s="575">
        <f t="shared" si="815"/>
        <v>0</v>
      </c>
      <c r="HD176" s="575">
        <f t="shared" si="815"/>
        <v>0</v>
      </c>
      <c r="HE176" s="575">
        <f t="shared" si="815"/>
        <v>0</v>
      </c>
      <c r="HF176" s="991">
        <f>SUM(GZ176:HE176)</f>
        <v>0</v>
      </c>
      <c r="HG176" s="573">
        <f>SUM(ER176+HF176)</f>
        <v>0</v>
      </c>
      <c r="HH176" s="257"/>
    </row>
    <row r="177" spans="1:216" ht="15" customHeight="1" thickBot="1" x14ac:dyDescent="0.3">
      <c r="A177" s="447"/>
      <c r="B177" s="442"/>
      <c r="C177" s="470" t="s">
        <v>21</v>
      </c>
      <c r="D177" s="443">
        <f t="shared" ref="D177:J177" si="816">SUM(D173:D176)</f>
        <v>0</v>
      </c>
      <c r="E177" s="15">
        <f t="shared" si="816"/>
        <v>0</v>
      </c>
      <c r="F177" s="15">
        <f t="shared" si="816"/>
        <v>0</v>
      </c>
      <c r="G177" s="15">
        <f t="shared" si="816"/>
        <v>0</v>
      </c>
      <c r="H177" s="15">
        <f t="shared" si="816"/>
        <v>0</v>
      </c>
      <c r="I177" s="15">
        <f t="shared" si="816"/>
        <v>0</v>
      </c>
      <c r="J177" s="16">
        <f t="shared" si="816"/>
        <v>0</v>
      </c>
      <c r="K177" s="13">
        <f>SUM(D177:I177)</f>
        <v>0</v>
      </c>
      <c r="L177" s="35"/>
      <c r="M177" s="13"/>
      <c r="N177" s="169">
        <f t="shared" ref="N177:T177" si="817">SUM(N173:N176)</f>
        <v>0</v>
      </c>
      <c r="O177" s="169">
        <f t="shared" si="817"/>
        <v>0</v>
      </c>
      <c r="P177" s="169">
        <f t="shared" si="817"/>
        <v>0</v>
      </c>
      <c r="Q177" s="169">
        <f t="shared" si="817"/>
        <v>0</v>
      </c>
      <c r="R177" s="169">
        <f t="shared" si="817"/>
        <v>0</v>
      </c>
      <c r="S177" s="169">
        <f t="shared" si="817"/>
        <v>0</v>
      </c>
      <c r="T177" s="172">
        <f t="shared" si="817"/>
        <v>0</v>
      </c>
      <c r="U177" s="1"/>
      <c r="V177" s="142">
        <f t="shared" ref="V177:AB177" si="818">SUM(V173:V176)</f>
        <v>0</v>
      </c>
      <c r="W177" s="142">
        <f t="shared" si="818"/>
        <v>0</v>
      </c>
      <c r="X177" s="142">
        <f t="shared" si="818"/>
        <v>0</v>
      </c>
      <c r="Y177" s="142">
        <f t="shared" si="818"/>
        <v>0</v>
      </c>
      <c r="Z177" s="142">
        <f t="shared" si="818"/>
        <v>0</v>
      </c>
      <c r="AA177" s="142">
        <f t="shared" si="818"/>
        <v>0</v>
      </c>
      <c r="AB177" s="145">
        <f t="shared" si="818"/>
        <v>0</v>
      </c>
      <c r="AD177" s="211">
        <f t="shared" ref="AD177:AJ177" si="819">SUM(AD173:AD176)</f>
        <v>0</v>
      </c>
      <c r="AE177" s="211">
        <f t="shared" si="819"/>
        <v>0</v>
      </c>
      <c r="AF177" s="211">
        <f t="shared" si="819"/>
        <v>0</v>
      </c>
      <c r="AG177" s="211">
        <f t="shared" si="819"/>
        <v>0</v>
      </c>
      <c r="AH177" s="211">
        <f t="shared" si="819"/>
        <v>0</v>
      </c>
      <c r="AI177" s="211">
        <f t="shared" si="819"/>
        <v>0</v>
      </c>
      <c r="AJ177" s="214">
        <f t="shared" si="819"/>
        <v>0</v>
      </c>
      <c r="AL177" s="183">
        <f t="shared" ref="AL177:AR177" si="820">SUM(AL173:AL176)</f>
        <v>0</v>
      </c>
      <c r="AM177" s="183">
        <f t="shared" si="820"/>
        <v>0</v>
      </c>
      <c r="AN177" s="183">
        <f t="shared" si="820"/>
        <v>0</v>
      </c>
      <c r="AO177" s="183">
        <f t="shared" si="820"/>
        <v>0</v>
      </c>
      <c r="AP177" s="183">
        <f t="shared" si="820"/>
        <v>0</v>
      </c>
      <c r="AQ177" s="183">
        <f t="shared" si="820"/>
        <v>0</v>
      </c>
      <c r="AR177" s="186">
        <f t="shared" si="820"/>
        <v>0</v>
      </c>
      <c r="AT177" s="155">
        <f t="shared" ref="AT177:AZ177" si="821">SUM(AT173:AT176)</f>
        <v>0</v>
      </c>
      <c r="AU177" s="155">
        <f t="shared" si="821"/>
        <v>0</v>
      </c>
      <c r="AV177" s="155">
        <f t="shared" si="821"/>
        <v>0</v>
      </c>
      <c r="AW177" s="155">
        <f t="shared" si="821"/>
        <v>0</v>
      </c>
      <c r="AX177" s="155">
        <f t="shared" si="821"/>
        <v>0</v>
      </c>
      <c r="AY177" s="155">
        <f t="shared" si="821"/>
        <v>0</v>
      </c>
      <c r="AZ177" s="158">
        <f t="shared" si="821"/>
        <v>0</v>
      </c>
      <c r="BB177" s="197">
        <f t="shared" ref="BB177:BH177" si="822">SUM(BB173:BB176)</f>
        <v>0</v>
      </c>
      <c r="BC177" s="197">
        <f t="shared" si="822"/>
        <v>0</v>
      </c>
      <c r="BD177" s="197">
        <f t="shared" si="822"/>
        <v>0</v>
      </c>
      <c r="BE177" s="197">
        <f t="shared" si="822"/>
        <v>0</v>
      </c>
      <c r="BF177" s="197">
        <f t="shared" si="822"/>
        <v>0</v>
      </c>
      <c r="BG177" s="197">
        <f t="shared" si="822"/>
        <v>0</v>
      </c>
      <c r="BH177" s="200">
        <f t="shared" si="822"/>
        <v>0</v>
      </c>
      <c r="BJ177" s="1109">
        <f t="shared" ref="BJ177:BP177" si="823">SUM(BJ173:BJ176)</f>
        <v>0</v>
      </c>
      <c r="BK177" s="1109">
        <f t="shared" si="823"/>
        <v>0</v>
      </c>
      <c r="BL177" s="1109">
        <f t="shared" si="823"/>
        <v>0</v>
      </c>
      <c r="BM177" s="1109">
        <f t="shared" si="823"/>
        <v>0</v>
      </c>
      <c r="BN177" s="1109">
        <f t="shared" si="823"/>
        <v>0</v>
      </c>
      <c r="BO177" s="1109">
        <f t="shared" si="823"/>
        <v>0</v>
      </c>
      <c r="BP177" s="1114">
        <f t="shared" si="823"/>
        <v>0</v>
      </c>
      <c r="BR177" s="995">
        <f t="shared" si="806"/>
        <v>0</v>
      </c>
      <c r="BS177" s="995">
        <f t="shared" si="806"/>
        <v>0</v>
      </c>
      <c r="BT177" s="995">
        <f t="shared" si="806"/>
        <v>0</v>
      </c>
      <c r="BU177" s="995">
        <f t="shared" si="806"/>
        <v>0</v>
      </c>
      <c r="BV177" s="995">
        <f t="shared" si="806"/>
        <v>0</v>
      </c>
      <c r="BW177" s="995">
        <f t="shared" si="806"/>
        <v>0</v>
      </c>
      <c r="BX177" s="995">
        <f>SUM(BX173:BX176)</f>
        <v>0</v>
      </c>
      <c r="BY177" s="269">
        <f>SUM(BY173:BY176)</f>
        <v>0</v>
      </c>
      <c r="BZ177" s="218"/>
      <c r="CB177" s="1317">
        <f t="shared" ref="CB177:CO177" si="824">SUM(CB173:CB176)</f>
        <v>0</v>
      </c>
      <c r="CC177" s="1318">
        <f t="shared" si="824"/>
        <v>0</v>
      </c>
      <c r="CD177" s="1319">
        <f t="shared" si="824"/>
        <v>0</v>
      </c>
      <c r="CE177" s="1319">
        <f t="shared" si="824"/>
        <v>0</v>
      </c>
      <c r="CF177" s="1319">
        <f t="shared" si="824"/>
        <v>0</v>
      </c>
      <c r="CG177" s="1320">
        <f t="shared" si="824"/>
        <v>0</v>
      </c>
      <c r="CH177" s="1318">
        <f t="shared" si="824"/>
        <v>0</v>
      </c>
      <c r="CI177" s="1319">
        <f t="shared" si="824"/>
        <v>0</v>
      </c>
      <c r="CJ177" s="1319">
        <f t="shared" si="824"/>
        <v>0</v>
      </c>
      <c r="CK177" s="1319">
        <f t="shared" si="824"/>
        <v>0</v>
      </c>
      <c r="CL177" s="1321">
        <f t="shared" si="824"/>
        <v>0</v>
      </c>
      <c r="CM177" s="1318">
        <f t="shared" si="824"/>
        <v>0</v>
      </c>
      <c r="CN177" s="1319">
        <f t="shared" si="824"/>
        <v>0</v>
      </c>
      <c r="CO177" s="1320">
        <f t="shared" si="824"/>
        <v>0</v>
      </c>
      <c r="CP177" s="1329">
        <f>SUM(CB177:CO177)</f>
        <v>0</v>
      </c>
      <c r="CS177" s="1215">
        <f t="shared" ref="CS177:DE177" si="825">SUM(CS173:CS176)</f>
        <v>0</v>
      </c>
      <c r="CT177" s="1216">
        <f t="shared" si="825"/>
        <v>0</v>
      </c>
      <c r="CU177" s="275">
        <f t="shared" si="825"/>
        <v>0</v>
      </c>
      <c r="CV177" s="1215">
        <f t="shared" si="825"/>
        <v>0</v>
      </c>
      <c r="CW177" s="1216">
        <f t="shared" si="825"/>
        <v>0</v>
      </c>
      <c r="CX177" s="275">
        <f t="shared" si="825"/>
        <v>0</v>
      </c>
      <c r="CY177" s="1215">
        <f t="shared" si="825"/>
        <v>0</v>
      </c>
      <c r="CZ177" s="1216">
        <f t="shared" si="825"/>
        <v>0</v>
      </c>
      <c r="DA177" s="275">
        <f t="shared" si="825"/>
        <v>0</v>
      </c>
      <c r="DB177" s="1215">
        <f t="shared" si="825"/>
        <v>0</v>
      </c>
      <c r="DC177" s="1216">
        <f t="shared" si="825"/>
        <v>0</v>
      </c>
      <c r="DD177" s="275">
        <f t="shared" si="825"/>
        <v>0</v>
      </c>
      <c r="DE177" s="1062">
        <f t="shared" si="825"/>
        <v>0</v>
      </c>
      <c r="DG177" s="1215">
        <f t="shared" ref="DG177:DS177" si="826">SUM(DG173:DG176)</f>
        <v>0</v>
      </c>
      <c r="DH177" s="1216">
        <f t="shared" si="826"/>
        <v>0</v>
      </c>
      <c r="DI177" s="275">
        <f t="shared" si="826"/>
        <v>0</v>
      </c>
      <c r="DJ177" s="1215">
        <f t="shared" si="826"/>
        <v>0</v>
      </c>
      <c r="DK177" s="1216">
        <f t="shared" si="826"/>
        <v>0</v>
      </c>
      <c r="DL177" s="275">
        <f t="shared" si="826"/>
        <v>0</v>
      </c>
      <c r="DM177" s="1215">
        <f t="shared" si="826"/>
        <v>0</v>
      </c>
      <c r="DN177" s="1216">
        <f t="shared" si="826"/>
        <v>0</v>
      </c>
      <c r="DO177" s="275">
        <f t="shared" si="826"/>
        <v>0</v>
      </c>
      <c r="DP177" s="1215">
        <f t="shared" si="826"/>
        <v>0</v>
      </c>
      <c r="DQ177" s="1216">
        <f t="shared" si="826"/>
        <v>0</v>
      </c>
      <c r="DR177" s="275">
        <f t="shared" si="826"/>
        <v>0</v>
      </c>
      <c r="DS177" s="1062">
        <f t="shared" si="826"/>
        <v>0</v>
      </c>
      <c r="DU177" s="1215">
        <f t="shared" ref="DU177:EG177" si="827">SUM(DU173:DU176)</f>
        <v>0</v>
      </c>
      <c r="DV177" s="1216">
        <f t="shared" si="827"/>
        <v>0</v>
      </c>
      <c r="DW177" s="275">
        <f t="shared" si="827"/>
        <v>0</v>
      </c>
      <c r="DX177" s="1215">
        <f t="shared" si="827"/>
        <v>0</v>
      </c>
      <c r="DY177" s="1216">
        <f t="shared" si="827"/>
        <v>0</v>
      </c>
      <c r="DZ177" s="275">
        <f t="shared" si="827"/>
        <v>0</v>
      </c>
      <c r="EA177" s="1215">
        <f t="shared" si="827"/>
        <v>0</v>
      </c>
      <c r="EB177" s="1216">
        <f t="shared" si="827"/>
        <v>0</v>
      </c>
      <c r="EC177" s="275">
        <f t="shared" si="827"/>
        <v>0</v>
      </c>
      <c r="ED177" s="1215">
        <f t="shared" si="827"/>
        <v>0</v>
      </c>
      <c r="EE177" s="1216">
        <f t="shared" si="827"/>
        <v>0</v>
      </c>
      <c r="EF177" s="275">
        <f t="shared" si="827"/>
        <v>0</v>
      </c>
      <c r="EG177" s="1062">
        <f t="shared" si="827"/>
        <v>0</v>
      </c>
      <c r="EI177" s="447"/>
      <c r="EJ177" s="442"/>
      <c r="EK177" s="470" t="s">
        <v>21</v>
      </c>
      <c r="EL177" s="443">
        <f t="shared" ref="EL177:ER177" si="828">SUM(EL173:EL176)</f>
        <v>0</v>
      </c>
      <c r="EM177" s="15">
        <f t="shared" si="828"/>
        <v>0</v>
      </c>
      <c r="EN177" s="15">
        <f t="shared" si="828"/>
        <v>0</v>
      </c>
      <c r="EO177" s="15">
        <f t="shared" si="828"/>
        <v>0</v>
      </c>
      <c r="EP177" s="15">
        <f t="shared" si="828"/>
        <v>0</v>
      </c>
      <c r="EQ177" s="15">
        <f t="shared" si="828"/>
        <v>0</v>
      </c>
      <c r="ER177" s="16">
        <f t="shared" si="828"/>
        <v>0</v>
      </c>
      <c r="ES177" s="13">
        <f>SUM(EL177:EQ177)</f>
        <v>0</v>
      </c>
      <c r="ET177" s="35"/>
      <c r="EU177" s="13"/>
      <c r="EV177" s="169">
        <f t="shared" ref="EV177:FB177" si="829">SUM(EV173:EV176)</f>
        <v>0</v>
      </c>
      <c r="EW177" s="169">
        <f t="shared" si="829"/>
        <v>0</v>
      </c>
      <c r="EX177" s="169">
        <f t="shared" si="829"/>
        <v>0</v>
      </c>
      <c r="EY177" s="169">
        <f t="shared" si="829"/>
        <v>0</v>
      </c>
      <c r="EZ177" s="169">
        <f t="shared" si="829"/>
        <v>0</v>
      </c>
      <c r="FA177" s="169">
        <f t="shared" si="829"/>
        <v>0</v>
      </c>
      <c r="FB177" s="172">
        <f t="shared" si="829"/>
        <v>0</v>
      </c>
      <c r="FC177" s="1"/>
      <c r="FD177" s="142">
        <f t="shared" ref="FD177:FJ177" si="830">SUM(FD173:FD176)</f>
        <v>0</v>
      </c>
      <c r="FE177" s="142">
        <f t="shared" si="830"/>
        <v>0</v>
      </c>
      <c r="FF177" s="142">
        <f t="shared" si="830"/>
        <v>0</v>
      </c>
      <c r="FG177" s="142">
        <f t="shared" si="830"/>
        <v>0</v>
      </c>
      <c r="FH177" s="142">
        <f t="shared" si="830"/>
        <v>0</v>
      </c>
      <c r="FI177" s="142">
        <f t="shared" si="830"/>
        <v>0</v>
      </c>
      <c r="FJ177" s="145">
        <f t="shared" si="830"/>
        <v>0</v>
      </c>
      <c r="FL177" s="211">
        <f t="shared" ref="FL177:FR177" si="831">SUM(FL173:FL176)</f>
        <v>0</v>
      </c>
      <c r="FM177" s="211">
        <f t="shared" si="831"/>
        <v>0</v>
      </c>
      <c r="FN177" s="211">
        <f t="shared" si="831"/>
        <v>0</v>
      </c>
      <c r="FO177" s="211">
        <f t="shared" si="831"/>
        <v>0</v>
      </c>
      <c r="FP177" s="211">
        <f t="shared" si="831"/>
        <v>0</v>
      </c>
      <c r="FQ177" s="211">
        <f t="shared" si="831"/>
        <v>0</v>
      </c>
      <c r="FR177" s="214">
        <f t="shared" si="831"/>
        <v>0</v>
      </c>
      <c r="FT177" s="183">
        <f t="shared" ref="FT177:FZ177" si="832">SUM(FT173:FT176)</f>
        <v>0</v>
      </c>
      <c r="FU177" s="183">
        <f t="shared" si="832"/>
        <v>0</v>
      </c>
      <c r="FV177" s="183">
        <f t="shared" si="832"/>
        <v>0</v>
      </c>
      <c r="FW177" s="183">
        <f t="shared" si="832"/>
        <v>0</v>
      </c>
      <c r="FX177" s="183">
        <f t="shared" si="832"/>
        <v>0</v>
      </c>
      <c r="FY177" s="183">
        <f t="shared" si="832"/>
        <v>0</v>
      </c>
      <c r="FZ177" s="186">
        <f t="shared" si="832"/>
        <v>0</v>
      </c>
      <c r="GB177" s="155">
        <f t="shared" ref="GB177:GH177" si="833">SUM(GB173:GB176)</f>
        <v>0</v>
      </c>
      <c r="GC177" s="155">
        <f t="shared" si="833"/>
        <v>0</v>
      </c>
      <c r="GD177" s="155">
        <f t="shared" si="833"/>
        <v>0</v>
      </c>
      <c r="GE177" s="155">
        <f t="shared" si="833"/>
        <v>0</v>
      </c>
      <c r="GF177" s="155">
        <f t="shared" si="833"/>
        <v>0</v>
      </c>
      <c r="GG177" s="155">
        <f t="shared" si="833"/>
        <v>0</v>
      </c>
      <c r="GH177" s="158">
        <f t="shared" si="833"/>
        <v>0</v>
      </c>
      <c r="GJ177" s="197">
        <f t="shared" ref="GJ177:GP177" si="834">SUM(GJ173:GJ176)</f>
        <v>0</v>
      </c>
      <c r="GK177" s="197">
        <f t="shared" si="834"/>
        <v>0</v>
      </c>
      <c r="GL177" s="197">
        <f t="shared" si="834"/>
        <v>0</v>
      </c>
      <c r="GM177" s="197">
        <f t="shared" si="834"/>
        <v>0</v>
      </c>
      <c r="GN177" s="197">
        <f t="shared" si="834"/>
        <v>0</v>
      </c>
      <c r="GO177" s="197">
        <f t="shared" si="834"/>
        <v>0</v>
      </c>
      <c r="GP177" s="200">
        <f t="shared" si="834"/>
        <v>0</v>
      </c>
      <c r="GR177" s="1109">
        <f t="shared" ref="GR177:GX177" si="835">SUM(GR173:GR176)</f>
        <v>0</v>
      </c>
      <c r="GS177" s="1109">
        <f t="shared" si="835"/>
        <v>0</v>
      </c>
      <c r="GT177" s="1109">
        <f t="shared" si="835"/>
        <v>0</v>
      </c>
      <c r="GU177" s="1109">
        <f t="shared" si="835"/>
        <v>0</v>
      </c>
      <c r="GV177" s="1109">
        <f t="shared" si="835"/>
        <v>0</v>
      </c>
      <c r="GW177" s="1109">
        <f t="shared" si="835"/>
        <v>0</v>
      </c>
      <c r="GX177" s="1114">
        <f t="shared" si="835"/>
        <v>0</v>
      </c>
      <c r="GZ177" s="995">
        <f t="shared" si="815"/>
        <v>0</v>
      </c>
      <c r="HA177" s="995">
        <f t="shared" si="815"/>
        <v>0</v>
      </c>
      <c r="HB177" s="995">
        <f t="shared" si="815"/>
        <v>0</v>
      </c>
      <c r="HC177" s="995">
        <f t="shared" si="815"/>
        <v>0</v>
      </c>
      <c r="HD177" s="995">
        <f t="shared" si="815"/>
        <v>0</v>
      </c>
      <c r="HE177" s="995">
        <f t="shared" si="815"/>
        <v>0</v>
      </c>
      <c r="HF177" s="995">
        <f>SUM(HF173:HF176)</f>
        <v>0</v>
      </c>
      <c r="HG177" s="269">
        <f>SUM(HG173:HG176)</f>
        <v>0</v>
      </c>
      <c r="HH177" s="218"/>
    </row>
    <row r="178" spans="1:216" ht="15" customHeight="1" thickBot="1" x14ac:dyDescent="0.3">
      <c r="A178" s="25"/>
      <c r="C178" s="45"/>
      <c r="D178" s="437"/>
      <c r="E178" s="437"/>
      <c r="F178" s="437"/>
      <c r="G178" s="437"/>
      <c r="H178" s="437"/>
      <c r="I178" s="437"/>
      <c r="J178" s="438"/>
      <c r="K178" s="35"/>
      <c r="L178" s="35"/>
      <c r="M178" s="35"/>
      <c r="N178" s="38"/>
      <c r="O178" s="38"/>
      <c r="P178" s="38"/>
      <c r="Q178" s="38"/>
      <c r="R178" s="38"/>
      <c r="S178" s="38"/>
      <c r="T178" s="39"/>
      <c r="U178" s="1"/>
      <c r="V178" s="38"/>
      <c r="W178" s="38"/>
      <c r="X178" s="38"/>
      <c r="Y178" s="38"/>
      <c r="Z178" s="38"/>
      <c r="AA178" s="38"/>
      <c r="AB178" s="39"/>
      <c r="AD178" s="38"/>
      <c r="AE178" s="38"/>
      <c r="AF178" s="38"/>
      <c r="AG178" s="38"/>
      <c r="AH178" s="38"/>
      <c r="AI178" s="38"/>
      <c r="AJ178" s="39"/>
      <c r="AL178" s="38"/>
      <c r="AM178" s="38"/>
      <c r="AN178" s="38"/>
      <c r="AO178" s="38"/>
      <c r="AP178" s="38"/>
      <c r="AQ178" s="38"/>
      <c r="AR178" s="39"/>
      <c r="AT178" s="38"/>
      <c r="AU178" s="38"/>
      <c r="AV178" s="38"/>
      <c r="AW178" s="38"/>
      <c r="AX178" s="38"/>
      <c r="AY178" s="38"/>
      <c r="AZ178" s="39"/>
      <c r="BB178" s="38"/>
      <c r="BC178" s="38"/>
      <c r="BD178" s="38"/>
      <c r="BE178" s="38"/>
      <c r="BF178" s="38"/>
      <c r="BG178" s="38"/>
      <c r="BH178" s="39"/>
      <c r="BJ178" s="38"/>
      <c r="BK178" s="38"/>
      <c r="BL178" s="38"/>
      <c r="BM178" s="38"/>
      <c r="BN178" s="38"/>
      <c r="BO178" s="38"/>
      <c r="BP178" s="39"/>
      <c r="BR178" s="218"/>
      <c r="BS178" s="218"/>
      <c r="BT178" s="218"/>
      <c r="BU178" s="218"/>
      <c r="BV178" s="218"/>
      <c r="BW178" s="218"/>
      <c r="BX178" s="218"/>
      <c r="BY178" s="218"/>
      <c r="BZ178" s="218"/>
      <c r="CB178" s="1217"/>
      <c r="CC178" s="1217"/>
      <c r="CD178" s="1217"/>
      <c r="CE178" s="1217"/>
      <c r="CF178" s="1217"/>
      <c r="CG178" s="1217"/>
      <c r="CH178" s="1217"/>
      <c r="CI178" s="1217"/>
      <c r="CJ178" s="1217"/>
      <c r="CK178" s="1217"/>
      <c r="CL178" s="1217"/>
      <c r="CM178" s="1217"/>
      <c r="CN178" s="1217"/>
      <c r="CO178" s="1217"/>
      <c r="CP178" s="1217"/>
      <c r="EI178" s="25"/>
      <c r="EK178" s="45"/>
      <c r="EL178" s="437"/>
      <c r="EM178" s="437"/>
      <c r="EN178" s="437"/>
      <c r="EO178" s="437"/>
      <c r="EP178" s="437"/>
      <c r="EQ178" s="437"/>
      <c r="ER178" s="438"/>
      <c r="ES178" s="35"/>
      <c r="ET178" s="35"/>
      <c r="EU178" s="35"/>
      <c r="EV178" s="38"/>
      <c r="EW178" s="38"/>
      <c r="EX178" s="38"/>
      <c r="EY178" s="38"/>
      <c r="EZ178" s="38"/>
      <c r="FA178" s="38"/>
      <c r="FB178" s="39"/>
      <c r="FC178" s="1"/>
      <c r="FD178" s="38"/>
      <c r="FE178" s="38"/>
      <c r="FF178" s="38"/>
      <c r="FG178" s="38"/>
      <c r="FH178" s="38"/>
      <c r="FI178" s="38"/>
      <c r="FJ178" s="39"/>
      <c r="FL178" s="38"/>
      <c r="FM178" s="38"/>
      <c r="FN178" s="38"/>
      <c r="FO178" s="38"/>
      <c r="FP178" s="38"/>
      <c r="FQ178" s="38"/>
      <c r="FR178" s="39"/>
      <c r="FT178" s="38"/>
      <c r="FU178" s="38"/>
      <c r="FV178" s="38"/>
      <c r="FW178" s="38"/>
      <c r="FX178" s="38"/>
      <c r="FY178" s="38"/>
      <c r="FZ178" s="39"/>
      <c r="GB178" s="38"/>
      <c r="GC178" s="38"/>
      <c r="GD178" s="38"/>
      <c r="GE178" s="38"/>
      <c r="GF178" s="38"/>
      <c r="GG178" s="38"/>
      <c r="GH178" s="39"/>
      <c r="GJ178" s="38"/>
      <c r="GK178" s="38"/>
      <c r="GL178" s="38"/>
      <c r="GM178" s="38"/>
      <c r="GN178" s="38"/>
      <c r="GO178" s="38"/>
      <c r="GP178" s="39"/>
      <c r="GR178" s="38"/>
      <c r="GS178" s="38"/>
      <c r="GT178" s="38"/>
      <c r="GU178" s="38"/>
      <c r="GV178" s="38"/>
      <c r="GW178" s="38"/>
      <c r="GX178" s="39"/>
      <c r="GZ178" s="218"/>
      <c r="HA178" s="218"/>
      <c r="HB178" s="218"/>
      <c r="HC178" s="218"/>
      <c r="HD178" s="218"/>
      <c r="HE178" s="218"/>
      <c r="HF178" s="218"/>
      <c r="HG178" s="218"/>
      <c r="HH178" s="218"/>
    </row>
    <row r="179" spans="1:216" ht="15" customHeight="1" thickBot="1" x14ac:dyDescent="0.3">
      <c r="A179" s="429" t="s">
        <v>29</v>
      </c>
      <c r="B179" s="2699" t="s">
        <v>39</v>
      </c>
      <c r="C179" s="2700"/>
      <c r="D179" s="2700"/>
      <c r="E179" s="2700"/>
      <c r="F179" s="2700"/>
      <c r="G179" s="2700"/>
      <c r="H179" s="2700"/>
      <c r="I179" s="2700"/>
      <c r="J179" s="2701"/>
      <c r="K179" s="35"/>
      <c r="L179"/>
      <c r="M179" s="35"/>
      <c r="N179" s="870" t="s">
        <v>39</v>
      </c>
      <c r="O179" s="1098"/>
      <c r="P179" s="1098"/>
      <c r="Q179" s="1098"/>
      <c r="R179" s="1098"/>
      <c r="S179" s="1098"/>
      <c r="T179" s="1099"/>
      <c r="U179" s="24"/>
      <c r="V179" s="870" t="s">
        <v>39</v>
      </c>
      <c r="W179" s="1098"/>
      <c r="X179" s="1098"/>
      <c r="Y179" s="1098"/>
      <c r="Z179" s="1098"/>
      <c r="AA179" s="1098"/>
      <c r="AB179" s="1099"/>
      <c r="AC179" s="24"/>
      <c r="AD179" s="870" t="s">
        <v>39</v>
      </c>
      <c r="AE179" s="1098"/>
      <c r="AF179" s="1098"/>
      <c r="AG179" s="1098"/>
      <c r="AH179" s="1098"/>
      <c r="AI179" s="1098"/>
      <c r="AJ179" s="1099"/>
      <c r="AK179" s="24"/>
      <c r="AL179" s="870" t="s">
        <v>39</v>
      </c>
      <c r="AM179" s="1098"/>
      <c r="AN179" s="1098"/>
      <c r="AO179" s="1098"/>
      <c r="AP179" s="1098"/>
      <c r="AQ179" s="1098"/>
      <c r="AR179" s="1099"/>
      <c r="AS179" s="24"/>
      <c r="AT179" s="870" t="s">
        <v>39</v>
      </c>
      <c r="AU179" s="1098"/>
      <c r="AV179" s="1098"/>
      <c r="AW179" s="1098"/>
      <c r="AX179" s="1098"/>
      <c r="AY179" s="1098"/>
      <c r="AZ179" s="1099"/>
      <c r="BA179" s="24"/>
      <c r="BB179" s="870" t="s">
        <v>39</v>
      </c>
      <c r="BC179" s="1098"/>
      <c r="BD179" s="1098"/>
      <c r="BE179" s="1098"/>
      <c r="BF179" s="1098"/>
      <c r="BG179" s="1098"/>
      <c r="BH179" s="1099"/>
      <c r="BJ179" s="870" t="s">
        <v>39</v>
      </c>
      <c r="BK179" s="861"/>
      <c r="BL179" s="861"/>
      <c r="BM179" s="861"/>
      <c r="BN179" s="861"/>
      <c r="BO179" s="861"/>
      <c r="BP179" s="1125"/>
      <c r="BR179" s="1010" t="s">
        <v>39</v>
      </c>
      <c r="BS179" s="1011"/>
      <c r="BT179" s="1011"/>
      <c r="BU179" s="1011"/>
      <c r="BV179" s="1011"/>
      <c r="BW179" s="1011"/>
      <c r="BX179" s="1011"/>
      <c r="BY179" s="1012"/>
      <c r="BZ179" s="1"/>
      <c r="CB179" s="2721" t="s">
        <v>39</v>
      </c>
      <c r="CC179" s="2722"/>
      <c r="CD179" s="2722"/>
      <c r="CE179" s="2722"/>
      <c r="CF179" s="2722"/>
      <c r="CG179" s="2722"/>
      <c r="CH179" s="2722"/>
      <c r="CI179" s="2722"/>
      <c r="CJ179" s="2722"/>
      <c r="CK179" s="2722"/>
      <c r="CL179" s="2722"/>
      <c r="CM179" s="2722"/>
      <c r="CN179" s="2722"/>
      <c r="CO179" s="2722"/>
      <c r="CP179" s="2723"/>
      <c r="CS179" s="328" t="s">
        <v>166</v>
      </c>
      <c r="CT179" s="597"/>
      <c r="CU179" s="597"/>
      <c r="CV179" s="597"/>
      <c r="CW179" s="597"/>
      <c r="CX179" s="597"/>
      <c r="CY179" s="597"/>
      <c r="CZ179" s="597"/>
      <c r="DA179" s="597"/>
      <c r="DB179" s="597"/>
      <c r="DC179" s="597"/>
      <c r="DD179" s="597"/>
      <c r="DE179" s="596"/>
      <c r="DG179" s="328" t="s">
        <v>166</v>
      </c>
      <c r="DH179" s="597"/>
      <c r="DI179" s="597"/>
      <c r="DJ179" s="597"/>
      <c r="DK179" s="597"/>
      <c r="DL179" s="597"/>
      <c r="DM179" s="597"/>
      <c r="DN179" s="597"/>
      <c r="DO179" s="597"/>
      <c r="DP179" s="597"/>
      <c r="DQ179" s="597"/>
      <c r="DR179" s="597"/>
      <c r="DS179" s="596"/>
      <c r="DU179" s="328" t="s">
        <v>166</v>
      </c>
      <c r="DV179" s="597"/>
      <c r="DW179" s="597"/>
      <c r="DX179" s="597"/>
      <c r="DY179" s="597"/>
      <c r="DZ179" s="597"/>
      <c r="EA179" s="597"/>
      <c r="EB179" s="597"/>
      <c r="EC179" s="597"/>
      <c r="ED179" s="597"/>
      <c r="EE179" s="597"/>
      <c r="EF179" s="597"/>
      <c r="EG179" s="596"/>
      <c r="EI179" s="429" t="s">
        <v>29</v>
      </c>
      <c r="EJ179" s="2699" t="s">
        <v>39</v>
      </c>
      <c r="EK179" s="2700"/>
      <c r="EL179" s="2700"/>
      <c r="EM179" s="2700"/>
      <c r="EN179" s="2700"/>
      <c r="EO179" s="2700"/>
      <c r="EP179" s="2700"/>
      <c r="EQ179" s="2700"/>
      <c r="ER179" s="2701"/>
      <c r="ES179" s="35"/>
      <c r="ET179"/>
      <c r="EU179" s="35"/>
      <c r="EV179" s="870" t="s">
        <v>39</v>
      </c>
      <c r="EW179" s="1098"/>
      <c r="EX179" s="1098"/>
      <c r="EY179" s="1098"/>
      <c r="EZ179" s="1098"/>
      <c r="FA179" s="1098"/>
      <c r="FB179" s="1099"/>
      <c r="FC179" s="24"/>
      <c r="FD179" s="870" t="s">
        <v>39</v>
      </c>
      <c r="FE179" s="1098"/>
      <c r="FF179" s="1098"/>
      <c r="FG179" s="1098"/>
      <c r="FH179" s="1098"/>
      <c r="FI179" s="1098"/>
      <c r="FJ179" s="1099"/>
      <c r="FK179" s="24"/>
      <c r="FL179" s="870" t="s">
        <v>39</v>
      </c>
      <c r="FM179" s="1098"/>
      <c r="FN179" s="1098"/>
      <c r="FO179" s="1098"/>
      <c r="FP179" s="1098"/>
      <c r="FQ179" s="1098"/>
      <c r="FR179" s="1099"/>
      <c r="FS179" s="24"/>
      <c r="FT179" s="870" t="s">
        <v>39</v>
      </c>
      <c r="FU179" s="1098"/>
      <c r="FV179" s="1098"/>
      <c r="FW179" s="1098"/>
      <c r="FX179" s="1098"/>
      <c r="FY179" s="1098"/>
      <c r="FZ179" s="1099"/>
      <c r="GA179" s="24"/>
      <c r="GB179" s="870" t="s">
        <v>39</v>
      </c>
      <c r="GC179" s="1098"/>
      <c r="GD179" s="1098"/>
      <c r="GE179" s="1098"/>
      <c r="GF179" s="1098"/>
      <c r="GG179" s="1098"/>
      <c r="GH179" s="1099"/>
      <c r="GI179" s="24"/>
      <c r="GJ179" s="870" t="s">
        <v>39</v>
      </c>
      <c r="GK179" s="1098"/>
      <c r="GL179" s="1098"/>
      <c r="GM179" s="1098"/>
      <c r="GN179" s="1098"/>
      <c r="GO179" s="1098"/>
      <c r="GP179" s="1099"/>
      <c r="GR179" s="870" t="s">
        <v>39</v>
      </c>
      <c r="GS179" s="861"/>
      <c r="GT179" s="861"/>
      <c r="GU179" s="861"/>
      <c r="GV179" s="861"/>
      <c r="GW179" s="861"/>
      <c r="GX179" s="1125"/>
      <c r="GZ179" s="1010" t="s">
        <v>39</v>
      </c>
      <c r="HA179" s="1011"/>
      <c r="HB179" s="1011"/>
      <c r="HC179" s="1011"/>
      <c r="HD179" s="1011"/>
      <c r="HE179" s="1011"/>
      <c r="HF179" s="1011"/>
      <c r="HG179" s="1012"/>
      <c r="HH179" s="1"/>
    </row>
    <row r="180" spans="1:216" ht="15" customHeight="1" thickBot="1" x14ac:dyDescent="0.3">
      <c r="A180" s="432" t="s">
        <v>30</v>
      </c>
      <c r="B180" s="439"/>
      <c r="C180" s="26" t="str">
        <f>'DATA INPUT'!B93</f>
        <v>Materials and Supplies</v>
      </c>
      <c r="D180" s="41">
        <f>'DATA INPUT'!I93</f>
        <v>900</v>
      </c>
      <c r="E180" s="41">
        <f>'DATA INPUT'!J93</f>
        <v>0</v>
      </c>
      <c r="F180" s="41">
        <f>'DATA INPUT'!K93</f>
        <v>0</v>
      </c>
      <c r="G180" s="41">
        <f>'DATA INPUT'!L93</f>
        <v>0</v>
      </c>
      <c r="H180" s="41">
        <f>'DATA INPUT'!M93</f>
        <v>0</v>
      </c>
      <c r="I180" s="41">
        <f>'DATA INPUT'!N93</f>
        <v>0</v>
      </c>
      <c r="J180" s="345">
        <f t="shared" ref="J180:J185" si="836">SUM(D180:I180)</f>
        <v>900</v>
      </c>
      <c r="K180"/>
      <c r="L180"/>
      <c r="M180"/>
      <c r="N180" s="5"/>
      <c r="O180" s="5"/>
      <c r="P180" s="5"/>
      <c r="Q180" s="5"/>
      <c r="R180" s="5"/>
      <c r="S180" s="5"/>
      <c r="T180" s="167">
        <f t="shared" ref="T180:T185" si="837">SUM(N180:S180)</f>
        <v>0</v>
      </c>
      <c r="U180" s="1"/>
      <c r="V180" s="5"/>
      <c r="W180" s="5"/>
      <c r="X180" s="5"/>
      <c r="Y180" s="5"/>
      <c r="Z180" s="5"/>
      <c r="AA180" s="5"/>
      <c r="AB180" s="48">
        <f t="shared" ref="AB180:AB185" si="838">SUM(V180:AA180)</f>
        <v>0</v>
      </c>
      <c r="AD180" s="5"/>
      <c r="AE180" s="5"/>
      <c r="AF180" s="5"/>
      <c r="AG180" s="5"/>
      <c r="AH180" s="5"/>
      <c r="AI180" s="5"/>
      <c r="AJ180" s="209">
        <f t="shared" ref="AJ180:AJ185" si="839">SUM(AD180:AI180)</f>
        <v>0</v>
      </c>
      <c r="AL180" s="5"/>
      <c r="AM180" s="5"/>
      <c r="AN180" s="5"/>
      <c r="AO180" s="5"/>
      <c r="AP180" s="5"/>
      <c r="AQ180" s="5"/>
      <c r="AR180" s="181">
        <f t="shared" ref="AR180:AR185" si="840">SUM(AL180:AQ180)</f>
        <v>0</v>
      </c>
      <c r="AT180" s="5"/>
      <c r="AU180" s="5"/>
      <c r="AV180" s="5"/>
      <c r="AW180" s="5"/>
      <c r="AX180" s="5"/>
      <c r="AY180" s="5"/>
      <c r="AZ180" s="153">
        <f t="shared" ref="AZ180:AZ185" si="841">SUM(AT180:AY180)</f>
        <v>0</v>
      </c>
      <c r="BB180" s="5"/>
      <c r="BC180" s="5"/>
      <c r="BD180" s="5"/>
      <c r="BE180" s="5"/>
      <c r="BF180" s="5"/>
      <c r="BG180" s="5"/>
      <c r="BH180" s="195">
        <f t="shared" ref="BH180:BH185" si="842">SUM(BB180:BG180)</f>
        <v>0</v>
      </c>
      <c r="BJ180" s="5"/>
      <c r="BK180" s="5"/>
      <c r="BL180" s="5"/>
      <c r="BM180" s="5"/>
      <c r="BN180" s="5"/>
      <c r="BO180" s="5"/>
      <c r="BP180" s="1105">
        <f t="shared" ref="BP180:BP185" si="843">SUM(BJ180:BO180)</f>
        <v>0</v>
      </c>
      <c r="BR180" s="574">
        <f t="shared" ref="BR180:BR211" si="844">SUM(N180,V180,AD180,AL180,AT180,BB180)</f>
        <v>0</v>
      </c>
      <c r="BS180" s="574">
        <f t="shared" ref="BS180:BS211" si="845">SUM(O180,W180,AE180,AM180,AU180,BC180)</f>
        <v>0</v>
      </c>
      <c r="BT180" s="574">
        <f t="shared" ref="BT180:BT211" si="846">SUM(P180,X180,AF180,AN180,AV180,BD180)</f>
        <v>0</v>
      </c>
      <c r="BU180" s="574">
        <f t="shared" ref="BU180:BU211" si="847">SUM(Q180,Y180,AG180,AO180,AW180,BE180)</f>
        <v>0</v>
      </c>
      <c r="BV180" s="574">
        <f t="shared" ref="BV180:BV211" si="848">SUM(R180,Z180,AH180,AP180,AX180,BF180)</f>
        <v>0</v>
      </c>
      <c r="BW180" s="574">
        <f t="shared" ref="BW180:BW211" si="849">SUM(S180,AA180,AI180,AQ180,AY180,BG180)</f>
        <v>0</v>
      </c>
      <c r="BX180" s="990">
        <f t="shared" ref="BX180:BX211" si="850">SUM(BR180:BW180)</f>
        <v>0</v>
      </c>
      <c r="BY180" s="276">
        <f t="shared" ref="BY180:BY211" si="851">SUM(J180+BX180)</f>
        <v>900</v>
      </c>
      <c r="BZ180" s="257"/>
      <c r="CB180" s="1322">
        <f t="shared" ref="CB180:CB185" si="852">D180</f>
        <v>900</v>
      </c>
      <c r="CC180" s="386">
        <f>$E180/12*3</f>
        <v>0</v>
      </c>
      <c r="CD180" s="360">
        <f>$E180/12*3</f>
        <v>0</v>
      </c>
      <c r="CE180" s="360">
        <f>$E180/12*2</f>
        <v>0</v>
      </c>
      <c r="CF180" s="360">
        <f>$E180/12*1</f>
        <v>0</v>
      </c>
      <c r="CG180" s="1161">
        <f>$E180/12*3</f>
        <v>0</v>
      </c>
      <c r="CH180" s="1241">
        <f>$F180/12*3</f>
        <v>0</v>
      </c>
      <c r="CI180" s="1163">
        <f>$F180/12*3</f>
        <v>0</v>
      </c>
      <c r="CJ180" s="1163">
        <f>$F180/12*2</f>
        <v>0</v>
      </c>
      <c r="CK180" s="1163">
        <f>$F180/12*1</f>
        <v>0</v>
      </c>
      <c r="CL180" s="1164">
        <f>$F180/12*3</f>
        <v>0</v>
      </c>
      <c r="CM180" s="1165">
        <f>$G180/8*3</f>
        <v>0</v>
      </c>
      <c r="CN180" s="1188">
        <f>$G180/8*3</f>
        <v>0</v>
      </c>
      <c r="CO180" s="1189">
        <f>$G180/8*2</f>
        <v>0</v>
      </c>
      <c r="CP180" s="1168">
        <f t="shared" ref="CP180:CP185" si="853">SUM(CB180:CO180)</f>
        <v>900</v>
      </c>
      <c r="CS180" s="574"/>
      <c r="CT180" s="86"/>
      <c r="CU180" s="1169"/>
      <c r="CV180" s="574"/>
      <c r="CW180" s="86"/>
      <c r="CX180" s="1169"/>
      <c r="CY180" s="574"/>
      <c r="CZ180" s="86"/>
      <c r="DA180" s="1169"/>
      <c r="DB180" s="574"/>
      <c r="DC180" s="86"/>
      <c r="DD180" s="1169"/>
      <c r="DE180" s="1065">
        <f t="shared" ref="DE180:DE185" si="854">SUM(CS180:DD180)</f>
        <v>0</v>
      </c>
      <c r="DG180" s="574"/>
      <c r="DH180" s="86"/>
      <c r="DI180" s="1169"/>
      <c r="DJ180" s="574"/>
      <c r="DK180" s="86"/>
      <c r="DL180" s="1169"/>
      <c r="DM180" s="574"/>
      <c r="DN180" s="86"/>
      <c r="DO180" s="1169"/>
      <c r="DP180" s="574"/>
      <c r="DQ180" s="86"/>
      <c r="DR180" s="1169"/>
      <c r="DS180" s="1065">
        <f t="shared" ref="DS180:DS185" si="855">SUM(DG180:DR180)</f>
        <v>0</v>
      </c>
      <c r="DU180" s="574"/>
      <c r="DV180" s="86"/>
      <c r="DW180" s="1169"/>
      <c r="DX180" s="574"/>
      <c r="DY180" s="86"/>
      <c r="DZ180" s="1169"/>
      <c r="EA180" s="574"/>
      <c r="EB180" s="86"/>
      <c r="EC180" s="1169"/>
      <c r="ED180" s="574"/>
      <c r="EE180" s="86"/>
      <c r="EF180" s="1169"/>
      <c r="EG180" s="1065">
        <f t="shared" ref="EG180:EG185" si="856">SUM(DU180:EF180)</f>
        <v>0</v>
      </c>
      <c r="EI180" s="432" t="s">
        <v>30</v>
      </c>
      <c r="EJ180" s="439"/>
      <c r="EK180" s="26" t="str">
        <f>C180</f>
        <v>Materials and Supplies</v>
      </c>
      <c r="EL180" s="41">
        <f t="shared" ref="EL180:EQ185" si="857">ROUND(D180,0)</f>
        <v>900</v>
      </c>
      <c r="EM180" s="41">
        <f t="shared" si="857"/>
        <v>0</v>
      </c>
      <c r="EN180" s="41">
        <f t="shared" si="857"/>
        <v>0</v>
      </c>
      <c r="EO180" s="41">
        <f t="shared" si="857"/>
        <v>0</v>
      </c>
      <c r="EP180" s="41">
        <f t="shared" si="857"/>
        <v>0</v>
      </c>
      <c r="EQ180" s="41">
        <f t="shared" si="857"/>
        <v>0</v>
      </c>
      <c r="ER180" s="345">
        <f t="shared" ref="ER180:ER185" si="858">SUM(EL180:EQ180)</f>
        <v>900</v>
      </c>
      <c r="ES180"/>
      <c r="ET180"/>
      <c r="EU180"/>
      <c r="EV180" s="5">
        <f t="shared" ref="EV180:FA185" si="859">ROUND(N180,0)</f>
        <v>0</v>
      </c>
      <c r="EW180" s="5">
        <f t="shared" si="859"/>
        <v>0</v>
      </c>
      <c r="EX180" s="5">
        <f t="shared" si="859"/>
        <v>0</v>
      </c>
      <c r="EY180" s="5">
        <f t="shared" si="859"/>
        <v>0</v>
      </c>
      <c r="EZ180" s="5">
        <f t="shared" si="859"/>
        <v>0</v>
      </c>
      <c r="FA180" s="5">
        <f t="shared" si="859"/>
        <v>0</v>
      </c>
      <c r="FB180" s="167">
        <f t="shared" ref="FB180:FB185" si="860">SUM(EV180:FA180)</f>
        <v>0</v>
      </c>
      <c r="FC180" s="1"/>
      <c r="FD180" s="5"/>
      <c r="FE180" s="5"/>
      <c r="FF180" s="5"/>
      <c r="FG180" s="5"/>
      <c r="FH180" s="5"/>
      <c r="FI180" s="5"/>
      <c r="FJ180" s="48">
        <f t="shared" ref="FJ180:FJ185" si="861">SUM(FD180:FI180)</f>
        <v>0</v>
      </c>
      <c r="FL180" s="5"/>
      <c r="FM180" s="5"/>
      <c r="FN180" s="5"/>
      <c r="FO180" s="5"/>
      <c r="FP180" s="5"/>
      <c r="FQ180" s="5"/>
      <c r="FR180" s="209">
        <f t="shared" ref="FR180:FR185" si="862">SUM(FL180:FQ180)</f>
        <v>0</v>
      </c>
      <c r="FT180" s="5"/>
      <c r="FU180" s="5"/>
      <c r="FV180" s="5"/>
      <c r="FW180" s="5"/>
      <c r="FX180" s="5"/>
      <c r="FY180" s="5"/>
      <c r="FZ180" s="181">
        <f t="shared" ref="FZ180:FZ185" si="863">SUM(FT180:FY180)</f>
        <v>0</v>
      </c>
      <c r="GB180" s="5"/>
      <c r="GC180" s="5"/>
      <c r="GD180" s="5"/>
      <c r="GE180" s="5"/>
      <c r="GF180" s="5"/>
      <c r="GG180" s="5"/>
      <c r="GH180" s="153">
        <f t="shared" ref="GH180:GH185" si="864">SUM(GB180:GG180)</f>
        <v>0</v>
      </c>
      <c r="GJ180" s="5"/>
      <c r="GK180" s="5"/>
      <c r="GL180" s="5"/>
      <c r="GM180" s="5"/>
      <c r="GN180" s="5"/>
      <c r="GO180" s="5"/>
      <c r="GP180" s="195">
        <f t="shared" ref="GP180:GP185" si="865">SUM(GJ180:GO180)</f>
        <v>0</v>
      </c>
      <c r="GR180" s="5"/>
      <c r="GS180" s="5"/>
      <c r="GT180" s="5"/>
      <c r="GU180" s="5"/>
      <c r="GV180" s="5"/>
      <c r="GW180" s="5"/>
      <c r="GX180" s="1105">
        <f t="shared" ref="GX180:GX185" si="866">SUM(GR180:GW180)</f>
        <v>0</v>
      </c>
      <c r="GZ180" s="574">
        <f t="shared" ref="GZ180:GZ211" si="867">SUM(EV180,FD180,FL180,FT180,GB180,GJ180)</f>
        <v>0</v>
      </c>
      <c r="HA180" s="574">
        <f t="shared" ref="HA180:HA211" si="868">SUM(EW180,FE180,FM180,FU180,GC180,GK180)</f>
        <v>0</v>
      </c>
      <c r="HB180" s="574">
        <f t="shared" ref="HB180:HB211" si="869">SUM(EX180,FF180,FN180,FV180,GD180,GL180)</f>
        <v>0</v>
      </c>
      <c r="HC180" s="574">
        <f t="shared" ref="HC180:HC211" si="870">SUM(EY180,FG180,FO180,FW180,GE180,GM180)</f>
        <v>0</v>
      </c>
      <c r="HD180" s="574">
        <f t="shared" ref="HD180:HD211" si="871">SUM(EZ180,FH180,FP180,FX180,GF180,GN180)</f>
        <v>0</v>
      </c>
      <c r="HE180" s="574">
        <f t="shared" ref="HE180:HE211" si="872">SUM(FA180,FI180,FQ180,FY180,GG180,GO180)</f>
        <v>0</v>
      </c>
      <c r="HF180" s="990">
        <f t="shared" ref="HF180:HF211" si="873">SUM(GZ180:HE180)</f>
        <v>0</v>
      </c>
      <c r="HG180" s="276">
        <f t="shared" ref="HG180:HG211" si="874">SUM(ER180+HF180)</f>
        <v>900</v>
      </c>
      <c r="HH180" s="257"/>
    </row>
    <row r="181" spans="1:216" ht="15" hidden="1" customHeight="1" x14ac:dyDescent="0.25">
      <c r="A181" s="27" t="s">
        <v>31</v>
      </c>
      <c r="B181" s="28"/>
      <c r="C181" s="26" t="str">
        <f>'DATA INPUT'!B94</f>
        <v>Publication Costs</v>
      </c>
      <c r="D181" s="41">
        <f>'DATA INPUT'!I94</f>
        <v>0</v>
      </c>
      <c r="E181" s="41">
        <f>'DATA INPUT'!J94</f>
        <v>0</v>
      </c>
      <c r="F181" s="41">
        <f>'DATA INPUT'!K94</f>
        <v>0</v>
      </c>
      <c r="G181" s="41">
        <f>'DATA INPUT'!L94</f>
        <v>0</v>
      </c>
      <c r="H181" s="41">
        <f>'DATA INPUT'!M94</f>
        <v>0</v>
      </c>
      <c r="I181" s="41">
        <f>'DATA INPUT'!N94</f>
        <v>0</v>
      </c>
      <c r="J181" s="12">
        <f t="shared" si="836"/>
        <v>0</v>
      </c>
      <c r="K181"/>
      <c r="L181" s="6"/>
      <c r="M181"/>
      <c r="N181" s="5"/>
      <c r="O181" s="5"/>
      <c r="P181" s="5"/>
      <c r="Q181" s="5"/>
      <c r="R181" s="5"/>
      <c r="S181" s="5"/>
      <c r="T181" s="167">
        <f t="shared" si="837"/>
        <v>0</v>
      </c>
      <c r="U181" s="1"/>
      <c r="V181" s="5"/>
      <c r="W181" s="5"/>
      <c r="X181" s="5"/>
      <c r="Y181" s="5"/>
      <c r="Z181" s="5"/>
      <c r="AA181" s="5"/>
      <c r="AB181" s="48">
        <f t="shared" si="838"/>
        <v>0</v>
      </c>
      <c r="AD181" s="5"/>
      <c r="AE181" s="5"/>
      <c r="AF181" s="5"/>
      <c r="AG181" s="5"/>
      <c r="AH181" s="5"/>
      <c r="AI181" s="5"/>
      <c r="AJ181" s="209">
        <f t="shared" si="839"/>
        <v>0</v>
      </c>
      <c r="AL181" s="5"/>
      <c r="AM181" s="5"/>
      <c r="AN181" s="5"/>
      <c r="AO181" s="5"/>
      <c r="AP181" s="5"/>
      <c r="AQ181" s="5"/>
      <c r="AR181" s="181">
        <f t="shared" si="840"/>
        <v>0</v>
      </c>
      <c r="AT181" s="5"/>
      <c r="AU181" s="5"/>
      <c r="AV181" s="5"/>
      <c r="AW181" s="5"/>
      <c r="AX181" s="5"/>
      <c r="AY181" s="5"/>
      <c r="AZ181" s="153">
        <f t="shared" si="841"/>
        <v>0</v>
      </c>
      <c r="BB181" s="5"/>
      <c r="BC181" s="5"/>
      <c r="BD181" s="5"/>
      <c r="BE181" s="5"/>
      <c r="BF181" s="5"/>
      <c r="BG181" s="5"/>
      <c r="BH181" s="195">
        <f t="shared" si="842"/>
        <v>0</v>
      </c>
      <c r="BJ181" s="5"/>
      <c r="BK181" s="5"/>
      <c r="BL181" s="5"/>
      <c r="BM181" s="5"/>
      <c r="BN181" s="5"/>
      <c r="BO181" s="5"/>
      <c r="BP181" s="1105">
        <f t="shared" si="843"/>
        <v>0</v>
      </c>
      <c r="BR181" s="575">
        <f t="shared" si="844"/>
        <v>0</v>
      </c>
      <c r="BS181" s="575">
        <f t="shared" si="845"/>
        <v>0</v>
      </c>
      <c r="BT181" s="575">
        <f t="shared" si="846"/>
        <v>0</v>
      </c>
      <c r="BU181" s="575">
        <f t="shared" si="847"/>
        <v>0</v>
      </c>
      <c r="BV181" s="575">
        <f t="shared" si="848"/>
        <v>0</v>
      </c>
      <c r="BW181" s="575">
        <f t="shared" si="849"/>
        <v>0</v>
      </c>
      <c r="BX181" s="991">
        <f t="shared" si="850"/>
        <v>0</v>
      </c>
      <c r="BY181" s="573">
        <f t="shared" si="851"/>
        <v>0</v>
      </c>
      <c r="BZ181" s="257"/>
      <c r="CB181" s="1328">
        <f t="shared" si="852"/>
        <v>0</v>
      </c>
      <c r="CC181" s="387">
        <f>E181</f>
        <v>0</v>
      </c>
      <c r="CD181" s="56"/>
      <c r="CE181" s="56"/>
      <c r="CF181" s="56"/>
      <c r="CG181" s="1183"/>
      <c r="CH181" s="1289">
        <f>$F181</f>
        <v>0</v>
      </c>
      <c r="CI181" s="1185"/>
      <c r="CJ181" s="1185"/>
      <c r="CK181" s="1185"/>
      <c r="CL181" s="2361"/>
      <c r="CM181" s="1187">
        <f>$G181</f>
        <v>0</v>
      </c>
      <c r="CN181" s="1091"/>
      <c r="CO181" s="1189"/>
      <c r="CP181" s="1224">
        <f t="shared" si="853"/>
        <v>0</v>
      </c>
      <c r="CS181" s="575"/>
      <c r="CT181" s="5"/>
      <c r="CU181" s="1180"/>
      <c r="CV181" s="575"/>
      <c r="CW181" s="5"/>
      <c r="CX181" s="1180"/>
      <c r="CY181" s="575"/>
      <c r="CZ181" s="5"/>
      <c r="DA181" s="1180"/>
      <c r="DB181" s="575"/>
      <c r="DC181" s="5"/>
      <c r="DD181" s="1180"/>
      <c r="DE181" s="1181">
        <f t="shared" si="854"/>
        <v>0</v>
      </c>
      <c r="DG181" s="575"/>
      <c r="DH181" s="5"/>
      <c r="DI181" s="1180"/>
      <c r="DJ181" s="575"/>
      <c r="DK181" s="5"/>
      <c r="DL181" s="1180"/>
      <c r="DM181" s="575"/>
      <c r="DN181" s="5"/>
      <c r="DO181" s="1180"/>
      <c r="DP181" s="575"/>
      <c r="DQ181" s="5"/>
      <c r="DR181" s="1180"/>
      <c r="DS181" s="1181">
        <f t="shared" si="855"/>
        <v>0</v>
      </c>
      <c r="DU181" s="575"/>
      <c r="DV181" s="5"/>
      <c r="DW181" s="1180"/>
      <c r="DX181" s="575"/>
      <c r="DY181" s="5"/>
      <c r="DZ181" s="1180"/>
      <c r="EA181" s="575"/>
      <c r="EB181" s="5"/>
      <c r="EC181" s="1180"/>
      <c r="ED181" s="575"/>
      <c r="EE181" s="5"/>
      <c r="EF181" s="1180"/>
      <c r="EG181" s="1181">
        <f t="shared" si="856"/>
        <v>0</v>
      </c>
      <c r="EI181" s="27" t="s">
        <v>31</v>
      </c>
      <c r="EJ181" s="28"/>
      <c r="EK181" s="26" t="str">
        <f>C181</f>
        <v>Publication Costs</v>
      </c>
      <c r="EL181" s="41">
        <f t="shared" si="857"/>
        <v>0</v>
      </c>
      <c r="EM181" s="41">
        <f t="shared" si="857"/>
        <v>0</v>
      </c>
      <c r="EN181" s="41">
        <f t="shared" si="857"/>
        <v>0</v>
      </c>
      <c r="EO181" s="41">
        <f t="shared" si="857"/>
        <v>0</v>
      </c>
      <c r="EP181" s="41">
        <f t="shared" si="857"/>
        <v>0</v>
      </c>
      <c r="EQ181" s="41">
        <f t="shared" si="857"/>
        <v>0</v>
      </c>
      <c r="ER181" s="12">
        <f t="shared" si="858"/>
        <v>0</v>
      </c>
      <c r="ES181"/>
      <c r="ET181" s="6"/>
      <c r="EU181"/>
      <c r="EV181" s="5">
        <f t="shared" si="859"/>
        <v>0</v>
      </c>
      <c r="EW181" s="5">
        <f t="shared" si="859"/>
        <v>0</v>
      </c>
      <c r="EX181" s="5">
        <f t="shared" si="859"/>
        <v>0</v>
      </c>
      <c r="EY181" s="5">
        <f t="shared" si="859"/>
        <v>0</v>
      </c>
      <c r="EZ181" s="5">
        <f t="shared" si="859"/>
        <v>0</v>
      </c>
      <c r="FA181" s="5">
        <f t="shared" si="859"/>
        <v>0</v>
      </c>
      <c r="FB181" s="167">
        <f t="shared" si="860"/>
        <v>0</v>
      </c>
      <c r="FC181" s="1"/>
      <c r="FD181" s="5"/>
      <c r="FE181" s="5"/>
      <c r="FF181" s="5"/>
      <c r="FG181" s="5"/>
      <c r="FH181" s="5"/>
      <c r="FI181" s="5"/>
      <c r="FJ181" s="48">
        <f t="shared" si="861"/>
        <v>0</v>
      </c>
      <c r="FL181" s="5"/>
      <c r="FM181" s="5"/>
      <c r="FN181" s="5"/>
      <c r="FO181" s="5"/>
      <c r="FP181" s="5"/>
      <c r="FQ181" s="5"/>
      <c r="FR181" s="209">
        <f t="shared" si="862"/>
        <v>0</v>
      </c>
      <c r="FT181" s="5"/>
      <c r="FU181" s="5"/>
      <c r="FV181" s="5"/>
      <c r="FW181" s="5"/>
      <c r="FX181" s="5"/>
      <c r="FY181" s="5"/>
      <c r="FZ181" s="181">
        <f t="shared" si="863"/>
        <v>0</v>
      </c>
      <c r="GB181" s="5"/>
      <c r="GC181" s="5"/>
      <c r="GD181" s="5"/>
      <c r="GE181" s="5"/>
      <c r="GF181" s="5"/>
      <c r="GG181" s="5"/>
      <c r="GH181" s="153">
        <f t="shared" si="864"/>
        <v>0</v>
      </c>
      <c r="GJ181" s="5"/>
      <c r="GK181" s="5"/>
      <c r="GL181" s="5"/>
      <c r="GM181" s="5"/>
      <c r="GN181" s="5"/>
      <c r="GO181" s="5"/>
      <c r="GP181" s="195">
        <f t="shared" si="865"/>
        <v>0</v>
      </c>
      <c r="GR181" s="5"/>
      <c r="GS181" s="5"/>
      <c r="GT181" s="5"/>
      <c r="GU181" s="5"/>
      <c r="GV181" s="5"/>
      <c r="GW181" s="5"/>
      <c r="GX181" s="1105">
        <f t="shared" si="866"/>
        <v>0</v>
      </c>
      <c r="GZ181" s="575">
        <f t="shared" si="867"/>
        <v>0</v>
      </c>
      <c r="HA181" s="575">
        <f t="shared" si="868"/>
        <v>0</v>
      </c>
      <c r="HB181" s="575">
        <f t="shared" si="869"/>
        <v>0</v>
      </c>
      <c r="HC181" s="575">
        <f t="shared" si="870"/>
        <v>0</v>
      </c>
      <c r="HD181" s="575">
        <f t="shared" si="871"/>
        <v>0</v>
      </c>
      <c r="HE181" s="575">
        <f t="shared" si="872"/>
        <v>0</v>
      </c>
      <c r="HF181" s="991">
        <f t="shared" si="873"/>
        <v>0</v>
      </c>
      <c r="HG181" s="573">
        <f t="shared" si="874"/>
        <v>0</v>
      </c>
      <c r="HH181" s="257"/>
    </row>
    <row r="182" spans="1:216" ht="15" hidden="1" customHeight="1" x14ac:dyDescent="0.25">
      <c r="A182" s="27" t="s">
        <v>32</v>
      </c>
      <c r="B182" s="28"/>
      <c r="C182" s="26" t="str">
        <f>'DATA INPUT'!B95</f>
        <v>Consultant Services</v>
      </c>
      <c r="D182" s="41">
        <f>'DATA INPUT'!I95</f>
        <v>0</v>
      </c>
      <c r="E182" s="41">
        <f>'DATA INPUT'!J95</f>
        <v>0</v>
      </c>
      <c r="F182" s="41">
        <f>'DATA INPUT'!K95</f>
        <v>0</v>
      </c>
      <c r="G182" s="41">
        <f>'DATA INPUT'!L95</f>
        <v>0</v>
      </c>
      <c r="H182" s="41">
        <f>'DATA INPUT'!M95</f>
        <v>0</v>
      </c>
      <c r="I182" s="41">
        <f>'DATA INPUT'!N95</f>
        <v>0</v>
      </c>
      <c r="J182" s="12">
        <f t="shared" si="836"/>
        <v>0</v>
      </c>
      <c r="K182" s="6"/>
      <c r="L182" s="6"/>
      <c r="M182" s="6"/>
      <c r="N182" s="5"/>
      <c r="O182" s="5"/>
      <c r="P182" s="5"/>
      <c r="Q182" s="5"/>
      <c r="R182" s="5"/>
      <c r="S182" s="5"/>
      <c r="T182" s="167">
        <f t="shared" si="837"/>
        <v>0</v>
      </c>
      <c r="U182" s="1"/>
      <c r="V182" s="5"/>
      <c r="W182" s="5"/>
      <c r="X182" s="5"/>
      <c r="Y182" s="5"/>
      <c r="Z182" s="5"/>
      <c r="AA182" s="5"/>
      <c r="AB182" s="48">
        <f t="shared" si="838"/>
        <v>0</v>
      </c>
      <c r="AD182" s="5"/>
      <c r="AE182" s="5"/>
      <c r="AF182" s="5"/>
      <c r="AG182" s="5"/>
      <c r="AH182" s="5"/>
      <c r="AI182" s="5"/>
      <c r="AJ182" s="209">
        <f t="shared" si="839"/>
        <v>0</v>
      </c>
      <c r="AL182" s="5"/>
      <c r="AM182" s="5"/>
      <c r="AN182" s="5"/>
      <c r="AO182" s="5"/>
      <c r="AP182" s="5"/>
      <c r="AQ182" s="5"/>
      <c r="AR182" s="181">
        <f t="shared" si="840"/>
        <v>0</v>
      </c>
      <c r="AT182" s="5"/>
      <c r="AU182" s="5"/>
      <c r="AV182" s="5"/>
      <c r="AW182" s="5"/>
      <c r="AX182" s="5"/>
      <c r="AY182" s="5"/>
      <c r="AZ182" s="153">
        <f t="shared" si="841"/>
        <v>0</v>
      </c>
      <c r="BB182" s="5"/>
      <c r="BC182" s="5"/>
      <c r="BD182" s="5"/>
      <c r="BE182" s="5"/>
      <c r="BF182" s="5"/>
      <c r="BG182" s="5"/>
      <c r="BH182" s="195">
        <f t="shared" si="842"/>
        <v>0</v>
      </c>
      <c r="BJ182" s="5"/>
      <c r="BK182" s="5"/>
      <c r="BL182" s="5"/>
      <c r="BM182" s="5"/>
      <c r="BN182" s="5"/>
      <c r="BO182" s="5"/>
      <c r="BP182" s="1105">
        <f t="shared" si="843"/>
        <v>0</v>
      </c>
      <c r="BR182" s="575">
        <f t="shared" si="844"/>
        <v>0</v>
      </c>
      <c r="BS182" s="575">
        <f t="shared" si="845"/>
        <v>0</v>
      </c>
      <c r="BT182" s="575">
        <f t="shared" si="846"/>
        <v>0</v>
      </c>
      <c r="BU182" s="575">
        <f t="shared" si="847"/>
        <v>0</v>
      </c>
      <c r="BV182" s="575">
        <f t="shared" si="848"/>
        <v>0</v>
      </c>
      <c r="BW182" s="575">
        <f t="shared" si="849"/>
        <v>0</v>
      </c>
      <c r="BX182" s="991">
        <f t="shared" si="850"/>
        <v>0</v>
      </c>
      <c r="BY182" s="573">
        <f t="shared" si="851"/>
        <v>0</v>
      </c>
      <c r="BZ182" s="257"/>
      <c r="CB182" s="1328">
        <f t="shared" si="852"/>
        <v>0</v>
      </c>
      <c r="CC182" s="387">
        <f>$E182/12*3</f>
        <v>0</v>
      </c>
      <c r="CD182" s="56">
        <f>$E182/12*3</f>
        <v>0</v>
      </c>
      <c r="CE182" s="56">
        <f>$E182/12*2</f>
        <v>0</v>
      </c>
      <c r="CF182" s="56">
        <f>$E182/12*1</f>
        <v>0</v>
      </c>
      <c r="CG182" s="1183">
        <f>$E182/12*3</f>
        <v>0</v>
      </c>
      <c r="CH182" s="1248">
        <f>$F182/12*3</f>
        <v>0</v>
      </c>
      <c r="CI182" s="1185">
        <f>$F182/12*3</f>
        <v>0</v>
      </c>
      <c r="CJ182" s="1185">
        <f>$F182/12*2</f>
        <v>0</v>
      </c>
      <c r="CK182" s="1185">
        <f>$F182/12*1</f>
        <v>0</v>
      </c>
      <c r="CL182" s="2361">
        <f>$F182/12*3</f>
        <v>0</v>
      </c>
      <c r="CM182" s="1187">
        <f>$G182/8*3</f>
        <v>0</v>
      </c>
      <c r="CN182" s="1188">
        <f>$G182/8*3</f>
        <v>0</v>
      </c>
      <c r="CO182" s="1189">
        <f>$G182/8*2</f>
        <v>0</v>
      </c>
      <c r="CP182" s="1224">
        <f t="shared" si="853"/>
        <v>0</v>
      </c>
      <c r="CS182" s="575"/>
      <c r="CT182" s="5"/>
      <c r="CU182" s="1180"/>
      <c r="CV182" s="575"/>
      <c r="CW182" s="5"/>
      <c r="CX182" s="1180"/>
      <c r="CY182" s="575"/>
      <c r="CZ182" s="5"/>
      <c r="DA182" s="1180"/>
      <c r="DB182" s="575"/>
      <c r="DC182" s="5"/>
      <c r="DD182" s="1180"/>
      <c r="DE182" s="1181">
        <f t="shared" si="854"/>
        <v>0</v>
      </c>
      <c r="DG182" s="575"/>
      <c r="DH182" s="5"/>
      <c r="DI182" s="1180"/>
      <c r="DJ182" s="575"/>
      <c r="DK182" s="5"/>
      <c r="DL182" s="1180"/>
      <c r="DM182" s="575"/>
      <c r="DN182" s="5"/>
      <c r="DO182" s="1180"/>
      <c r="DP182" s="575"/>
      <c r="DQ182" s="5"/>
      <c r="DR182" s="1180"/>
      <c r="DS182" s="1181">
        <f t="shared" si="855"/>
        <v>0</v>
      </c>
      <c r="DU182" s="575"/>
      <c r="DV182" s="5"/>
      <c r="DW182" s="1180"/>
      <c r="DX182" s="575"/>
      <c r="DY182" s="5"/>
      <c r="DZ182" s="1180"/>
      <c r="EA182" s="575"/>
      <c r="EB182" s="5"/>
      <c r="EC182" s="1180"/>
      <c r="ED182" s="575"/>
      <c r="EE182" s="5"/>
      <c r="EF182" s="1180"/>
      <c r="EG182" s="1181">
        <f t="shared" si="856"/>
        <v>0</v>
      </c>
      <c r="EI182" s="27" t="s">
        <v>32</v>
      </c>
      <c r="EJ182" s="28"/>
      <c r="EK182" s="26" t="str">
        <f>C182</f>
        <v>Consultant Services</v>
      </c>
      <c r="EL182" s="41">
        <f t="shared" si="857"/>
        <v>0</v>
      </c>
      <c r="EM182" s="41">
        <f t="shared" si="857"/>
        <v>0</v>
      </c>
      <c r="EN182" s="41">
        <f t="shared" si="857"/>
        <v>0</v>
      </c>
      <c r="EO182" s="41">
        <f t="shared" si="857"/>
        <v>0</v>
      </c>
      <c r="EP182" s="41">
        <f t="shared" si="857"/>
        <v>0</v>
      </c>
      <c r="EQ182" s="41">
        <f t="shared" si="857"/>
        <v>0</v>
      </c>
      <c r="ER182" s="12">
        <f t="shared" si="858"/>
        <v>0</v>
      </c>
      <c r="ES182" s="6"/>
      <c r="ET182" s="6"/>
      <c r="EU182" s="6"/>
      <c r="EV182" s="5">
        <f t="shared" si="859"/>
        <v>0</v>
      </c>
      <c r="EW182" s="5">
        <f t="shared" si="859"/>
        <v>0</v>
      </c>
      <c r="EX182" s="5">
        <f t="shared" si="859"/>
        <v>0</v>
      </c>
      <c r="EY182" s="5">
        <f t="shared" si="859"/>
        <v>0</v>
      </c>
      <c r="EZ182" s="5">
        <f t="shared" si="859"/>
        <v>0</v>
      </c>
      <c r="FA182" s="5">
        <f t="shared" si="859"/>
        <v>0</v>
      </c>
      <c r="FB182" s="167">
        <f t="shared" si="860"/>
        <v>0</v>
      </c>
      <c r="FC182" s="1"/>
      <c r="FD182" s="5"/>
      <c r="FE182" s="5"/>
      <c r="FF182" s="5"/>
      <c r="FG182" s="5"/>
      <c r="FH182" s="5"/>
      <c r="FI182" s="5"/>
      <c r="FJ182" s="48">
        <f t="shared" si="861"/>
        <v>0</v>
      </c>
      <c r="FL182" s="5"/>
      <c r="FM182" s="5"/>
      <c r="FN182" s="5"/>
      <c r="FO182" s="5"/>
      <c r="FP182" s="5"/>
      <c r="FQ182" s="5"/>
      <c r="FR182" s="209">
        <f t="shared" si="862"/>
        <v>0</v>
      </c>
      <c r="FT182" s="5"/>
      <c r="FU182" s="5"/>
      <c r="FV182" s="5"/>
      <c r="FW182" s="5"/>
      <c r="FX182" s="5"/>
      <c r="FY182" s="5"/>
      <c r="FZ182" s="181">
        <f t="shared" si="863"/>
        <v>0</v>
      </c>
      <c r="GB182" s="5"/>
      <c r="GC182" s="5"/>
      <c r="GD182" s="5"/>
      <c r="GE182" s="5"/>
      <c r="GF182" s="5"/>
      <c r="GG182" s="5"/>
      <c r="GH182" s="153">
        <f t="shared" si="864"/>
        <v>0</v>
      </c>
      <c r="GJ182" s="5"/>
      <c r="GK182" s="5"/>
      <c r="GL182" s="5"/>
      <c r="GM182" s="5"/>
      <c r="GN182" s="5"/>
      <c r="GO182" s="5"/>
      <c r="GP182" s="195">
        <f t="shared" si="865"/>
        <v>0</v>
      </c>
      <c r="GR182" s="5"/>
      <c r="GS182" s="5"/>
      <c r="GT182" s="5"/>
      <c r="GU182" s="5"/>
      <c r="GV182" s="5"/>
      <c r="GW182" s="5"/>
      <c r="GX182" s="1105">
        <f t="shared" si="866"/>
        <v>0</v>
      </c>
      <c r="GZ182" s="575">
        <f t="shared" si="867"/>
        <v>0</v>
      </c>
      <c r="HA182" s="575">
        <f t="shared" si="868"/>
        <v>0</v>
      </c>
      <c r="HB182" s="575">
        <f t="shared" si="869"/>
        <v>0</v>
      </c>
      <c r="HC182" s="575">
        <f t="shared" si="870"/>
        <v>0</v>
      </c>
      <c r="HD182" s="575">
        <f t="shared" si="871"/>
        <v>0</v>
      </c>
      <c r="HE182" s="575">
        <f t="shared" si="872"/>
        <v>0</v>
      </c>
      <c r="HF182" s="991">
        <f t="shared" si="873"/>
        <v>0</v>
      </c>
      <c r="HG182" s="573">
        <f t="shared" si="874"/>
        <v>0</v>
      </c>
      <c r="HH182" s="257"/>
    </row>
    <row r="183" spans="1:216" ht="15" hidden="1" customHeight="1" thickBot="1" x14ac:dyDescent="0.3">
      <c r="A183" s="27" t="s">
        <v>33</v>
      </c>
      <c r="B183" s="125"/>
      <c r="C183" s="320" t="s">
        <v>238</v>
      </c>
      <c r="D183" s="41">
        <f>'DATA INPUT'!I96</f>
        <v>0</v>
      </c>
      <c r="E183" s="41">
        <f>'DATA INPUT'!J96</f>
        <v>0</v>
      </c>
      <c r="F183" s="41">
        <f>'DATA INPUT'!K96</f>
        <v>0</v>
      </c>
      <c r="G183" s="41">
        <f>'DATA INPUT'!L96</f>
        <v>0</v>
      </c>
      <c r="H183" s="41">
        <f>'DATA INPUT'!M96</f>
        <v>0</v>
      </c>
      <c r="I183" s="41">
        <f>'DATA INPUT'!N96</f>
        <v>0</v>
      </c>
      <c r="J183" s="322">
        <f t="shared" si="836"/>
        <v>0</v>
      </c>
      <c r="K183" s="6"/>
      <c r="L183" s="6"/>
      <c r="M183" s="6"/>
      <c r="N183" s="321"/>
      <c r="O183" s="321"/>
      <c r="P183" s="321"/>
      <c r="Q183" s="321"/>
      <c r="R183" s="321"/>
      <c r="S183" s="321"/>
      <c r="T183" s="361">
        <f t="shared" si="837"/>
        <v>0</v>
      </c>
      <c r="U183" s="1"/>
      <c r="V183" s="321"/>
      <c r="W183" s="321"/>
      <c r="X183" s="321"/>
      <c r="Y183" s="321"/>
      <c r="Z183" s="321"/>
      <c r="AA183" s="321"/>
      <c r="AB183" s="362">
        <f t="shared" si="838"/>
        <v>0</v>
      </c>
      <c r="AD183" s="321"/>
      <c r="AE183" s="321"/>
      <c r="AF183" s="321"/>
      <c r="AG183" s="321"/>
      <c r="AH183" s="321"/>
      <c r="AI183" s="321"/>
      <c r="AJ183" s="363">
        <f t="shared" si="839"/>
        <v>0</v>
      </c>
      <c r="AL183" s="321"/>
      <c r="AM183" s="321"/>
      <c r="AN183" s="321"/>
      <c r="AO183" s="321"/>
      <c r="AP183" s="321"/>
      <c r="AQ183" s="321"/>
      <c r="AR183" s="364">
        <f t="shared" si="840"/>
        <v>0</v>
      </c>
      <c r="AT183" s="321"/>
      <c r="AU183" s="321"/>
      <c r="AV183" s="321"/>
      <c r="AW183" s="321"/>
      <c r="AX183" s="321"/>
      <c r="AY183" s="321"/>
      <c r="AZ183" s="365">
        <f t="shared" si="841"/>
        <v>0</v>
      </c>
      <c r="BB183" s="321"/>
      <c r="BC183" s="321"/>
      <c r="BD183" s="321"/>
      <c r="BE183" s="321"/>
      <c r="BF183" s="321"/>
      <c r="BG183" s="321"/>
      <c r="BH183" s="366">
        <f t="shared" si="842"/>
        <v>0</v>
      </c>
      <c r="BJ183" s="321"/>
      <c r="BK183" s="321"/>
      <c r="BL183" s="321"/>
      <c r="BM183" s="321"/>
      <c r="BN183" s="321"/>
      <c r="BO183" s="321"/>
      <c r="BP183" s="1110">
        <f t="shared" si="843"/>
        <v>0</v>
      </c>
      <c r="BR183" s="575">
        <f t="shared" si="844"/>
        <v>0</v>
      </c>
      <c r="BS183" s="575">
        <f t="shared" si="845"/>
        <v>0</v>
      </c>
      <c r="BT183" s="575">
        <f t="shared" si="846"/>
        <v>0</v>
      </c>
      <c r="BU183" s="575">
        <f t="shared" si="847"/>
        <v>0</v>
      </c>
      <c r="BV183" s="575">
        <f t="shared" si="848"/>
        <v>0</v>
      </c>
      <c r="BW183" s="575">
        <f t="shared" si="849"/>
        <v>0</v>
      </c>
      <c r="BX183" s="991">
        <f t="shared" si="850"/>
        <v>0</v>
      </c>
      <c r="BY183" s="573">
        <f t="shared" si="851"/>
        <v>0</v>
      </c>
      <c r="BZ183" s="257"/>
      <c r="CB183" s="1330">
        <f t="shared" si="852"/>
        <v>0</v>
      </c>
      <c r="CC183" s="1324">
        <f>E183</f>
        <v>0</v>
      </c>
      <c r="CD183" s="1325"/>
      <c r="CE183" s="1325"/>
      <c r="CF183" s="1325"/>
      <c r="CG183" s="1326"/>
      <c r="CH183" s="1289">
        <f>$F183</f>
        <v>0</v>
      </c>
      <c r="CI183" s="1332"/>
      <c r="CJ183" s="1332"/>
      <c r="CK183" s="1332"/>
      <c r="CL183" s="1333"/>
      <c r="CM183" s="1207">
        <f>$G183</f>
        <v>0</v>
      </c>
      <c r="CN183" s="1335"/>
      <c r="CO183" s="1336"/>
      <c r="CP183" s="1228">
        <f t="shared" si="853"/>
        <v>0</v>
      </c>
      <c r="CS183" s="1034"/>
      <c r="CT183" s="321"/>
      <c r="CU183" s="1253"/>
      <c r="CV183" s="1034"/>
      <c r="CW183" s="321"/>
      <c r="CX183" s="1253"/>
      <c r="CY183" s="1034"/>
      <c r="CZ183" s="321"/>
      <c r="DA183" s="1253"/>
      <c r="DB183" s="1034"/>
      <c r="DC183" s="321"/>
      <c r="DD183" s="1253"/>
      <c r="DE183" s="1255">
        <f t="shared" si="854"/>
        <v>0</v>
      </c>
      <c r="DG183" s="1034"/>
      <c r="DH183" s="321"/>
      <c r="DI183" s="1253"/>
      <c r="DJ183" s="1034"/>
      <c r="DK183" s="321"/>
      <c r="DL183" s="1253"/>
      <c r="DM183" s="1034"/>
      <c r="DN183" s="321"/>
      <c r="DO183" s="1253"/>
      <c r="DP183" s="1034"/>
      <c r="DQ183" s="321"/>
      <c r="DR183" s="1253"/>
      <c r="DS183" s="1255">
        <f t="shared" si="855"/>
        <v>0</v>
      </c>
      <c r="DU183" s="1034"/>
      <c r="DV183" s="321"/>
      <c r="DW183" s="1253"/>
      <c r="DX183" s="1034"/>
      <c r="DY183" s="321"/>
      <c r="DZ183" s="1253"/>
      <c r="EA183" s="1034"/>
      <c r="EB183" s="321"/>
      <c r="EC183" s="1253"/>
      <c r="ED183" s="1034"/>
      <c r="EE183" s="321"/>
      <c r="EF183" s="1253"/>
      <c r="EG183" s="1255">
        <f t="shared" si="856"/>
        <v>0</v>
      </c>
      <c r="EI183" s="27" t="s">
        <v>33</v>
      </c>
      <c r="EJ183" s="125"/>
      <c r="EK183" s="320" t="str">
        <f>C183</f>
        <v>Computer Services</v>
      </c>
      <c r="EL183" s="321">
        <f t="shared" si="857"/>
        <v>0</v>
      </c>
      <c r="EM183" s="321">
        <f t="shared" si="857"/>
        <v>0</v>
      </c>
      <c r="EN183" s="321">
        <f t="shared" si="857"/>
        <v>0</v>
      </c>
      <c r="EO183" s="321">
        <f t="shared" si="857"/>
        <v>0</v>
      </c>
      <c r="EP183" s="321">
        <f t="shared" si="857"/>
        <v>0</v>
      </c>
      <c r="EQ183" s="321">
        <f t="shared" si="857"/>
        <v>0</v>
      </c>
      <c r="ER183" s="322">
        <f t="shared" si="858"/>
        <v>0</v>
      </c>
      <c r="ES183" s="6"/>
      <c r="ET183" s="6"/>
      <c r="EU183" s="6"/>
      <c r="EV183" s="321">
        <f t="shared" si="859"/>
        <v>0</v>
      </c>
      <c r="EW183" s="321">
        <f t="shared" si="859"/>
        <v>0</v>
      </c>
      <c r="EX183" s="321">
        <f t="shared" si="859"/>
        <v>0</v>
      </c>
      <c r="EY183" s="321">
        <f t="shared" si="859"/>
        <v>0</v>
      </c>
      <c r="EZ183" s="321">
        <f t="shared" si="859"/>
        <v>0</v>
      </c>
      <c r="FA183" s="321">
        <f t="shared" si="859"/>
        <v>0</v>
      </c>
      <c r="FB183" s="361">
        <f t="shared" si="860"/>
        <v>0</v>
      </c>
      <c r="FC183" s="1"/>
      <c r="FD183" s="321"/>
      <c r="FE183" s="321"/>
      <c r="FF183" s="321"/>
      <c r="FG183" s="321"/>
      <c r="FH183" s="321"/>
      <c r="FI183" s="321"/>
      <c r="FJ183" s="362">
        <f t="shared" si="861"/>
        <v>0</v>
      </c>
      <c r="FL183" s="321"/>
      <c r="FM183" s="321"/>
      <c r="FN183" s="321"/>
      <c r="FO183" s="321"/>
      <c r="FP183" s="321"/>
      <c r="FQ183" s="321"/>
      <c r="FR183" s="363">
        <f t="shared" si="862"/>
        <v>0</v>
      </c>
      <c r="FT183" s="321"/>
      <c r="FU183" s="321"/>
      <c r="FV183" s="321"/>
      <c r="FW183" s="321"/>
      <c r="FX183" s="321"/>
      <c r="FY183" s="321"/>
      <c r="FZ183" s="364">
        <f t="shared" si="863"/>
        <v>0</v>
      </c>
      <c r="GB183" s="321"/>
      <c r="GC183" s="321"/>
      <c r="GD183" s="321"/>
      <c r="GE183" s="321"/>
      <c r="GF183" s="321"/>
      <c r="GG183" s="321"/>
      <c r="GH183" s="365">
        <f t="shared" si="864"/>
        <v>0</v>
      </c>
      <c r="GJ183" s="321"/>
      <c r="GK183" s="321"/>
      <c r="GL183" s="321"/>
      <c r="GM183" s="321"/>
      <c r="GN183" s="321"/>
      <c r="GO183" s="321"/>
      <c r="GP183" s="366">
        <f t="shared" si="865"/>
        <v>0</v>
      </c>
      <c r="GR183" s="321"/>
      <c r="GS183" s="321"/>
      <c r="GT183" s="321"/>
      <c r="GU183" s="321"/>
      <c r="GV183" s="321"/>
      <c r="GW183" s="321"/>
      <c r="GX183" s="1110">
        <f t="shared" si="866"/>
        <v>0</v>
      </c>
      <c r="GZ183" s="575">
        <f t="shared" si="867"/>
        <v>0</v>
      </c>
      <c r="HA183" s="575">
        <f t="shared" si="868"/>
        <v>0</v>
      </c>
      <c r="HB183" s="575">
        <f t="shared" si="869"/>
        <v>0</v>
      </c>
      <c r="HC183" s="575">
        <f t="shared" si="870"/>
        <v>0</v>
      </c>
      <c r="HD183" s="575">
        <f t="shared" si="871"/>
        <v>0</v>
      </c>
      <c r="HE183" s="575">
        <f t="shared" si="872"/>
        <v>0</v>
      </c>
      <c r="HF183" s="991">
        <f t="shared" si="873"/>
        <v>0</v>
      </c>
      <c r="HG183" s="573">
        <f t="shared" si="874"/>
        <v>0</v>
      </c>
      <c r="HH183" s="257"/>
    </row>
    <row r="184" spans="1:216" ht="15" hidden="1" customHeight="1" x14ac:dyDescent="0.25">
      <c r="A184" s="27" t="s">
        <v>34</v>
      </c>
      <c r="B184" s="3230">
        <f>'DATA INPUT'!B108</f>
        <v>0</v>
      </c>
      <c r="C184" s="357" t="s">
        <v>1033</v>
      </c>
      <c r="D184" s="358">
        <f>IF('DATA INPUT'!I108&gt;0,IF('DATA INPUT'!I108&lt;=50000,'DATA INPUT'!I108,50000),0)</f>
        <v>0</v>
      </c>
      <c r="E184" s="358">
        <f>IF('DATA INPUT'!J108&gt;0,IF(SUM($D184:D184)&lt;50000,MIN('DATA INPUT'!J108,50000-SUM($D184:D184)),0),0)</f>
        <v>0</v>
      </c>
      <c r="F184" s="358">
        <f>IF('DATA INPUT'!K108&gt;0,IF(SUM($D184:E184)&lt;50000,MIN('DATA INPUT'!K108,50000-SUM($D184:E184)),0),0)</f>
        <v>0</v>
      </c>
      <c r="G184" s="358">
        <f>IF('DATA INPUT'!L108&gt;0,IF(SUM($D184:F184)&lt;50000,MIN('DATA INPUT'!L108,50000-SUM($D184:F184)),0),0)</f>
        <v>0</v>
      </c>
      <c r="H184" s="358">
        <f>IF('DATA INPUT'!M108&gt;0,IF(SUM($D184:G184)&lt;50000,MIN('DATA INPUT'!M108,50000-SUM($D184:G184)),0),0)</f>
        <v>0</v>
      </c>
      <c r="I184" s="358">
        <f>IF('DATA INPUT'!N108&gt;0,IF(SUM($D184:H184)&lt;50000,MIN('DATA INPUT'!N108,50000-SUM($D184:H184)),0),0)</f>
        <v>0</v>
      </c>
      <c r="J184" s="152">
        <f t="shared" si="836"/>
        <v>0</v>
      </c>
      <c r="K184" s="6"/>
      <c r="L184" s="9"/>
      <c r="M184" s="6"/>
      <c r="N184" s="390"/>
      <c r="O184" s="358"/>
      <c r="P184" s="358"/>
      <c r="Q184" s="358"/>
      <c r="R184" s="358"/>
      <c r="S184" s="358"/>
      <c r="T184" s="166">
        <f t="shared" si="837"/>
        <v>0</v>
      </c>
      <c r="U184" s="1"/>
      <c r="V184" s="390"/>
      <c r="W184" s="358"/>
      <c r="X184" s="358"/>
      <c r="Y184" s="358"/>
      <c r="Z184" s="358"/>
      <c r="AA184" s="358"/>
      <c r="AB184" s="140">
        <f t="shared" si="838"/>
        <v>0</v>
      </c>
      <c r="AD184" s="390"/>
      <c r="AE184" s="358"/>
      <c r="AF184" s="358"/>
      <c r="AG184" s="358"/>
      <c r="AH184" s="358"/>
      <c r="AI184" s="358"/>
      <c r="AJ184" s="208">
        <f t="shared" si="839"/>
        <v>0</v>
      </c>
      <c r="AL184" s="390"/>
      <c r="AM184" s="358"/>
      <c r="AN184" s="358"/>
      <c r="AO184" s="358"/>
      <c r="AP184" s="358"/>
      <c r="AQ184" s="358"/>
      <c r="AR184" s="180">
        <f t="shared" si="840"/>
        <v>0</v>
      </c>
      <c r="AT184" s="390"/>
      <c r="AU184" s="358"/>
      <c r="AV184" s="358"/>
      <c r="AW184" s="358"/>
      <c r="AX184" s="358"/>
      <c r="AY184" s="358"/>
      <c r="AZ184" s="152">
        <f t="shared" si="841"/>
        <v>0</v>
      </c>
      <c r="BB184" s="390"/>
      <c r="BC184" s="358"/>
      <c r="BD184" s="358"/>
      <c r="BE184" s="358"/>
      <c r="BF184" s="358"/>
      <c r="BG184" s="358"/>
      <c r="BH184" s="194">
        <f t="shared" si="842"/>
        <v>0</v>
      </c>
      <c r="BJ184" s="390"/>
      <c r="BK184" s="358"/>
      <c r="BL184" s="358"/>
      <c r="BM184" s="358"/>
      <c r="BN184" s="358"/>
      <c r="BO184" s="358"/>
      <c r="BP184" s="1104">
        <f t="shared" si="843"/>
        <v>0</v>
      </c>
      <c r="BR184" s="575">
        <f t="shared" si="844"/>
        <v>0</v>
      </c>
      <c r="BS184" s="575">
        <f t="shared" si="845"/>
        <v>0</v>
      </c>
      <c r="BT184" s="575">
        <f t="shared" si="846"/>
        <v>0</v>
      </c>
      <c r="BU184" s="575">
        <f t="shared" si="847"/>
        <v>0</v>
      </c>
      <c r="BV184" s="575">
        <f t="shared" si="848"/>
        <v>0</v>
      </c>
      <c r="BW184" s="575">
        <f t="shared" si="849"/>
        <v>0</v>
      </c>
      <c r="BX184" s="991">
        <f t="shared" si="850"/>
        <v>0</v>
      </c>
      <c r="BY184" s="573">
        <f t="shared" si="851"/>
        <v>0</v>
      </c>
      <c r="BZ184" s="257"/>
      <c r="CB184" s="1339">
        <f t="shared" si="852"/>
        <v>0</v>
      </c>
      <c r="CC184" s="1170">
        <f>E184</f>
        <v>0</v>
      </c>
      <c r="CD184" s="1171"/>
      <c r="CE184" s="1171"/>
      <c r="CF184" s="1171"/>
      <c r="CG184" s="1172"/>
      <c r="CH184" s="1289">
        <f>$F184</f>
        <v>0</v>
      </c>
      <c r="CI184" s="1174"/>
      <c r="CJ184" s="1174"/>
      <c r="CK184" s="1174"/>
      <c r="CL184" s="1175"/>
      <c r="CM184" s="1176">
        <f>$G184</f>
        <v>0</v>
      </c>
      <c r="CN184" s="1290"/>
      <c r="CO184" s="1178"/>
      <c r="CP184" s="1179">
        <f t="shared" si="853"/>
        <v>0</v>
      </c>
      <c r="CS184" s="390"/>
      <c r="CT184" s="358"/>
      <c r="CU184" s="1346"/>
      <c r="CV184" s="390"/>
      <c r="CW184" s="358"/>
      <c r="CX184" s="1346"/>
      <c r="CY184" s="390"/>
      <c r="CZ184" s="358"/>
      <c r="DA184" s="1346"/>
      <c r="DB184" s="390"/>
      <c r="DC184" s="358"/>
      <c r="DD184" s="1346"/>
      <c r="DE184" s="1065">
        <f t="shared" si="854"/>
        <v>0</v>
      </c>
      <c r="DG184" s="390"/>
      <c r="DH184" s="358"/>
      <c r="DI184" s="1346"/>
      <c r="DJ184" s="390"/>
      <c r="DK184" s="358"/>
      <c r="DL184" s="1346"/>
      <c r="DM184" s="390"/>
      <c r="DN184" s="358"/>
      <c r="DO184" s="1346"/>
      <c r="DP184" s="390"/>
      <c r="DQ184" s="358"/>
      <c r="DR184" s="1346"/>
      <c r="DS184" s="1065">
        <f t="shared" si="855"/>
        <v>0</v>
      </c>
      <c r="DU184" s="390"/>
      <c r="DV184" s="358"/>
      <c r="DW184" s="1346"/>
      <c r="DX184" s="390"/>
      <c r="DY184" s="358"/>
      <c r="DZ184" s="1346"/>
      <c r="EA184" s="390"/>
      <c r="EB184" s="358"/>
      <c r="EC184" s="1346"/>
      <c r="ED184" s="390"/>
      <c r="EE184" s="358"/>
      <c r="EF184" s="1346"/>
      <c r="EG184" s="1065">
        <f t="shared" si="856"/>
        <v>0</v>
      </c>
      <c r="EI184" s="27" t="s">
        <v>34</v>
      </c>
      <c r="EJ184" s="3230">
        <f>B184</f>
        <v>0</v>
      </c>
      <c r="EK184" s="357" t="s">
        <v>1033</v>
      </c>
      <c r="EL184" s="358">
        <f t="shared" si="857"/>
        <v>0</v>
      </c>
      <c r="EM184" s="358">
        <f t="shared" si="857"/>
        <v>0</v>
      </c>
      <c r="EN184" s="358">
        <f t="shared" si="857"/>
        <v>0</v>
      </c>
      <c r="EO184" s="358">
        <f t="shared" si="857"/>
        <v>0</v>
      </c>
      <c r="EP184" s="358">
        <f t="shared" si="857"/>
        <v>0</v>
      </c>
      <c r="EQ184" s="358">
        <f t="shared" si="857"/>
        <v>0</v>
      </c>
      <c r="ER184" s="152">
        <f t="shared" si="858"/>
        <v>0</v>
      </c>
      <c r="ES184" s="6"/>
      <c r="ET184" s="9"/>
      <c r="EU184" s="6"/>
      <c r="EV184" s="390">
        <f t="shared" si="859"/>
        <v>0</v>
      </c>
      <c r="EW184" s="358">
        <f t="shared" si="859"/>
        <v>0</v>
      </c>
      <c r="EX184" s="358">
        <f t="shared" si="859"/>
        <v>0</v>
      </c>
      <c r="EY184" s="358">
        <f t="shared" si="859"/>
        <v>0</v>
      </c>
      <c r="EZ184" s="358">
        <f t="shared" si="859"/>
        <v>0</v>
      </c>
      <c r="FA184" s="358">
        <f t="shared" si="859"/>
        <v>0</v>
      </c>
      <c r="FB184" s="166">
        <f t="shared" si="860"/>
        <v>0</v>
      </c>
      <c r="FC184" s="1"/>
      <c r="FD184" s="390"/>
      <c r="FE184" s="358"/>
      <c r="FF184" s="358"/>
      <c r="FG184" s="358"/>
      <c r="FH184" s="358"/>
      <c r="FI184" s="358"/>
      <c r="FJ184" s="140">
        <f t="shared" si="861"/>
        <v>0</v>
      </c>
      <c r="FL184" s="390"/>
      <c r="FM184" s="358"/>
      <c r="FN184" s="358"/>
      <c r="FO184" s="358"/>
      <c r="FP184" s="358"/>
      <c r="FQ184" s="358"/>
      <c r="FR184" s="208">
        <f t="shared" si="862"/>
        <v>0</v>
      </c>
      <c r="FT184" s="390"/>
      <c r="FU184" s="358"/>
      <c r="FV184" s="358"/>
      <c r="FW184" s="358"/>
      <c r="FX184" s="358"/>
      <c r="FY184" s="358"/>
      <c r="FZ184" s="180">
        <f t="shared" si="863"/>
        <v>0</v>
      </c>
      <c r="GB184" s="390"/>
      <c r="GC184" s="358"/>
      <c r="GD184" s="358"/>
      <c r="GE184" s="358"/>
      <c r="GF184" s="358"/>
      <c r="GG184" s="358"/>
      <c r="GH184" s="152">
        <f t="shared" si="864"/>
        <v>0</v>
      </c>
      <c r="GJ184" s="390"/>
      <c r="GK184" s="358"/>
      <c r="GL184" s="358"/>
      <c r="GM184" s="358"/>
      <c r="GN184" s="358"/>
      <c r="GO184" s="358"/>
      <c r="GP184" s="194">
        <f t="shared" si="865"/>
        <v>0</v>
      </c>
      <c r="GR184" s="390"/>
      <c r="GS184" s="358"/>
      <c r="GT184" s="358"/>
      <c r="GU184" s="358"/>
      <c r="GV184" s="358"/>
      <c r="GW184" s="358"/>
      <c r="GX184" s="1104">
        <f t="shared" si="866"/>
        <v>0</v>
      </c>
      <c r="GZ184" s="575">
        <f t="shared" si="867"/>
        <v>0</v>
      </c>
      <c r="HA184" s="575">
        <f t="shared" si="868"/>
        <v>0</v>
      </c>
      <c r="HB184" s="575">
        <f t="shared" si="869"/>
        <v>0</v>
      </c>
      <c r="HC184" s="575">
        <f t="shared" si="870"/>
        <v>0</v>
      </c>
      <c r="HD184" s="575">
        <f t="shared" si="871"/>
        <v>0</v>
      </c>
      <c r="HE184" s="575">
        <f t="shared" si="872"/>
        <v>0</v>
      </c>
      <c r="HF184" s="991">
        <f t="shared" si="873"/>
        <v>0</v>
      </c>
      <c r="HG184" s="573">
        <f t="shared" si="874"/>
        <v>0</v>
      </c>
      <c r="HH184" s="257"/>
    </row>
    <row r="185" spans="1:216" ht="15" hidden="1" customHeight="1" thickBot="1" x14ac:dyDescent="0.3">
      <c r="A185" s="2424"/>
      <c r="B185" s="3231"/>
      <c r="C185" s="368" t="s">
        <v>224</v>
      </c>
      <c r="D185" s="55">
        <f>IF('DATA INPUT'!I108&gt;50000,'DATA INPUT'!I108-D184,0)</f>
        <v>0</v>
      </c>
      <c r="E185" s="55">
        <f>IF('DATA INPUT'!J108&gt;E184,'DATA INPUT'!J108-E184,0)</f>
        <v>0</v>
      </c>
      <c r="F185" s="55">
        <f>IF('DATA INPUT'!K108&gt;F184,'DATA INPUT'!K108-F184,0)</f>
        <v>0</v>
      </c>
      <c r="G185" s="55">
        <f>IF('DATA INPUT'!L108&gt;G184,'DATA INPUT'!L108-G184,0)</f>
        <v>0</v>
      </c>
      <c r="H185" s="55">
        <f>IF('DATA INPUT'!M108&gt;H184,'DATA INPUT'!M108-H184,0)</f>
        <v>0</v>
      </c>
      <c r="I185" s="55">
        <f>IF('DATA INPUT'!N108&gt;I184,'DATA INPUT'!N108-I184,0)</f>
        <v>0</v>
      </c>
      <c r="J185" s="150">
        <f t="shared" si="836"/>
        <v>0</v>
      </c>
      <c r="K185" s="9"/>
      <c r="L185" s="9"/>
      <c r="M185" s="9"/>
      <c r="N185" s="391"/>
      <c r="O185" s="55"/>
      <c r="P185" s="55"/>
      <c r="Q185" s="55"/>
      <c r="R185" s="55"/>
      <c r="S185" s="55"/>
      <c r="T185" s="164">
        <f t="shared" si="837"/>
        <v>0</v>
      </c>
      <c r="U185" s="1"/>
      <c r="V185" s="391"/>
      <c r="W185" s="55"/>
      <c r="X185" s="55"/>
      <c r="Y185" s="55"/>
      <c r="Z185" s="55"/>
      <c r="AA185" s="55"/>
      <c r="AB185" s="138">
        <f t="shared" si="838"/>
        <v>0</v>
      </c>
      <c r="AD185" s="391"/>
      <c r="AE185" s="55"/>
      <c r="AF185" s="55"/>
      <c r="AG185" s="55"/>
      <c r="AH185" s="55"/>
      <c r="AI185" s="55"/>
      <c r="AJ185" s="206">
        <f t="shared" si="839"/>
        <v>0</v>
      </c>
      <c r="AL185" s="391"/>
      <c r="AM185" s="55"/>
      <c r="AN185" s="55"/>
      <c r="AO185" s="55"/>
      <c r="AP185" s="55"/>
      <c r="AQ185" s="55"/>
      <c r="AR185" s="178">
        <f t="shared" si="840"/>
        <v>0</v>
      </c>
      <c r="AT185" s="391"/>
      <c r="AU185" s="55"/>
      <c r="AV185" s="55"/>
      <c r="AW185" s="55"/>
      <c r="AX185" s="55"/>
      <c r="AY185" s="55"/>
      <c r="AZ185" s="150">
        <f t="shared" si="841"/>
        <v>0</v>
      </c>
      <c r="BB185" s="391"/>
      <c r="BC185" s="55"/>
      <c r="BD185" s="55"/>
      <c r="BE185" s="55"/>
      <c r="BF185" s="55"/>
      <c r="BG185" s="55"/>
      <c r="BH185" s="192">
        <f t="shared" si="842"/>
        <v>0</v>
      </c>
      <c r="BJ185" s="391"/>
      <c r="BK185" s="55"/>
      <c r="BL185" s="55"/>
      <c r="BM185" s="55"/>
      <c r="BN185" s="55"/>
      <c r="BO185" s="55"/>
      <c r="BP185" s="1102">
        <f t="shared" si="843"/>
        <v>0</v>
      </c>
      <c r="BR185" s="575">
        <f t="shared" si="844"/>
        <v>0</v>
      </c>
      <c r="BS185" s="575">
        <f t="shared" si="845"/>
        <v>0</v>
      </c>
      <c r="BT185" s="575">
        <f t="shared" si="846"/>
        <v>0</v>
      </c>
      <c r="BU185" s="575">
        <f t="shared" si="847"/>
        <v>0</v>
      </c>
      <c r="BV185" s="575">
        <f t="shared" si="848"/>
        <v>0</v>
      </c>
      <c r="BW185" s="575">
        <f t="shared" si="849"/>
        <v>0</v>
      </c>
      <c r="BX185" s="991">
        <f t="shared" si="850"/>
        <v>0</v>
      </c>
      <c r="BY185" s="573">
        <f t="shared" si="851"/>
        <v>0</v>
      </c>
      <c r="BZ185" s="257"/>
      <c r="CB185" s="1323">
        <f t="shared" si="852"/>
        <v>0</v>
      </c>
      <c r="CC185" s="1324">
        <f>E185</f>
        <v>0</v>
      </c>
      <c r="CD185" s="1325"/>
      <c r="CE185" s="1325"/>
      <c r="CF185" s="1325"/>
      <c r="CG185" s="1326"/>
      <c r="CH185" s="1331">
        <f>$F185</f>
        <v>0</v>
      </c>
      <c r="CI185" s="1332"/>
      <c r="CJ185" s="1332"/>
      <c r="CK185" s="1332"/>
      <c r="CL185" s="1333"/>
      <c r="CM185" s="1334">
        <f>$G185</f>
        <v>0</v>
      </c>
      <c r="CN185" s="1335"/>
      <c r="CO185" s="1336"/>
      <c r="CP185" s="1228">
        <f t="shared" si="853"/>
        <v>0</v>
      </c>
      <c r="CS185" s="391"/>
      <c r="CT185" s="55"/>
      <c r="CU185" s="1347"/>
      <c r="CV185" s="391"/>
      <c r="CW185" s="55"/>
      <c r="CX185" s="1347"/>
      <c r="CY185" s="391"/>
      <c r="CZ185" s="55"/>
      <c r="DA185" s="1347"/>
      <c r="DB185" s="391"/>
      <c r="DC185" s="55"/>
      <c r="DD185" s="1347"/>
      <c r="DE185" s="1181">
        <f t="shared" si="854"/>
        <v>0</v>
      </c>
      <c r="DG185" s="391"/>
      <c r="DH185" s="55"/>
      <c r="DI185" s="1347"/>
      <c r="DJ185" s="391"/>
      <c r="DK185" s="55"/>
      <c r="DL185" s="1347"/>
      <c r="DM185" s="391"/>
      <c r="DN185" s="55"/>
      <c r="DO185" s="1347"/>
      <c r="DP185" s="391"/>
      <c r="DQ185" s="55"/>
      <c r="DR185" s="1347"/>
      <c r="DS185" s="1181">
        <f t="shared" si="855"/>
        <v>0</v>
      </c>
      <c r="DU185" s="391"/>
      <c r="DV185" s="55"/>
      <c r="DW185" s="1347"/>
      <c r="DX185" s="391"/>
      <c r="DY185" s="55"/>
      <c r="DZ185" s="1347"/>
      <c r="EA185" s="391"/>
      <c r="EB185" s="55"/>
      <c r="EC185" s="1347"/>
      <c r="ED185" s="391"/>
      <c r="EE185" s="55"/>
      <c r="EF185" s="1347"/>
      <c r="EG185" s="1181">
        <f t="shared" si="856"/>
        <v>0</v>
      </c>
      <c r="EI185" s="2424"/>
      <c r="EJ185" s="3231"/>
      <c r="EK185" s="368" t="s">
        <v>224</v>
      </c>
      <c r="EL185" s="55">
        <f t="shared" si="857"/>
        <v>0</v>
      </c>
      <c r="EM185" s="55">
        <f t="shared" si="857"/>
        <v>0</v>
      </c>
      <c r="EN185" s="55">
        <f t="shared" si="857"/>
        <v>0</v>
      </c>
      <c r="EO185" s="55">
        <f t="shared" si="857"/>
        <v>0</v>
      </c>
      <c r="EP185" s="55">
        <f t="shared" si="857"/>
        <v>0</v>
      </c>
      <c r="EQ185" s="55">
        <f t="shared" si="857"/>
        <v>0</v>
      </c>
      <c r="ER185" s="150">
        <f t="shared" si="858"/>
        <v>0</v>
      </c>
      <c r="ES185" s="9"/>
      <c r="ET185" s="9"/>
      <c r="EU185" s="9"/>
      <c r="EV185" s="391">
        <f t="shared" si="859"/>
        <v>0</v>
      </c>
      <c r="EW185" s="55">
        <f t="shared" si="859"/>
        <v>0</v>
      </c>
      <c r="EX185" s="55">
        <f t="shared" si="859"/>
        <v>0</v>
      </c>
      <c r="EY185" s="55">
        <f t="shared" si="859"/>
        <v>0</v>
      </c>
      <c r="EZ185" s="55">
        <f t="shared" si="859"/>
        <v>0</v>
      </c>
      <c r="FA185" s="55">
        <f t="shared" si="859"/>
        <v>0</v>
      </c>
      <c r="FB185" s="164">
        <f t="shared" si="860"/>
        <v>0</v>
      </c>
      <c r="FC185" s="1"/>
      <c r="FD185" s="391"/>
      <c r="FE185" s="55"/>
      <c r="FF185" s="55"/>
      <c r="FG185" s="55"/>
      <c r="FH185" s="55"/>
      <c r="FI185" s="55"/>
      <c r="FJ185" s="138">
        <f t="shared" si="861"/>
        <v>0</v>
      </c>
      <c r="FL185" s="391"/>
      <c r="FM185" s="55"/>
      <c r="FN185" s="55"/>
      <c r="FO185" s="55"/>
      <c r="FP185" s="55"/>
      <c r="FQ185" s="55"/>
      <c r="FR185" s="206">
        <f t="shared" si="862"/>
        <v>0</v>
      </c>
      <c r="FT185" s="391"/>
      <c r="FU185" s="55"/>
      <c r="FV185" s="55"/>
      <c r="FW185" s="55"/>
      <c r="FX185" s="55"/>
      <c r="FY185" s="55"/>
      <c r="FZ185" s="178">
        <f t="shared" si="863"/>
        <v>0</v>
      </c>
      <c r="GB185" s="391"/>
      <c r="GC185" s="55"/>
      <c r="GD185" s="55"/>
      <c r="GE185" s="55"/>
      <c r="GF185" s="55"/>
      <c r="GG185" s="55"/>
      <c r="GH185" s="150">
        <f t="shared" si="864"/>
        <v>0</v>
      </c>
      <c r="GJ185" s="391"/>
      <c r="GK185" s="55"/>
      <c r="GL185" s="55"/>
      <c r="GM185" s="55"/>
      <c r="GN185" s="55"/>
      <c r="GO185" s="55"/>
      <c r="GP185" s="192">
        <f t="shared" si="865"/>
        <v>0</v>
      </c>
      <c r="GR185" s="391"/>
      <c r="GS185" s="55"/>
      <c r="GT185" s="55"/>
      <c r="GU185" s="55"/>
      <c r="GV185" s="55"/>
      <c r="GW185" s="55"/>
      <c r="GX185" s="1102">
        <f t="shared" si="866"/>
        <v>0</v>
      </c>
      <c r="GZ185" s="575">
        <f t="shared" si="867"/>
        <v>0</v>
      </c>
      <c r="HA185" s="575">
        <f t="shared" si="868"/>
        <v>0</v>
      </c>
      <c r="HB185" s="575">
        <f t="shared" si="869"/>
        <v>0</v>
      </c>
      <c r="HC185" s="575">
        <f t="shared" si="870"/>
        <v>0</v>
      </c>
      <c r="HD185" s="575">
        <f t="shared" si="871"/>
        <v>0</v>
      </c>
      <c r="HE185" s="575">
        <f t="shared" si="872"/>
        <v>0</v>
      </c>
      <c r="HF185" s="991">
        <f t="shared" si="873"/>
        <v>0</v>
      </c>
      <c r="HG185" s="573">
        <f t="shared" si="874"/>
        <v>0</v>
      </c>
      <c r="HH185" s="257"/>
    </row>
    <row r="186" spans="1:216" ht="15" hidden="1" customHeight="1" thickBot="1" x14ac:dyDescent="0.3">
      <c r="A186" s="2424"/>
      <c r="B186" s="3232"/>
      <c r="C186" s="372" t="s">
        <v>239</v>
      </c>
      <c r="D186" s="373">
        <f t="shared" ref="D186:J186" si="875">SUM(D184:D185)</f>
        <v>0</v>
      </c>
      <c r="E186" s="373">
        <f t="shared" si="875"/>
        <v>0</v>
      </c>
      <c r="F186" s="373">
        <f t="shared" si="875"/>
        <v>0</v>
      </c>
      <c r="G186" s="373">
        <f t="shared" si="875"/>
        <v>0</v>
      </c>
      <c r="H186" s="373">
        <f t="shared" si="875"/>
        <v>0</v>
      </c>
      <c r="I186" s="373">
        <f t="shared" si="875"/>
        <v>0</v>
      </c>
      <c r="J186" s="374">
        <f t="shared" si="875"/>
        <v>0</v>
      </c>
      <c r="K186" s="13">
        <f>SUM(D186:I186)</f>
        <v>0</v>
      </c>
      <c r="L186" s="13"/>
      <c r="M186" s="9"/>
      <c r="N186" s="392">
        <f t="shared" ref="N186:T186" si="876">SUM(N184:N185)</f>
        <v>0</v>
      </c>
      <c r="O186" s="373">
        <f t="shared" si="876"/>
        <v>0</v>
      </c>
      <c r="P186" s="373">
        <f t="shared" si="876"/>
        <v>0</v>
      </c>
      <c r="Q186" s="373">
        <f t="shared" si="876"/>
        <v>0</v>
      </c>
      <c r="R186" s="373">
        <f t="shared" si="876"/>
        <v>0</v>
      </c>
      <c r="S186" s="373">
        <f t="shared" si="876"/>
        <v>0</v>
      </c>
      <c r="T186" s="393">
        <f t="shared" si="876"/>
        <v>0</v>
      </c>
      <c r="U186" s="1"/>
      <c r="V186" s="392">
        <f t="shared" ref="V186:AB186" si="877">SUM(V184:V185)</f>
        <v>0</v>
      </c>
      <c r="W186" s="373">
        <f t="shared" si="877"/>
        <v>0</v>
      </c>
      <c r="X186" s="373">
        <f t="shared" si="877"/>
        <v>0</v>
      </c>
      <c r="Y186" s="373">
        <f t="shared" si="877"/>
        <v>0</v>
      </c>
      <c r="Z186" s="373">
        <f t="shared" si="877"/>
        <v>0</v>
      </c>
      <c r="AA186" s="373">
        <f t="shared" si="877"/>
        <v>0</v>
      </c>
      <c r="AB186" s="393">
        <f t="shared" si="877"/>
        <v>0</v>
      </c>
      <c r="AD186" s="392">
        <f t="shared" ref="AD186:AJ186" si="878">SUM(AD184:AD185)</f>
        <v>0</v>
      </c>
      <c r="AE186" s="373">
        <f t="shared" si="878"/>
        <v>0</v>
      </c>
      <c r="AF186" s="373">
        <f t="shared" si="878"/>
        <v>0</v>
      </c>
      <c r="AG186" s="373">
        <f t="shared" si="878"/>
        <v>0</v>
      </c>
      <c r="AH186" s="373">
        <f t="shared" si="878"/>
        <v>0</v>
      </c>
      <c r="AI186" s="373">
        <f t="shared" si="878"/>
        <v>0</v>
      </c>
      <c r="AJ186" s="393">
        <f t="shared" si="878"/>
        <v>0</v>
      </c>
      <c r="AL186" s="392">
        <f t="shared" ref="AL186:AR186" si="879">SUM(AL184:AL185)</f>
        <v>0</v>
      </c>
      <c r="AM186" s="373">
        <f t="shared" si="879"/>
        <v>0</v>
      </c>
      <c r="AN186" s="373">
        <f t="shared" si="879"/>
        <v>0</v>
      </c>
      <c r="AO186" s="373">
        <f t="shared" si="879"/>
        <v>0</v>
      </c>
      <c r="AP186" s="373">
        <f t="shared" si="879"/>
        <v>0</v>
      </c>
      <c r="AQ186" s="373">
        <f t="shared" si="879"/>
        <v>0</v>
      </c>
      <c r="AR186" s="393">
        <f t="shared" si="879"/>
        <v>0</v>
      </c>
      <c r="AT186" s="392">
        <f t="shared" ref="AT186:AZ186" si="880">SUM(AT184:AT185)</f>
        <v>0</v>
      </c>
      <c r="AU186" s="373">
        <f t="shared" si="880"/>
        <v>0</v>
      </c>
      <c r="AV186" s="373">
        <f t="shared" si="880"/>
        <v>0</v>
      </c>
      <c r="AW186" s="373">
        <f t="shared" si="880"/>
        <v>0</v>
      </c>
      <c r="AX186" s="373">
        <f t="shared" si="880"/>
        <v>0</v>
      </c>
      <c r="AY186" s="373">
        <f t="shared" si="880"/>
        <v>0</v>
      </c>
      <c r="AZ186" s="393">
        <f t="shared" si="880"/>
        <v>0</v>
      </c>
      <c r="BB186" s="392">
        <f t="shared" ref="BB186:BH186" si="881">SUM(BB184:BB185)</f>
        <v>0</v>
      </c>
      <c r="BC186" s="373">
        <f t="shared" si="881"/>
        <v>0</v>
      </c>
      <c r="BD186" s="373">
        <f t="shared" si="881"/>
        <v>0</v>
      </c>
      <c r="BE186" s="373">
        <f t="shared" si="881"/>
        <v>0</v>
      </c>
      <c r="BF186" s="373">
        <f t="shared" si="881"/>
        <v>0</v>
      </c>
      <c r="BG186" s="373">
        <f t="shared" si="881"/>
        <v>0</v>
      </c>
      <c r="BH186" s="393">
        <f t="shared" si="881"/>
        <v>0</v>
      </c>
      <c r="BJ186" s="392">
        <f t="shared" ref="BJ186:BP186" si="882">SUM(BJ184:BJ185)</f>
        <v>0</v>
      </c>
      <c r="BK186" s="373">
        <f t="shared" si="882"/>
        <v>0</v>
      </c>
      <c r="BL186" s="373">
        <f t="shared" si="882"/>
        <v>0</v>
      </c>
      <c r="BM186" s="373">
        <f t="shared" si="882"/>
        <v>0</v>
      </c>
      <c r="BN186" s="373">
        <f t="shared" si="882"/>
        <v>0</v>
      </c>
      <c r="BO186" s="373">
        <f t="shared" si="882"/>
        <v>0</v>
      </c>
      <c r="BP186" s="1103">
        <f t="shared" si="882"/>
        <v>0</v>
      </c>
      <c r="BR186" s="579">
        <f t="shared" si="844"/>
        <v>0</v>
      </c>
      <c r="BS186" s="579">
        <f t="shared" si="845"/>
        <v>0</v>
      </c>
      <c r="BT186" s="579">
        <f t="shared" si="846"/>
        <v>0</v>
      </c>
      <c r="BU186" s="579">
        <f t="shared" si="847"/>
        <v>0</v>
      </c>
      <c r="BV186" s="579">
        <f t="shared" si="848"/>
        <v>0</v>
      </c>
      <c r="BW186" s="579">
        <f t="shared" si="849"/>
        <v>0</v>
      </c>
      <c r="BX186" s="579">
        <f t="shared" si="850"/>
        <v>0</v>
      </c>
      <c r="BY186" s="580">
        <f t="shared" si="851"/>
        <v>0</v>
      </c>
      <c r="BZ186" s="257"/>
      <c r="CB186" s="1348">
        <f t="shared" ref="CB186:CP186" si="883">SUM(CB184:CB185)</f>
        <v>0</v>
      </c>
      <c r="CC186" s="1348">
        <f t="shared" si="883"/>
        <v>0</v>
      </c>
      <c r="CD186" s="1348">
        <f t="shared" si="883"/>
        <v>0</v>
      </c>
      <c r="CE186" s="1348">
        <f t="shared" si="883"/>
        <v>0</v>
      </c>
      <c r="CF186" s="1348">
        <f t="shared" si="883"/>
        <v>0</v>
      </c>
      <c r="CG186" s="1348">
        <f t="shared" si="883"/>
        <v>0</v>
      </c>
      <c r="CH186" s="1348">
        <f t="shared" si="883"/>
        <v>0</v>
      </c>
      <c r="CI186" s="1348">
        <f t="shared" si="883"/>
        <v>0</v>
      </c>
      <c r="CJ186" s="1348">
        <f t="shared" si="883"/>
        <v>0</v>
      </c>
      <c r="CK186" s="1348">
        <f t="shared" si="883"/>
        <v>0</v>
      </c>
      <c r="CL186" s="1348">
        <f t="shared" si="883"/>
        <v>0</v>
      </c>
      <c r="CM186" s="1348">
        <f t="shared" si="883"/>
        <v>0</v>
      </c>
      <c r="CN186" s="1348">
        <f t="shared" si="883"/>
        <v>0</v>
      </c>
      <c r="CO186" s="1348">
        <f t="shared" si="883"/>
        <v>0</v>
      </c>
      <c r="CP186" s="1348">
        <f t="shared" si="883"/>
        <v>0</v>
      </c>
      <c r="CS186" s="1348">
        <f t="shared" ref="CS186:DE186" si="884">SUM(CS184:CS185)</f>
        <v>0</v>
      </c>
      <c r="CT186" s="1348">
        <f t="shared" si="884"/>
        <v>0</v>
      </c>
      <c r="CU186" s="1348">
        <f t="shared" si="884"/>
        <v>0</v>
      </c>
      <c r="CV186" s="1348">
        <f t="shared" si="884"/>
        <v>0</v>
      </c>
      <c r="CW186" s="1348">
        <f t="shared" si="884"/>
        <v>0</v>
      </c>
      <c r="CX186" s="1348">
        <f t="shared" si="884"/>
        <v>0</v>
      </c>
      <c r="CY186" s="1348">
        <f t="shared" si="884"/>
        <v>0</v>
      </c>
      <c r="CZ186" s="1348">
        <f t="shared" si="884"/>
        <v>0</v>
      </c>
      <c r="DA186" s="1348">
        <f t="shared" si="884"/>
        <v>0</v>
      </c>
      <c r="DB186" s="1348">
        <f t="shared" si="884"/>
        <v>0</v>
      </c>
      <c r="DC186" s="1348">
        <f t="shared" si="884"/>
        <v>0</v>
      </c>
      <c r="DD186" s="1348">
        <f t="shared" si="884"/>
        <v>0</v>
      </c>
      <c r="DE186" s="1348">
        <f t="shared" si="884"/>
        <v>0</v>
      </c>
      <c r="DG186" s="1348">
        <f t="shared" ref="DG186:DS186" si="885">SUM(DG184:DG185)</f>
        <v>0</v>
      </c>
      <c r="DH186" s="1348">
        <f t="shared" si="885"/>
        <v>0</v>
      </c>
      <c r="DI186" s="1348">
        <f t="shared" si="885"/>
        <v>0</v>
      </c>
      <c r="DJ186" s="1348">
        <f t="shared" si="885"/>
        <v>0</v>
      </c>
      <c r="DK186" s="1348">
        <f t="shared" si="885"/>
        <v>0</v>
      </c>
      <c r="DL186" s="1348">
        <f t="shared" si="885"/>
        <v>0</v>
      </c>
      <c r="DM186" s="1348">
        <f t="shared" si="885"/>
        <v>0</v>
      </c>
      <c r="DN186" s="1348">
        <f t="shared" si="885"/>
        <v>0</v>
      </c>
      <c r="DO186" s="1348">
        <f t="shared" si="885"/>
        <v>0</v>
      </c>
      <c r="DP186" s="1348">
        <f t="shared" si="885"/>
        <v>0</v>
      </c>
      <c r="DQ186" s="1348">
        <f t="shared" si="885"/>
        <v>0</v>
      </c>
      <c r="DR186" s="1348">
        <f t="shared" si="885"/>
        <v>0</v>
      </c>
      <c r="DS186" s="1348">
        <f t="shared" si="885"/>
        <v>0</v>
      </c>
      <c r="DU186" s="1348">
        <f t="shared" ref="DU186:EG186" si="886">SUM(DU184:DU185)</f>
        <v>0</v>
      </c>
      <c r="DV186" s="1348">
        <f t="shared" si="886"/>
        <v>0</v>
      </c>
      <c r="DW186" s="1348">
        <f t="shared" si="886"/>
        <v>0</v>
      </c>
      <c r="DX186" s="1348">
        <f t="shared" si="886"/>
        <v>0</v>
      </c>
      <c r="DY186" s="1348">
        <f t="shared" si="886"/>
        <v>0</v>
      </c>
      <c r="DZ186" s="1348">
        <f t="shared" si="886"/>
        <v>0</v>
      </c>
      <c r="EA186" s="1348">
        <f t="shared" si="886"/>
        <v>0</v>
      </c>
      <c r="EB186" s="1348">
        <f t="shared" si="886"/>
        <v>0</v>
      </c>
      <c r="EC186" s="1348">
        <f t="shared" si="886"/>
        <v>0</v>
      </c>
      <c r="ED186" s="1348">
        <f t="shared" si="886"/>
        <v>0</v>
      </c>
      <c r="EE186" s="1348">
        <f t="shared" si="886"/>
        <v>0</v>
      </c>
      <c r="EF186" s="1348">
        <f t="shared" si="886"/>
        <v>0</v>
      </c>
      <c r="EG186" s="1348">
        <f t="shared" si="886"/>
        <v>0</v>
      </c>
      <c r="EI186" s="2424"/>
      <c r="EJ186" s="3232"/>
      <c r="EK186" s="372" t="s">
        <v>239</v>
      </c>
      <c r="EL186" s="373">
        <f t="shared" ref="EL186:ER186" si="887">SUM(EL184:EL185)</f>
        <v>0</v>
      </c>
      <c r="EM186" s="373">
        <f t="shared" si="887"/>
        <v>0</v>
      </c>
      <c r="EN186" s="373">
        <f t="shared" si="887"/>
        <v>0</v>
      </c>
      <c r="EO186" s="373">
        <f t="shared" si="887"/>
        <v>0</v>
      </c>
      <c r="EP186" s="373">
        <f t="shared" si="887"/>
        <v>0</v>
      </c>
      <c r="EQ186" s="373">
        <f t="shared" si="887"/>
        <v>0</v>
      </c>
      <c r="ER186" s="374">
        <f t="shared" si="887"/>
        <v>0</v>
      </c>
      <c r="ES186" s="13">
        <f>SUM(EL186:EQ186)</f>
        <v>0</v>
      </c>
      <c r="ET186" s="13"/>
      <c r="EU186" s="9"/>
      <c r="EV186" s="392">
        <f t="shared" ref="EV186:FB186" si="888">SUM(EV184:EV185)</f>
        <v>0</v>
      </c>
      <c r="EW186" s="373">
        <f t="shared" si="888"/>
        <v>0</v>
      </c>
      <c r="EX186" s="373">
        <f t="shared" si="888"/>
        <v>0</v>
      </c>
      <c r="EY186" s="373">
        <f t="shared" si="888"/>
        <v>0</v>
      </c>
      <c r="EZ186" s="373">
        <f t="shared" si="888"/>
        <v>0</v>
      </c>
      <c r="FA186" s="373">
        <f t="shared" si="888"/>
        <v>0</v>
      </c>
      <c r="FB186" s="393">
        <f t="shared" si="888"/>
        <v>0</v>
      </c>
      <c r="FC186" s="1"/>
      <c r="FD186" s="392">
        <f t="shared" ref="FD186:FJ186" si="889">SUM(FD184:FD185)</f>
        <v>0</v>
      </c>
      <c r="FE186" s="373">
        <f t="shared" si="889"/>
        <v>0</v>
      </c>
      <c r="FF186" s="373">
        <f t="shared" si="889"/>
        <v>0</v>
      </c>
      <c r="FG186" s="373">
        <f t="shared" si="889"/>
        <v>0</v>
      </c>
      <c r="FH186" s="373">
        <f t="shared" si="889"/>
        <v>0</v>
      </c>
      <c r="FI186" s="373">
        <f t="shared" si="889"/>
        <v>0</v>
      </c>
      <c r="FJ186" s="393">
        <f t="shared" si="889"/>
        <v>0</v>
      </c>
      <c r="FL186" s="392">
        <f t="shared" ref="FL186:FR186" si="890">SUM(FL184:FL185)</f>
        <v>0</v>
      </c>
      <c r="FM186" s="373">
        <f t="shared" si="890"/>
        <v>0</v>
      </c>
      <c r="FN186" s="373">
        <f t="shared" si="890"/>
        <v>0</v>
      </c>
      <c r="FO186" s="373">
        <f t="shared" si="890"/>
        <v>0</v>
      </c>
      <c r="FP186" s="373">
        <f t="shared" si="890"/>
        <v>0</v>
      </c>
      <c r="FQ186" s="373">
        <f t="shared" si="890"/>
        <v>0</v>
      </c>
      <c r="FR186" s="393">
        <f t="shared" si="890"/>
        <v>0</v>
      </c>
      <c r="FT186" s="392">
        <f t="shared" ref="FT186:FZ186" si="891">SUM(FT184:FT185)</f>
        <v>0</v>
      </c>
      <c r="FU186" s="373">
        <f t="shared" si="891"/>
        <v>0</v>
      </c>
      <c r="FV186" s="373">
        <f t="shared" si="891"/>
        <v>0</v>
      </c>
      <c r="FW186" s="373">
        <f t="shared" si="891"/>
        <v>0</v>
      </c>
      <c r="FX186" s="373">
        <f t="shared" si="891"/>
        <v>0</v>
      </c>
      <c r="FY186" s="373">
        <f t="shared" si="891"/>
        <v>0</v>
      </c>
      <c r="FZ186" s="393">
        <f t="shared" si="891"/>
        <v>0</v>
      </c>
      <c r="GB186" s="392">
        <f t="shared" ref="GB186:GH186" si="892">SUM(GB184:GB185)</f>
        <v>0</v>
      </c>
      <c r="GC186" s="373">
        <f t="shared" si="892"/>
        <v>0</v>
      </c>
      <c r="GD186" s="373">
        <f t="shared" si="892"/>
        <v>0</v>
      </c>
      <c r="GE186" s="373">
        <f t="shared" si="892"/>
        <v>0</v>
      </c>
      <c r="GF186" s="373">
        <f t="shared" si="892"/>
        <v>0</v>
      </c>
      <c r="GG186" s="373">
        <f t="shared" si="892"/>
        <v>0</v>
      </c>
      <c r="GH186" s="393">
        <f t="shared" si="892"/>
        <v>0</v>
      </c>
      <c r="GJ186" s="392">
        <f t="shared" ref="GJ186:GP186" si="893">SUM(GJ184:GJ185)</f>
        <v>0</v>
      </c>
      <c r="GK186" s="373">
        <f t="shared" si="893"/>
        <v>0</v>
      </c>
      <c r="GL186" s="373">
        <f t="shared" si="893"/>
        <v>0</v>
      </c>
      <c r="GM186" s="373">
        <f t="shared" si="893"/>
        <v>0</v>
      </c>
      <c r="GN186" s="373">
        <f t="shared" si="893"/>
        <v>0</v>
      </c>
      <c r="GO186" s="373">
        <f t="shared" si="893"/>
        <v>0</v>
      </c>
      <c r="GP186" s="393">
        <f t="shared" si="893"/>
        <v>0</v>
      </c>
      <c r="GR186" s="392">
        <f t="shared" ref="GR186:GX186" si="894">SUM(GR184:GR185)</f>
        <v>0</v>
      </c>
      <c r="GS186" s="373">
        <f t="shared" si="894"/>
        <v>0</v>
      </c>
      <c r="GT186" s="373">
        <f t="shared" si="894"/>
        <v>0</v>
      </c>
      <c r="GU186" s="373">
        <f t="shared" si="894"/>
        <v>0</v>
      </c>
      <c r="GV186" s="373">
        <f t="shared" si="894"/>
        <v>0</v>
      </c>
      <c r="GW186" s="373">
        <f t="shared" si="894"/>
        <v>0</v>
      </c>
      <c r="GX186" s="1103">
        <f t="shared" si="894"/>
        <v>0</v>
      </c>
      <c r="GZ186" s="579">
        <f t="shared" si="867"/>
        <v>0</v>
      </c>
      <c r="HA186" s="579">
        <f t="shared" si="868"/>
        <v>0</v>
      </c>
      <c r="HB186" s="579">
        <f t="shared" si="869"/>
        <v>0</v>
      </c>
      <c r="HC186" s="579">
        <f t="shared" si="870"/>
        <v>0</v>
      </c>
      <c r="HD186" s="579">
        <f t="shared" si="871"/>
        <v>0</v>
      </c>
      <c r="HE186" s="579">
        <f t="shared" si="872"/>
        <v>0</v>
      </c>
      <c r="HF186" s="579">
        <f t="shared" si="873"/>
        <v>0</v>
      </c>
      <c r="HG186" s="580">
        <f t="shared" si="874"/>
        <v>0</v>
      </c>
      <c r="HH186" s="257"/>
    </row>
    <row r="187" spans="1:216" ht="15" hidden="1" customHeight="1" x14ac:dyDescent="0.25">
      <c r="A187" s="2424"/>
      <c r="B187" s="3320">
        <f>'DATA INPUT'!B109</f>
        <v>0</v>
      </c>
      <c r="C187" s="359" t="s">
        <v>1033</v>
      </c>
      <c r="D187" s="360">
        <f>IF('DATA INPUT'!I109&gt;0,IF('DATA INPUT'!I109&lt;=50000,'DATA INPUT'!I109,50000),0)</f>
        <v>0</v>
      </c>
      <c r="E187" s="360">
        <f>IF('DATA INPUT'!J109&gt;0,IF(SUM($D187:D187)&lt;50000,MIN('DATA INPUT'!J109,50000-SUM($D187:D187)),0),0)</f>
        <v>0</v>
      </c>
      <c r="F187" s="360">
        <f>IF('DATA INPUT'!K109&gt;0,IF(SUM($D187:E187)&lt;50000,MIN('DATA INPUT'!K109,50000-SUM($D187:E187)),0),0)</f>
        <v>0</v>
      </c>
      <c r="G187" s="360">
        <f>IF('DATA INPUT'!L109&gt;0,IF(SUM($D187:F187)&lt;50000,MIN('DATA INPUT'!L109,50000-SUM($D187:F187)),0),0)</f>
        <v>0</v>
      </c>
      <c r="H187" s="360">
        <f>IF('DATA INPUT'!M109&gt;0,IF(SUM($D187:G187)&lt;50000,MIN('DATA INPUT'!M109,50000-SUM($D187:G187)),0),0)</f>
        <v>0</v>
      </c>
      <c r="I187" s="360">
        <f>IF('DATA INPUT'!N109&gt;0,IF(SUM($D187:H187)&lt;50000,MIN('DATA INPUT'!N109,50000-SUM($D187:H187)),0),0)</f>
        <v>0</v>
      </c>
      <c r="J187" s="180">
        <f>SUM(D187:I187)</f>
        <v>0</v>
      </c>
      <c r="K187" s="6"/>
      <c r="L187" s="9"/>
      <c r="M187" s="6"/>
      <c r="N187" s="386"/>
      <c r="O187" s="360"/>
      <c r="P187" s="360"/>
      <c r="Q187" s="360"/>
      <c r="R187" s="360"/>
      <c r="S187" s="360"/>
      <c r="T187" s="166">
        <f t="shared" ref="T187:T213" si="895">SUM(N187:S187)</f>
        <v>0</v>
      </c>
      <c r="U187" s="1"/>
      <c r="V187" s="386"/>
      <c r="W187" s="360"/>
      <c r="X187" s="360"/>
      <c r="Y187" s="360"/>
      <c r="Z187" s="360"/>
      <c r="AA187" s="360"/>
      <c r="AB187" s="140">
        <f t="shared" ref="AB187:AB213" si="896">SUM(V187:AA187)</f>
        <v>0</v>
      </c>
      <c r="AD187" s="386"/>
      <c r="AE187" s="360"/>
      <c r="AF187" s="360"/>
      <c r="AG187" s="360"/>
      <c r="AH187" s="360"/>
      <c r="AI187" s="360"/>
      <c r="AJ187" s="208">
        <f t="shared" ref="AJ187:AJ213" si="897">SUM(AD187:AI187)</f>
        <v>0</v>
      </c>
      <c r="AL187" s="386"/>
      <c r="AM187" s="360"/>
      <c r="AN187" s="360"/>
      <c r="AO187" s="360"/>
      <c r="AP187" s="360"/>
      <c r="AQ187" s="360"/>
      <c r="AR187" s="180">
        <f t="shared" ref="AR187:AR213" si="898">SUM(AL187:AQ187)</f>
        <v>0</v>
      </c>
      <c r="AT187" s="386"/>
      <c r="AU187" s="360"/>
      <c r="AV187" s="360"/>
      <c r="AW187" s="360"/>
      <c r="AX187" s="360"/>
      <c r="AY187" s="360"/>
      <c r="AZ187" s="152">
        <f t="shared" ref="AZ187:AZ213" si="899">SUM(AT187:AY187)</f>
        <v>0</v>
      </c>
      <c r="BB187" s="386"/>
      <c r="BC187" s="360"/>
      <c r="BD187" s="360"/>
      <c r="BE187" s="360"/>
      <c r="BF187" s="360"/>
      <c r="BG187" s="360"/>
      <c r="BH187" s="194">
        <f t="shared" ref="BH187:BH213" si="900">SUM(BB187:BG187)</f>
        <v>0</v>
      </c>
      <c r="BJ187" s="386"/>
      <c r="BK187" s="360"/>
      <c r="BL187" s="360"/>
      <c r="BM187" s="360"/>
      <c r="BN187" s="360"/>
      <c r="BO187" s="360"/>
      <c r="BP187" s="1104">
        <f t="shared" ref="BP187:BP213" si="901">SUM(BJ187:BO187)</f>
        <v>0</v>
      </c>
      <c r="BR187" s="575">
        <f t="shared" si="844"/>
        <v>0</v>
      </c>
      <c r="BS187" s="575">
        <f t="shared" si="845"/>
        <v>0</v>
      </c>
      <c r="BT187" s="575">
        <f t="shared" si="846"/>
        <v>0</v>
      </c>
      <c r="BU187" s="575">
        <f t="shared" si="847"/>
        <v>0</v>
      </c>
      <c r="BV187" s="575">
        <f t="shared" si="848"/>
        <v>0</v>
      </c>
      <c r="BW187" s="575">
        <f t="shared" si="849"/>
        <v>0</v>
      </c>
      <c r="BX187" s="991">
        <f t="shared" si="850"/>
        <v>0</v>
      </c>
      <c r="BY187" s="573">
        <f t="shared" si="851"/>
        <v>0</v>
      </c>
      <c r="BZ187" s="257"/>
      <c r="CB187" s="1339">
        <f>D187</f>
        <v>0</v>
      </c>
      <c r="CC187" s="1170">
        <f>E187</f>
        <v>0</v>
      </c>
      <c r="CD187" s="1171"/>
      <c r="CE187" s="1171"/>
      <c r="CF187" s="1171"/>
      <c r="CG187" s="1172"/>
      <c r="CH187" s="1289">
        <f>$F187</f>
        <v>0</v>
      </c>
      <c r="CI187" s="1174"/>
      <c r="CJ187" s="1174"/>
      <c r="CK187" s="1174"/>
      <c r="CL187" s="1175"/>
      <c r="CM187" s="1176">
        <f>$G187</f>
        <v>0</v>
      </c>
      <c r="CN187" s="1290"/>
      <c r="CO187" s="1178"/>
      <c r="CP187" s="1179">
        <f>SUM(CB187:CO187)</f>
        <v>0</v>
      </c>
      <c r="CS187" s="386"/>
      <c r="CT187" s="360"/>
      <c r="CU187" s="1161"/>
      <c r="CV187" s="386"/>
      <c r="CW187" s="360"/>
      <c r="CX187" s="1161"/>
      <c r="CY187" s="386"/>
      <c r="CZ187" s="360"/>
      <c r="DA187" s="1161"/>
      <c r="DB187" s="386"/>
      <c r="DC187" s="360"/>
      <c r="DD187" s="1161"/>
      <c r="DE187" s="1065">
        <f>SUM(CS187:DD187)</f>
        <v>0</v>
      </c>
      <c r="DG187" s="386"/>
      <c r="DH187" s="360"/>
      <c r="DI187" s="1161"/>
      <c r="DJ187" s="386"/>
      <c r="DK187" s="360"/>
      <c r="DL187" s="1161"/>
      <c r="DM187" s="386"/>
      <c r="DN187" s="360"/>
      <c r="DO187" s="1161"/>
      <c r="DP187" s="386"/>
      <c r="DQ187" s="360"/>
      <c r="DR187" s="1161"/>
      <c r="DS187" s="1065">
        <f>SUM(DG187:DR187)</f>
        <v>0</v>
      </c>
      <c r="DU187" s="386"/>
      <c r="DV187" s="360"/>
      <c r="DW187" s="1161"/>
      <c r="DX187" s="386"/>
      <c r="DY187" s="360"/>
      <c r="DZ187" s="1161"/>
      <c r="EA187" s="386"/>
      <c r="EB187" s="360"/>
      <c r="EC187" s="1161"/>
      <c r="ED187" s="386"/>
      <c r="EE187" s="360"/>
      <c r="EF187" s="1161"/>
      <c r="EG187" s="1065">
        <f>SUM(DU187:EF187)</f>
        <v>0</v>
      </c>
      <c r="EI187" s="2424"/>
      <c r="EJ187" s="3320">
        <f>B187</f>
        <v>0</v>
      </c>
      <c r="EK187" s="359" t="s">
        <v>1033</v>
      </c>
      <c r="EL187" s="360">
        <f t="shared" ref="EL187:EQ188" si="902">ROUND(D187,0)</f>
        <v>0</v>
      </c>
      <c r="EM187" s="360">
        <f t="shared" si="902"/>
        <v>0</v>
      </c>
      <c r="EN187" s="360">
        <f t="shared" si="902"/>
        <v>0</v>
      </c>
      <c r="EO187" s="360">
        <f t="shared" si="902"/>
        <v>0</v>
      </c>
      <c r="EP187" s="360">
        <f t="shared" si="902"/>
        <v>0</v>
      </c>
      <c r="EQ187" s="360">
        <f t="shared" si="902"/>
        <v>0</v>
      </c>
      <c r="ER187" s="180">
        <f>SUM(EL187:EQ187)</f>
        <v>0</v>
      </c>
      <c r="ES187" s="6"/>
      <c r="ET187" s="9"/>
      <c r="EU187" s="6"/>
      <c r="EV187" s="386">
        <f t="shared" ref="EV187:FA188" si="903">ROUND(N187,0)</f>
        <v>0</v>
      </c>
      <c r="EW187" s="360">
        <f t="shared" si="903"/>
        <v>0</v>
      </c>
      <c r="EX187" s="360">
        <f t="shared" si="903"/>
        <v>0</v>
      </c>
      <c r="EY187" s="360">
        <f t="shared" si="903"/>
        <v>0</v>
      </c>
      <c r="EZ187" s="360">
        <f t="shared" si="903"/>
        <v>0</v>
      </c>
      <c r="FA187" s="360">
        <f t="shared" si="903"/>
        <v>0</v>
      </c>
      <c r="FB187" s="166">
        <f t="shared" ref="FB187:FB213" si="904">SUM(EV187:FA187)</f>
        <v>0</v>
      </c>
      <c r="FC187" s="1"/>
      <c r="FD187" s="386"/>
      <c r="FE187" s="360"/>
      <c r="FF187" s="360"/>
      <c r="FG187" s="360"/>
      <c r="FH187" s="360"/>
      <c r="FI187" s="360"/>
      <c r="FJ187" s="140">
        <f t="shared" ref="FJ187:FJ213" si="905">SUM(FD187:FI187)</f>
        <v>0</v>
      </c>
      <c r="FL187" s="386"/>
      <c r="FM187" s="360"/>
      <c r="FN187" s="360"/>
      <c r="FO187" s="360"/>
      <c r="FP187" s="360"/>
      <c r="FQ187" s="360"/>
      <c r="FR187" s="208">
        <f t="shared" ref="FR187:FR213" si="906">SUM(FL187:FQ187)</f>
        <v>0</v>
      </c>
      <c r="FT187" s="386"/>
      <c r="FU187" s="360"/>
      <c r="FV187" s="360"/>
      <c r="FW187" s="360"/>
      <c r="FX187" s="360"/>
      <c r="FY187" s="360"/>
      <c r="FZ187" s="180">
        <f t="shared" ref="FZ187:FZ213" si="907">SUM(FT187:FY187)</f>
        <v>0</v>
      </c>
      <c r="GB187" s="386"/>
      <c r="GC187" s="360"/>
      <c r="GD187" s="360"/>
      <c r="GE187" s="360"/>
      <c r="GF187" s="360"/>
      <c r="GG187" s="360"/>
      <c r="GH187" s="152">
        <f t="shared" ref="GH187:GH213" si="908">SUM(GB187:GG187)</f>
        <v>0</v>
      </c>
      <c r="GJ187" s="386"/>
      <c r="GK187" s="360"/>
      <c r="GL187" s="360"/>
      <c r="GM187" s="360"/>
      <c r="GN187" s="360"/>
      <c r="GO187" s="360"/>
      <c r="GP187" s="194">
        <f t="shared" ref="GP187:GP213" si="909">SUM(GJ187:GO187)</f>
        <v>0</v>
      </c>
      <c r="GR187" s="386"/>
      <c r="GS187" s="360"/>
      <c r="GT187" s="360"/>
      <c r="GU187" s="360"/>
      <c r="GV187" s="360"/>
      <c r="GW187" s="360"/>
      <c r="GX187" s="1104">
        <f t="shared" ref="GX187:GX213" si="910">SUM(GR187:GW187)</f>
        <v>0</v>
      </c>
      <c r="GZ187" s="575">
        <f t="shared" si="867"/>
        <v>0</v>
      </c>
      <c r="HA187" s="575">
        <f t="shared" si="868"/>
        <v>0</v>
      </c>
      <c r="HB187" s="575">
        <f t="shared" si="869"/>
        <v>0</v>
      </c>
      <c r="HC187" s="575">
        <f t="shared" si="870"/>
        <v>0</v>
      </c>
      <c r="HD187" s="575">
        <f t="shared" si="871"/>
        <v>0</v>
      </c>
      <c r="HE187" s="575">
        <f t="shared" si="872"/>
        <v>0</v>
      </c>
      <c r="HF187" s="991">
        <f t="shared" si="873"/>
        <v>0</v>
      </c>
      <c r="HG187" s="573">
        <f t="shared" si="874"/>
        <v>0</v>
      </c>
      <c r="HH187" s="257"/>
    </row>
    <row r="188" spans="1:216" ht="15" hidden="1" customHeight="1" thickBot="1" x14ac:dyDescent="0.3">
      <c r="A188" s="2424"/>
      <c r="B188" s="3321"/>
      <c r="C188" s="367" t="s">
        <v>224</v>
      </c>
      <c r="D188" s="56">
        <f>IF('DATA INPUT'!I109&gt;50000,'DATA INPUT'!I109-D187,0)</f>
        <v>0</v>
      </c>
      <c r="E188" s="56">
        <f>IF('DATA INPUT'!J109&gt;E187,'DATA INPUT'!J109-E187,0)</f>
        <v>0</v>
      </c>
      <c r="F188" s="56">
        <f>IF('DATA INPUT'!K109&gt;F187,'DATA INPUT'!K109-F187,0)</f>
        <v>0</v>
      </c>
      <c r="G188" s="56">
        <f>IF('DATA INPUT'!L109&gt;G187,'DATA INPUT'!L109-G187,0)</f>
        <v>0</v>
      </c>
      <c r="H188" s="56">
        <f>IF('DATA INPUT'!M109&gt;H187,'DATA INPUT'!M109-H187,0)</f>
        <v>0</v>
      </c>
      <c r="I188" s="56">
        <f>IF('DATA INPUT'!N109&gt;I187,'DATA INPUT'!N109-I187,0)</f>
        <v>0</v>
      </c>
      <c r="J188" s="178">
        <f>SUM(D188:I188)</f>
        <v>0</v>
      </c>
      <c r="K188" s="9"/>
      <c r="L188" s="9"/>
      <c r="M188" s="9"/>
      <c r="N188" s="387"/>
      <c r="O188" s="56"/>
      <c r="P188" s="56"/>
      <c r="Q188" s="56"/>
      <c r="R188" s="56"/>
      <c r="S188" s="56"/>
      <c r="T188" s="164">
        <f t="shared" si="895"/>
        <v>0</v>
      </c>
      <c r="U188" s="1"/>
      <c r="V188" s="387"/>
      <c r="W188" s="56"/>
      <c r="X188" s="56"/>
      <c r="Y188" s="56"/>
      <c r="Z188" s="56"/>
      <c r="AA188" s="56"/>
      <c r="AB188" s="138">
        <f t="shared" si="896"/>
        <v>0</v>
      </c>
      <c r="AD188" s="387"/>
      <c r="AE188" s="56"/>
      <c r="AF188" s="56"/>
      <c r="AG188" s="56"/>
      <c r="AH188" s="56"/>
      <c r="AI188" s="56"/>
      <c r="AJ188" s="206">
        <f t="shared" si="897"/>
        <v>0</v>
      </c>
      <c r="AL188" s="387"/>
      <c r="AM188" s="56"/>
      <c r="AN188" s="56"/>
      <c r="AO188" s="56"/>
      <c r="AP188" s="56"/>
      <c r="AQ188" s="56"/>
      <c r="AR188" s="178">
        <f t="shared" si="898"/>
        <v>0</v>
      </c>
      <c r="AT188" s="387"/>
      <c r="AU188" s="56"/>
      <c r="AV188" s="56"/>
      <c r="AW188" s="56"/>
      <c r="AX188" s="56"/>
      <c r="AY188" s="56"/>
      <c r="AZ188" s="150">
        <f t="shared" si="899"/>
        <v>0</v>
      </c>
      <c r="BB188" s="387"/>
      <c r="BC188" s="56"/>
      <c r="BD188" s="56"/>
      <c r="BE188" s="56"/>
      <c r="BF188" s="56"/>
      <c r="BG188" s="56"/>
      <c r="BH188" s="192">
        <f t="shared" si="900"/>
        <v>0</v>
      </c>
      <c r="BJ188" s="387"/>
      <c r="BK188" s="56"/>
      <c r="BL188" s="56"/>
      <c r="BM188" s="56"/>
      <c r="BN188" s="56"/>
      <c r="BO188" s="56"/>
      <c r="BP188" s="1102">
        <f t="shared" si="901"/>
        <v>0</v>
      </c>
      <c r="BR188" s="575">
        <f t="shared" si="844"/>
        <v>0</v>
      </c>
      <c r="BS188" s="575">
        <f t="shared" si="845"/>
        <v>0</v>
      </c>
      <c r="BT188" s="575">
        <f t="shared" si="846"/>
        <v>0</v>
      </c>
      <c r="BU188" s="575">
        <f t="shared" si="847"/>
        <v>0</v>
      </c>
      <c r="BV188" s="575">
        <f t="shared" si="848"/>
        <v>0</v>
      </c>
      <c r="BW188" s="575">
        <f t="shared" si="849"/>
        <v>0</v>
      </c>
      <c r="BX188" s="991">
        <f t="shared" si="850"/>
        <v>0</v>
      </c>
      <c r="BY188" s="573">
        <f t="shared" si="851"/>
        <v>0</v>
      </c>
      <c r="BZ188" s="257"/>
      <c r="CB188" s="1323">
        <f>D188</f>
        <v>0</v>
      </c>
      <c r="CC188" s="1324">
        <f>E188</f>
        <v>0</v>
      </c>
      <c r="CD188" s="1325"/>
      <c r="CE188" s="1325"/>
      <c r="CF188" s="1325"/>
      <c r="CG188" s="1326"/>
      <c r="CH188" s="1331">
        <f>$F188</f>
        <v>0</v>
      </c>
      <c r="CI188" s="1332"/>
      <c r="CJ188" s="1332"/>
      <c r="CK188" s="1332"/>
      <c r="CL188" s="1333"/>
      <c r="CM188" s="1334">
        <f>$G188</f>
        <v>0</v>
      </c>
      <c r="CN188" s="1335"/>
      <c r="CO188" s="1336"/>
      <c r="CP188" s="1228">
        <f>SUM(CB188:CO188)</f>
        <v>0</v>
      </c>
      <c r="CS188" s="387"/>
      <c r="CT188" s="56"/>
      <c r="CU188" s="1183"/>
      <c r="CV188" s="387"/>
      <c r="CW188" s="56"/>
      <c r="CX188" s="1183"/>
      <c r="CY188" s="387"/>
      <c r="CZ188" s="56"/>
      <c r="DA188" s="1183"/>
      <c r="DB188" s="387"/>
      <c r="DC188" s="56"/>
      <c r="DD188" s="1183"/>
      <c r="DE188" s="1181">
        <f>SUM(CS188:DD188)</f>
        <v>0</v>
      </c>
      <c r="DG188" s="387"/>
      <c r="DH188" s="56"/>
      <c r="DI188" s="1183"/>
      <c r="DJ188" s="387"/>
      <c r="DK188" s="56"/>
      <c r="DL188" s="1183"/>
      <c r="DM188" s="387"/>
      <c r="DN188" s="56"/>
      <c r="DO188" s="1183"/>
      <c r="DP188" s="387"/>
      <c r="DQ188" s="56"/>
      <c r="DR188" s="1183"/>
      <c r="DS188" s="1181">
        <f>SUM(DG188:DR188)</f>
        <v>0</v>
      </c>
      <c r="DU188" s="387"/>
      <c r="DV188" s="56"/>
      <c r="DW188" s="1183"/>
      <c r="DX188" s="387"/>
      <c r="DY188" s="56"/>
      <c r="DZ188" s="1183"/>
      <c r="EA188" s="387"/>
      <c r="EB188" s="56"/>
      <c r="EC188" s="1183"/>
      <c r="ED188" s="387"/>
      <c r="EE188" s="56"/>
      <c r="EF188" s="1183"/>
      <c r="EG188" s="1181">
        <f>SUM(DU188:EF188)</f>
        <v>0</v>
      </c>
      <c r="EI188" s="2424"/>
      <c r="EJ188" s="3321"/>
      <c r="EK188" s="367" t="s">
        <v>224</v>
      </c>
      <c r="EL188" s="56">
        <f t="shared" si="902"/>
        <v>0</v>
      </c>
      <c r="EM188" s="56">
        <f t="shared" si="902"/>
        <v>0</v>
      </c>
      <c r="EN188" s="56">
        <f t="shared" si="902"/>
        <v>0</v>
      </c>
      <c r="EO188" s="56">
        <f t="shared" si="902"/>
        <v>0</v>
      </c>
      <c r="EP188" s="56">
        <f t="shared" si="902"/>
        <v>0</v>
      </c>
      <c r="EQ188" s="56">
        <f t="shared" si="902"/>
        <v>0</v>
      </c>
      <c r="ER188" s="178">
        <f>SUM(EL188:EQ188)</f>
        <v>0</v>
      </c>
      <c r="ES188" s="9"/>
      <c r="ET188" s="9"/>
      <c r="EU188" s="9"/>
      <c r="EV188" s="387">
        <f t="shared" si="903"/>
        <v>0</v>
      </c>
      <c r="EW188" s="56">
        <f t="shared" si="903"/>
        <v>0</v>
      </c>
      <c r="EX188" s="56">
        <f t="shared" si="903"/>
        <v>0</v>
      </c>
      <c r="EY188" s="56">
        <f t="shared" si="903"/>
        <v>0</v>
      </c>
      <c r="EZ188" s="56">
        <f t="shared" si="903"/>
        <v>0</v>
      </c>
      <c r="FA188" s="56">
        <f t="shared" si="903"/>
        <v>0</v>
      </c>
      <c r="FB188" s="164">
        <f t="shared" si="904"/>
        <v>0</v>
      </c>
      <c r="FC188" s="1"/>
      <c r="FD188" s="387"/>
      <c r="FE188" s="56"/>
      <c r="FF188" s="56"/>
      <c r="FG188" s="56"/>
      <c r="FH188" s="56"/>
      <c r="FI188" s="56"/>
      <c r="FJ188" s="138">
        <f t="shared" si="905"/>
        <v>0</v>
      </c>
      <c r="FL188" s="387"/>
      <c r="FM188" s="56"/>
      <c r="FN188" s="56"/>
      <c r="FO188" s="56"/>
      <c r="FP188" s="56"/>
      <c r="FQ188" s="56"/>
      <c r="FR188" s="206">
        <f t="shared" si="906"/>
        <v>0</v>
      </c>
      <c r="FT188" s="387"/>
      <c r="FU188" s="56"/>
      <c r="FV188" s="56"/>
      <c r="FW188" s="56"/>
      <c r="FX188" s="56"/>
      <c r="FY188" s="56"/>
      <c r="FZ188" s="178">
        <f t="shared" si="907"/>
        <v>0</v>
      </c>
      <c r="GB188" s="387"/>
      <c r="GC188" s="56"/>
      <c r="GD188" s="56"/>
      <c r="GE188" s="56"/>
      <c r="GF188" s="56"/>
      <c r="GG188" s="56"/>
      <c r="GH188" s="150">
        <f t="shared" si="908"/>
        <v>0</v>
      </c>
      <c r="GJ188" s="387"/>
      <c r="GK188" s="56"/>
      <c r="GL188" s="56"/>
      <c r="GM188" s="56"/>
      <c r="GN188" s="56"/>
      <c r="GO188" s="56"/>
      <c r="GP188" s="192">
        <f t="shared" si="909"/>
        <v>0</v>
      </c>
      <c r="GR188" s="387"/>
      <c r="GS188" s="56"/>
      <c r="GT188" s="56"/>
      <c r="GU188" s="56"/>
      <c r="GV188" s="56"/>
      <c r="GW188" s="56"/>
      <c r="GX188" s="1102">
        <f t="shared" si="910"/>
        <v>0</v>
      </c>
      <c r="GZ188" s="575">
        <f t="shared" si="867"/>
        <v>0</v>
      </c>
      <c r="HA188" s="575">
        <f t="shared" si="868"/>
        <v>0</v>
      </c>
      <c r="HB188" s="575">
        <f t="shared" si="869"/>
        <v>0</v>
      </c>
      <c r="HC188" s="575">
        <f t="shared" si="870"/>
        <v>0</v>
      </c>
      <c r="HD188" s="575">
        <f t="shared" si="871"/>
        <v>0</v>
      </c>
      <c r="HE188" s="575">
        <f t="shared" si="872"/>
        <v>0</v>
      </c>
      <c r="HF188" s="991">
        <f t="shared" si="873"/>
        <v>0</v>
      </c>
      <c r="HG188" s="573">
        <f t="shared" si="874"/>
        <v>0</v>
      </c>
      <c r="HH188" s="257"/>
    </row>
    <row r="189" spans="1:216" ht="15" hidden="1" customHeight="1" thickBot="1" x14ac:dyDescent="0.3">
      <c r="A189" s="2424"/>
      <c r="B189" s="3322"/>
      <c r="C189" s="369" t="s">
        <v>239</v>
      </c>
      <c r="D189" s="370">
        <f t="shared" ref="D189:J189" si="911">SUM(D187:D188)</f>
        <v>0</v>
      </c>
      <c r="E189" s="370">
        <f t="shared" si="911"/>
        <v>0</v>
      </c>
      <c r="F189" s="370">
        <f t="shared" si="911"/>
        <v>0</v>
      </c>
      <c r="G189" s="370">
        <f t="shared" si="911"/>
        <v>0</v>
      </c>
      <c r="H189" s="370">
        <f t="shared" si="911"/>
        <v>0</v>
      </c>
      <c r="I189" s="370">
        <f t="shared" si="911"/>
        <v>0</v>
      </c>
      <c r="J189" s="371">
        <f t="shared" si="911"/>
        <v>0</v>
      </c>
      <c r="K189" s="13">
        <f>SUM(D189:I189)</f>
        <v>0</v>
      </c>
      <c r="L189" s="6"/>
      <c r="M189" s="9"/>
      <c r="N189" s="388">
        <f t="shared" ref="N189:S189" si="912">SUM(N187:N188)</f>
        <v>0</v>
      </c>
      <c r="O189" s="370">
        <f t="shared" si="912"/>
        <v>0</v>
      </c>
      <c r="P189" s="370">
        <f t="shared" si="912"/>
        <v>0</v>
      </c>
      <c r="Q189" s="370">
        <f t="shared" si="912"/>
        <v>0</v>
      </c>
      <c r="R189" s="370">
        <f t="shared" si="912"/>
        <v>0</v>
      </c>
      <c r="S189" s="370">
        <f t="shared" si="912"/>
        <v>0</v>
      </c>
      <c r="T189" s="389">
        <f t="shared" si="895"/>
        <v>0</v>
      </c>
      <c r="U189" s="1"/>
      <c r="V189" s="388">
        <f t="shared" ref="V189:AA189" si="913">SUM(V187:V188)</f>
        <v>0</v>
      </c>
      <c r="W189" s="370">
        <f t="shared" si="913"/>
        <v>0</v>
      </c>
      <c r="X189" s="370">
        <f t="shared" si="913"/>
        <v>0</v>
      </c>
      <c r="Y189" s="370">
        <f t="shared" si="913"/>
        <v>0</v>
      </c>
      <c r="Z189" s="370">
        <f t="shared" si="913"/>
        <v>0</v>
      </c>
      <c r="AA189" s="370">
        <f t="shared" si="913"/>
        <v>0</v>
      </c>
      <c r="AB189" s="389">
        <f t="shared" si="896"/>
        <v>0</v>
      </c>
      <c r="AD189" s="388">
        <f t="shared" ref="AD189:AI189" si="914">SUM(AD187:AD188)</f>
        <v>0</v>
      </c>
      <c r="AE189" s="370">
        <f t="shared" si="914"/>
        <v>0</v>
      </c>
      <c r="AF189" s="370">
        <f t="shared" si="914"/>
        <v>0</v>
      </c>
      <c r="AG189" s="370">
        <f t="shared" si="914"/>
        <v>0</v>
      </c>
      <c r="AH189" s="370">
        <f t="shared" si="914"/>
        <v>0</v>
      </c>
      <c r="AI189" s="370">
        <f t="shared" si="914"/>
        <v>0</v>
      </c>
      <c r="AJ189" s="389">
        <f t="shared" si="897"/>
        <v>0</v>
      </c>
      <c r="AL189" s="388">
        <f t="shared" ref="AL189:AQ189" si="915">SUM(AL187:AL188)</f>
        <v>0</v>
      </c>
      <c r="AM189" s="370">
        <f t="shared" si="915"/>
        <v>0</v>
      </c>
      <c r="AN189" s="370">
        <f t="shared" si="915"/>
        <v>0</v>
      </c>
      <c r="AO189" s="370">
        <f t="shared" si="915"/>
        <v>0</v>
      </c>
      <c r="AP189" s="370">
        <f t="shared" si="915"/>
        <v>0</v>
      </c>
      <c r="AQ189" s="370">
        <f t="shared" si="915"/>
        <v>0</v>
      </c>
      <c r="AR189" s="389">
        <f t="shared" si="898"/>
        <v>0</v>
      </c>
      <c r="AT189" s="388">
        <f t="shared" ref="AT189:AY189" si="916">SUM(AT187:AT188)</f>
        <v>0</v>
      </c>
      <c r="AU189" s="370">
        <f t="shared" si="916"/>
        <v>0</v>
      </c>
      <c r="AV189" s="370">
        <f t="shared" si="916"/>
        <v>0</v>
      </c>
      <c r="AW189" s="370">
        <f t="shared" si="916"/>
        <v>0</v>
      </c>
      <c r="AX189" s="370">
        <f t="shared" si="916"/>
        <v>0</v>
      </c>
      <c r="AY189" s="370">
        <f t="shared" si="916"/>
        <v>0</v>
      </c>
      <c r="AZ189" s="389">
        <f t="shared" si="899"/>
        <v>0</v>
      </c>
      <c r="BB189" s="388">
        <f t="shared" ref="BB189:BG189" si="917">SUM(BB187:BB188)</f>
        <v>0</v>
      </c>
      <c r="BC189" s="370">
        <f t="shared" si="917"/>
        <v>0</v>
      </c>
      <c r="BD189" s="370">
        <f t="shared" si="917"/>
        <v>0</v>
      </c>
      <c r="BE189" s="370">
        <f t="shared" si="917"/>
        <v>0</v>
      </c>
      <c r="BF189" s="370">
        <f t="shared" si="917"/>
        <v>0</v>
      </c>
      <c r="BG189" s="370">
        <f t="shared" si="917"/>
        <v>0</v>
      </c>
      <c r="BH189" s="389">
        <f t="shared" si="900"/>
        <v>0</v>
      </c>
      <c r="BJ189" s="388">
        <f t="shared" ref="BJ189:BO189" si="918">SUM(BJ187:BJ188)</f>
        <v>0</v>
      </c>
      <c r="BK189" s="370">
        <f t="shared" si="918"/>
        <v>0</v>
      </c>
      <c r="BL189" s="370">
        <f t="shared" si="918"/>
        <v>0</v>
      </c>
      <c r="BM189" s="370">
        <f t="shared" si="918"/>
        <v>0</v>
      </c>
      <c r="BN189" s="370">
        <f t="shared" si="918"/>
        <v>0</v>
      </c>
      <c r="BO189" s="370">
        <f t="shared" si="918"/>
        <v>0</v>
      </c>
      <c r="BP189" s="1103">
        <f t="shared" si="901"/>
        <v>0</v>
      </c>
      <c r="BR189" s="579">
        <f t="shared" si="844"/>
        <v>0</v>
      </c>
      <c r="BS189" s="579">
        <f t="shared" si="845"/>
        <v>0</v>
      </c>
      <c r="BT189" s="579">
        <f t="shared" si="846"/>
        <v>0</v>
      </c>
      <c r="BU189" s="579">
        <f t="shared" si="847"/>
        <v>0</v>
      </c>
      <c r="BV189" s="579">
        <f t="shared" si="848"/>
        <v>0</v>
      </c>
      <c r="BW189" s="579">
        <f t="shared" si="849"/>
        <v>0</v>
      </c>
      <c r="BX189" s="579">
        <f t="shared" si="850"/>
        <v>0</v>
      </c>
      <c r="BY189" s="580">
        <f t="shared" si="851"/>
        <v>0</v>
      </c>
      <c r="BZ189" s="257"/>
      <c r="CB189" s="1340">
        <f t="shared" ref="CB189:CP189" si="919">SUM(CB187:CB188)</f>
        <v>0</v>
      </c>
      <c r="CC189" s="1341">
        <f t="shared" si="919"/>
        <v>0</v>
      </c>
      <c r="CD189" s="1342">
        <f t="shared" si="919"/>
        <v>0</v>
      </c>
      <c r="CE189" s="1342">
        <f t="shared" si="919"/>
        <v>0</v>
      </c>
      <c r="CF189" s="1342">
        <f t="shared" si="919"/>
        <v>0</v>
      </c>
      <c r="CG189" s="1343">
        <f t="shared" si="919"/>
        <v>0</v>
      </c>
      <c r="CH189" s="1341">
        <f t="shared" si="919"/>
        <v>0</v>
      </c>
      <c r="CI189" s="1342">
        <f t="shared" si="919"/>
        <v>0</v>
      </c>
      <c r="CJ189" s="1342">
        <f t="shared" si="919"/>
        <v>0</v>
      </c>
      <c r="CK189" s="1342">
        <f t="shared" si="919"/>
        <v>0</v>
      </c>
      <c r="CL189" s="1344">
        <f t="shared" si="919"/>
        <v>0</v>
      </c>
      <c r="CM189" s="1341">
        <f t="shared" si="919"/>
        <v>0</v>
      </c>
      <c r="CN189" s="1342">
        <f t="shared" si="919"/>
        <v>0</v>
      </c>
      <c r="CO189" s="1343">
        <f t="shared" si="919"/>
        <v>0</v>
      </c>
      <c r="CP189" s="1345">
        <f t="shared" si="919"/>
        <v>0</v>
      </c>
      <c r="CS189" s="1340">
        <f t="shared" ref="CS189:DE189" si="920">SUM(CS187:CS188)</f>
        <v>0</v>
      </c>
      <c r="CT189" s="1343">
        <f t="shared" si="920"/>
        <v>0</v>
      </c>
      <c r="CU189" s="1343">
        <f t="shared" si="920"/>
        <v>0</v>
      </c>
      <c r="CV189" s="1343">
        <f t="shared" si="920"/>
        <v>0</v>
      </c>
      <c r="CW189" s="1343">
        <f t="shared" si="920"/>
        <v>0</v>
      </c>
      <c r="CX189" s="1343">
        <f t="shared" si="920"/>
        <v>0</v>
      </c>
      <c r="CY189" s="1343">
        <f t="shared" si="920"/>
        <v>0</v>
      </c>
      <c r="CZ189" s="1343">
        <f t="shared" si="920"/>
        <v>0</v>
      </c>
      <c r="DA189" s="1343">
        <f t="shared" si="920"/>
        <v>0</v>
      </c>
      <c r="DB189" s="1343">
        <f t="shared" si="920"/>
        <v>0</v>
      </c>
      <c r="DC189" s="1343">
        <f t="shared" si="920"/>
        <v>0</v>
      </c>
      <c r="DD189" s="1343">
        <f t="shared" si="920"/>
        <v>0</v>
      </c>
      <c r="DE189" s="1343">
        <f t="shared" si="920"/>
        <v>0</v>
      </c>
      <c r="DG189" s="1340">
        <f t="shared" ref="DG189:DS189" si="921">SUM(DG187:DG188)</f>
        <v>0</v>
      </c>
      <c r="DH189" s="1343">
        <f t="shared" si="921"/>
        <v>0</v>
      </c>
      <c r="DI189" s="1343">
        <f t="shared" si="921"/>
        <v>0</v>
      </c>
      <c r="DJ189" s="1343">
        <f t="shared" si="921"/>
        <v>0</v>
      </c>
      <c r="DK189" s="1343">
        <f t="shared" si="921"/>
        <v>0</v>
      </c>
      <c r="DL189" s="1343">
        <f t="shared" si="921"/>
        <v>0</v>
      </c>
      <c r="DM189" s="1343">
        <f t="shared" si="921"/>
        <v>0</v>
      </c>
      <c r="DN189" s="1343">
        <f t="shared" si="921"/>
        <v>0</v>
      </c>
      <c r="DO189" s="1343">
        <f t="shared" si="921"/>
        <v>0</v>
      </c>
      <c r="DP189" s="1343">
        <f t="shared" si="921"/>
        <v>0</v>
      </c>
      <c r="DQ189" s="1343">
        <f t="shared" si="921"/>
        <v>0</v>
      </c>
      <c r="DR189" s="1343">
        <f t="shared" si="921"/>
        <v>0</v>
      </c>
      <c r="DS189" s="1343">
        <f t="shared" si="921"/>
        <v>0</v>
      </c>
      <c r="DU189" s="1340">
        <f t="shared" ref="DU189:EG189" si="922">SUM(DU187:DU188)</f>
        <v>0</v>
      </c>
      <c r="DV189" s="1343">
        <f t="shared" si="922"/>
        <v>0</v>
      </c>
      <c r="DW189" s="1343">
        <f t="shared" si="922"/>
        <v>0</v>
      </c>
      <c r="DX189" s="1343">
        <f t="shared" si="922"/>
        <v>0</v>
      </c>
      <c r="DY189" s="1343">
        <f t="shared" si="922"/>
        <v>0</v>
      </c>
      <c r="DZ189" s="1343">
        <f t="shared" si="922"/>
        <v>0</v>
      </c>
      <c r="EA189" s="1343">
        <f t="shared" si="922"/>
        <v>0</v>
      </c>
      <c r="EB189" s="1343">
        <f t="shared" si="922"/>
        <v>0</v>
      </c>
      <c r="EC189" s="1343">
        <f t="shared" si="922"/>
        <v>0</v>
      </c>
      <c r="ED189" s="1343">
        <f t="shared" si="922"/>
        <v>0</v>
      </c>
      <c r="EE189" s="1343">
        <f t="shared" si="922"/>
        <v>0</v>
      </c>
      <c r="EF189" s="1343">
        <f t="shared" si="922"/>
        <v>0</v>
      </c>
      <c r="EG189" s="1343">
        <f t="shared" si="922"/>
        <v>0</v>
      </c>
      <c r="EI189" s="2424"/>
      <c r="EJ189" s="3322"/>
      <c r="EK189" s="369" t="s">
        <v>239</v>
      </c>
      <c r="EL189" s="370">
        <f t="shared" ref="EL189:ER189" si="923">SUM(EL187:EL188)</f>
        <v>0</v>
      </c>
      <c r="EM189" s="370">
        <f t="shared" si="923"/>
        <v>0</v>
      </c>
      <c r="EN189" s="370">
        <f t="shared" si="923"/>
        <v>0</v>
      </c>
      <c r="EO189" s="370">
        <f t="shared" si="923"/>
        <v>0</v>
      </c>
      <c r="EP189" s="370">
        <f t="shared" si="923"/>
        <v>0</v>
      </c>
      <c r="EQ189" s="370">
        <f t="shared" si="923"/>
        <v>0</v>
      </c>
      <c r="ER189" s="371">
        <f t="shared" si="923"/>
        <v>0</v>
      </c>
      <c r="ES189" s="13">
        <f>SUM(EL189:EQ189)</f>
        <v>0</v>
      </c>
      <c r="ET189" s="6"/>
      <c r="EU189" s="9"/>
      <c r="EV189" s="388">
        <f t="shared" ref="EV189:FA189" si="924">SUM(EV187:EV188)</f>
        <v>0</v>
      </c>
      <c r="EW189" s="370">
        <f t="shared" si="924"/>
        <v>0</v>
      </c>
      <c r="EX189" s="370">
        <f t="shared" si="924"/>
        <v>0</v>
      </c>
      <c r="EY189" s="370">
        <f t="shared" si="924"/>
        <v>0</v>
      </c>
      <c r="EZ189" s="370">
        <f t="shared" si="924"/>
        <v>0</v>
      </c>
      <c r="FA189" s="370">
        <f t="shared" si="924"/>
        <v>0</v>
      </c>
      <c r="FB189" s="389">
        <f t="shared" si="904"/>
        <v>0</v>
      </c>
      <c r="FC189" s="1"/>
      <c r="FD189" s="388">
        <f t="shared" ref="FD189:FI189" si="925">SUM(FD187:FD188)</f>
        <v>0</v>
      </c>
      <c r="FE189" s="370">
        <f t="shared" si="925"/>
        <v>0</v>
      </c>
      <c r="FF189" s="370">
        <f t="shared" si="925"/>
        <v>0</v>
      </c>
      <c r="FG189" s="370">
        <f t="shared" si="925"/>
        <v>0</v>
      </c>
      <c r="FH189" s="370">
        <f t="shared" si="925"/>
        <v>0</v>
      </c>
      <c r="FI189" s="370">
        <f t="shared" si="925"/>
        <v>0</v>
      </c>
      <c r="FJ189" s="389">
        <f t="shared" si="905"/>
        <v>0</v>
      </c>
      <c r="FL189" s="388">
        <f t="shared" ref="FL189:FQ189" si="926">SUM(FL187:FL188)</f>
        <v>0</v>
      </c>
      <c r="FM189" s="370">
        <f t="shared" si="926"/>
        <v>0</v>
      </c>
      <c r="FN189" s="370">
        <f t="shared" si="926"/>
        <v>0</v>
      </c>
      <c r="FO189" s="370">
        <f t="shared" si="926"/>
        <v>0</v>
      </c>
      <c r="FP189" s="370">
        <f t="shared" si="926"/>
        <v>0</v>
      </c>
      <c r="FQ189" s="370">
        <f t="shared" si="926"/>
        <v>0</v>
      </c>
      <c r="FR189" s="389">
        <f t="shared" si="906"/>
        <v>0</v>
      </c>
      <c r="FT189" s="388">
        <f t="shared" ref="FT189:FY189" si="927">SUM(FT187:FT188)</f>
        <v>0</v>
      </c>
      <c r="FU189" s="370">
        <f t="shared" si="927"/>
        <v>0</v>
      </c>
      <c r="FV189" s="370">
        <f t="shared" si="927"/>
        <v>0</v>
      </c>
      <c r="FW189" s="370">
        <f t="shared" si="927"/>
        <v>0</v>
      </c>
      <c r="FX189" s="370">
        <f t="shared" si="927"/>
        <v>0</v>
      </c>
      <c r="FY189" s="370">
        <f t="shared" si="927"/>
        <v>0</v>
      </c>
      <c r="FZ189" s="389">
        <f t="shared" si="907"/>
        <v>0</v>
      </c>
      <c r="GB189" s="388">
        <f t="shared" ref="GB189:GG189" si="928">SUM(GB187:GB188)</f>
        <v>0</v>
      </c>
      <c r="GC189" s="370">
        <f t="shared" si="928"/>
        <v>0</v>
      </c>
      <c r="GD189" s="370">
        <f t="shared" si="928"/>
        <v>0</v>
      </c>
      <c r="GE189" s="370">
        <f t="shared" si="928"/>
        <v>0</v>
      </c>
      <c r="GF189" s="370">
        <f t="shared" si="928"/>
        <v>0</v>
      </c>
      <c r="GG189" s="370">
        <f t="shared" si="928"/>
        <v>0</v>
      </c>
      <c r="GH189" s="389">
        <f t="shared" si="908"/>
        <v>0</v>
      </c>
      <c r="GJ189" s="388">
        <f t="shared" ref="GJ189:GO189" si="929">SUM(GJ187:GJ188)</f>
        <v>0</v>
      </c>
      <c r="GK189" s="370">
        <f t="shared" si="929"/>
        <v>0</v>
      </c>
      <c r="GL189" s="370">
        <f t="shared" si="929"/>
        <v>0</v>
      </c>
      <c r="GM189" s="370">
        <f t="shared" si="929"/>
        <v>0</v>
      </c>
      <c r="GN189" s="370">
        <f t="shared" si="929"/>
        <v>0</v>
      </c>
      <c r="GO189" s="370">
        <f t="shared" si="929"/>
        <v>0</v>
      </c>
      <c r="GP189" s="389">
        <f t="shared" si="909"/>
        <v>0</v>
      </c>
      <c r="GR189" s="388">
        <f t="shared" ref="GR189:GW189" si="930">SUM(GR187:GR188)</f>
        <v>0</v>
      </c>
      <c r="GS189" s="370">
        <f t="shared" si="930"/>
        <v>0</v>
      </c>
      <c r="GT189" s="370">
        <f t="shared" si="930"/>
        <v>0</v>
      </c>
      <c r="GU189" s="370">
        <f t="shared" si="930"/>
        <v>0</v>
      </c>
      <c r="GV189" s="370">
        <f t="shared" si="930"/>
        <v>0</v>
      </c>
      <c r="GW189" s="370">
        <f t="shared" si="930"/>
        <v>0</v>
      </c>
      <c r="GX189" s="1103">
        <f t="shared" si="910"/>
        <v>0</v>
      </c>
      <c r="GZ189" s="579">
        <f t="shared" si="867"/>
        <v>0</v>
      </c>
      <c r="HA189" s="579">
        <f t="shared" si="868"/>
        <v>0</v>
      </c>
      <c r="HB189" s="579">
        <f t="shared" si="869"/>
        <v>0</v>
      </c>
      <c r="HC189" s="579">
        <f t="shared" si="870"/>
        <v>0</v>
      </c>
      <c r="HD189" s="579">
        <f t="shared" si="871"/>
        <v>0</v>
      </c>
      <c r="HE189" s="579">
        <f t="shared" si="872"/>
        <v>0</v>
      </c>
      <c r="HF189" s="579">
        <f t="shared" si="873"/>
        <v>0</v>
      </c>
      <c r="HG189" s="580">
        <f t="shared" si="874"/>
        <v>0</v>
      </c>
      <c r="HH189" s="257"/>
    </row>
    <row r="190" spans="1:216" ht="15" hidden="1" customHeight="1" x14ac:dyDescent="0.25">
      <c r="A190" s="2424"/>
      <c r="B190" s="3230">
        <f>'DATA INPUT'!B110</f>
        <v>0</v>
      </c>
      <c r="C190" s="357" t="s">
        <v>1033</v>
      </c>
      <c r="D190" s="358">
        <f>IF('DATA INPUT'!I110&gt;0,IF('DATA INPUT'!I110&lt;=50000,'DATA INPUT'!I110,50000),0)</f>
        <v>0</v>
      </c>
      <c r="E190" s="358">
        <f>IF('DATA INPUT'!J110&gt;0,IF(SUM($D190:D190)&lt;50000,MIN('DATA INPUT'!J110,50000-SUM($D190:D190)),0),0)</f>
        <v>0</v>
      </c>
      <c r="F190" s="358">
        <f>IF('DATA INPUT'!K110&gt;0,IF(SUM($D190:E190)&lt;50000,MIN('DATA INPUT'!K110,50000-SUM($D190:E190)),0),0)</f>
        <v>0</v>
      </c>
      <c r="G190" s="358">
        <f>IF('DATA INPUT'!L110&gt;0,IF(SUM($D190:F190)&lt;50000,MIN('DATA INPUT'!L110,50000-SUM($D190:F190)),0),0)</f>
        <v>0</v>
      </c>
      <c r="H190" s="358">
        <f>IF('DATA INPUT'!M110&gt;0,IF(SUM($D190:G190)&lt;50000,MIN('DATA INPUT'!M110,50000-SUM($D190:G190)),0),0)</f>
        <v>0</v>
      </c>
      <c r="I190" s="358">
        <f>IF('DATA INPUT'!N110&gt;0,IF(SUM($D190:H190)&lt;50000,MIN('DATA INPUT'!N110,50000-SUM($D190:H190)),0),0)</f>
        <v>0</v>
      </c>
      <c r="J190" s="152">
        <f>SUM(D190:I190)</f>
        <v>0</v>
      </c>
      <c r="K190" s="6"/>
      <c r="L190" s="9"/>
      <c r="M190" s="6"/>
      <c r="N190" s="390"/>
      <c r="O190" s="358"/>
      <c r="P190" s="358"/>
      <c r="Q190" s="358"/>
      <c r="R190" s="358"/>
      <c r="S190" s="358"/>
      <c r="T190" s="166">
        <f t="shared" si="895"/>
        <v>0</v>
      </c>
      <c r="U190" s="1"/>
      <c r="V190" s="390"/>
      <c r="W190" s="358"/>
      <c r="X190" s="358"/>
      <c r="Y190" s="358"/>
      <c r="Z190" s="358"/>
      <c r="AA190" s="358"/>
      <c r="AB190" s="140">
        <f t="shared" si="896"/>
        <v>0</v>
      </c>
      <c r="AD190" s="390"/>
      <c r="AE190" s="358"/>
      <c r="AF190" s="358"/>
      <c r="AG190" s="358"/>
      <c r="AH190" s="358"/>
      <c r="AI190" s="358"/>
      <c r="AJ190" s="208">
        <f t="shared" si="897"/>
        <v>0</v>
      </c>
      <c r="AL190" s="390"/>
      <c r="AM190" s="358"/>
      <c r="AN190" s="358"/>
      <c r="AO190" s="358"/>
      <c r="AP190" s="358"/>
      <c r="AQ190" s="358"/>
      <c r="AR190" s="180">
        <f t="shared" si="898"/>
        <v>0</v>
      </c>
      <c r="AT190" s="390"/>
      <c r="AU190" s="358"/>
      <c r="AV190" s="358"/>
      <c r="AW190" s="358"/>
      <c r="AX190" s="358"/>
      <c r="AY190" s="358"/>
      <c r="AZ190" s="152">
        <f t="shared" si="899"/>
        <v>0</v>
      </c>
      <c r="BB190" s="390"/>
      <c r="BC190" s="358"/>
      <c r="BD190" s="358"/>
      <c r="BE190" s="358"/>
      <c r="BF190" s="358"/>
      <c r="BG190" s="358"/>
      <c r="BH190" s="194">
        <f t="shared" si="900"/>
        <v>0</v>
      </c>
      <c r="BJ190" s="390"/>
      <c r="BK190" s="358"/>
      <c r="BL190" s="358"/>
      <c r="BM190" s="358"/>
      <c r="BN190" s="358"/>
      <c r="BO190" s="358"/>
      <c r="BP190" s="1104">
        <f t="shared" si="901"/>
        <v>0</v>
      </c>
      <c r="BR190" s="575">
        <f t="shared" si="844"/>
        <v>0</v>
      </c>
      <c r="BS190" s="575">
        <f t="shared" si="845"/>
        <v>0</v>
      </c>
      <c r="BT190" s="575">
        <f t="shared" si="846"/>
        <v>0</v>
      </c>
      <c r="BU190" s="575">
        <f t="shared" si="847"/>
        <v>0</v>
      </c>
      <c r="BV190" s="575">
        <f t="shared" si="848"/>
        <v>0</v>
      </c>
      <c r="BW190" s="575">
        <f t="shared" si="849"/>
        <v>0</v>
      </c>
      <c r="BX190" s="991">
        <f t="shared" si="850"/>
        <v>0</v>
      </c>
      <c r="BY190" s="573">
        <f t="shared" si="851"/>
        <v>0</v>
      </c>
      <c r="BZ190" s="257"/>
      <c r="CB190" s="1339">
        <f>D190</f>
        <v>0</v>
      </c>
      <c r="CC190" s="1170">
        <f>E190</f>
        <v>0</v>
      </c>
      <c r="CD190" s="1171"/>
      <c r="CE190" s="1171"/>
      <c r="CF190" s="1171"/>
      <c r="CG190" s="1172"/>
      <c r="CH190" s="1289">
        <f>$F190</f>
        <v>0</v>
      </c>
      <c r="CI190" s="1174"/>
      <c r="CJ190" s="1174"/>
      <c r="CK190" s="1174"/>
      <c r="CL190" s="1175"/>
      <c r="CM190" s="1176">
        <f>$G190</f>
        <v>0</v>
      </c>
      <c r="CN190" s="1290"/>
      <c r="CO190" s="1178"/>
      <c r="CP190" s="1179">
        <f>SUM(CB190:CO190)</f>
        <v>0</v>
      </c>
      <c r="CS190" s="390"/>
      <c r="CT190" s="358"/>
      <c r="CU190" s="1346"/>
      <c r="CV190" s="390"/>
      <c r="CW190" s="358"/>
      <c r="CX190" s="1346"/>
      <c r="CY190" s="390"/>
      <c r="CZ190" s="358"/>
      <c r="DA190" s="1346"/>
      <c r="DB190" s="390"/>
      <c r="DC190" s="358"/>
      <c r="DD190" s="1346"/>
      <c r="DE190" s="1065">
        <f>SUM(CS190:DD190)</f>
        <v>0</v>
      </c>
      <c r="DG190" s="390"/>
      <c r="DH190" s="358"/>
      <c r="DI190" s="1346"/>
      <c r="DJ190" s="390"/>
      <c r="DK190" s="358"/>
      <c r="DL190" s="1346"/>
      <c r="DM190" s="390"/>
      <c r="DN190" s="358"/>
      <c r="DO190" s="1346"/>
      <c r="DP190" s="390"/>
      <c r="DQ190" s="358"/>
      <c r="DR190" s="1346"/>
      <c r="DS190" s="1065">
        <f>SUM(DG190:DR190)</f>
        <v>0</v>
      </c>
      <c r="DU190" s="390"/>
      <c r="DV190" s="358"/>
      <c r="DW190" s="1346"/>
      <c r="DX190" s="390"/>
      <c r="DY190" s="358"/>
      <c r="DZ190" s="1346"/>
      <c r="EA190" s="390"/>
      <c r="EB190" s="358"/>
      <c r="EC190" s="1346"/>
      <c r="ED190" s="390"/>
      <c r="EE190" s="358"/>
      <c r="EF190" s="1346"/>
      <c r="EG190" s="1065">
        <f>SUM(DU190:EF190)</f>
        <v>0</v>
      </c>
      <c r="EI190" s="2424"/>
      <c r="EJ190" s="3230">
        <f>B190</f>
        <v>0</v>
      </c>
      <c r="EK190" s="357" t="s">
        <v>1033</v>
      </c>
      <c r="EL190" s="358">
        <f t="shared" ref="EL190:EQ191" si="931">ROUND(D190,0)</f>
        <v>0</v>
      </c>
      <c r="EM190" s="358">
        <f t="shared" si="931"/>
        <v>0</v>
      </c>
      <c r="EN190" s="358">
        <f t="shared" si="931"/>
        <v>0</v>
      </c>
      <c r="EO190" s="358">
        <f t="shared" si="931"/>
        <v>0</v>
      </c>
      <c r="EP190" s="358">
        <f t="shared" si="931"/>
        <v>0</v>
      </c>
      <c r="EQ190" s="358">
        <f t="shared" si="931"/>
        <v>0</v>
      </c>
      <c r="ER190" s="152">
        <f>SUM(EL190:EQ190)</f>
        <v>0</v>
      </c>
      <c r="ES190" s="6"/>
      <c r="ET190" s="9"/>
      <c r="EU190" s="6"/>
      <c r="EV190" s="390">
        <f t="shared" ref="EV190:FA191" si="932">ROUND(N190,0)</f>
        <v>0</v>
      </c>
      <c r="EW190" s="358">
        <f t="shared" si="932"/>
        <v>0</v>
      </c>
      <c r="EX190" s="358">
        <f t="shared" si="932"/>
        <v>0</v>
      </c>
      <c r="EY190" s="358">
        <f t="shared" si="932"/>
        <v>0</v>
      </c>
      <c r="EZ190" s="358">
        <f t="shared" si="932"/>
        <v>0</v>
      </c>
      <c r="FA190" s="358">
        <f t="shared" si="932"/>
        <v>0</v>
      </c>
      <c r="FB190" s="166">
        <f t="shared" si="904"/>
        <v>0</v>
      </c>
      <c r="FC190" s="1"/>
      <c r="FD190" s="390"/>
      <c r="FE190" s="358"/>
      <c r="FF190" s="358"/>
      <c r="FG190" s="358"/>
      <c r="FH190" s="358"/>
      <c r="FI190" s="358"/>
      <c r="FJ190" s="140">
        <f t="shared" si="905"/>
        <v>0</v>
      </c>
      <c r="FL190" s="390"/>
      <c r="FM190" s="358"/>
      <c r="FN190" s="358"/>
      <c r="FO190" s="358"/>
      <c r="FP190" s="358"/>
      <c r="FQ190" s="358"/>
      <c r="FR190" s="208">
        <f t="shared" si="906"/>
        <v>0</v>
      </c>
      <c r="FT190" s="390"/>
      <c r="FU190" s="358"/>
      <c r="FV190" s="358"/>
      <c r="FW190" s="358"/>
      <c r="FX190" s="358"/>
      <c r="FY190" s="358"/>
      <c r="FZ190" s="180">
        <f t="shared" si="907"/>
        <v>0</v>
      </c>
      <c r="GB190" s="390"/>
      <c r="GC190" s="358"/>
      <c r="GD190" s="358"/>
      <c r="GE190" s="358"/>
      <c r="GF190" s="358"/>
      <c r="GG190" s="358"/>
      <c r="GH190" s="152">
        <f t="shared" si="908"/>
        <v>0</v>
      </c>
      <c r="GJ190" s="390"/>
      <c r="GK190" s="358"/>
      <c r="GL190" s="358"/>
      <c r="GM190" s="358"/>
      <c r="GN190" s="358"/>
      <c r="GO190" s="358"/>
      <c r="GP190" s="194">
        <f t="shared" si="909"/>
        <v>0</v>
      </c>
      <c r="GR190" s="390"/>
      <c r="GS190" s="358"/>
      <c r="GT190" s="358"/>
      <c r="GU190" s="358"/>
      <c r="GV190" s="358"/>
      <c r="GW190" s="358"/>
      <c r="GX190" s="1104">
        <f t="shared" si="910"/>
        <v>0</v>
      </c>
      <c r="GZ190" s="575">
        <f t="shared" si="867"/>
        <v>0</v>
      </c>
      <c r="HA190" s="575">
        <f t="shared" si="868"/>
        <v>0</v>
      </c>
      <c r="HB190" s="575">
        <f t="shared" si="869"/>
        <v>0</v>
      </c>
      <c r="HC190" s="575">
        <f t="shared" si="870"/>
        <v>0</v>
      </c>
      <c r="HD190" s="575">
        <f t="shared" si="871"/>
        <v>0</v>
      </c>
      <c r="HE190" s="575">
        <f t="shared" si="872"/>
        <v>0</v>
      </c>
      <c r="HF190" s="991">
        <f t="shared" si="873"/>
        <v>0</v>
      </c>
      <c r="HG190" s="573">
        <f t="shared" si="874"/>
        <v>0</v>
      </c>
      <c r="HH190" s="257"/>
    </row>
    <row r="191" spans="1:216" ht="15" hidden="1" customHeight="1" thickBot="1" x14ac:dyDescent="0.3">
      <c r="A191" s="2424"/>
      <c r="B191" s="3231"/>
      <c r="C191" s="368" t="s">
        <v>224</v>
      </c>
      <c r="D191" s="55">
        <f>IF('DATA INPUT'!I110&gt;50000,'DATA INPUT'!I110-D190,0)</f>
        <v>0</v>
      </c>
      <c r="E191" s="55">
        <f>IF('DATA INPUT'!J110&gt;E190,'DATA INPUT'!J110-E190,0)</f>
        <v>0</v>
      </c>
      <c r="F191" s="55">
        <f>IF('DATA INPUT'!K110&gt;F190,'DATA INPUT'!K110-F190,0)</f>
        <v>0</v>
      </c>
      <c r="G191" s="55">
        <f>IF('DATA INPUT'!L110&gt;G190,'DATA INPUT'!L110-G190,0)</f>
        <v>0</v>
      </c>
      <c r="H191" s="55">
        <f>IF('DATA INPUT'!M110&gt;H190,'DATA INPUT'!M110-H190,0)</f>
        <v>0</v>
      </c>
      <c r="I191" s="55">
        <f>IF('DATA INPUT'!N110&gt;I190,'DATA INPUT'!N110-I190,0)</f>
        <v>0</v>
      </c>
      <c r="J191" s="150">
        <f>SUM(D191:I191)</f>
        <v>0</v>
      </c>
      <c r="K191" s="9"/>
      <c r="L191" s="9"/>
      <c r="M191" s="9"/>
      <c r="N191" s="391"/>
      <c r="O191" s="55"/>
      <c r="P191" s="55"/>
      <c r="Q191" s="55"/>
      <c r="R191" s="55"/>
      <c r="S191" s="55"/>
      <c r="T191" s="164">
        <f t="shared" si="895"/>
        <v>0</v>
      </c>
      <c r="U191" s="1"/>
      <c r="V191" s="391"/>
      <c r="W191" s="55"/>
      <c r="X191" s="55"/>
      <c r="Y191" s="55"/>
      <c r="Z191" s="55"/>
      <c r="AA191" s="55"/>
      <c r="AB191" s="138">
        <f t="shared" si="896"/>
        <v>0</v>
      </c>
      <c r="AD191" s="391"/>
      <c r="AE191" s="55"/>
      <c r="AF191" s="55"/>
      <c r="AG191" s="55"/>
      <c r="AH191" s="55"/>
      <c r="AI191" s="55"/>
      <c r="AJ191" s="206">
        <f t="shared" si="897"/>
        <v>0</v>
      </c>
      <c r="AL191" s="391"/>
      <c r="AM191" s="55"/>
      <c r="AN191" s="55"/>
      <c r="AO191" s="55"/>
      <c r="AP191" s="55"/>
      <c r="AQ191" s="55"/>
      <c r="AR191" s="178">
        <f t="shared" si="898"/>
        <v>0</v>
      </c>
      <c r="AT191" s="391"/>
      <c r="AU191" s="55"/>
      <c r="AV191" s="55"/>
      <c r="AW191" s="55"/>
      <c r="AX191" s="55"/>
      <c r="AY191" s="55"/>
      <c r="AZ191" s="150">
        <f t="shared" si="899"/>
        <v>0</v>
      </c>
      <c r="BB191" s="391"/>
      <c r="BC191" s="55"/>
      <c r="BD191" s="55"/>
      <c r="BE191" s="55"/>
      <c r="BF191" s="55"/>
      <c r="BG191" s="55"/>
      <c r="BH191" s="192">
        <f t="shared" si="900"/>
        <v>0</v>
      </c>
      <c r="BJ191" s="391"/>
      <c r="BK191" s="55"/>
      <c r="BL191" s="55"/>
      <c r="BM191" s="55"/>
      <c r="BN191" s="55"/>
      <c r="BO191" s="55"/>
      <c r="BP191" s="1102">
        <f t="shared" si="901"/>
        <v>0</v>
      </c>
      <c r="BR191" s="575">
        <f t="shared" si="844"/>
        <v>0</v>
      </c>
      <c r="BS191" s="575">
        <f t="shared" si="845"/>
        <v>0</v>
      </c>
      <c r="BT191" s="575">
        <f t="shared" si="846"/>
        <v>0</v>
      </c>
      <c r="BU191" s="575">
        <f t="shared" si="847"/>
        <v>0</v>
      </c>
      <c r="BV191" s="575">
        <f t="shared" si="848"/>
        <v>0</v>
      </c>
      <c r="BW191" s="575">
        <f t="shared" si="849"/>
        <v>0</v>
      </c>
      <c r="BX191" s="991">
        <f t="shared" si="850"/>
        <v>0</v>
      </c>
      <c r="BY191" s="573">
        <f t="shared" si="851"/>
        <v>0</v>
      </c>
      <c r="BZ191" s="257"/>
      <c r="CB191" s="1323">
        <f>D191</f>
        <v>0</v>
      </c>
      <c r="CC191" s="1324">
        <f>E191</f>
        <v>0</v>
      </c>
      <c r="CD191" s="1325"/>
      <c r="CE191" s="1325"/>
      <c r="CF191" s="1325"/>
      <c r="CG191" s="1326"/>
      <c r="CH191" s="1331">
        <f>$F191</f>
        <v>0</v>
      </c>
      <c r="CI191" s="1332"/>
      <c r="CJ191" s="1332"/>
      <c r="CK191" s="1332"/>
      <c r="CL191" s="1333"/>
      <c r="CM191" s="1334">
        <f>$G191</f>
        <v>0</v>
      </c>
      <c r="CN191" s="1335"/>
      <c r="CO191" s="1336"/>
      <c r="CP191" s="1228">
        <f>SUM(CB191:CO191)</f>
        <v>0</v>
      </c>
      <c r="CS191" s="391"/>
      <c r="CT191" s="55"/>
      <c r="CU191" s="1347"/>
      <c r="CV191" s="391"/>
      <c r="CW191" s="55"/>
      <c r="CX191" s="1347"/>
      <c r="CY191" s="391"/>
      <c r="CZ191" s="55"/>
      <c r="DA191" s="1347"/>
      <c r="DB191" s="391"/>
      <c r="DC191" s="55"/>
      <c r="DD191" s="1347"/>
      <c r="DE191" s="1181">
        <f>SUM(CS191:DD191)</f>
        <v>0</v>
      </c>
      <c r="DG191" s="391"/>
      <c r="DH191" s="55"/>
      <c r="DI191" s="1347"/>
      <c r="DJ191" s="391"/>
      <c r="DK191" s="55"/>
      <c r="DL191" s="1347"/>
      <c r="DM191" s="391"/>
      <c r="DN191" s="55"/>
      <c r="DO191" s="1347"/>
      <c r="DP191" s="391"/>
      <c r="DQ191" s="55"/>
      <c r="DR191" s="1347"/>
      <c r="DS191" s="1181">
        <f>SUM(DG191:DR191)</f>
        <v>0</v>
      </c>
      <c r="DU191" s="391"/>
      <c r="DV191" s="55"/>
      <c r="DW191" s="1347"/>
      <c r="DX191" s="391"/>
      <c r="DY191" s="55"/>
      <c r="DZ191" s="1347"/>
      <c r="EA191" s="391"/>
      <c r="EB191" s="55"/>
      <c r="EC191" s="1347"/>
      <c r="ED191" s="391"/>
      <c r="EE191" s="55"/>
      <c r="EF191" s="1347"/>
      <c r="EG191" s="1181">
        <f>SUM(DU191:EF191)</f>
        <v>0</v>
      </c>
      <c r="EI191" s="2424"/>
      <c r="EJ191" s="3231"/>
      <c r="EK191" s="368" t="s">
        <v>224</v>
      </c>
      <c r="EL191" s="55">
        <f t="shared" si="931"/>
        <v>0</v>
      </c>
      <c r="EM191" s="55">
        <f t="shared" si="931"/>
        <v>0</v>
      </c>
      <c r="EN191" s="55">
        <f t="shared" si="931"/>
        <v>0</v>
      </c>
      <c r="EO191" s="55">
        <f t="shared" si="931"/>
        <v>0</v>
      </c>
      <c r="EP191" s="55">
        <f t="shared" si="931"/>
        <v>0</v>
      </c>
      <c r="EQ191" s="55">
        <f t="shared" si="931"/>
        <v>0</v>
      </c>
      <c r="ER191" s="150">
        <f>SUM(EL191:EQ191)</f>
        <v>0</v>
      </c>
      <c r="ES191" s="9"/>
      <c r="ET191" s="9"/>
      <c r="EU191" s="9"/>
      <c r="EV191" s="391">
        <f t="shared" si="932"/>
        <v>0</v>
      </c>
      <c r="EW191" s="55">
        <f t="shared" si="932"/>
        <v>0</v>
      </c>
      <c r="EX191" s="55">
        <f t="shared" si="932"/>
        <v>0</v>
      </c>
      <c r="EY191" s="55">
        <f t="shared" si="932"/>
        <v>0</v>
      </c>
      <c r="EZ191" s="55">
        <f t="shared" si="932"/>
        <v>0</v>
      </c>
      <c r="FA191" s="55">
        <f t="shared" si="932"/>
        <v>0</v>
      </c>
      <c r="FB191" s="164">
        <f t="shared" si="904"/>
        <v>0</v>
      </c>
      <c r="FC191" s="1"/>
      <c r="FD191" s="391"/>
      <c r="FE191" s="55"/>
      <c r="FF191" s="55"/>
      <c r="FG191" s="55"/>
      <c r="FH191" s="55"/>
      <c r="FI191" s="55"/>
      <c r="FJ191" s="138">
        <f t="shared" si="905"/>
        <v>0</v>
      </c>
      <c r="FL191" s="391"/>
      <c r="FM191" s="55"/>
      <c r="FN191" s="55"/>
      <c r="FO191" s="55"/>
      <c r="FP191" s="55"/>
      <c r="FQ191" s="55"/>
      <c r="FR191" s="206">
        <f t="shared" si="906"/>
        <v>0</v>
      </c>
      <c r="FT191" s="391"/>
      <c r="FU191" s="55"/>
      <c r="FV191" s="55"/>
      <c r="FW191" s="55"/>
      <c r="FX191" s="55"/>
      <c r="FY191" s="55"/>
      <c r="FZ191" s="178">
        <f t="shared" si="907"/>
        <v>0</v>
      </c>
      <c r="GB191" s="391"/>
      <c r="GC191" s="55"/>
      <c r="GD191" s="55"/>
      <c r="GE191" s="55"/>
      <c r="GF191" s="55"/>
      <c r="GG191" s="55"/>
      <c r="GH191" s="150">
        <f t="shared" si="908"/>
        <v>0</v>
      </c>
      <c r="GJ191" s="391"/>
      <c r="GK191" s="55"/>
      <c r="GL191" s="55"/>
      <c r="GM191" s="55"/>
      <c r="GN191" s="55"/>
      <c r="GO191" s="55"/>
      <c r="GP191" s="192">
        <f t="shared" si="909"/>
        <v>0</v>
      </c>
      <c r="GR191" s="391"/>
      <c r="GS191" s="55"/>
      <c r="GT191" s="55"/>
      <c r="GU191" s="55"/>
      <c r="GV191" s="55"/>
      <c r="GW191" s="55"/>
      <c r="GX191" s="1102">
        <f t="shared" si="910"/>
        <v>0</v>
      </c>
      <c r="GZ191" s="575">
        <f t="shared" si="867"/>
        <v>0</v>
      </c>
      <c r="HA191" s="575">
        <f t="shared" si="868"/>
        <v>0</v>
      </c>
      <c r="HB191" s="575">
        <f t="shared" si="869"/>
        <v>0</v>
      </c>
      <c r="HC191" s="575">
        <f t="shared" si="870"/>
        <v>0</v>
      </c>
      <c r="HD191" s="575">
        <f t="shared" si="871"/>
        <v>0</v>
      </c>
      <c r="HE191" s="575">
        <f t="shared" si="872"/>
        <v>0</v>
      </c>
      <c r="HF191" s="991">
        <f t="shared" si="873"/>
        <v>0</v>
      </c>
      <c r="HG191" s="573">
        <f t="shared" si="874"/>
        <v>0</v>
      </c>
      <c r="HH191" s="257"/>
    </row>
    <row r="192" spans="1:216" ht="15" hidden="1" customHeight="1" thickBot="1" x14ac:dyDescent="0.3">
      <c r="A192" s="2424"/>
      <c r="B192" s="3232"/>
      <c r="C192" s="372" t="s">
        <v>239</v>
      </c>
      <c r="D192" s="373">
        <f t="shared" ref="D192:J192" si="933">SUM(D190:D191)</f>
        <v>0</v>
      </c>
      <c r="E192" s="373">
        <f t="shared" si="933"/>
        <v>0</v>
      </c>
      <c r="F192" s="373">
        <f t="shared" si="933"/>
        <v>0</v>
      </c>
      <c r="G192" s="373">
        <f t="shared" si="933"/>
        <v>0</v>
      </c>
      <c r="H192" s="373">
        <f t="shared" si="933"/>
        <v>0</v>
      </c>
      <c r="I192" s="373">
        <f t="shared" si="933"/>
        <v>0</v>
      </c>
      <c r="J192" s="374">
        <f t="shared" si="933"/>
        <v>0</v>
      </c>
      <c r="K192" s="13">
        <f>SUM(D192:I192)</f>
        <v>0</v>
      </c>
      <c r="L192" s="13"/>
      <c r="M192" s="9"/>
      <c r="N192" s="392">
        <f t="shared" ref="N192:S192" si="934">SUM(N190:N191)</f>
        <v>0</v>
      </c>
      <c r="O192" s="373">
        <f t="shared" si="934"/>
        <v>0</v>
      </c>
      <c r="P192" s="373">
        <f t="shared" si="934"/>
        <v>0</v>
      </c>
      <c r="Q192" s="373">
        <f t="shared" si="934"/>
        <v>0</v>
      </c>
      <c r="R192" s="373">
        <f t="shared" si="934"/>
        <v>0</v>
      </c>
      <c r="S192" s="373">
        <f t="shared" si="934"/>
        <v>0</v>
      </c>
      <c r="T192" s="393">
        <f t="shared" si="895"/>
        <v>0</v>
      </c>
      <c r="U192" s="1"/>
      <c r="V192" s="392">
        <f t="shared" ref="V192:AA192" si="935">SUM(V190:V191)</f>
        <v>0</v>
      </c>
      <c r="W192" s="373">
        <f t="shared" si="935"/>
        <v>0</v>
      </c>
      <c r="X192" s="373">
        <f t="shared" si="935"/>
        <v>0</v>
      </c>
      <c r="Y192" s="373">
        <f t="shared" si="935"/>
        <v>0</v>
      </c>
      <c r="Z192" s="373">
        <f t="shared" si="935"/>
        <v>0</v>
      </c>
      <c r="AA192" s="373">
        <f t="shared" si="935"/>
        <v>0</v>
      </c>
      <c r="AB192" s="393">
        <f t="shared" si="896"/>
        <v>0</v>
      </c>
      <c r="AD192" s="392">
        <f t="shared" ref="AD192:AI192" si="936">SUM(AD190:AD191)</f>
        <v>0</v>
      </c>
      <c r="AE192" s="373">
        <f t="shared" si="936"/>
        <v>0</v>
      </c>
      <c r="AF192" s="373">
        <f t="shared" si="936"/>
        <v>0</v>
      </c>
      <c r="AG192" s="373">
        <f t="shared" si="936"/>
        <v>0</v>
      </c>
      <c r="AH192" s="373">
        <f t="shared" si="936"/>
        <v>0</v>
      </c>
      <c r="AI192" s="373">
        <f t="shared" si="936"/>
        <v>0</v>
      </c>
      <c r="AJ192" s="393">
        <f t="shared" si="897"/>
        <v>0</v>
      </c>
      <c r="AL192" s="392">
        <f t="shared" ref="AL192:AQ192" si="937">SUM(AL190:AL191)</f>
        <v>0</v>
      </c>
      <c r="AM192" s="373">
        <f t="shared" si="937"/>
        <v>0</v>
      </c>
      <c r="AN192" s="373">
        <f t="shared" si="937"/>
        <v>0</v>
      </c>
      <c r="AO192" s="373">
        <f t="shared" si="937"/>
        <v>0</v>
      </c>
      <c r="AP192" s="373">
        <f t="shared" si="937"/>
        <v>0</v>
      </c>
      <c r="AQ192" s="373">
        <f t="shared" si="937"/>
        <v>0</v>
      </c>
      <c r="AR192" s="393">
        <f t="shared" si="898"/>
        <v>0</v>
      </c>
      <c r="AT192" s="392">
        <f t="shared" ref="AT192:AY192" si="938">SUM(AT190:AT191)</f>
        <v>0</v>
      </c>
      <c r="AU192" s="373">
        <f t="shared" si="938"/>
        <v>0</v>
      </c>
      <c r="AV192" s="373">
        <f t="shared" si="938"/>
        <v>0</v>
      </c>
      <c r="AW192" s="373">
        <f t="shared" si="938"/>
        <v>0</v>
      </c>
      <c r="AX192" s="373">
        <f t="shared" si="938"/>
        <v>0</v>
      </c>
      <c r="AY192" s="373">
        <f t="shared" si="938"/>
        <v>0</v>
      </c>
      <c r="AZ192" s="393">
        <f t="shared" si="899"/>
        <v>0</v>
      </c>
      <c r="BB192" s="392">
        <f t="shared" ref="BB192:BG192" si="939">SUM(BB190:BB191)</f>
        <v>0</v>
      </c>
      <c r="BC192" s="373">
        <f t="shared" si="939"/>
        <v>0</v>
      </c>
      <c r="BD192" s="373">
        <f t="shared" si="939"/>
        <v>0</v>
      </c>
      <c r="BE192" s="373">
        <f t="shared" si="939"/>
        <v>0</v>
      </c>
      <c r="BF192" s="373">
        <f t="shared" si="939"/>
        <v>0</v>
      </c>
      <c r="BG192" s="373">
        <f t="shared" si="939"/>
        <v>0</v>
      </c>
      <c r="BH192" s="393">
        <f t="shared" si="900"/>
        <v>0</v>
      </c>
      <c r="BJ192" s="392">
        <f t="shared" ref="BJ192:BO192" si="940">SUM(BJ190:BJ191)</f>
        <v>0</v>
      </c>
      <c r="BK192" s="373">
        <f t="shared" si="940"/>
        <v>0</v>
      </c>
      <c r="BL192" s="373">
        <f t="shared" si="940"/>
        <v>0</v>
      </c>
      <c r="BM192" s="373">
        <f t="shared" si="940"/>
        <v>0</v>
      </c>
      <c r="BN192" s="373">
        <f t="shared" si="940"/>
        <v>0</v>
      </c>
      <c r="BO192" s="373">
        <f t="shared" si="940"/>
        <v>0</v>
      </c>
      <c r="BP192" s="1103">
        <f t="shared" si="901"/>
        <v>0</v>
      </c>
      <c r="BR192" s="579">
        <f t="shared" si="844"/>
        <v>0</v>
      </c>
      <c r="BS192" s="579">
        <f t="shared" si="845"/>
        <v>0</v>
      </c>
      <c r="BT192" s="579">
        <f t="shared" si="846"/>
        <v>0</v>
      </c>
      <c r="BU192" s="579">
        <f t="shared" si="847"/>
        <v>0</v>
      </c>
      <c r="BV192" s="579">
        <f t="shared" si="848"/>
        <v>0</v>
      </c>
      <c r="BW192" s="579">
        <f t="shared" si="849"/>
        <v>0</v>
      </c>
      <c r="BX192" s="579">
        <f t="shared" si="850"/>
        <v>0</v>
      </c>
      <c r="BY192" s="580">
        <f t="shared" si="851"/>
        <v>0</v>
      </c>
      <c r="BZ192" s="257"/>
      <c r="CB192" s="1348">
        <f t="shared" ref="CB192:CP192" si="941">SUM(CB190:CB191)</f>
        <v>0</v>
      </c>
      <c r="CC192" s="1348">
        <f t="shared" si="941"/>
        <v>0</v>
      </c>
      <c r="CD192" s="1348">
        <f t="shared" si="941"/>
        <v>0</v>
      </c>
      <c r="CE192" s="1348">
        <f t="shared" si="941"/>
        <v>0</v>
      </c>
      <c r="CF192" s="1348">
        <f t="shared" si="941"/>
        <v>0</v>
      </c>
      <c r="CG192" s="1348">
        <f t="shared" si="941"/>
        <v>0</v>
      </c>
      <c r="CH192" s="1348">
        <f t="shared" si="941"/>
        <v>0</v>
      </c>
      <c r="CI192" s="1348">
        <f t="shared" si="941"/>
        <v>0</v>
      </c>
      <c r="CJ192" s="1348">
        <f t="shared" si="941"/>
        <v>0</v>
      </c>
      <c r="CK192" s="1348">
        <f t="shared" si="941"/>
        <v>0</v>
      </c>
      <c r="CL192" s="1348">
        <f t="shared" si="941"/>
        <v>0</v>
      </c>
      <c r="CM192" s="1348">
        <f t="shared" si="941"/>
        <v>0</v>
      </c>
      <c r="CN192" s="1348">
        <f t="shared" si="941"/>
        <v>0</v>
      </c>
      <c r="CO192" s="1348">
        <f t="shared" si="941"/>
        <v>0</v>
      </c>
      <c r="CP192" s="1348">
        <f t="shared" si="941"/>
        <v>0</v>
      </c>
      <c r="CS192" s="1348">
        <f t="shared" ref="CS192:DE192" si="942">SUM(CS190:CS191)</f>
        <v>0</v>
      </c>
      <c r="CT192" s="1348">
        <f t="shared" si="942"/>
        <v>0</v>
      </c>
      <c r="CU192" s="1348">
        <f t="shared" si="942"/>
        <v>0</v>
      </c>
      <c r="CV192" s="1348">
        <f t="shared" si="942"/>
        <v>0</v>
      </c>
      <c r="CW192" s="1348">
        <f t="shared" si="942"/>
        <v>0</v>
      </c>
      <c r="CX192" s="1348">
        <f t="shared" si="942"/>
        <v>0</v>
      </c>
      <c r="CY192" s="1348">
        <f t="shared" si="942"/>
        <v>0</v>
      </c>
      <c r="CZ192" s="1348">
        <f t="shared" si="942"/>
        <v>0</v>
      </c>
      <c r="DA192" s="1348">
        <f t="shared" si="942"/>
        <v>0</v>
      </c>
      <c r="DB192" s="1348">
        <f t="shared" si="942"/>
        <v>0</v>
      </c>
      <c r="DC192" s="1348">
        <f t="shared" si="942"/>
        <v>0</v>
      </c>
      <c r="DD192" s="1348">
        <f t="shared" si="942"/>
        <v>0</v>
      </c>
      <c r="DE192" s="1348">
        <f t="shared" si="942"/>
        <v>0</v>
      </c>
      <c r="DG192" s="1348">
        <f t="shared" ref="DG192:DS192" si="943">SUM(DG190:DG191)</f>
        <v>0</v>
      </c>
      <c r="DH192" s="1348">
        <f t="shared" si="943"/>
        <v>0</v>
      </c>
      <c r="DI192" s="1348">
        <f t="shared" si="943"/>
        <v>0</v>
      </c>
      <c r="DJ192" s="1348">
        <f t="shared" si="943"/>
        <v>0</v>
      </c>
      <c r="DK192" s="1348">
        <f t="shared" si="943"/>
        <v>0</v>
      </c>
      <c r="DL192" s="1348">
        <f t="shared" si="943"/>
        <v>0</v>
      </c>
      <c r="DM192" s="1348">
        <f t="shared" si="943"/>
        <v>0</v>
      </c>
      <c r="DN192" s="1348">
        <f t="shared" si="943"/>
        <v>0</v>
      </c>
      <c r="DO192" s="1348">
        <f t="shared" si="943"/>
        <v>0</v>
      </c>
      <c r="DP192" s="1348">
        <f t="shared" si="943"/>
        <v>0</v>
      </c>
      <c r="DQ192" s="1348">
        <f t="shared" si="943"/>
        <v>0</v>
      </c>
      <c r="DR192" s="1348">
        <f t="shared" si="943"/>
        <v>0</v>
      </c>
      <c r="DS192" s="1348">
        <f t="shared" si="943"/>
        <v>0</v>
      </c>
      <c r="DU192" s="1348">
        <f t="shared" ref="DU192:EG192" si="944">SUM(DU190:DU191)</f>
        <v>0</v>
      </c>
      <c r="DV192" s="1348">
        <f t="shared" si="944"/>
        <v>0</v>
      </c>
      <c r="DW192" s="1348">
        <f t="shared" si="944"/>
        <v>0</v>
      </c>
      <c r="DX192" s="1348">
        <f t="shared" si="944"/>
        <v>0</v>
      </c>
      <c r="DY192" s="1348">
        <f t="shared" si="944"/>
        <v>0</v>
      </c>
      <c r="DZ192" s="1348">
        <f t="shared" si="944"/>
        <v>0</v>
      </c>
      <c r="EA192" s="1348">
        <f t="shared" si="944"/>
        <v>0</v>
      </c>
      <c r="EB192" s="1348">
        <f t="shared" si="944"/>
        <v>0</v>
      </c>
      <c r="EC192" s="1348">
        <f t="shared" si="944"/>
        <v>0</v>
      </c>
      <c r="ED192" s="1348">
        <f t="shared" si="944"/>
        <v>0</v>
      </c>
      <c r="EE192" s="1348">
        <f t="shared" si="944"/>
        <v>0</v>
      </c>
      <c r="EF192" s="1348">
        <f t="shared" si="944"/>
        <v>0</v>
      </c>
      <c r="EG192" s="1348">
        <f t="shared" si="944"/>
        <v>0</v>
      </c>
      <c r="EI192" s="2424"/>
      <c r="EJ192" s="3232"/>
      <c r="EK192" s="372" t="s">
        <v>239</v>
      </c>
      <c r="EL192" s="373">
        <f t="shared" ref="EL192:ER192" si="945">SUM(EL190:EL191)</f>
        <v>0</v>
      </c>
      <c r="EM192" s="373">
        <f t="shared" si="945"/>
        <v>0</v>
      </c>
      <c r="EN192" s="373">
        <f t="shared" si="945"/>
        <v>0</v>
      </c>
      <c r="EO192" s="373">
        <f t="shared" si="945"/>
        <v>0</v>
      </c>
      <c r="EP192" s="373">
        <f t="shared" si="945"/>
        <v>0</v>
      </c>
      <c r="EQ192" s="373">
        <f t="shared" si="945"/>
        <v>0</v>
      </c>
      <c r="ER192" s="374">
        <f t="shared" si="945"/>
        <v>0</v>
      </c>
      <c r="ES192" s="13">
        <f>SUM(EL192:EQ192)</f>
        <v>0</v>
      </c>
      <c r="ET192" s="13"/>
      <c r="EU192" s="9"/>
      <c r="EV192" s="392">
        <f t="shared" ref="EV192:FA192" si="946">SUM(EV190:EV191)</f>
        <v>0</v>
      </c>
      <c r="EW192" s="373">
        <f t="shared" si="946"/>
        <v>0</v>
      </c>
      <c r="EX192" s="373">
        <f t="shared" si="946"/>
        <v>0</v>
      </c>
      <c r="EY192" s="373">
        <f t="shared" si="946"/>
        <v>0</v>
      </c>
      <c r="EZ192" s="373">
        <f t="shared" si="946"/>
        <v>0</v>
      </c>
      <c r="FA192" s="373">
        <f t="shared" si="946"/>
        <v>0</v>
      </c>
      <c r="FB192" s="393">
        <f t="shared" si="904"/>
        <v>0</v>
      </c>
      <c r="FC192" s="1"/>
      <c r="FD192" s="392">
        <f t="shared" ref="FD192:FI192" si="947">SUM(FD190:FD191)</f>
        <v>0</v>
      </c>
      <c r="FE192" s="373">
        <f t="shared" si="947"/>
        <v>0</v>
      </c>
      <c r="FF192" s="373">
        <f t="shared" si="947"/>
        <v>0</v>
      </c>
      <c r="FG192" s="373">
        <f t="shared" si="947"/>
        <v>0</v>
      </c>
      <c r="FH192" s="373">
        <f t="shared" si="947"/>
        <v>0</v>
      </c>
      <c r="FI192" s="373">
        <f t="shared" si="947"/>
        <v>0</v>
      </c>
      <c r="FJ192" s="393">
        <f t="shared" si="905"/>
        <v>0</v>
      </c>
      <c r="FL192" s="392">
        <f t="shared" ref="FL192:FQ192" si="948">SUM(FL190:FL191)</f>
        <v>0</v>
      </c>
      <c r="FM192" s="373">
        <f t="shared" si="948"/>
        <v>0</v>
      </c>
      <c r="FN192" s="373">
        <f t="shared" si="948"/>
        <v>0</v>
      </c>
      <c r="FO192" s="373">
        <f t="shared" si="948"/>
        <v>0</v>
      </c>
      <c r="FP192" s="373">
        <f t="shared" si="948"/>
        <v>0</v>
      </c>
      <c r="FQ192" s="373">
        <f t="shared" si="948"/>
        <v>0</v>
      </c>
      <c r="FR192" s="393">
        <f t="shared" si="906"/>
        <v>0</v>
      </c>
      <c r="FT192" s="392">
        <f t="shared" ref="FT192:FY192" si="949">SUM(FT190:FT191)</f>
        <v>0</v>
      </c>
      <c r="FU192" s="373">
        <f t="shared" si="949"/>
        <v>0</v>
      </c>
      <c r="FV192" s="373">
        <f t="shared" si="949"/>
        <v>0</v>
      </c>
      <c r="FW192" s="373">
        <f t="shared" si="949"/>
        <v>0</v>
      </c>
      <c r="FX192" s="373">
        <f t="shared" si="949"/>
        <v>0</v>
      </c>
      <c r="FY192" s="373">
        <f t="shared" si="949"/>
        <v>0</v>
      </c>
      <c r="FZ192" s="393">
        <f t="shared" si="907"/>
        <v>0</v>
      </c>
      <c r="GB192" s="392">
        <f t="shared" ref="GB192:GG192" si="950">SUM(GB190:GB191)</f>
        <v>0</v>
      </c>
      <c r="GC192" s="373">
        <f t="shared" si="950"/>
        <v>0</v>
      </c>
      <c r="GD192" s="373">
        <f t="shared" si="950"/>
        <v>0</v>
      </c>
      <c r="GE192" s="373">
        <f t="shared" si="950"/>
        <v>0</v>
      </c>
      <c r="GF192" s="373">
        <f t="shared" si="950"/>
        <v>0</v>
      </c>
      <c r="GG192" s="373">
        <f t="shared" si="950"/>
        <v>0</v>
      </c>
      <c r="GH192" s="393">
        <f t="shared" si="908"/>
        <v>0</v>
      </c>
      <c r="GJ192" s="392">
        <f t="shared" ref="GJ192:GO192" si="951">SUM(GJ190:GJ191)</f>
        <v>0</v>
      </c>
      <c r="GK192" s="373">
        <f t="shared" si="951"/>
        <v>0</v>
      </c>
      <c r="GL192" s="373">
        <f t="shared" si="951"/>
        <v>0</v>
      </c>
      <c r="GM192" s="373">
        <f t="shared" si="951"/>
        <v>0</v>
      </c>
      <c r="GN192" s="373">
        <f t="shared" si="951"/>
        <v>0</v>
      </c>
      <c r="GO192" s="373">
        <f t="shared" si="951"/>
        <v>0</v>
      </c>
      <c r="GP192" s="393">
        <f t="shared" si="909"/>
        <v>0</v>
      </c>
      <c r="GR192" s="392">
        <f t="shared" ref="GR192:GW192" si="952">SUM(GR190:GR191)</f>
        <v>0</v>
      </c>
      <c r="GS192" s="373">
        <f t="shared" si="952"/>
        <v>0</v>
      </c>
      <c r="GT192" s="373">
        <f t="shared" si="952"/>
        <v>0</v>
      </c>
      <c r="GU192" s="373">
        <f t="shared" si="952"/>
        <v>0</v>
      </c>
      <c r="GV192" s="373">
        <f t="shared" si="952"/>
        <v>0</v>
      </c>
      <c r="GW192" s="373">
        <f t="shared" si="952"/>
        <v>0</v>
      </c>
      <c r="GX192" s="1103">
        <f t="shared" si="910"/>
        <v>0</v>
      </c>
      <c r="GZ192" s="579">
        <f t="shared" si="867"/>
        <v>0</v>
      </c>
      <c r="HA192" s="579">
        <f t="shared" si="868"/>
        <v>0</v>
      </c>
      <c r="HB192" s="579">
        <f t="shared" si="869"/>
        <v>0</v>
      </c>
      <c r="HC192" s="579">
        <f t="shared" si="870"/>
        <v>0</v>
      </c>
      <c r="HD192" s="579">
        <f t="shared" si="871"/>
        <v>0</v>
      </c>
      <c r="HE192" s="579">
        <f t="shared" si="872"/>
        <v>0</v>
      </c>
      <c r="HF192" s="579">
        <f t="shared" si="873"/>
        <v>0</v>
      </c>
      <c r="HG192" s="580">
        <f t="shared" si="874"/>
        <v>0</v>
      </c>
      <c r="HH192" s="257"/>
    </row>
    <row r="193" spans="1:216" ht="15" hidden="1" customHeight="1" x14ac:dyDescent="0.25">
      <c r="A193" s="2424"/>
      <c r="B193" s="3320">
        <f>'DATA INPUT'!B111</f>
        <v>0</v>
      </c>
      <c r="C193" s="359" t="s">
        <v>1033</v>
      </c>
      <c r="D193" s="360">
        <f>IF('DATA INPUT'!I111&gt;0,IF('DATA INPUT'!I111&lt;=50000,'DATA INPUT'!I111,50000),0)</f>
        <v>0</v>
      </c>
      <c r="E193" s="360">
        <f>IF('DATA INPUT'!J111&gt;0,IF(SUM($D193:D193)&lt;50000,MIN('DATA INPUT'!J111,50000-SUM($D193:D193)),0),0)</f>
        <v>0</v>
      </c>
      <c r="F193" s="360">
        <f>IF('DATA INPUT'!K111&gt;0,IF(SUM($D193:E193)&lt;50000,MIN('DATA INPUT'!K111,50000-SUM($D193:E193)),0),0)</f>
        <v>0</v>
      </c>
      <c r="G193" s="360">
        <f>IF('DATA INPUT'!L111&gt;0,IF(SUM($D193:F193)&lt;50000,MIN('DATA INPUT'!L111,50000-SUM($D193:F193)),0),0)</f>
        <v>0</v>
      </c>
      <c r="H193" s="360">
        <f>IF('DATA INPUT'!M111&gt;0,IF(SUM($D193:G193)&lt;50000,MIN('DATA INPUT'!M111,50000-SUM($D193:G193)),0),0)</f>
        <v>0</v>
      </c>
      <c r="I193" s="360">
        <f>IF('DATA INPUT'!N111&gt;0,IF(SUM($D193:H193)&lt;50000,MIN('DATA INPUT'!N111,50000-SUM($D193:H193)),0),0)</f>
        <v>0</v>
      </c>
      <c r="J193" s="180">
        <f>SUM(D193:I193)</f>
        <v>0</v>
      </c>
      <c r="K193" s="6"/>
      <c r="L193" s="9"/>
      <c r="M193" s="6"/>
      <c r="N193" s="386"/>
      <c r="O193" s="360"/>
      <c r="P193" s="360"/>
      <c r="Q193" s="360"/>
      <c r="R193" s="360"/>
      <c r="S193" s="360"/>
      <c r="T193" s="166">
        <f t="shared" si="895"/>
        <v>0</v>
      </c>
      <c r="U193" s="1"/>
      <c r="V193" s="386"/>
      <c r="W193" s="360"/>
      <c r="X193" s="360"/>
      <c r="Y193" s="360"/>
      <c r="Z193" s="360"/>
      <c r="AA193" s="360"/>
      <c r="AB193" s="140">
        <f t="shared" si="896"/>
        <v>0</v>
      </c>
      <c r="AD193" s="386"/>
      <c r="AE193" s="360"/>
      <c r="AF193" s="360"/>
      <c r="AG193" s="360"/>
      <c r="AH193" s="360"/>
      <c r="AI193" s="360"/>
      <c r="AJ193" s="208">
        <f t="shared" si="897"/>
        <v>0</v>
      </c>
      <c r="AL193" s="386"/>
      <c r="AM193" s="360"/>
      <c r="AN193" s="360"/>
      <c r="AO193" s="360"/>
      <c r="AP193" s="360"/>
      <c r="AQ193" s="360"/>
      <c r="AR193" s="180">
        <f t="shared" si="898"/>
        <v>0</v>
      </c>
      <c r="AT193" s="386"/>
      <c r="AU193" s="360"/>
      <c r="AV193" s="360"/>
      <c r="AW193" s="360"/>
      <c r="AX193" s="360"/>
      <c r="AY193" s="360"/>
      <c r="AZ193" s="152">
        <f t="shared" si="899"/>
        <v>0</v>
      </c>
      <c r="BB193" s="386"/>
      <c r="BC193" s="360"/>
      <c r="BD193" s="360"/>
      <c r="BE193" s="360"/>
      <c r="BF193" s="360"/>
      <c r="BG193" s="360"/>
      <c r="BH193" s="194">
        <f t="shared" si="900"/>
        <v>0</v>
      </c>
      <c r="BJ193" s="386"/>
      <c r="BK193" s="360"/>
      <c r="BL193" s="360"/>
      <c r="BM193" s="360"/>
      <c r="BN193" s="360"/>
      <c r="BO193" s="360"/>
      <c r="BP193" s="1104">
        <f t="shared" si="901"/>
        <v>0</v>
      </c>
      <c r="BR193" s="575">
        <f t="shared" si="844"/>
        <v>0</v>
      </c>
      <c r="BS193" s="575">
        <f t="shared" si="845"/>
        <v>0</v>
      </c>
      <c r="BT193" s="575">
        <f t="shared" si="846"/>
        <v>0</v>
      </c>
      <c r="BU193" s="575">
        <f t="shared" si="847"/>
        <v>0</v>
      </c>
      <c r="BV193" s="575">
        <f t="shared" si="848"/>
        <v>0</v>
      </c>
      <c r="BW193" s="575">
        <f t="shared" si="849"/>
        <v>0</v>
      </c>
      <c r="BX193" s="991">
        <f t="shared" si="850"/>
        <v>0</v>
      </c>
      <c r="BY193" s="573">
        <f t="shared" si="851"/>
        <v>0</v>
      </c>
      <c r="BZ193" s="257"/>
      <c r="CB193" s="1339">
        <f>D193</f>
        <v>0</v>
      </c>
      <c r="CC193" s="1170">
        <f>E193</f>
        <v>0</v>
      </c>
      <c r="CD193" s="1171"/>
      <c r="CE193" s="1171"/>
      <c r="CF193" s="1171"/>
      <c r="CG193" s="1172"/>
      <c r="CH193" s="1289">
        <f>$F193</f>
        <v>0</v>
      </c>
      <c r="CI193" s="1174"/>
      <c r="CJ193" s="1174"/>
      <c r="CK193" s="1174"/>
      <c r="CL193" s="1175"/>
      <c r="CM193" s="1176">
        <f>$G193</f>
        <v>0</v>
      </c>
      <c r="CN193" s="1290"/>
      <c r="CO193" s="1178"/>
      <c r="CP193" s="1179">
        <f>SUM(CB193:CO193)</f>
        <v>0</v>
      </c>
      <c r="CS193" s="386"/>
      <c r="CT193" s="360"/>
      <c r="CU193" s="1161"/>
      <c r="CV193" s="386"/>
      <c r="CW193" s="360"/>
      <c r="CX193" s="1161"/>
      <c r="CY193" s="386"/>
      <c r="CZ193" s="360"/>
      <c r="DA193" s="1161"/>
      <c r="DB193" s="386"/>
      <c r="DC193" s="360"/>
      <c r="DD193" s="1161"/>
      <c r="DE193" s="1065">
        <f>SUM(CS193:DD193)</f>
        <v>0</v>
      </c>
      <c r="DG193" s="386"/>
      <c r="DH193" s="360"/>
      <c r="DI193" s="1161"/>
      <c r="DJ193" s="386"/>
      <c r="DK193" s="360"/>
      <c r="DL193" s="1161"/>
      <c r="DM193" s="386"/>
      <c r="DN193" s="360"/>
      <c r="DO193" s="1161"/>
      <c r="DP193" s="386"/>
      <c r="DQ193" s="360"/>
      <c r="DR193" s="1161"/>
      <c r="DS193" s="1065">
        <f>SUM(DG193:DR193)</f>
        <v>0</v>
      </c>
      <c r="DU193" s="386"/>
      <c r="DV193" s="360"/>
      <c r="DW193" s="1161"/>
      <c r="DX193" s="386"/>
      <c r="DY193" s="360"/>
      <c r="DZ193" s="1161"/>
      <c r="EA193" s="386"/>
      <c r="EB193" s="360"/>
      <c r="EC193" s="1161"/>
      <c r="ED193" s="386"/>
      <c r="EE193" s="360"/>
      <c r="EF193" s="1161"/>
      <c r="EG193" s="1065">
        <f>SUM(DU193:EF193)</f>
        <v>0</v>
      </c>
      <c r="EI193" s="2424"/>
      <c r="EJ193" s="3320">
        <f>B193</f>
        <v>0</v>
      </c>
      <c r="EK193" s="359" t="s">
        <v>1033</v>
      </c>
      <c r="EL193" s="360">
        <f t="shared" ref="EL193:EQ194" si="953">ROUND(D193,0)</f>
        <v>0</v>
      </c>
      <c r="EM193" s="360">
        <f t="shared" si="953"/>
        <v>0</v>
      </c>
      <c r="EN193" s="360">
        <f t="shared" si="953"/>
        <v>0</v>
      </c>
      <c r="EO193" s="360">
        <f t="shared" si="953"/>
        <v>0</v>
      </c>
      <c r="EP193" s="360">
        <f t="shared" si="953"/>
        <v>0</v>
      </c>
      <c r="EQ193" s="360">
        <f t="shared" si="953"/>
        <v>0</v>
      </c>
      <c r="ER193" s="180">
        <f>SUM(EL193:EQ193)</f>
        <v>0</v>
      </c>
      <c r="ES193" s="6"/>
      <c r="ET193" s="9"/>
      <c r="EU193" s="6"/>
      <c r="EV193" s="386">
        <f t="shared" ref="EV193:FA194" si="954">ROUND(N193,0)</f>
        <v>0</v>
      </c>
      <c r="EW193" s="360">
        <f t="shared" si="954"/>
        <v>0</v>
      </c>
      <c r="EX193" s="360">
        <f t="shared" si="954"/>
        <v>0</v>
      </c>
      <c r="EY193" s="360">
        <f t="shared" si="954"/>
        <v>0</v>
      </c>
      <c r="EZ193" s="360">
        <f t="shared" si="954"/>
        <v>0</v>
      </c>
      <c r="FA193" s="360">
        <f t="shared" si="954"/>
        <v>0</v>
      </c>
      <c r="FB193" s="166">
        <f t="shared" si="904"/>
        <v>0</v>
      </c>
      <c r="FC193" s="1"/>
      <c r="FD193" s="386"/>
      <c r="FE193" s="360"/>
      <c r="FF193" s="360"/>
      <c r="FG193" s="360"/>
      <c r="FH193" s="360"/>
      <c r="FI193" s="360"/>
      <c r="FJ193" s="140">
        <f t="shared" si="905"/>
        <v>0</v>
      </c>
      <c r="FL193" s="386"/>
      <c r="FM193" s="360"/>
      <c r="FN193" s="360"/>
      <c r="FO193" s="360"/>
      <c r="FP193" s="360"/>
      <c r="FQ193" s="360"/>
      <c r="FR193" s="208">
        <f t="shared" si="906"/>
        <v>0</v>
      </c>
      <c r="FT193" s="386"/>
      <c r="FU193" s="360"/>
      <c r="FV193" s="360"/>
      <c r="FW193" s="360"/>
      <c r="FX193" s="360"/>
      <c r="FY193" s="360"/>
      <c r="FZ193" s="180">
        <f t="shared" si="907"/>
        <v>0</v>
      </c>
      <c r="GB193" s="386"/>
      <c r="GC193" s="360"/>
      <c r="GD193" s="360"/>
      <c r="GE193" s="360"/>
      <c r="GF193" s="360"/>
      <c r="GG193" s="360"/>
      <c r="GH193" s="152">
        <f t="shared" si="908"/>
        <v>0</v>
      </c>
      <c r="GJ193" s="386"/>
      <c r="GK193" s="360"/>
      <c r="GL193" s="360"/>
      <c r="GM193" s="360"/>
      <c r="GN193" s="360"/>
      <c r="GO193" s="360"/>
      <c r="GP193" s="194">
        <f t="shared" si="909"/>
        <v>0</v>
      </c>
      <c r="GR193" s="386"/>
      <c r="GS193" s="360"/>
      <c r="GT193" s="360"/>
      <c r="GU193" s="360"/>
      <c r="GV193" s="360"/>
      <c r="GW193" s="360"/>
      <c r="GX193" s="1104">
        <f t="shared" si="910"/>
        <v>0</v>
      </c>
      <c r="GZ193" s="575">
        <f t="shared" si="867"/>
        <v>0</v>
      </c>
      <c r="HA193" s="575">
        <f t="shared" si="868"/>
        <v>0</v>
      </c>
      <c r="HB193" s="575">
        <f t="shared" si="869"/>
        <v>0</v>
      </c>
      <c r="HC193" s="575">
        <f t="shared" si="870"/>
        <v>0</v>
      </c>
      <c r="HD193" s="575">
        <f t="shared" si="871"/>
        <v>0</v>
      </c>
      <c r="HE193" s="575">
        <f t="shared" si="872"/>
        <v>0</v>
      </c>
      <c r="HF193" s="991">
        <f t="shared" si="873"/>
        <v>0</v>
      </c>
      <c r="HG193" s="573">
        <f t="shared" si="874"/>
        <v>0</v>
      </c>
      <c r="HH193" s="257"/>
    </row>
    <row r="194" spans="1:216" ht="15" hidden="1" customHeight="1" thickBot="1" x14ac:dyDescent="0.3">
      <c r="A194" s="2424"/>
      <c r="B194" s="3321"/>
      <c r="C194" s="367" t="s">
        <v>224</v>
      </c>
      <c r="D194" s="56">
        <f>IF('DATA INPUT'!I111&gt;50000,'DATA INPUT'!I111-D193,0)</f>
        <v>0</v>
      </c>
      <c r="E194" s="56">
        <f>IF('DATA INPUT'!J111&gt;E193,'DATA INPUT'!J111-E193,0)</f>
        <v>0</v>
      </c>
      <c r="F194" s="56">
        <f>IF('DATA INPUT'!K111&gt;F193,'DATA INPUT'!K111-F193,0)</f>
        <v>0</v>
      </c>
      <c r="G194" s="56">
        <f>IF('DATA INPUT'!L111&gt;G193,'DATA INPUT'!L111-G193,0)</f>
        <v>0</v>
      </c>
      <c r="H194" s="56">
        <f>IF('DATA INPUT'!M111&gt;H193,'DATA INPUT'!M111-H193,0)</f>
        <v>0</v>
      </c>
      <c r="I194" s="56">
        <f>IF('DATA INPUT'!N111&gt;I193,'DATA INPUT'!N111-I193,0)</f>
        <v>0</v>
      </c>
      <c r="J194" s="178">
        <f>SUM(D194:I194)</f>
        <v>0</v>
      </c>
      <c r="K194" s="9"/>
      <c r="L194" s="9"/>
      <c r="M194" s="9"/>
      <c r="N194" s="387"/>
      <c r="O194" s="56"/>
      <c r="P194" s="56"/>
      <c r="Q194" s="56"/>
      <c r="R194" s="56"/>
      <c r="S194" s="56"/>
      <c r="T194" s="164">
        <f t="shared" si="895"/>
        <v>0</v>
      </c>
      <c r="U194" s="1"/>
      <c r="V194" s="387"/>
      <c r="W194" s="56"/>
      <c r="X194" s="56"/>
      <c r="Y194" s="56"/>
      <c r="Z194" s="56"/>
      <c r="AA194" s="56"/>
      <c r="AB194" s="138">
        <f t="shared" si="896"/>
        <v>0</v>
      </c>
      <c r="AD194" s="387"/>
      <c r="AE194" s="56"/>
      <c r="AF194" s="56"/>
      <c r="AG194" s="56"/>
      <c r="AH194" s="56"/>
      <c r="AI194" s="56"/>
      <c r="AJ194" s="206">
        <f t="shared" si="897"/>
        <v>0</v>
      </c>
      <c r="AL194" s="387"/>
      <c r="AM194" s="56"/>
      <c r="AN194" s="56"/>
      <c r="AO194" s="56"/>
      <c r="AP194" s="56"/>
      <c r="AQ194" s="56"/>
      <c r="AR194" s="178">
        <f t="shared" si="898"/>
        <v>0</v>
      </c>
      <c r="AT194" s="387"/>
      <c r="AU194" s="56"/>
      <c r="AV194" s="56"/>
      <c r="AW194" s="56"/>
      <c r="AX194" s="56"/>
      <c r="AY194" s="56"/>
      <c r="AZ194" s="150">
        <f t="shared" si="899"/>
        <v>0</v>
      </c>
      <c r="BB194" s="387"/>
      <c r="BC194" s="56"/>
      <c r="BD194" s="56"/>
      <c r="BE194" s="56"/>
      <c r="BF194" s="56"/>
      <c r="BG194" s="56"/>
      <c r="BH194" s="192">
        <f t="shared" si="900"/>
        <v>0</v>
      </c>
      <c r="BJ194" s="387"/>
      <c r="BK194" s="56"/>
      <c r="BL194" s="56"/>
      <c r="BM194" s="56"/>
      <c r="BN194" s="56"/>
      <c r="BO194" s="56"/>
      <c r="BP194" s="1102">
        <f t="shared" si="901"/>
        <v>0</v>
      </c>
      <c r="BR194" s="575">
        <f t="shared" si="844"/>
        <v>0</v>
      </c>
      <c r="BS194" s="575">
        <f t="shared" si="845"/>
        <v>0</v>
      </c>
      <c r="BT194" s="575">
        <f t="shared" si="846"/>
        <v>0</v>
      </c>
      <c r="BU194" s="575">
        <f t="shared" si="847"/>
        <v>0</v>
      </c>
      <c r="BV194" s="575">
        <f t="shared" si="848"/>
        <v>0</v>
      </c>
      <c r="BW194" s="575">
        <f t="shared" si="849"/>
        <v>0</v>
      </c>
      <c r="BX194" s="991">
        <f t="shared" si="850"/>
        <v>0</v>
      </c>
      <c r="BY194" s="573">
        <f t="shared" si="851"/>
        <v>0</v>
      </c>
      <c r="BZ194" s="257"/>
      <c r="CB194" s="1323">
        <f>D194</f>
        <v>0</v>
      </c>
      <c r="CC194" s="1324">
        <f>E194</f>
        <v>0</v>
      </c>
      <c r="CD194" s="1325"/>
      <c r="CE194" s="1325"/>
      <c r="CF194" s="1325"/>
      <c r="CG194" s="1326"/>
      <c r="CH194" s="1331">
        <f>$F194</f>
        <v>0</v>
      </c>
      <c r="CI194" s="1332"/>
      <c r="CJ194" s="1332"/>
      <c r="CK194" s="1332"/>
      <c r="CL194" s="1333"/>
      <c r="CM194" s="1334">
        <f>$G194</f>
        <v>0</v>
      </c>
      <c r="CN194" s="1335"/>
      <c r="CO194" s="1336"/>
      <c r="CP194" s="1228">
        <f>SUM(CB194:CO194)</f>
        <v>0</v>
      </c>
      <c r="CS194" s="387"/>
      <c r="CT194" s="56"/>
      <c r="CU194" s="1183"/>
      <c r="CV194" s="387"/>
      <c r="CW194" s="56"/>
      <c r="CX194" s="1183"/>
      <c r="CY194" s="387"/>
      <c r="CZ194" s="56"/>
      <c r="DA194" s="1183"/>
      <c r="DB194" s="387"/>
      <c r="DC194" s="56"/>
      <c r="DD194" s="1183"/>
      <c r="DE194" s="1181">
        <f>SUM(CS194:DD194)</f>
        <v>0</v>
      </c>
      <c r="DG194" s="387"/>
      <c r="DH194" s="56"/>
      <c r="DI194" s="1183"/>
      <c r="DJ194" s="387"/>
      <c r="DK194" s="56"/>
      <c r="DL194" s="1183"/>
      <c r="DM194" s="387"/>
      <c r="DN194" s="56"/>
      <c r="DO194" s="1183"/>
      <c r="DP194" s="387"/>
      <c r="DQ194" s="56"/>
      <c r="DR194" s="1183"/>
      <c r="DS194" s="1181">
        <f>SUM(DG194:DR194)</f>
        <v>0</v>
      </c>
      <c r="DU194" s="387"/>
      <c r="DV194" s="56"/>
      <c r="DW194" s="1183"/>
      <c r="DX194" s="387"/>
      <c r="DY194" s="56"/>
      <c r="DZ194" s="1183"/>
      <c r="EA194" s="387"/>
      <c r="EB194" s="56"/>
      <c r="EC194" s="1183"/>
      <c r="ED194" s="387"/>
      <c r="EE194" s="56"/>
      <c r="EF194" s="1183"/>
      <c r="EG194" s="1181">
        <f>SUM(DU194:EF194)</f>
        <v>0</v>
      </c>
      <c r="EI194" s="2424"/>
      <c r="EJ194" s="3321"/>
      <c r="EK194" s="367" t="s">
        <v>224</v>
      </c>
      <c r="EL194" s="56">
        <f t="shared" si="953"/>
        <v>0</v>
      </c>
      <c r="EM194" s="56">
        <f t="shared" si="953"/>
        <v>0</v>
      </c>
      <c r="EN194" s="56">
        <f t="shared" si="953"/>
        <v>0</v>
      </c>
      <c r="EO194" s="56">
        <f t="shared" si="953"/>
        <v>0</v>
      </c>
      <c r="EP194" s="56">
        <f t="shared" si="953"/>
        <v>0</v>
      </c>
      <c r="EQ194" s="56">
        <f t="shared" si="953"/>
        <v>0</v>
      </c>
      <c r="ER194" s="178">
        <f>SUM(EL194:EQ194)</f>
        <v>0</v>
      </c>
      <c r="ES194" s="9"/>
      <c r="ET194" s="9"/>
      <c r="EU194" s="9"/>
      <c r="EV194" s="387">
        <f t="shared" si="954"/>
        <v>0</v>
      </c>
      <c r="EW194" s="56">
        <f t="shared" si="954"/>
        <v>0</v>
      </c>
      <c r="EX194" s="56">
        <f t="shared" si="954"/>
        <v>0</v>
      </c>
      <c r="EY194" s="56">
        <f t="shared" si="954"/>
        <v>0</v>
      </c>
      <c r="EZ194" s="56">
        <f t="shared" si="954"/>
        <v>0</v>
      </c>
      <c r="FA194" s="56">
        <f t="shared" si="954"/>
        <v>0</v>
      </c>
      <c r="FB194" s="164">
        <f t="shared" si="904"/>
        <v>0</v>
      </c>
      <c r="FC194" s="1"/>
      <c r="FD194" s="387"/>
      <c r="FE194" s="56"/>
      <c r="FF194" s="56"/>
      <c r="FG194" s="56"/>
      <c r="FH194" s="56"/>
      <c r="FI194" s="56"/>
      <c r="FJ194" s="138">
        <f t="shared" si="905"/>
        <v>0</v>
      </c>
      <c r="FL194" s="387"/>
      <c r="FM194" s="56"/>
      <c r="FN194" s="56"/>
      <c r="FO194" s="56"/>
      <c r="FP194" s="56"/>
      <c r="FQ194" s="56"/>
      <c r="FR194" s="206">
        <f t="shared" si="906"/>
        <v>0</v>
      </c>
      <c r="FT194" s="387"/>
      <c r="FU194" s="56"/>
      <c r="FV194" s="56"/>
      <c r="FW194" s="56"/>
      <c r="FX194" s="56"/>
      <c r="FY194" s="56"/>
      <c r="FZ194" s="178">
        <f t="shared" si="907"/>
        <v>0</v>
      </c>
      <c r="GB194" s="387"/>
      <c r="GC194" s="56"/>
      <c r="GD194" s="56"/>
      <c r="GE194" s="56"/>
      <c r="GF194" s="56"/>
      <c r="GG194" s="56"/>
      <c r="GH194" s="150">
        <f t="shared" si="908"/>
        <v>0</v>
      </c>
      <c r="GJ194" s="387"/>
      <c r="GK194" s="56"/>
      <c r="GL194" s="56"/>
      <c r="GM194" s="56"/>
      <c r="GN194" s="56"/>
      <c r="GO194" s="56"/>
      <c r="GP194" s="192">
        <f t="shared" si="909"/>
        <v>0</v>
      </c>
      <c r="GR194" s="387"/>
      <c r="GS194" s="56"/>
      <c r="GT194" s="56"/>
      <c r="GU194" s="56"/>
      <c r="GV194" s="56"/>
      <c r="GW194" s="56"/>
      <c r="GX194" s="1102">
        <f t="shared" si="910"/>
        <v>0</v>
      </c>
      <c r="GZ194" s="575">
        <f t="shared" si="867"/>
        <v>0</v>
      </c>
      <c r="HA194" s="575">
        <f t="shared" si="868"/>
        <v>0</v>
      </c>
      <c r="HB194" s="575">
        <f t="shared" si="869"/>
        <v>0</v>
      </c>
      <c r="HC194" s="575">
        <f t="shared" si="870"/>
        <v>0</v>
      </c>
      <c r="HD194" s="575">
        <f t="shared" si="871"/>
        <v>0</v>
      </c>
      <c r="HE194" s="575">
        <f t="shared" si="872"/>
        <v>0</v>
      </c>
      <c r="HF194" s="991">
        <f t="shared" si="873"/>
        <v>0</v>
      </c>
      <c r="HG194" s="573">
        <f t="shared" si="874"/>
        <v>0</v>
      </c>
      <c r="HH194" s="257"/>
    </row>
    <row r="195" spans="1:216" ht="15" hidden="1" customHeight="1" thickBot="1" x14ac:dyDescent="0.3">
      <c r="A195" s="2424"/>
      <c r="B195" s="3322"/>
      <c r="C195" s="369" t="s">
        <v>239</v>
      </c>
      <c r="D195" s="370">
        <f t="shared" ref="D195:J195" si="955">SUM(D193:D194)</f>
        <v>0</v>
      </c>
      <c r="E195" s="370">
        <f t="shared" si="955"/>
        <v>0</v>
      </c>
      <c r="F195" s="370">
        <f t="shared" si="955"/>
        <v>0</v>
      </c>
      <c r="G195" s="370">
        <f t="shared" si="955"/>
        <v>0</v>
      </c>
      <c r="H195" s="370">
        <f t="shared" si="955"/>
        <v>0</v>
      </c>
      <c r="I195" s="370">
        <f t="shared" si="955"/>
        <v>0</v>
      </c>
      <c r="J195" s="371">
        <f t="shared" si="955"/>
        <v>0</v>
      </c>
      <c r="K195" s="13">
        <f>SUM(D195:I195)</f>
        <v>0</v>
      </c>
      <c r="L195" s="6"/>
      <c r="M195" s="9"/>
      <c r="N195" s="388">
        <f t="shared" ref="N195:S195" si="956">SUM(N193:N194)</f>
        <v>0</v>
      </c>
      <c r="O195" s="370">
        <f t="shared" si="956"/>
        <v>0</v>
      </c>
      <c r="P195" s="370">
        <f t="shared" si="956"/>
        <v>0</v>
      </c>
      <c r="Q195" s="370">
        <f t="shared" si="956"/>
        <v>0</v>
      </c>
      <c r="R195" s="370">
        <f t="shared" si="956"/>
        <v>0</v>
      </c>
      <c r="S195" s="370">
        <f t="shared" si="956"/>
        <v>0</v>
      </c>
      <c r="T195" s="389">
        <f t="shared" si="895"/>
        <v>0</v>
      </c>
      <c r="U195" s="1"/>
      <c r="V195" s="388">
        <f t="shared" ref="V195:AA195" si="957">SUM(V193:V194)</f>
        <v>0</v>
      </c>
      <c r="W195" s="370">
        <f t="shared" si="957"/>
        <v>0</v>
      </c>
      <c r="X195" s="370">
        <f t="shared" si="957"/>
        <v>0</v>
      </c>
      <c r="Y195" s="370">
        <f t="shared" si="957"/>
        <v>0</v>
      </c>
      <c r="Z195" s="370">
        <f t="shared" si="957"/>
        <v>0</v>
      </c>
      <c r="AA195" s="370">
        <f t="shared" si="957"/>
        <v>0</v>
      </c>
      <c r="AB195" s="389">
        <f t="shared" si="896"/>
        <v>0</v>
      </c>
      <c r="AD195" s="388">
        <f t="shared" ref="AD195:AI195" si="958">SUM(AD193:AD194)</f>
        <v>0</v>
      </c>
      <c r="AE195" s="370">
        <f t="shared" si="958"/>
        <v>0</v>
      </c>
      <c r="AF195" s="370">
        <f t="shared" si="958"/>
        <v>0</v>
      </c>
      <c r="AG195" s="370">
        <f t="shared" si="958"/>
        <v>0</v>
      </c>
      <c r="AH195" s="370">
        <f t="shared" si="958"/>
        <v>0</v>
      </c>
      <c r="AI195" s="370">
        <f t="shared" si="958"/>
        <v>0</v>
      </c>
      <c r="AJ195" s="389">
        <f t="shared" si="897"/>
        <v>0</v>
      </c>
      <c r="AL195" s="388">
        <f t="shared" ref="AL195:AQ195" si="959">SUM(AL193:AL194)</f>
        <v>0</v>
      </c>
      <c r="AM195" s="370">
        <f t="shared" si="959"/>
        <v>0</v>
      </c>
      <c r="AN195" s="370">
        <f t="shared" si="959"/>
        <v>0</v>
      </c>
      <c r="AO195" s="370">
        <f t="shared" si="959"/>
        <v>0</v>
      </c>
      <c r="AP195" s="370">
        <f t="shared" si="959"/>
        <v>0</v>
      </c>
      <c r="AQ195" s="370">
        <f t="shared" si="959"/>
        <v>0</v>
      </c>
      <c r="AR195" s="389">
        <f t="shared" si="898"/>
        <v>0</v>
      </c>
      <c r="AT195" s="388">
        <f t="shared" ref="AT195:AY195" si="960">SUM(AT193:AT194)</f>
        <v>0</v>
      </c>
      <c r="AU195" s="370">
        <f t="shared" si="960"/>
        <v>0</v>
      </c>
      <c r="AV195" s="370">
        <f t="shared" si="960"/>
        <v>0</v>
      </c>
      <c r="AW195" s="370">
        <f t="shared" si="960"/>
        <v>0</v>
      </c>
      <c r="AX195" s="370">
        <f t="shared" si="960"/>
        <v>0</v>
      </c>
      <c r="AY195" s="370">
        <f t="shared" si="960"/>
        <v>0</v>
      </c>
      <c r="AZ195" s="389">
        <f t="shared" si="899"/>
        <v>0</v>
      </c>
      <c r="BB195" s="388">
        <f t="shared" ref="BB195:BG195" si="961">SUM(BB193:BB194)</f>
        <v>0</v>
      </c>
      <c r="BC195" s="370">
        <f t="shared" si="961"/>
        <v>0</v>
      </c>
      <c r="BD195" s="370">
        <f t="shared" si="961"/>
        <v>0</v>
      </c>
      <c r="BE195" s="370">
        <f t="shared" si="961"/>
        <v>0</v>
      </c>
      <c r="BF195" s="370">
        <f t="shared" si="961"/>
        <v>0</v>
      </c>
      <c r="BG195" s="370">
        <f t="shared" si="961"/>
        <v>0</v>
      </c>
      <c r="BH195" s="389">
        <f t="shared" si="900"/>
        <v>0</v>
      </c>
      <c r="BJ195" s="388">
        <f t="shared" ref="BJ195:BO195" si="962">SUM(BJ193:BJ194)</f>
        <v>0</v>
      </c>
      <c r="BK195" s="370">
        <f t="shared" si="962"/>
        <v>0</v>
      </c>
      <c r="BL195" s="370">
        <f t="shared" si="962"/>
        <v>0</v>
      </c>
      <c r="BM195" s="370">
        <f t="shared" si="962"/>
        <v>0</v>
      </c>
      <c r="BN195" s="370">
        <f t="shared" si="962"/>
        <v>0</v>
      </c>
      <c r="BO195" s="370">
        <f t="shared" si="962"/>
        <v>0</v>
      </c>
      <c r="BP195" s="1103">
        <f t="shared" si="901"/>
        <v>0</v>
      </c>
      <c r="BR195" s="579">
        <f t="shared" si="844"/>
        <v>0</v>
      </c>
      <c r="BS195" s="579">
        <f t="shared" si="845"/>
        <v>0</v>
      </c>
      <c r="BT195" s="579">
        <f t="shared" si="846"/>
        <v>0</v>
      </c>
      <c r="BU195" s="579">
        <f t="shared" si="847"/>
        <v>0</v>
      </c>
      <c r="BV195" s="579">
        <f t="shared" si="848"/>
        <v>0</v>
      </c>
      <c r="BW195" s="579">
        <f t="shared" si="849"/>
        <v>0</v>
      </c>
      <c r="BX195" s="579">
        <f t="shared" si="850"/>
        <v>0</v>
      </c>
      <c r="BY195" s="580">
        <f t="shared" si="851"/>
        <v>0</v>
      </c>
      <c r="BZ195" s="257"/>
      <c r="CB195" s="1340">
        <f t="shared" ref="CB195:CP195" si="963">SUM(CB193:CB194)</f>
        <v>0</v>
      </c>
      <c r="CC195" s="1341">
        <f t="shared" si="963"/>
        <v>0</v>
      </c>
      <c r="CD195" s="1342">
        <f t="shared" si="963"/>
        <v>0</v>
      </c>
      <c r="CE195" s="1342">
        <f t="shared" si="963"/>
        <v>0</v>
      </c>
      <c r="CF195" s="1342">
        <f t="shared" si="963"/>
        <v>0</v>
      </c>
      <c r="CG195" s="1343">
        <f t="shared" si="963"/>
        <v>0</v>
      </c>
      <c r="CH195" s="1341">
        <f t="shared" si="963"/>
        <v>0</v>
      </c>
      <c r="CI195" s="1342">
        <f t="shared" si="963"/>
        <v>0</v>
      </c>
      <c r="CJ195" s="1342">
        <f t="shared" si="963"/>
        <v>0</v>
      </c>
      <c r="CK195" s="1342">
        <f t="shared" si="963"/>
        <v>0</v>
      </c>
      <c r="CL195" s="1344">
        <f t="shared" si="963"/>
        <v>0</v>
      </c>
      <c r="CM195" s="1341">
        <f t="shared" si="963"/>
        <v>0</v>
      </c>
      <c r="CN195" s="1342">
        <f t="shared" si="963"/>
        <v>0</v>
      </c>
      <c r="CO195" s="1343">
        <f t="shared" si="963"/>
        <v>0</v>
      </c>
      <c r="CP195" s="1345">
        <f t="shared" si="963"/>
        <v>0</v>
      </c>
      <c r="CS195" s="1340">
        <f t="shared" ref="CS195:DE195" si="964">SUM(CS193:CS194)</f>
        <v>0</v>
      </c>
      <c r="CT195" s="1343">
        <f t="shared" si="964"/>
        <v>0</v>
      </c>
      <c r="CU195" s="1343">
        <f t="shared" si="964"/>
        <v>0</v>
      </c>
      <c r="CV195" s="1343">
        <f t="shared" si="964"/>
        <v>0</v>
      </c>
      <c r="CW195" s="1343">
        <f t="shared" si="964"/>
        <v>0</v>
      </c>
      <c r="CX195" s="1343">
        <f t="shared" si="964"/>
        <v>0</v>
      </c>
      <c r="CY195" s="1343">
        <f t="shared" si="964"/>
        <v>0</v>
      </c>
      <c r="CZ195" s="1343">
        <f t="shared" si="964"/>
        <v>0</v>
      </c>
      <c r="DA195" s="1343">
        <f t="shared" si="964"/>
        <v>0</v>
      </c>
      <c r="DB195" s="1343">
        <f t="shared" si="964"/>
        <v>0</v>
      </c>
      <c r="DC195" s="1343">
        <f t="shared" si="964"/>
        <v>0</v>
      </c>
      <c r="DD195" s="1343">
        <f t="shared" si="964"/>
        <v>0</v>
      </c>
      <c r="DE195" s="1343">
        <f t="shared" si="964"/>
        <v>0</v>
      </c>
      <c r="DG195" s="1340">
        <f t="shared" ref="DG195:DS195" si="965">SUM(DG193:DG194)</f>
        <v>0</v>
      </c>
      <c r="DH195" s="1343">
        <f t="shared" si="965"/>
        <v>0</v>
      </c>
      <c r="DI195" s="1343">
        <f t="shared" si="965"/>
        <v>0</v>
      </c>
      <c r="DJ195" s="1343">
        <f t="shared" si="965"/>
        <v>0</v>
      </c>
      <c r="DK195" s="1343">
        <f t="shared" si="965"/>
        <v>0</v>
      </c>
      <c r="DL195" s="1343">
        <f t="shared" si="965"/>
        <v>0</v>
      </c>
      <c r="DM195" s="1343">
        <f t="shared" si="965"/>
        <v>0</v>
      </c>
      <c r="DN195" s="1343">
        <f t="shared" si="965"/>
        <v>0</v>
      </c>
      <c r="DO195" s="1343">
        <f t="shared" si="965"/>
        <v>0</v>
      </c>
      <c r="DP195" s="1343">
        <f t="shared" si="965"/>
        <v>0</v>
      </c>
      <c r="DQ195" s="1343">
        <f t="shared" si="965"/>
        <v>0</v>
      </c>
      <c r="DR195" s="1343">
        <f t="shared" si="965"/>
        <v>0</v>
      </c>
      <c r="DS195" s="1343">
        <f t="shared" si="965"/>
        <v>0</v>
      </c>
      <c r="DU195" s="1340">
        <f t="shared" ref="DU195:EG195" si="966">SUM(DU193:DU194)</f>
        <v>0</v>
      </c>
      <c r="DV195" s="1343">
        <f t="shared" si="966"/>
        <v>0</v>
      </c>
      <c r="DW195" s="1343">
        <f t="shared" si="966"/>
        <v>0</v>
      </c>
      <c r="DX195" s="1343">
        <f t="shared" si="966"/>
        <v>0</v>
      </c>
      <c r="DY195" s="1343">
        <f t="shared" si="966"/>
        <v>0</v>
      </c>
      <c r="DZ195" s="1343">
        <f t="shared" si="966"/>
        <v>0</v>
      </c>
      <c r="EA195" s="1343">
        <f t="shared" si="966"/>
        <v>0</v>
      </c>
      <c r="EB195" s="1343">
        <f t="shared" si="966"/>
        <v>0</v>
      </c>
      <c r="EC195" s="1343">
        <f t="shared" si="966"/>
        <v>0</v>
      </c>
      <c r="ED195" s="1343">
        <f t="shared" si="966"/>
        <v>0</v>
      </c>
      <c r="EE195" s="1343">
        <f t="shared" si="966"/>
        <v>0</v>
      </c>
      <c r="EF195" s="1343">
        <f t="shared" si="966"/>
        <v>0</v>
      </c>
      <c r="EG195" s="1343">
        <f t="shared" si="966"/>
        <v>0</v>
      </c>
      <c r="EI195" s="2424"/>
      <c r="EJ195" s="3322"/>
      <c r="EK195" s="369" t="s">
        <v>239</v>
      </c>
      <c r="EL195" s="370">
        <f t="shared" ref="EL195:ER195" si="967">SUM(EL193:EL194)</f>
        <v>0</v>
      </c>
      <c r="EM195" s="370">
        <f t="shared" si="967"/>
        <v>0</v>
      </c>
      <c r="EN195" s="370">
        <f t="shared" si="967"/>
        <v>0</v>
      </c>
      <c r="EO195" s="370">
        <f t="shared" si="967"/>
        <v>0</v>
      </c>
      <c r="EP195" s="370">
        <f t="shared" si="967"/>
        <v>0</v>
      </c>
      <c r="EQ195" s="370">
        <f t="shared" si="967"/>
        <v>0</v>
      </c>
      <c r="ER195" s="371">
        <f t="shared" si="967"/>
        <v>0</v>
      </c>
      <c r="ES195" s="13">
        <f>SUM(EL195:EQ195)</f>
        <v>0</v>
      </c>
      <c r="ET195" s="6"/>
      <c r="EU195" s="9"/>
      <c r="EV195" s="388">
        <f t="shared" ref="EV195:FA195" si="968">SUM(EV193:EV194)</f>
        <v>0</v>
      </c>
      <c r="EW195" s="370">
        <f t="shared" si="968"/>
        <v>0</v>
      </c>
      <c r="EX195" s="370">
        <f t="shared" si="968"/>
        <v>0</v>
      </c>
      <c r="EY195" s="370">
        <f t="shared" si="968"/>
        <v>0</v>
      </c>
      <c r="EZ195" s="370">
        <f t="shared" si="968"/>
        <v>0</v>
      </c>
      <c r="FA195" s="370">
        <f t="shared" si="968"/>
        <v>0</v>
      </c>
      <c r="FB195" s="389">
        <f t="shared" si="904"/>
        <v>0</v>
      </c>
      <c r="FC195" s="1"/>
      <c r="FD195" s="388">
        <f t="shared" ref="FD195:FI195" si="969">SUM(FD193:FD194)</f>
        <v>0</v>
      </c>
      <c r="FE195" s="370">
        <f t="shared" si="969"/>
        <v>0</v>
      </c>
      <c r="FF195" s="370">
        <f t="shared" si="969"/>
        <v>0</v>
      </c>
      <c r="FG195" s="370">
        <f t="shared" si="969"/>
        <v>0</v>
      </c>
      <c r="FH195" s="370">
        <f t="shared" si="969"/>
        <v>0</v>
      </c>
      <c r="FI195" s="370">
        <f t="shared" si="969"/>
        <v>0</v>
      </c>
      <c r="FJ195" s="389">
        <f t="shared" si="905"/>
        <v>0</v>
      </c>
      <c r="FL195" s="388">
        <f t="shared" ref="FL195:FQ195" si="970">SUM(FL193:FL194)</f>
        <v>0</v>
      </c>
      <c r="FM195" s="370">
        <f t="shared" si="970"/>
        <v>0</v>
      </c>
      <c r="FN195" s="370">
        <f t="shared" si="970"/>
        <v>0</v>
      </c>
      <c r="FO195" s="370">
        <f t="shared" si="970"/>
        <v>0</v>
      </c>
      <c r="FP195" s="370">
        <f t="shared" si="970"/>
        <v>0</v>
      </c>
      <c r="FQ195" s="370">
        <f t="shared" si="970"/>
        <v>0</v>
      </c>
      <c r="FR195" s="389">
        <f t="shared" si="906"/>
        <v>0</v>
      </c>
      <c r="FT195" s="388">
        <f t="shared" ref="FT195:FY195" si="971">SUM(FT193:FT194)</f>
        <v>0</v>
      </c>
      <c r="FU195" s="370">
        <f t="shared" si="971"/>
        <v>0</v>
      </c>
      <c r="FV195" s="370">
        <f t="shared" si="971"/>
        <v>0</v>
      </c>
      <c r="FW195" s="370">
        <f t="shared" si="971"/>
        <v>0</v>
      </c>
      <c r="FX195" s="370">
        <f t="shared" si="971"/>
        <v>0</v>
      </c>
      <c r="FY195" s="370">
        <f t="shared" si="971"/>
        <v>0</v>
      </c>
      <c r="FZ195" s="389">
        <f t="shared" si="907"/>
        <v>0</v>
      </c>
      <c r="GB195" s="388">
        <f t="shared" ref="GB195:GG195" si="972">SUM(GB193:GB194)</f>
        <v>0</v>
      </c>
      <c r="GC195" s="370">
        <f t="shared" si="972"/>
        <v>0</v>
      </c>
      <c r="GD195" s="370">
        <f t="shared" si="972"/>
        <v>0</v>
      </c>
      <c r="GE195" s="370">
        <f t="shared" si="972"/>
        <v>0</v>
      </c>
      <c r="GF195" s="370">
        <f t="shared" si="972"/>
        <v>0</v>
      </c>
      <c r="GG195" s="370">
        <f t="shared" si="972"/>
        <v>0</v>
      </c>
      <c r="GH195" s="389">
        <f t="shared" si="908"/>
        <v>0</v>
      </c>
      <c r="GJ195" s="388">
        <f t="shared" ref="GJ195:GO195" si="973">SUM(GJ193:GJ194)</f>
        <v>0</v>
      </c>
      <c r="GK195" s="370">
        <f t="shared" si="973"/>
        <v>0</v>
      </c>
      <c r="GL195" s="370">
        <f t="shared" si="973"/>
        <v>0</v>
      </c>
      <c r="GM195" s="370">
        <f t="shared" si="973"/>
        <v>0</v>
      </c>
      <c r="GN195" s="370">
        <f t="shared" si="973"/>
        <v>0</v>
      </c>
      <c r="GO195" s="370">
        <f t="shared" si="973"/>
        <v>0</v>
      </c>
      <c r="GP195" s="389">
        <f t="shared" si="909"/>
        <v>0</v>
      </c>
      <c r="GR195" s="388">
        <f t="shared" ref="GR195:GW195" si="974">SUM(GR193:GR194)</f>
        <v>0</v>
      </c>
      <c r="GS195" s="370">
        <f t="shared" si="974"/>
        <v>0</v>
      </c>
      <c r="GT195" s="370">
        <f t="shared" si="974"/>
        <v>0</v>
      </c>
      <c r="GU195" s="370">
        <f t="shared" si="974"/>
        <v>0</v>
      </c>
      <c r="GV195" s="370">
        <f t="shared" si="974"/>
        <v>0</v>
      </c>
      <c r="GW195" s="370">
        <f t="shared" si="974"/>
        <v>0</v>
      </c>
      <c r="GX195" s="1103">
        <f t="shared" si="910"/>
        <v>0</v>
      </c>
      <c r="GZ195" s="579">
        <f t="shared" si="867"/>
        <v>0</v>
      </c>
      <c r="HA195" s="579">
        <f t="shared" si="868"/>
        <v>0</v>
      </c>
      <c r="HB195" s="579">
        <f t="shared" si="869"/>
        <v>0</v>
      </c>
      <c r="HC195" s="579">
        <f t="shared" si="870"/>
        <v>0</v>
      </c>
      <c r="HD195" s="579">
        <f t="shared" si="871"/>
        <v>0</v>
      </c>
      <c r="HE195" s="579">
        <f t="shared" si="872"/>
        <v>0</v>
      </c>
      <c r="HF195" s="579">
        <f t="shared" si="873"/>
        <v>0</v>
      </c>
      <c r="HG195" s="580">
        <f t="shared" si="874"/>
        <v>0</v>
      </c>
      <c r="HH195" s="257"/>
    </row>
    <row r="196" spans="1:216" ht="15" hidden="1" customHeight="1" x14ac:dyDescent="0.25">
      <c r="A196" s="2424"/>
      <c r="B196" s="3230">
        <f>'DATA INPUT'!B112</f>
        <v>0</v>
      </c>
      <c r="C196" s="357" t="s">
        <v>1033</v>
      </c>
      <c r="D196" s="358">
        <f>IF('DATA INPUT'!I112&gt;0,IF('DATA INPUT'!I112&lt;=50000,'DATA INPUT'!I112,50000),0)</f>
        <v>0</v>
      </c>
      <c r="E196" s="358">
        <f>IF('DATA INPUT'!J112&gt;0,IF(SUM($D196:D196)&lt;50000,MIN('DATA INPUT'!J112,50000-SUM($D196:D196)),0),0)</f>
        <v>0</v>
      </c>
      <c r="F196" s="358">
        <f>IF('DATA INPUT'!K112&gt;0,IF(SUM($D196:E196)&lt;50000,MIN('DATA INPUT'!K112,50000-SUM($D196:E196)),0),0)</f>
        <v>0</v>
      </c>
      <c r="G196" s="358">
        <f>IF('DATA INPUT'!L112&gt;0,IF(SUM($D196:F196)&lt;50000,MIN('DATA INPUT'!L112,50000-SUM($D196:F196)),0),0)</f>
        <v>0</v>
      </c>
      <c r="H196" s="358">
        <f>IF('DATA INPUT'!M112&gt;0,IF(SUM($D196:G196)&lt;50000,MIN('DATA INPUT'!M112,50000-SUM($D196:G196)),0),0)</f>
        <v>0</v>
      </c>
      <c r="I196" s="358">
        <f>IF('DATA INPUT'!N112&gt;0,IF(SUM($D196:H196)&lt;50000,MIN('DATA INPUT'!N112,50000-SUM($D196:H196)),0),0)</f>
        <v>0</v>
      </c>
      <c r="J196" s="152">
        <f>SUM(D196:I196)</f>
        <v>0</v>
      </c>
      <c r="K196" s="6"/>
      <c r="L196" s="9"/>
      <c r="M196" s="6"/>
      <c r="N196" s="390"/>
      <c r="O196" s="358"/>
      <c r="P196" s="358"/>
      <c r="Q196" s="358"/>
      <c r="R196" s="358"/>
      <c r="S196" s="358"/>
      <c r="T196" s="166">
        <f t="shared" si="895"/>
        <v>0</v>
      </c>
      <c r="U196" s="1"/>
      <c r="V196" s="390"/>
      <c r="W196" s="358"/>
      <c r="X196" s="358"/>
      <c r="Y196" s="358"/>
      <c r="Z196" s="358"/>
      <c r="AA196" s="358"/>
      <c r="AB196" s="140">
        <f t="shared" si="896"/>
        <v>0</v>
      </c>
      <c r="AD196" s="390"/>
      <c r="AE196" s="358"/>
      <c r="AF196" s="358"/>
      <c r="AG196" s="358"/>
      <c r="AH196" s="358"/>
      <c r="AI196" s="358"/>
      <c r="AJ196" s="208">
        <f t="shared" si="897"/>
        <v>0</v>
      </c>
      <c r="AL196" s="390"/>
      <c r="AM196" s="358"/>
      <c r="AN196" s="358"/>
      <c r="AO196" s="358"/>
      <c r="AP196" s="358"/>
      <c r="AQ196" s="358"/>
      <c r="AR196" s="180">
        <f t="shared" si="898"/>
        <v>0</v>
      </c>
      <c r="AT196" s="390"/>
      <c r="AU196" s="358"/>
      <c r="AV196" s="358"/>
      <c r="AW196" s="358"/>
      <c r="AX196" s="358"/>
      <c r="AY196" s="358"/>
      <c r="AZ196" s="152">
        <f t="shared" si="899"/>
        <v>0</v>
      </c>
      <c r="BB196" s="390"/>
      <c r="BC196" s="358"/>
      <c r="BD196" s="358"/>
      <c r="BE196" s="358"/>
      <c r="BF196" s="358"/>
      <c r="BG196" s="358"/>
      <c r="BH196" s="194">
        <f t="shared" si="900"/>
        <v>0</v>
      </c>
      <c r="BJ196" s="390"/>
      <c r="BK196" s="358"/>
      <c r="BL196" s="358"/>
      <c r="BM196" s="358"/>
      <c r="BN196" s="358"/>
      <c r="BO196" s="358"/>
      <c r="BP196" s="1104">
        <f t="shared" si="901"/>
        <v>0</v>
      </c>
      <c r="BR196" s="575">
        <f t="shared" si="844"/>
        <v>0</v>
      </c>
      <c r="BS196" s="575">
        <f t="shared" si="845"/>
        <v>0</v>
      </c>
      <c r="BT196" s="575">
        <f t="shared" si="846"/>
        <v>0</v>
      </c>
      <c r="BU196" s="575">
        <f t="shared" si="847"/>
        <v>0</v>
      </c>
      <c r="BV196" s="575">
        <f t="shared" si="848"/>
        <v>0</v>
      </c>
      <c r="BW196" s="575">
        <f t="shared" si="849"/>
        <v>0</v>
      </c>
      <c r="BX196" s="991">
        <f t="shared" si="850"/>
        <v>0</v>
      </c>
      <c r="BY196" s="573">
        <f t="shared" si="851"/>
        <v>0</v>
      </c>
      <c r="BZ196" s="257"/>
      <c r="CB196" s="1339">
        <f>D196</f>
        <v>0</v>
      </c>
      <c r="CC196" s="1170">
        <f>E196</f>
        <v>0</v>
      </c>
      <c r="CD196" s="1171"/>
      <c r="CE196" s="1171"/>
      <c r="CF196" s="1171"/>
      <c r="CG196" s="1172"/>
      <c r="CH196" s="1289">
        <f>$F196</f>
        <v>0</v>
      </c>
      <c r="CI196" s="1174"/>
      <c r="CJ196" s="1174"/>
      <c r="CK196" s="1174"/>
      <c r="CL196" s="1175"/>
      <c r="CM196" s="1176">
        <f>$G196</f>
        <v>0</v>
      </c>
      <c r="CN196" s="1290"/>
      <c r="CO196" s="1178"/>
      <c r="CP196" s="1179">
        <f>SUM(CB196:CO196)</f>
        <v>0</v>
      </c>
      <c r="CS196" s="390"/>
      <c r="CT196" s="358"/>
      <c r="CU196" s="1346"/>
      <c r="CV196" s="390"/>
      <c r="CW196" s="358"/>
      <c r="CX196" s="1346"/>
      <c r="CY196" s="390"/>
      <c r="CZ196" s="358"/>
      <c r="DA196" s="1346"/>
      <c r="DB196" s="390"/>
      <c r="DC196" s="358"/>
      <c r="DD196" s="1346"/>
      <c r="DE196" s="1065">
        <f>SUM(CS196:DD196)</f>
        <v>0</v>
      </c>
      <c r="DG196" s="390"/>
      <c r="DH196" s="358"/>
      <c r="DI196" s="1346"/>
      <c r="DJ196" s="390"/>
      <c r="DK196" s="358"/>
      <c r="DL196" s="1346"/>
      <c r="DM196" s="390"/>
      <c r="DN196" s="358"/>
      <c r="DO196" s="1346"/>
      <c r="DP196" s="390"/>
      <c r="DQ196" s="358"/>
      <c r="DR196" s="1346"/>
      <c r="DS196" s="1065">
        <f>SUM(DG196:DR196)</f>
        <v>0</v>
      </c>
      <c r="DU196" s="390"/>
      <c r="DV196" s="358"/>
      <c r="DW196" s="1346"/>
      <c r="DX196" s="390"/>
      <c r="DY196" s="358"/>
      <c r="DZ196" s="1346"/>
      <c r="EA196" s="390"/>
      <c r="EB196" s="358"/>
      <c r="EC196" s="1346"/>
      <c r="ED196" s="390"/>
      <c r="EE196" s="358"/>
      <c r="EF196" s="1346"/>
      <c r="EG196" s="1065">
        <f>SUM(DU196:EF196)</f>
        <v>0</v>
      </c>
      <c r="EI196" s="2424"/>
      <c r="EJ196" s="3230">
        <f>B196</f>
        <v>0</v>
      </c>
      <c r="EK196" s="357" t="s">
        <v>1033</v>
      </c>
      <c r="EL196" s="358">
        <f t="shared" ref="EL196:EQ197" si="975">ROUND(D196,0)</f>
        <v>0</v>
      </c>
      <c r="EM196" s="358">
        <f t="shared" si="975"/>
        <v>0</v>
      </c>
      <c r="EN196" s="358">
        <f t="shared" si="975"/>
        <v>0</v>
      </c>
      <c r="EO196" s="358">
        <f t="shared" si="975"/>
        <v>0</v>
      </c>
      <c r="EP196" s="358">
        <f t="shared" si="975"/>
        <v>0</v>
      </c>
      <c r="EQ196" s="358">
        <f t="shared" si="975"/>
        <v>0</v>
      </c>
      <c r="ER196" s="152">
        <f>SUM(EL196:EQ196)</f>
        <v>0</v>
      </c>
      <c r="ES196" s="6"/>
      <c r="ET196" s="9"/>
      <c r="EU196" s="6"/>
      <c r="EV196" s="390">
        <f t="shared" ref="EV196:FA197" si="976">ROUND(N196,0)</f>
        <v>0</v>
      </c>
      <c r="EW196" s="358">
        <f t="shared" si="976"/>
        <v>0</v>
      </c>
      <c r="EX196" s="358">
        <f t="shared" si="976"/>
        <v>0</v>
      </c>
      <c r="EY196" s="358">
        <f t="shared" si="976"/>
        <v>0</v>
      </c>
      <c r="EZ196" s="358">
        <f t="shared" si="976"/>
        <v>0</v>
      </c>
      <c r="FA196" s="358">
        <f t="shared" si="976"/>
        <v>0</v>
      </c>
      <c r="FB196" s="166">
        <f t="shared" si="904"/>
        <v>0</v>
      </c>
      <c r="FC196" s="1"/>
      <c r="FD196" s="390"/>
      <c r="FE196" s="358"/>
      <c r="FF196" s="358"/>
      <c r="FG196" s="358"/>
      <c r="FH196" s="358"/>
      <c r="FI196" s="358"/>
      <c r="FJ196" s="140">
        <f t="shared" si="905"/>
        <v>0</v>
      </c>
      <c r="FL196" s="390"/>
      <c r="FM196" s="358"/>
      <c r="FN196" s="358"/>
      <c r="FO196" s="358"/>
      <c r="FP196" s="358"/>
      <c r="FQ196" s="358"/>
      <c r="FR196" s="208">
        <f t="shared" si="906"/>
        <v>0</v>
      </c>
      <c r="FT196" s="390"/>
      <c r="FU196" s="358"/>
      <c r="FV196" s="358"/>
      <c r="FW196" s="358"/>
      <c r="FX196" s="358"/>
      <c r="FY196" s="358"/>
      <c r="FZ196" s="180">
        <f t="shared" si="907"/>
        <v>0</v>
      </c>
      <c r="GB196" s="390"/>
      <c r="GC196" s="358"/>
      <c r="GD196" s="358"/>
      <c r="GE196" s="358"/>
      <c r="GF196" s="358"/>
      <c r="GG196" s="358"/>
      <c r="GH196" s="152">
        <f t="shared" si="908"/>
        <v>0</v>
      </c>
      <c r="GJ196" s="390"/>
      <c r="GK196" s="358"/>
      <c r="GL196" s="358"/>
      <c r="GM196" s="358"/>
      <c r="GN196" s="358"/>
      <c r="GO196" s="358"/>
      <c r="GP196" s="194">
        <f t="shared" si="909"/>
        <v>0</v>
      </c>
      <c r="GR196" s="390"/>
      <c r="GS196" s="358"/>
      <c r="GT196" s="358"/>
      <c r="GU196" s="358"/>
      <c r="GV196" s="358"/>
      <c r="GW196" s="358"/>
      <c r="GX196" s="1104">
        <f t="shared" si="910"/>
        <v>0</v>
      </c>
      <c r="GZ196" s="575">
        <f t="shared" si="867"/>
        <v>0</v>
      </c>
      <c r="HA196" s="575">
        <f t="shared" si="868"/>
        <v>0</v>
      </c>
      <c r="HB196" s="575">
        <f t="shared" si="869"/>
        <v>0</v>
      </c>
      <c r="HC196" s="575">
        <f t="shared" si="870"/>
        <v>0</v>
      </c>
      <c r="HD196" s="575">
        <f t="shared" si="871"/>
        <v>0</v>
      </c>
      <c r="HE196" s="575">
        <f t="shared" si="872"/>
        <v>0</v>
      </c>
      <c r="HF196" s="991">
        <f t="shared" si="873"/>
        <v>0</v>
      </c>
      <c r="HG196" s="573">
        <f t="shared" si="874"/>
        <v>0</v>
      </c>
      <c r="HH196" s="257"/>
    </row>
    <row r="197" spans="1:216" ht="15" hidden="1" customHeight="1" thickBot="1" x14ac:dyDescent="0.3">
      <c r="A197" s="2424"/>
      <c r="B197" s="3231"/>
      <c r="C197" s="368" t="s">
        <v>224</v>
      </c>
      <c r="D197" s="55">
        <f>IF('DATA INPUT'!I112&gt;50000,'DATA INPUT'!I112-D196,0)</f>
        <v>0</v>
      </c>
      <c r="E197" s="55">
        <f>IF('DATA INPUT'!J112&gt;E196,'DATA INPUT'!J112-E196,0)</f>
        <v>0</v>
      </c>
      <c r="F197" s="55">
        <f>IF('DATA INPUT'!K112&gt;F196,'DATA INPUT'!K112-F196,0)</f>
        <v>0</v>
      </c>
      <c r="G197" s="55">
        <f>IF('DATA INPUT'!L112&gt;G196,'DATA INPUT'!L112-G196,0)</f>
        <v>0</v>
      </c>
      <c r="H197" s="55">
        <f>IF('DATA INPUT'!M112&gt;H196,'DATA INPUT'!M112-H196,0)</f>
        <v>0</v>
      </c>
      <c r="I197" s="55">
        <f>IF('DATA INPUT'!N112&gt;I196,'DATA INPUT'!N112-I196,0)</f>
        <v>0</v>
      </c>
      <c r="J197" s="150">
        <f>SUM(D197:I197)</f>
        <v>0</v>
      </c>
      <c r="K197" s="9"/>
      <c r="L197" s="9"/>
      <c r="M197" s="9"/>
      <c r="N197" s="391"/>
      <c r="O197" s="55"/>
      <c r="P197" s="55"/>
      <c r="Q197" s="55"/>
      <c r="R197" s="55"/>
      <c r="S197" s="55"/>
      <c r="T197" s="164">
        <f t="shared" si="895"/>
        <v>0</v>
      </c>
      <c r="U197" s="1"/>
      <c r="V197" s="391"/>
      <c r="W197" s="55"/>
      <c r="X197" s="55"/>
      <c r="Y197" s="55"/>
      <c r="Z197" s="55"/>
      <c r="AA197" s="55"/>
      <c r="AB197" s="138">
        <f t="shared" si="896"/>
        <v>0</v>
      </c>
      <c r="AD197" s="391"/>
      <c r="AE197" s="55"/>
      <c r="AF197" s="55"/>
      <c r="AG197" s="55"/>
      <c r="AH197" s="55"/>
      <c r="AI197" s="55"/>
      <c r="AJ197" s="206">
        <f t="shared" si="897"/>
        <v>0</v>
      </c>
      <c r="AL197" s="391"/>
      <c r="AM197" s="55"/>
      <c r="AN197" s="55"/>
      <c r="AO197" s="55"/>
      <c r="AP197" s="55"/>
      <c r="AQ197" s="55"/>
      <c r="AR197" s="178">
        <f t="shared" si="898"/>
        <v>0</v>
      </c>
      <c r="AT197" s="391"/>
      <c r="AU197" s="55"/>
      <c r="AV197" s="55"/>
      <c r="AW197" s="55"/>
      <c r="AX197" s="55"/>
      <c r="AY197" s="55"/>
      <c r="AZ197" s="150">
        <f t="shared" si="899"/>
        <v>0</v>
      </c>
      <c r="BB197" s="391"/>
      <c r="BC197" s="55"/>
      <c r="BD197" s="55"/>
      <c r="BE197" s="55"/>
      <c r="BF197" s="55"/>
      <c r="BG197" s="55"/>
      <c r="BH197" s="192">
        <f t="shared" si="900"/>
        <v>0</v>
      </c>
      <c r="BJ197" s="391"/>
      <c r="BK197" s="55"/>
      <c r="BL197" s="55"/>
      <c r="BM197" s="55"/>
      <c r="BN197" s="55"/>
      <c r="BO197" s="55"/>
      <c r="BP197" s="1102">
        <f t="shared" si="901"/>
        <v>0</v>
      </c>
      <c r="BR197" s="575">
        <f t="shared" si="844"/>
        <v>0</v>
      </c>
      <c r="BS197" s="575">
        <f t="shared" si="845"/>
        <v>0</v>
      </c>
      <c r="BT197" s="575">
        <f t="shared" si="846"/>
        <v>0</v>
      </c>
      <c r="BU197" s="575">
        <f t="shared" si="847"/>
        <v>0</v>
      </c>
      <c r="BV197" s="575">
        <f t="shared" si="848"/>
        <v>0</v>
      </c>
      <c r="BW197" s="575">
        <f t="shared" si="849"/>
        <v>0</v>
      </c>
      <c r="BX197" s="991">
        <f t="shared" si="850"/>
        <v>0</v>
      </c>
      <c r="BY197" s="573">
        <f t="shared" si="851"/>
        <v>0</v>
      </c>
      <c r="BZ197" s="257"/>
      <c r="CB197" s="1323">
        <f>D197</f>
        <v>0</v>
      </c>
      <c r="CC197" s="1324">
        <f>E197</f>
        <v>0</v>
      </c>
      <c r="CD197" s="1325"/>
      <c r="CE197" s="1325"/>
      <c r="CF197" s="1325"/>
      <c r="CG197" s="1326"/>
      <c r="CH197" s="1331">
        <f>$F197</f>
        <v>0</v>
      </c>
      <c r="CI197" s="1332"/>
      <c r="CJ197" s="1332"/>
      <c r="CK197" s="1332"/>
      <c r="CL197" s="1333"/>
      <c r="CM197" s="1334">
        <f>$G197</f>
        <v>0</v>
      </c>
      <c r="CN197" s="1335"/>
      <c r="CO197" s="1336"/>
      <c r="CP197" s="1228">
        <f>SUM(CB197:CO197)</f>
        <v>0</v>
      </c>
      <c r="CS197" s="391"/>
      <c r="CT197" s="55"/>
      <c r="CU197" s="1347"/>
      <c r="CV197" s="391"/>
      <c r="CW197" s="55"/>
      <c r="CX197" s="1347"/>
      <c r="CY197" s="391"/>
      <c r="CZ197" s="55"/>
      <c r="DA197" s="1347"/>
      <c r="DB197" s="391"/>
      <c r="DC197" s="55"/>
      <c r="DD197" s="1347"/>
      <c r="DE197" s="1181">
        <f>SUM(CS197:DD197)</f>
        <v>0</v>
      </c>
      <c r="DG197" s="391"/>
      <c r="DH197" s="55"/>
      <c r="DI197" s="1347"/>
      <c r="DJ197" s="391"/>
      <c r="DK197" s="55"/>
      <c r="DL197" s="1347"/>
      <c r="DM197" s="391"/>
      <c r="DN197" s="55"/>
      <c r="DO197" s="1347"/>
      <c r="DP197" s="391"/>
      <c r="DQ197" s="55"/>
      <c r="DR197" s="1347"/>
      <c r="DS197" s="1181">
        <f>SUM(DG197:DR197)</f>
        <v>0</v>
      </c>
      <c r="DU197" s="391"/>
      <c r="DV197" s="55"/>
      <c r="DW197" s="1347"/>
      <c r="DX197" s="391"/>
      <c r="DY197" s="55"/>
      <c r="DZ197" s="1347"/>
      <c r="EA197" s="391"/>
      <c r="EB197" s="55"/>
      <c r="EC197" s="1347"/>
      <c r="ED197" s="391"/>
      <c r="EE197" s="55"/>
      <c r="EF197" s="1347"/>
      <c r="EG197" s="1181">
        <f>SUM(DU197:EF197)</f>
        <v>0</v>
      </c>
      <c r="EI197" s="2424"/>
      <c r="EJ197" s="3231"/>
      <c r="EK197" s="368" t="s">
        <v>224</v>
      </c>
      <c r="EL197" s="55">
        <f t="shared" si="975"/>
        <v>0</v>
      </c>
      <c r="EM197" s="55">
        <f t="shared" si="975"/>
        <v>0</v>
      </c>
      <c r="EN197" s="55">
        <f t="shared" si="975"/>
        <v>0</v>
      </c>
      <c r="EO197" s="55">
        <f t="shared" si="975"/>
        <v>0</v>
      </c>
      <c r="EP197" s="55">
        <f t="shared" si="975"/>
        <v>0</v>
      </c>
      <c r="EQ197" s="55">
        <f t="shared" si="975"/>
        <v>0</v>
      </c>
      <c r="ER197" s="150">
        <f>SUM(EL197:EQ197)</f>
        <v>0</v>
      </c>
      <c r="ES197" s="9"/>
      <c r="ET197" s="9"/>
      <c r="EU197" s="9"/>
      <c r="EV197" s="391">
        <f t="shared" si="976"/>
        <v>0</v>
      </c>
      <c r="EW197" s="55">
        <f t="shared" si="976"/>
        <v>0</v>
      </c>
      <c r="EX197" s="55">
        <f t="shared" si="976"/>
        <v>0</v>
      </c>
      <c r="EY197" s="55">
        <f t="shared" si="976"/>
        <v>0</v>
      </c>
      <c r="EZ197" s="55">
        <f t="shared" si="976"/>
        <v>0</v>
      </c>
      <c r="FA197" s="55">
        <f t="shared" si="976"/>
        <v>0</v>
      </c>
      <c r="FB197" s="164">
        <f t="shared" si="904"/>
        <v>0</v>
      </c>
      <c r="FC197" s="1"/>
      <c r="FD197" s="391"/>
      <c r="FE197" s="55"/>
      <c r="FF197" s="55"/>
      <c r="FG197" s="55"/>
      <c r="FH197" s="55"/>
      <c r="FI197" s="55"/>
      <c r="FJ197" s="138">
        <f t="shared" si="905"/>
        <v>0</v>
      </c>
      <c r="FL197" s="391"/>
      <c r="FM197" s="55"/>
      <c r="FN197" s="55"/>
      <c r="FO197" s="55"/>
      <c r="FP197" s="55"/>
      <c r="FQ197" s="55"/>
      <c r="FR197" s="206">
        <f t="shared" si="906"/>
        <v>0</v>
      </c>
      <c r="FT197" s="391"/>
      <c r="FU197" s="55"/>
      <c r="FV197" s="55"/>
      <c r="FW197" s="55"/>
      <c r="FX197" s="55"/>
      <c r="FY197" s="55"/>
      <c r="FZ197" s="178">
        <f t="shared" si="907"/>
        <v>0</v>
      </c>
      <c r="GB197" s="391"/>
      <c r="GC197" s="55"/>
      <c r="GD197" s="55"/>
      <c r="GE197" s="55"/>
      <c r="GF197" s="55"/>
      <c r="GG197" s="55"/>
      <c r="GH197" s="150">
        <f t="shared" si="908"/>
        <v>0</v>
      </c>
      <c r="GJ197" s="391"/>
      <c r="GK197" s="55"/>
      <c r="GL197" s="55"/>
      <c r="GM197" s="55"/>
      <c r="GN197" s="55"/>
      <c r="GO197" s="55"/>
      <c r="GP197" s="192">
        <f t="shared" si="909"/>
        <v>0</v>
      </c>
      <c r="GR197" s="391"/>
      <c r="GS197" s="55"/>
      <c r="GT197" s="55"/>
      <c r="GU197" s="55"/>
      <c r="GV197" s="55"/>
      <c r="GW197" s="55"/>
      <c r="GX197" s="1102">
        <f t="shared" si="910"/>
        <v>0</v>
      </c>
      <c r="GZ197" s="575">
        <f t="shared" si="867"/>
        <v>0</v>
      </c>
      <c r="HA197" s="575">
        <f t="shared" si="868"/>
        <v>0</v>
      </c>
      <c r="HB197" s="575">
        <f t="shared" si="869"/>
        <v>0</v>
      </c>
      <c r="HC197" s="575">
        <f t="shared" si="870"/>
        <v>0</v>
      </c>
      <c r="HD197" s="575">
        <f t="shared" si="871"/>
        <v>0</v>
      </c>
      <c r="HE197" s="575">
        <f t="shared" si="872"/>
        <v>0</v>
      </c>
      <c r="HF197" s="991">
        <f t="shared" si="873"/>
        <v>0</v>
      </c>
      <c r="HG197" s="573">
        <f t="shared" si="874"/>
        <v>0</v>
      </c>
      <c r="HH197" s="257"/>
    </row>
    <row r="198" spans="1:216" ht="15" hidden="1" customHeight="1" thickBot="1" x14ac:dyDescent="0.3">
      <c r="A198" s="2424"/>
      <c r="B198" s="3232"/>
      <c r="C198" s="372" t="s">
        <v>239</v>
      </c>
      <c r="D198" s="373">
        <f t="shared" ref="D198:J198" si="977">SUM(D196:D197)</f>
        <v>0</v>
      </c>
      <c r="E198" s="373">
        <f t="shared" si="977"/>
        <v>0</v>
      </c>
      <c r="F198" s="373">
        <f t="shared" si="977"/>
        <v>0</v>
      </c>
      <c r="G198" s="373">
        <f t="shared" si="977"/>
        <v>0</v>
      </c>
      <c r="H198" s="373">
        <f t="shared" si="977"/>
        <v>0</v>
      </c>
      <c r="I198" s="373">
        <f t="shared" si="977"/>
        <v>0</v>
      </c>
      <c r="J198" s="374">
        <f t="shared" si="977"/>
        <v>0</v>
      </c>
      <c r="K198" s="13">
        <f>SUM(D198:I198)</f>
        <v>0</v>
      </c>
      <c r="L198" s="13"/>
      <c r="M198" s="9"/>
      <c r="N198" s="392">
        <f t="shared" ref="N198:S198" si="978">SUM(N196:N197)</f>
        <v>0</v>
      </c>
      <c r="O198" s="373">
        <f t="shared" si="978"/>
        <v>0</v>
      </c>
      <c r="P198" s="373">
        <f t="shared" si="978"/>
        <v>0</v>
      </c>
      <c r="Q198" s="373">
        <f t="shared" si="978"/>
        <v>0</v>
      </c>
      <c r="R198" s="373">
        <f t="shared" si="978"/>
        <v>0</v>
      </c>
      <c r="S198" s="373">
        <f t="shared" si="978"/>
        <v>0</v>
      </c>
      <c r="T198" s="393">
        <f t="shared" si="895"/>
        <v>0</v>
      </c>
      <c r="U198" s="1"/>
      <c r="V198" s="392">
        <f t="shared" ref="V198:AA198" si="979">SUM(V196:V197)</f>
        <v>0</v>
      </c>
      <c r="W198" s="373">
        <f t="shared" si="979"/>
        <v>0</v>
      </c>
      <c r="X198" s="373">
        <f t="shared" si="979"/>
        <v>0</v>
      </c>
      <c r="Y198" s="373">
        <f t="shared" si="979"/>
        <v>0</v>
      </c>
      <c r="Z198" s="373">
        <f t="shared" si="979"/>
        <v>0</v>
      </c>
      <c r="AA198" s="373">
        <f t="shared" si="979"/>
        <v>0</v>
      </c>
      <c r="AB198" s="393">
        <f t="shared" si="896"/>
        <v>0</v>
      </c>
      <c r="AD198" s="392">
        <f t="shared" ref="AD198:AI198" si="980">SUM(AD196:AD197)</f>
        <v>0</v>
      </c>
      <c r="AE198" s="373">
        <f t="shared" si="980"/>
        <v>0</v>
      </c>
      <c r="AF198" s="373">
        <f t="shared" si="980"/>
        <v>0</v>
      </c>
      <c r="AG198" s="373">
        <f t="shared" si="980"/>
        <v>0</v>
      </c>
      <c r="AH198" s="373">
        <f t="shared" si="980"/>
        <v>0</v>
      </c>
      <c r="AI198" s="373">
        <f t="shared" si="980"/>
        <v>0</v>
      </c>
      <c r="AJ198" s="393">
        <f t="shared" si="897"/>
        <v>0</v>
      </c>
      <c r="AL198" s="392">
        <f t="shared" ref="AL198:AQ198" si="981">SUM(AL196:AL197)</f>
        <v>0</v>
      </c>
      <c r="AM198" s="373">
        <f t="shared" si="981"/>
        <v>0</v>
      </c>
      <c r="AN198" s="373">
        <f t="shared" si="981"/>
        <v>0</v>
      </c>
      <c r="AO198" s="373">
        <f t="shared" si="981"/>
        <v>0</v>
      </c>
      <c r="AP198" s="373">
        <f t="shared" si="981"/>
        <v>0</v>
      </c>
      <c r="AQ198" s="373">
        <f t="shared" si="981"/>
        <v>0</v>
      </c>
      <c r="AR198" s="393">
        <f t="shared" si="898"/>
        <v>0</v>
      </c>
      <c r="AT198" s="392">
        <f t="shared" ref="AT198:AY198" si="982">SUM(AT196:AT197)</f>
        <v>0</v>
      </c>
      <c r="AU198" s="373">
        <f t="shared" si="982"/>
        <v>0</v>
      </c>
      <c r="AV198" s="373">
        <f t="shared" si="982"/>
        <v>0</v>
      </c>
      <c r="AW198" s="373">
        <f t="shared" si="982"/>
        <v>0</v>
      </c>
      <c r="AX198" s="373">
        <f t="shared" si="982"/>
        <v>0</v>
      </c>
      <c r="AY198" s="373">
        <f t="shared" si="982"/>
        <v>0</v>
      </c>
      <c r="AZ198" s="393">
        <f t="shared" si="899"/>
        <v>0</v>
      </c>
      <c r="BB198" s="392">
        <f t="shared" ref="BB198:BG198" si="983">SUM(BB196:BB197)</f>
        <v>0</v>
      </c>
      <c r="BC198" s="373">
        <f t="shared" si="983"/>
        <v>0</v>
      </c>
      <c r="BD198" s="373">
        <f t="shared" si="983"/>
        <v>0</v>
      </c>
      <c r="BE198" s="373">
        <f t="shared" si="983"/>
        <v>0</v>
      </c>
      <c r="BF198" s="373">
        <f t="shared" si="983"/>
        <v>0</v>
      </c>
      <c r="BG198" s="373">
        <f t="shared" si="983"/>
        <v>0</v>
      </c>
      <c r="BH198" s="393">
        <f t="shared" si="900"/>
        <v>0</v>
      </c>
      <c r="BJ198" s="392">
        <f t="shared" ref="BJ198:BO198" si="984">SUM(BJ196:BJ197)</f>
        <v>0</v>
      </c>
      <c r="BK198" s="373">
        <f t="shared" si="984"/>
        <v>0</v>
      </c>
      <c r="BL198" s="373">
        <f t="shared" si="984"/>
        <v>0</v>
      </c>
      <c r="BM198" s="373">
        <f t="shared" si="984"/>
        <v>0</v>
      </c>
      <c r="BN198" s="373">
        <f t="shared" si="984"/>
        <v>0</v>
      </c>
      <c r="BO198" s="373">
        <f t="shared" si="984"/>
        <v>0</v>
      </c>
      <c r="BP198" s="1103">
        <f t="shared" si="901"/>
        <v>0</v>
      </c>
      <c r="BR198" s="579">
        <f t="shared" si="844"/>
        <v>0</v>
      </c>
      <c r="BS198" s="579">
        <f t="shared" si="845"/>
        <v>0</v>
      </c>
      <c r="BT198" s="579">
        <f t="shared" si="846"/>
        <v>0</v>
      </c>
      <c r="BU198" s="579">
        <f t="shared" si="847"/>
        <v>0</v>
      </c>
      <c r="BV198" s="579">
        <f t="shared" si="848"/>
        <v>0</v>
      </c>
      <c r="BW198" s="579">
        <f t="shared" si="849"/>
        <v>0</v>
      </c>
      <c r="BX198" s="579">
        <f t="shared" si="850"/>
        <v>0</v>
      </c>
      <c r="BY198" s="580">
        <f t="shared" si="851"/>
        <v>0</v>
      </c>
      <c r="BZ198" s="257"/>
      <c r="CB198" s="1348">
        <f t="shared" ref="CB198:CP198" si="985">SUM(CB196:CB197)</f>
        <v>0</v>
      </c>
      <c r="CC198" s="1348">
        <f t="shared" si="985"/>
        <v>0</v>
      </c>
      <c r="CD198" s="1348">
        <f t="shared" si="985"/>
        <v>0</v>
      </c>
      <c r="CE198" s="1348">
        <f t="shared" si="985"/>
        <v>0</v>
      </c>
      <c r="CF198" s="1348">
        <f t="shared" si="985"/>
        <v>0</v>
      </c>
      <c r="CG198" s="1348">
        <f t="shared" si="985"/>
        <v>0</v>
      </c>
      <c r="CH198" s="1348">
        <f t="shared" si="985"/>
        <v>0</v>
      </c>
      <c r="CI198" s="1348">
        <f t="shared" si="985"/>
        <v>0</v>
      </c>
      <c r="CJ198" s="1348">
        <f t="shared" si="985"/>
        <v>0</v>
      </c>
      <c r="CK198" s="1348">
        <f t="shared" si="985"/>
        <v>0</v>
      </c>
      <c r="CL198" s="1348">
        <f t="shared" si="985"/>
        <v>0</v>
      </c>
      <c r="CM198" s="1348">
        <f t="shared" si="985"/>
        <v>0</v>
      </c>
      <c r="CN198" s="1348">
        <f t="shared" si="985"/>
        <v>0</v>
      </c>
      <c r="CO198" s="1348">
        <f t="shared" si="985"/>
        <v>0</v>
      </c>
      <c r="CP198" s="1348">
        <f t="shared" si="985"/>
        <v>0</v>
      </c>
      <c r="CS198" s="1348">
        <f t="shared" ref="CS198:DE198" si="986">SUM(CS196:CS197)</f>
        <v>0</v>
      </c>
      <c r="CT198" s="1348">
        <f t="shared" si="986"/>
        <v>0</v>
      </c>
      <c r="CU198" s="1348">
        <f t="shared" si="986"/>
        <v>0</v>
      </c>
      <c r="CV198" s="1348">
        <f t="shared" si="986"/>
        <v>0</v>
      </c>
      <c r="CW198" s="1348">
        <f t="shared" si="986"/>
        <v>0</v>
      </c>
      <c r="CX198" s="1348">
        <f t="shared" si="986"/>
        <v>0</v>
      </c>
      <c r="CY198" s="1348">
        <f t="shared" si="986"/>
        <v>0</v>
      </c>
      <c r="CZ198" s="1348">
        <f t="shared" si="986"/>
        <v>0</v>
      </c>
      <c r="DA198" s="1348">
        <f t="shared" si="986"/>
        <v>0</v>
      </c>
      <c r="DB198" s="1348">
        <f t="shared" si="986"/>
        <v>0</v>
      </c>
      <c r="DC198" s="1348">
        <f t="shared" si="986"/>
        <v>0</v>
      </c>
      <c r="DD198" s="1348">
        <f t="shared" si="986"/>
        <v>0</v>
      </c>
      <c r="DE198" s="1348">
        <f t="shared" si="986"/>
        <v>0</v>
      </c>
      <c r="DG198" s="1348">
        <f t="shared" ref="DG198:DS198" si="987">SUM(DG196:DG197)</f>
        <v>0</v>
      </c>
      <c r="DH198" s="1348">
        <f t="shared" si="987"/>
        <v>0</v>
      </c>
      <c r="DI198" s="1348">
        <f t="shared" si="987"/>
        <v>0</v>
      </c>
      <c r="DJ198" s="1348">
        <f t="shared" si="987"/>
        <v>0</v>
      </c>
      <c r="DK198" s="1348">
        <f t="shared" si="987"/>
        <v>0</v>
      </c>
      <c r="DL198" s="1348">
        <f t="shared" si="987"/>
        <v>0</v>
      </c>
      <c r="DM198" s="1348">
        <f t="shared" si="987"/>
        <v>0</v>
      </c>
      <c r="DN198" s="1348">
        <f t="shared" si="987"/>
        <v>0</v>
      </c>
      <c r="DO198" s="1348">
        <f t="shared" si="987"/>
        <v>0</v>
      </c>
      <c r="DP198" s="1348">
        <f t="shared" si="987"/>
        <v>0</v>
      </c>
      <c r="DQ198" s="1348">
        <f t="shared" si="987"/>
        <v>0</v>
      </c>
      <c r="DR198" s="1348">
        <f t="shared" si="987"/>
        <v>0</v>
      </c>
      <c r="DS198" s="1348">
        <f t="shared" si="987"/>
        <v>0</v>
      </c>
      <c r="DU198" s="1348">
        <f t="shared" ref="DU198:EG198" si="988">SUM(DU196:DU197)</f>
        <v>0</v>
      </c>
      <c r="DV198" s="1348">
        <f t="shared" si="988"/>
        <v>0</v>
      </c>
      <c r="DW198" s="1348">
        <f t="shared" si="988"/>
        <v>0</v>
      </c>
      <c r="DX198" s="1348">
        <f t="shared" si="988"/>
        <v>0</v>
      </c>
      <c r="DY198" s="1348">
        <f t="shared" si="988"/>
        <v>0</v>
      </c>
      <c r="DZ198" s="1348">
        <f t="shared" si="988"/>
        <v>0</v>
      </c>
      <c r="EA198" s="1348">
        <f t="shared" si="988"/>
        <v>0</v>
      </c>
      <c r="EB198" s="1348">
        <f t="shared" si="988"/>
        <v>0</v>
      </c>
      <c r="EC198" s="1348">
        <f t="shared" si="988"/>
        <v>0</v>
      </c>
      <c r="ED198" s="1348">
        <f t="shared" si="988"/>
        <v>0</v>
      </c>
      <c r="EE198" s="1348">
        <f t="shared" si="988"/>
        <v>0</v>
      </c>
      <c r="EF198" s="1348">
        <f t="shared" si="988"/>
        <v>0</v>
      </c>
      <c r="EG198" s="1348">
        <f t="shared" si="988"/>
        <v>0</v>
      </c>
      <c r="EI198" s="2424"/>
      <c r="EJ198" s="3232"/>
      <c r="EK198" s="372" t="s">
        <v>239</v>
      </c>
      <c r="EL198" s="373">
        <f t="shared" ref="EL198:ER198" si="989">SUM(EL196:EL197)</f>
        <v>0</v>
      </c>
      <c r="EM198" s="373">
        <f t="shared" si="989"/>
        <v>0</v>
      </c>
      <c r="EN198" s="373">
        <f t="shared" si="989"/>
        <v>0</v>
      </c>
      <c r="EO198" s="373">
        <f t="shared" si="989"/>
        <v>0</v>
      </c>
      <c r="EP198" s="373">
        <f t="shared" si="989"/>
        <v>0</v>
      </c>
      <c r="EQ198" s="373">
        <f t="shared" si="989"/>
        <v>0</v>
      </c>
      <c r="ER198" s="374">
        <f t="shared" si="989"/>
        <v>0</v>
      </c>
      <c r="ES198" s="13">
        <f>SUM(EL198:EQ198)</f>
        <v>0</v>
      </c>
      <c r="ET198" s="13"/>
      <c r="EU198" s="9"/>
      <c r="EV198" s="392">
        <f t="shared" ref="EV198:FA198" si="990">SUM(EV196:EV197)</f>
        <v>0</v>
      </c>
      <c r="EW198" s="373">
        <f t="shared" si="990"/>
        <v>0</v>
      </c>
      <c r="EX198" s="373">
        <f t="shared" si="990"/>
        <v>0</v>
      </c>
      <c r="EY198" s="373">
        <f t="shared" si="990"/>
        <v>0</v>
      </c>
      <c r="EZ198" s="373">
        <f t="shared" si="990"/>
        <v>0</v>
      </c>
      <c r="FA198" s="373">
        <f t="shared" si="990"/>
        <v>0</v>
      </c>
      <c r="FB198" s="393">
        <f t="shared" si="904"/>
        <v>0</v>
      </c>
      <c r="FC198" s="1"/>
      <c r="FD198" s="392">
        <f t="shared" ref="FD198:FI198" si="991">SUM(FD196:FD197)</f>
        <v>0</v>
      </c>
      <c r="FE198" s="373">
        <f t="shared" si="991"/>
        <v>0</v>
      </c>
      <c r="FF198" s="373">
        <f t="shared" si="991"/>
        <v>0</v>
      </c>
      <c r="FG198" s="373">
        <f t="shared" si="991"/>
        <v>0</v>
      </c>
      <c r="FH198" s="373">
        <f t="shared" si="991"/>
        <v>0</v>
      </c>
      <c r="FI198" s="373">
        <f t="shared" si="991"/>
        <v>0</v>
      </c>
      <c r="FJ198" s="393">
        <f t="shared" si="905"/>
        <v>0</v>
      </c>
      <c r="FL198" s="392">
        <f t="shared" ref="FL198:FQ198" si="992">SUM(FL196:FL197)</f>
        <v>0</v>
      </c>
      <c r="FM198" s="373">
        <f t="shared" si="992"/>
        <v>0</v>
      </c>
      <c r="FN198" s="373">
        <f t="shared" si="992"/>
        <v>0</v>
      </c>
      <c r="FO198" s="373">
        <f t="shared" si="992"/>
        <v>0</v>
      </c>
      <c r="FP198" s="373">
        <f t="shared" si="992"/>
        <v>0</v>
      </c>
      <c r="FQ198" s="373">
        <f t="shared" si="992"/>
        <v>0</v>
      </c>
      <c r="FR198" s="393">
        <f t="shared" si="906"/>
        <v>0</v>
      </c>
      <c r="FT198" s="392">
        <f t="shared" ref="FT198:FY198" si="993">SUM(FT196:FT197)</f>
        <v>0</v>
      </c>
      <c r="FU198" s="373">
        <f t="shared" si="993"/>
        <v>0</v>
      </c>
      <c r="FV198" s="373">
        <f t="shared" si="993"/>
        <v>0</v>
      </c>
      <c r="FW198" s="373">
        <f t="shared" si="993"/>
        <v>0</v>
      </c>
      <c r="FX198" s="373">
        <f t="shared" si="993"/>
        <v>0</v>
      </c>
      <c r="FY198" s="373">
        <f t="shared" si="993"/>
        <v>0</v>
      </c>
      <c r="FZ198" s="393">
        <f t="shared" si="907"/>
        <v>0</v>
      </c>
      <c r="GB198" s="392">
        <f t="shared" ref="GB198:GG198" si="994">SUM(GB196:GB197)</f>
        <v>0</v>
      </c>
      <c r="GC198" s="373">
        <f t="shared" si="994"/>
        <v>0</v>
      </c>
      <c r="GD198" s="373">
        <f t="shared" si="994"/>
        <v>0</v>
      </c>
      <c r="GE198" s="373">
        <f t="shared" si="994"/>
        <v>0</v>
      </c>
      <c r="GF198" s="373">
        <f t="shared" si="994"/>
        <v>0</v>
      </c>
      <c r="GG198" s="373">
        <f t="shared" si="994"/>
        <v>0</v>
      </c>
      <c r="GH198" s="393">
        <f t="shared" si="908"/>
        <v>0</v>
      </c>
      <c r="GJ198" s="392">
        <f t="shared" ref="GJ198:GO198" si="995">SUM(GJ196:GJ197)</f>
        <v>0</v>
      </c>
      <c r="GK198" s="373">
        <f t="shared" si="995"/>
        <v>0</v>
      </c>
      <c r="GL198" s="373">
        <f t="shared" si="995"/>
        <v>0</v>
      </c>
      <c r="GM198" s="373">
        <f t="shared" si="995"/>
        <v>0</v>
      </c>
      <c r="GN198" s="373">
        <f t="shared" si="995"/>
        <v>0</v>
      </c>
      <c r="GO198" s="373">
        <f t="shared" si="995"/>
        <v>0</v>
      </c>
      <c r="GP198" s="393">
        <f t="shared" si="909"/>
        <v>0</v>
      </c>
      <c r="GR198" s="392">
        <f t="shared" ref="GR198:GW198" si="996">SUM(GR196:GR197)</f>
        <v>0</v>
      </c>
      <c r="GS198" s="373">
        <f t="shared" si="996"/>
        <v>0</v>
      </c>
      <c r="GT198" s="373">
        <f t="shared" si="996"/>
        <v>0</v>
      </c>
      <c r="GU198" s="373">
        <f t="shared" si="996"/>
        <v>0</v>
      </c>
      <c r="GV198" s="373">
        <f t="shared" si="996"/>
        <v>0</v>
      </c>
      <c r="GW198" s="373">
        <f t="shared" si="996"/>
        <v>0</v>
      </c>
      <c r="GX198" s="1103">
        <f t="shared" si="910"/>
        <v>0</v>
      </c>
      <c r="GZ198" s="579">
        <f t="shared" si="867"/>
        <v>0</v>
      </c>
      <c r="HA198" s="579">
        <f t="shared" si="868"/>
        <v>0</v>
      </c>
      <c r="HB198" s="579">
        <f t="shared" si="869"/>
        <v>0</v>
      </c>
      <c r="HC198" s="579">
        <f t="shared" si="870"/>
        <v>0</v>
      </c>
      <c r="HD198" s="579">
        <f t="shared" si="871"/>
        <v>0</v>
      </c>
      <c r="HE198" s="579">
        <f t="shared" si="872"/>
        <v>0</v>
      </c>
      <c r="HF198" s="579">
        <f t="shared" si="873"/>
        <v>0</v>
      </c>
      <c r="HG198" s="580">
        <f t="shared" si="874"/>
        <v>0</v>
      </c>
      <c r="HH198" s="257"/>
    </row>
    <row r="199" spans="1:216" ht="15" hidden="1" customHeight="1" x14ac:dyDescent="0.25">
      <c r="A199" s="2424"/>
      <c r="B199" s="3320">
        <f>'DATA INPUT'!B113</f>
        <v>0</v>
      </c>
      <c r="C199" s="359" t="s">
        <v>1033</v>
      </c>
      <c r="D199" s="360">
        <f>IF('DATA INPUT'!I113&gt;0,IF('DATA INPUT'!I113&lt;=50000,'DATA INPUT'!I113,50000),0)</f>
        <v>0</v>
      </c>
      <c r="E199" s="360">
        <f>IF('DATA INPUT'!J113&gt;0,IF(SUM($D199:D199)&lt;50000,MIN('DATA INPUT'!J113,50000-SUM($D199:D199)),0),0)</f>
        <v>0</v>
      </c>
      <c r="F199" s="360">
        <f>IF('DATA INPUT'!K113&gt;0,IF(SUM($D199:E199)&lt;50000,MIN('DATA INPUT'!K113,50000-SUM($D199:E199)),0),0)</f>
        <v>0</v>
      </c>
      <c r="G199" s="360">
        <f>IF('DATA INPUT'!L113&gt;0,IF(SUM($D199:F199)&lt;50000,MIN('DATA INPUT'!L113,50000-SUM($D199:F199)),0),0)</f>
        <v>0</v>
      </c>
      <c r="H199" s="360">
        <f>IF('DATA INPUT'!M113&gt;0,IF(SUM($D199:G199)&lt;50000,MIN('DATA INPUT'!M113,50000-SUM($D199:G199)),0),0)</f>
        <v>0</v>
      </c>
      <c r="I199" s="360">
        <f>IF('DATA INPUT'!N113&gt;0,IF(SUM($D199:H199)&lt;50000,MIN('DATA INPUT'!N113,50000-SUM($D199:H199)),0),0)</f>
        <v>0</v>
      </c>
      <c r="J199" s="180">
        <f>SUM(D199:I199)</f>
        <v>0</v>
      </c>
      <c r="K199" s="6"/>
      <c r="L199" s="9"/>
      <c r="M199" s="6"/>
      <c r="N199" s="386"/>
      <c r="O199" s="360"/>
      <c r="P199" s="360"/>
      <c r="Q199" s="360"/>
      <c r="R199" s="360"/>
      <c r="S199" s="360"/>
      <c r="T199" s="166">
        <f t="shared" si="895"/>
        <v>0</v>
      </c>
      <c r="U199" s="1"/>
      <c r="V199" s="386"/>
      <c r="W199" s="360"/>
      <c r="X199" s="360"/>
      <c r="Y199" s="360"/>
      <c r="Z199" s="360"/>
      <c r="AA199" s="360"/>
      <c r="AB199" s="140">
        <f t="shared" si="896"/>
        <v>0</v>
      </c>
      <c r="AD199" s="386"/>
      <c r="AE199" s="360"/>
      <c r="AF199" s="360"/>
      <c r="AG199" s="360"/>
      <c r="AH199" s="360"/>
      <c r="AI199" s="360"/>
      <c r="AJ199" s="208">
        <f t="shared" si="897"/>
        <v>0</v>
      </c>
      <c r="AL199" s="386"/>
      <c r="AM199" s="360"/>
      <c r="AN199" s="360"/>
      <c r="AO199" s="360"/>
      <c r="AP199" s="360"/>
      <c r="AQ199" s="360"/>
      <c r="AR199" s="180">
        <f t="shared" si="898"/>
        <v>0</v>
      </c>
      <c r="AT199" s="386"/>
      <c r="AU199" s="360"/>
      <c r="AV199" s="360"/>
      <c r="AW199" s="360"/>
      <c r="AX199" s="360"/>
      <c r="AY199" s="360"/>
      <c r="AZ199" s="152">
        <f t="shared" si="899"/>
        <v>0</v>
      </c>
      <c r="BB199" s="386"/>
      <c r="BC199" s="360"/>
      <c r="BD199" s="360"/>
      <c r="BE199" s="360"/>
      <c r="BF199" s="360"/>
      <c r="BG199" s="360"/>
      <c r="BH199" s="194">
        <f t="shared" si="900"/>
        <v>0</v>
      </c>
      <c r="BJ199" s="386"/>
      <c r="BK199" s="360"/>
      <c r="BL199" s="360"/>
      <c r="BM199" s="360"/>
      <c r="BN199" s="360"/>
      <c r="BO199" s="360"/>
      <c r="BP199" s="1104">
        <f t="shared" si="901"/>
        <v>0</v>
      </c>
      <c r="BR199" s="575">
        <f t="shared" si="844"/>
        <v>0</v>
      </c>
      <c r="BS199" s="575">
        <f t="shared" si="845"/>
        <v>0</v>
      </c>
      <c r="BT199" s="575">
        <f t="shared" si="846"/>
        <v>0</v>
      </c>
      <c r="BU199" s="575">
        <f t="shared" si="847"/>
        <v>0</v>
      </c>
      <c r="BV199" s="575">
        <f t="shared" si="848"/>
        <v>0</v>
      </c>
      <c r="BW199" s="575">
        <f t="shared" si="849"/>
        <v>0</v>
      </c>
      <c r="BX199" s="991">
        <f t="shared" si="850"/>
        <v>0</v>
      </c>
      <c r="BY199" s="573">
        <f t="shared" si="851"/>
        <v>0</v>
      </c>
      <c r="BZ199" s="257"/>
      <c r="CB199" s="1339">
        <f>D199</f>
        <v>0</v>
      </c>
      <c r="CC199" s="1170">
        <f>E199</f>
        <v>0</v>
      </c>
      <c r="CD199" s="1171"/>
      <c r="CE199" s="1171"/>
      <c r="CF199" s="1171"/>
      <c r="CG199" s="1172"/>
      <c r="CH199" s="1289">
        <f>$F199</f>
        <v>0</v>
      </c>
      <c r="CI199" s="1174"/>
      <c r="CJ199" s="1174"/>
      <c r="CK199" s="1174"/>
      <c r="CL199" s="1175"/>
      <c r="CM199" s="1176">
        <f>$G199</f>
        <v>0</v>
      </c>
      <c r="CN199" s="1290"/>
      <c r="CO199" s="1178"/>
      <c r="CP199" s="1179">
        <f>SUM(CB199:CO199)</f>
        <v>0</v>
      </c>
      <c r="CS199" s="386"/>
      <c r="CT199" s="360"/>
      <c r="CU199" s="1161"/>
      <c r="CV199" s="386"/>
      <c r="CW199" s="360"/>
      <c r="CX199" s="1161"/>
      <c r="CY199" s="386"/>
      <c r="CZ199" s="360"/>
      <c r="DA199" s="1161"/>
      <c r="DB199" s="386"/>
      <c r="DC199" s="360"/>
      <c r="DD199" s="1161"/>
      <c r="DE199" s="1065">
        <f>SUM(CS199:DD199)</f>
        <v>0</v>
      </c>
      <c r="DG199" s="386"/>
      <c r="DH199" s="360"/>
      <c r="DI199" s="1161"/>
      <c r="DJ199" s="386"/>
      <c r="DK199" s="360"/>
      <c r="DL199" s="1161"/>
      <c r="DM199" s="386"/>
      <c r="DN199" s="360"/>
      <c r="DO199" s="1161"/>
      <c r="DP199" s="386"/>
      <c r="DQ199" s="360"/>
      <c r="DR199" s="1161"/>
      <c r="DS199" s="1065">
        <f>SUM(DG199:DR199)</f>
        <v>0</v>
      </c>
      <c r="DU199" s="386"/>
      <c r="DV199" s="360"/>
      <c r="DW199" s="1161"/>
      <c r="DX199" s="386"/>
      <c r="DY199" s="360"/>
      <c r="DZ199" s="1161"/>
      <c r="EA199" s="386"/>
      <c r="EB199" s="360"/>
      <c r="EC199" s="1161"/>
      <c r="ED199" s="386"/>
      <c r="EE199" s="360"/>
      <c r="EF199" s="1161"/>
      <c r="EG199" s="1065">
        <f>SUM(DU199:EF199)</f>
        <v>0</v>
      </c>
      <c r="EI199" s="2424"/>
      <c r="EJ199" s="3320">
        <f>B199</f>
        <v>0</v>
      </c>
      <c r="EK199" s="359" t="s">
        <v>1033</v>
      </c>
      <c r="EL199" s="360">
        <f t="shared" ref="EL199:EQ200" si="997">ROUND(D199,0)</f>
        <v>0</v>
      </c>
      <c r="EM199" s="360">
        <f t="shared" si="997"/>
        <v>0</v>
      </c>
      <c r="EN199" s="360">
        <f t="shared" si="997"/>
        <v>0</v>
      </c>
      <c r="EO199" s="360">
        <f t="shared" si="997"/>
        <v>0</v>
      </c>
      <c r="EP199" s="360">
        <f t="shared" si="997"/>
        <v>0</v>
      </c>
      <c r="EQ199" s="360">
        <f t="shared" si="997"/>
        <v>0</v>
      </c>
      <c r="ER199" s="180">
        <f>SUM(EL199:EQ199)</f>
        <v>0</v>
      </c>
      <c r="ES199" s="6"/>
      <c r="ET199" s="9"/>
      <c r="EU199" s="6"/>
      <c r="EV199" s="386">
        <f t="shared" ref="EV199:FA200" si="998">ROUND(N199,0)</f>
        <v>0</v>
      </c>
      <c r="EW199" s="360">
        <f t="shared" si="998"/>
        <v>0</v>
      </c>
      <c r="EX199" s="360">
        <f t="shared" si="998"/>
        <v>0</v>
      </c>
      <c r="EY199" s="360">
        <f t="shared" si="998"/>
        <v>0</v>
      </c>
      <c r="EZ199" s="360">
        <f t="shared" si="998"/>
        <v>0</v>
      </c>
      <c r="FA199" s="360">
        <f t="shared" si="998"/>
        <v>0</v>
      </c>
      <c r="FB199" s="166">
        <f t="shared" si="904"/>
        <v>0</v>
      </c>
      <c r="FC199" s="1"/>
      <c r="FD199" s="386"/>
      <c r="FE199" s="360"/>
      <c r="FF199" s="360"/>
      <c r="FG199" s="360"/>
      <c r="FH199" s="360"/>
      <c r="FI199" s="360"/>
      <c r="FJ199" s="140">
        <f t="shared" si="905"/>
        <v>0</v>
      </c>
      <c r="FL199" s="386"/>
      <c r="FM199" s="360"/>
      <c r="FN199" s="360"/>
      <c r="FO199" s="360"/>
      <c r="FP199" s="360"/>
      <c r="FQ199" s="360"/>
      <c r="FR199" s="208">
        <f t="shared" si="906"/>
        <v>0</v>
      </c>
      <c r="FT199" s="386"/>
      <c r="FU199" s="360"/>
      <c r="FV199" s="360"/>
      <c r="FW199" s="360"/>
      <c r="FX199" s="360"/>
      <c r="FY199" s="360"/>
      <c r="FZ199" s="180">
        <f t="shared" si="907"/>
        <v>0</v>
      </c>
      <c r="GB199" s="386"/>
      <c r="GC199" s="360"/>
      <c r="GD199" s="360"/>
      <c r="GE199" s="360"/>
      <c r="GF199" s="360"/>
      <c r="GG199" s="360"/>
      <c r="GH199" s="152">
        <f t="shared" si="908"/>
        <v>0</v>
      </c>
      <c r="GJ199" s="386"/>
      <c r="GK199" s="360"/>
      <c r="GL199" s="360"/>
      <c r="GM199" s="360"/>
      <c r="GN199" s="360"/>
      <c r="GO199" s="360"/>
      <c r="GP199" s="194">
        <f t="shared" si="909"/>
        <v>0</v>
      </c>
      <c r="GR199" s="386"/>
      <c r="GS199" s="360"/>
      <c r="GT199" s="360"/>
      <c r="GU199" s="360"/>
      <c r="GV199" s="360"/>
      <c r="GW199" s="360"/>
      <c r="GX199" s="1104">
        <f t="shared" si="910"/>
        <v>0</v>
      </c>
      <c r="GZ199" s="575">
        <f t="shared" si="867"/>
        <v>0</v>
      </c>
      <c r="HA199" s="575">
        <f t="shared" si="868"/>
        <v>0</v>
      </c>
      <c r="HB199" s="575">
        <f t="shared" si="869"/>
        <v>0</v>
      </c>
      <c r="HC199" s="575">
        <f t="shared" si="870"/>
        <v>0</v>
      </c>
      <c r="HD199" s="575">
        <f t="shared" si="871"/>
        <v>0</v>
      </c>
      <c r="HE199" s="575">
        <f t="shared" si="872"/>
        <v>0</v>
      </c>
      <c r="HF199" s="991">
        <f t="shared" si="873"/>
        <v>0</v>
      </c>
      <c r="HG199" s="573">
        <f t="shared" si="874"/>
        <v>0</v>
      </c>
      <c r="HH199" s="257"/>
    </row>
    <row r="200" spans="1:216" ht="15" hidden="1" customHeight="1" thickBot="1" x14ac:dyDescent="0.3">
      <c r="A200" s="2424"/>
      <c r="B200" s="3321"/>
      <c r="C200" s="367" t="s">
        <v>224</v>
      </c>
      <c r="D200" s="56">
        <f>IF('DATA INPUT'!I113&gt;50000,'DATA INPUT'!I113-D199,0)</f>
        <v>0</v>
      </c>
      <c r="E200" s="56">
        <f>IF('DATA INPUT'!J113&gt;E199,'DATA INPUT'!J113-E199,0)</f>
        <v>0</v>
      </c>
      <c r="F200" s="56">
        <f>IF('DATA INPUT'!K113&gt;F199,'DATA INPUT'!K113-F199,0)</f>
        <v>0</v>
      </c>
      <c r="G200" s="56">
        <f>IF('DATA INPUT'!L113&gt;G199,'DATA INPUT'!L113-G199,0)</f>
        <v>0</v>
      </c>
      <c r="H200" s="56">
        <f>IF('DATA INPUT'!M113&gt;H199,'DATA INPUT'!M113-H199,0)</f>
        <v>0</v>
      </c>
      <c r="I200" s="56">
        <f>IF('DATA INPUT'!N113&gt;I199,'DATA INPUT'!N113-I199,0)</f>
        <v>0</v>
      </c>
      <c r="J200" s="178">
        <f>SUM(D200:I200)</f>
        <v>0</v>
      </c>
      <c r="K200" s="9"/>
      <c r="L200" s="9"/>
      <c r="M200" s="9"/>
      <c r="N200" s="387"/>
      <c r="O200" s="56"/>
      <c r="P200" s="56"/>
      <c r="Q200" s="56"/>
      <c r="R200" s="56"/>
      <c r="S200" s="56"/>
      <c r="T200" s="164">
        <f t="shared" si="895"/>
        <v>0</v>
      </c>
      <c r="U200" s="1"/>
      <c r="V200" s="387"/>
      <c r="W200" s="56"/>
      <c r="X200" s="56"/>
      <c r="Y200" s="56"/>
      <c r="Z200" s="56"/>
      <c r="AA200" s="56"/>
      <c r="AB200" s="138">
        <f t="shared" si="896"/>
        <v>0</v>
      </c>
      <c r="AD200" s="387"/>
      <c r="AE200" s="56"/>
      <c r="AF200" s="56"/>
      <c r="AG200" s="56"/>
      <c r="AH200" s="56"/>
      <c r="AI200" s="56"/>
      <c r="AJ200" s="206">
        <f t="shared" si="897"/>
        <v>0</v>
      </c>
      <c r="AL200" s="387"/>
      <c r="AM200" s="56"/>
      <c r="AN200" s="56"/>
      <c r="AO200" s="56"/>
      <c r="AP200" s="56"/>
      <c r="AQ200" s="56"/>
      <c r="AR200" s="178">
        <f t="shared" si="898"/>
        <v>0</v>
      </c>
      <c r="AT200" s="387"/>
      <c r="AU200" s="56"/>
      <c r="AV200" s="56"/>
      <c r="AW200" s="56"/>
      <c r="AX200" s="56"/>
      <c r="AY200" s="56"/>
      <c r="AZ200" s="150">
        <f t="shared" si="899"/>
        <v>0</v>
      </c>
      <c r="BB200" s="387"/>
      <c r="BC200" s="56"/>
      <c r="BD200" s="56"/>
      <c r="BE200" s="56"/>
      <c r="BF200" s="56"/>
      <c r="BG200" s="56"/>
      <c r="BH200" s="192">
        <f t="shared" si="900"/>
        <v>0</v>
      </c>
      <c r="BJ200" s="387"/>
      <c r="BK200" s="56"/>
      <c r="BL200" s="56"/>
      <c r="BM200" s="56"/>
      <c r="BN200" s="56"/>
      <c r="BO200" s="56"/>
      <c r="BP200" s="1102">
        <f t="shared" si="901"/>
        <v>0</v>
      </c>
      <c r="BR200" s="575">
        <f t="shared" si="844"/>
        <v>0</v>
      </c>
      <c r="BS200" s="575">
        <f t="shared" si="845"/>
        <v>0</v>
      </c>
      <c r="BT200" s="575">
        <f t="shared" si="846"/>
        <v>0</v>
      </c>
      <c r="BU200" s="575">
        <f t="shared" si="847"/>
        <v>0</v>
      </c>
      <c r="BV200" s="575">
        <f t="shared" si="848"/>
        <v>0</v>
      </c>
      <c r="BW200" s="575">
        <f t="shared" si="849"/>
        <v>0</v>
      </c>
      <c r="BX200" s="991">
        <f t="shared" si="850"/>
        <v>0</v>
      </c>
      <c r="BY200" s="573">
        <f t="shared" si="851"/>
        <v>0</v>
      </c>
      <c r="BZ200" s="257"/>
      <c r="CB200" s="1323">
        <f>D200</f>
        <v>0</v>
      </c>
      <c r="CC200" s="1324">
        <f>E200</f>
        <v>0</v>
      </c>
      <c r="CD200" s="1325"/>
      <c r="CE200" s="1325"/>
      <c r="CF200" s="1325"/>
      <c r="CG200" s="1326"/>
      <c r="CH200" s="1331">
        <f>$F200</f>
        <v>0</v>
      </c>
      <c r="CI200" s="1332"/>
      <c r="CJ200" s="1332"/>
      <c r="CK200" s="1332"/>
      <c r="CL200" s="1333"/>
      <c r="CM200" s="1334">
        <f>$G200</f>
        <v>0</v>
      </c>
      <c r="CN200" s="1335"/>
      <c r="CO200" s="1336"/>
      <c r="CP200" s="1228">
        <f>SUM(CB200:CO200)</f>
        <v>0</v>
      </c>
      <c r="CS200" s="387"/>
      <c r="CT200" s="56"/>
      <c r="CU200" s="1183"/>
      <c r="CV200" s="387"/>
      <c r="CW200" s="56"/>
      <c r="CX200" s="1183"/>
      <c r="CY200" s="387"/>
      <c r="CZ200" s="56"/>
      <c r="DA200" s="1183"/>
      <c r="DB200" s="387"/>
      <c r="DC200" s="56"/>
      <c r="DD200" s="1183"/>
      <c r="DE200" s="1181">
        <f>SUM(CS200:DD200)</f>
        <v>0</v>
      </c>
      <c r="DG200" s="387"/>
      <c r="DH200" s="56"/>
      <c r="DI200" s="1183"/>
      <c r="DJ200" s="387"/>
      <c r="DK200" s="56"/>
      <c r="DL200" s="1183"/>
      <c r="DM200" s="387"/>
      <c r="DN200" s="56"/>
      <c r="DO200" s="1183"/>
      <c r="DP200" s="387"/>
      <c r="DQ200" s="56"/>
      <c r="DR200" s="1183"/>
      <c r="DS200" s="1181">
        <f>SUM(DG200:DR200)</f>
        <v>0</v>
      </c>
      <c r="DU200" s="387"/>
      <c r="DV200" s="56"/>
      <c r="DW200" s="1183"/>
      <c r="DX200" s="387"/>
      <c r="DY200" s="56"/>
      <c r="DZ200" s="1183"/>
      <c r="EA200" s="387"/>
      <c r="EB200" s="56"/>
      <c r="EC200" s="1183"/>
      <c r="ED200" s="387"/>
      <c r="EE200" s="56"/>
      <c r="EF200" s="1183"/>
      <c r="EG200" s="1181">
        <f>SUM(DU200:EF200)</f>
        <v>0</v>
      </c>
      <c r="EI200" s="2424"/>
      <c r="EJ200" s="3321"/>
      <c r="EK200" s="367" t="s">
        <v>224</v>
      </c>
      <c r="EL200" s="56">
        <f t="shared" si="997"/>
        <v>0</v>
      </c>
      <c r="EM200" s="56">
        <f t="shared" si="997"/>
        <v>0</v>
      </c>
      <c r="EN200" s="56">
        <f t="shared" si="997"/>
        <v>0</v>
      </c>
      <c r="EO200" s="56">
        <f t="shared" si="997"/>
        <v>0</v>
      </c>
      <c r="EP200" s="56">
        <f t="shared" si="997"/>
        <v>0</v>
      </c>
      <c r="EQ200" s="56">
        <f t="shared" si="997"/>
        <v>0</v>
      </c>
      <c r="ER200" s="178">
        <f>SUM(EL200:EQ200)</f>
        <v>0</v>
      </c>
      <c r="ES200" s="9"/>
      <c r="ET200" s="9"/>
      <c r="EU200" s="9"/>
      <c r="EV200" s="387">
        <f t="shared" si="998"/>
        <v>0</v>
      </c>
      <c r="EW200" s="56">
        <f t="shared" si="998"/>
        <v>0</v>
      </c>
      <c r="EX200" s="56">
        <f t="shared" si="998"/>
        <v>0</v>
      </c>
      <c r="EY200" s="56">
        <f t="shared" si="998"/>
        <v>0</v>
      </c>
      <c r="EZ200" s="56">
        <f t="shared" si="998"/>
        <v>0</v>
      </c>
      <c r="FA200" s="56">
        <f t="shared" si="998"/>
        <v>0</v>
      </c>
      <c r="FB200" s="164">
        <f t="shared" si="904"/>
        <v>0</v>
      </c>
      <c r="FC200" s="1"/>
      <c r="FD200" s="387"/>
      <c r="FE200" s="56"/>
      <c r="FF200" s="56"/>
      <c r="FG200" s="56"/>
      <c r="FH200" s="56"/>
      <c r="FI200" s="56"/>
      <c r="FJ200" s="138">
        <f t="shared" si="905"/>
        <v>0</v>
      </c>
      <c r="FL200" s="387"/>
      <c r="FM200" s="56"/>
      <c r="FN200" s="56"/>
      <c r="FO200" s="56"/>
      <c r="FP200" s="56"/>
      <c r="FQ200" s="56"/>
      <c r="FR200" s="206">
        <f t="shared" si="906"/>
        <v>0</v>
      </c>
      <c r="FT200" s="387"/>
      <c r="FU200" s="56"/>
      <c r="FV200" s="56"/>
      <c r="FW200" s="56"/>
      <c r="FX200" s="56"/>
      <c r="FY200" s="56"/>
      <c r="FZ200" s="178">
        <f t="shared" si="907"/>
        <v>0</v>
      </c>
      <c r="GB200" s="387"/>
      <c r="GC200" s="56"/>
      <c r="GD200" s="56"/>
      <c r="GE200" s="56"/>
      <c r="GF200" s="56"/>
      <c r="GG200" s="56"/>
      <c r="GH200" s="150">
        <f t="shared" si="908"/>
        <v>0</v>
      </c>
      <c r="GJ200" s="387"/>
      <c r="GK200" s="56"/>
      <c r="GL200" s="56"/>
      <c r="GM200" s="56"/>
      <c r="GN200" s="56"/>
      <c r="GO200" s="56"/>
      <c r="GP200" s="192">
        <f t="shared" si="909"/>
        <v>0</v>
      </c>
      <c r="GR200" s="387"/>
      <c r="GS200" s="56"/>
      <c r="GT200" s="56"/>
      <c r="GU200" s="56"/>
      <c r="GV200" s="56"/>
      <c r="GW200" s="56"/>
      <c r="GX200" s="1102">
        <f t="shared" si="910"/>
        <v>0</v>
      </c>
      <c r="GZ200" s="575">
        <f t="shared" si="867"/>
        <v>0</v>
      </c>
      <c r="HA200" s="575">
        <f t="shared" si="868"/>
        <v>0</v>
      </c>
      <c r="HB200" s="575">
        <f t="shared" si="869"/>
        <v>0</v>
      </c>
      <c r="HC200" s="575">
        <f t="shared" si="870"/>
        <v>0</v>
      </c>
      <c r="HD200" s="575">
        <f t="shared" si="871"/>
        <v>0</v>
      </c>
      <c r="HE200" s="575">
        <f t="shared" si="872"/>
        <v>0</v>
      </c>
      <c r="HF200" s="991">
        <f t="shared" si="873"/>
        <v>0</v>
      </c>
      <c r="HG200" s="573">
        <f t="shared" si="874"/>
        <v>0</v>
      </c>
      <c r="HH200" s="257"/>
    </row>
    <row r="201" spans="1:216" ht="15" hidden="1" customHeight="1" thickBot="1" x14ac:dyDescent="0.3">
      <c r="A201" s="2424"/>
      <c r="B201" s="3322"/>
      <c r="C201" s="369" t="s">
        <v>239</v>
      </c>
      <c r="D201" s="370">
        <f t="shared" ref="D201:J201" si="999">SUM(D199:D200)</f>
        <v>0</v>
      </c>
      <c r="E201" s="370">
        <f t="shared" si="999"/>
        <v>0</v>
      </c>
      <c r="F201" s="370">
        <f t="shared" si="999"/>
        <v>0</v>
      </c>
      <c r="G201" s="370">
        <f t="shared" si="999"/>
        <v>0</v>
      </c>
      <c r="H201" s="370">
        <f t="shared" si="999"/>
        <v>0</v>
      </c>
      <c r="I201" s="370">
        <f t="shared" si="999"/>
        <v>0</v>
      </c>
      <c r="J201" s="371">
        <f t="shared" si="999"/>
        <v>0</v>
      </c>
      <c r="K201" s="13">
        <f>SUM(D201:I201)</f>
        <v>0</v>
      </c>
      <c r="L201" s="6"/>
      <c r="M201" s="9"/>
      <c r="N201" s="388">
        <f t="shared" ref="N201:S201" si="1000">SUM(N199:N200)</f>
        <v>0</v>
      </c>
      <c r="O201" s="370">
        <f t="shared" si="1000"/>
        <v>0</v>
      </c>
      <c r="P201" s="370">
        <f t="shared" si="1000"/>
        <v>0</v>
      </c>
      <c r="Q201" s="370">
        <f t="shared" si="1000"/>
        <v>0</v>
      </c>
      <c r="R201" s="370">
        <f t="shared" si="1000"/>
        <v>0</v>
      </c>
      <c r="S201" s="370">
        <f t="shared" si="1000"/>
        <v>0</v>
      </c>
      <c r="T201" s="389">
        <f t="shared" si="895"/>
        <v>0</v>
      </c>
      <c r="U201" s="1"/>
      <c r="V201" s="388">
        <f t="shared" ref="V201:AA201" si="1001">SUM(V199:V200)</f>
        <v>0</v>
      </c>
      <c r="W201" s="370">
        <f t="shared" si="1001"/>
        <v>0</v>
      </c>
      <c r="X201" s="370">
        <f t="shared" si="1001"/>
        <v>0</v>
      </c>
      <c r="Y201" s="370">
        <f t="shared" si="1001"/>
        <v>0</v>
      </c>
      <c r="Z201" s="370">
        <f t="shared" si="1001"/>
        <v>0</v>
      </c>
      <c r="AA201" s="370">
        <f t="shared" si="1001"/>
        <v>0</v>
      </c>
      <c r="AB201" s="389">
        <f t="shared" si="896"/>
        <v>0</v>
      </c>
      <c r="AD201" s="388">
        <f t="shared" ref="AD201:AI201" si="1002">SUM(AD199:AD200)</f>
        <v>0</v>
      </c>
      <c r="AE201" s="370">
        <f t="shared" si="1002"/>
        <v>0</v>
      </c>
      <c r="AF201" s="370">
        <f t="shared" si="1002"/>
        <v>0</v>
      </c>
      <c r="AG201" s="370">
        <f t="shared" si="1002"/>
        <v>0</v>
      </c>
      <c r="AH201" s="370">
        <f t="shared" si="1002"/>
        <v>0</v>
      </c>
      <c r="AI201" s="370">
        <f t="shared" si="1002"/>
        <v>0</v>
      </c>
      <c r="AJ201" s="389">
        <f t="shared" si="897"/>
        <v>0</v>
      </c>
      <c r="AL201" s="388">
        <f t="shared" ref="AL201:AQ201" si="1003">SUM(AL199:AL200)</f>
        <v>0</v>
      </c>
      <c r="AM201" s="370">
        <f t="shared" si="1003"/>
        <v>0</v>
      </c>
      <c r="AN201" s="370">
        <f t="shared" si="1003"/>
        <v>0</v>
      </c>
      <c r="AO201" s="370">
        <f t="shared" si="1003"/>
        <v>0</v>
      </c>
      <c r="AP201" s="370">
        <f t="shared" si="1003"/>
        <v>0</v>
      </c>
      <c r="AQ201" s="370">
        <f t="shared" si="1003"/>
        <v>0</v>
      </c>
      <c r="AR201" s="389">
        <f t="shared" si="898"/>
        <v>0</v>
      </c>
      <c r="AT201" s="388">
        <f t="shared" ref="AT201:AY201" si="1004">SUM(AT199:AT200)</f>
        <v>0</v>
      </c>
      <c r="AU201" s="370">
        <f t="shared" si="1004"/>
        <v>0</v>
      </c>
      <c r="AV201" s="370">
        <f t="shared" si="1004"/>
        <v>0</v>
      </c>
      <c r="AW201" s="370">
        <f t="shared" si="1004"/>
        <v>0</v>
      </c>
      <c r="AX201" s="370">
        <f t="shared" si="1004"/>
        <v>0</v>
      </c>
      <c r="AY201" s="370">
        <f t="shared" si="1004"/>
        <v>0</v>
      </c>
      <c r="AZ201" s="389">
        <f t="shared" si="899"/>
        <v>0</v>
      </c>
      <c r="BB201" s="388">
        <f t="shared" ref="BB201:BG201" si="1005">SUM(BB199:BB200)</f>
        <v>0</v>
      </c>
      <c r="BC201" s="370">
        <f t="shared" si="1005"/>
        <v>0</v>
      </c>
      <c r="BD201" s="370">
        <f t="shared" si="1005"/>
        <v>0</v>
      </c>
      <c r="BE201" s="370">
        <f t="shared" si="1005"/>
        <v>0</v>
      </c>
      <c r="BF201" s="370">
        <f t="shared" si="1005"/>
        <v>0</v>
      </c>
      <c r="BG201" s="370">
        <f t="shared" si="1005"/>
        <v>0</v>
      </c>
      <c r="BH201" s="389">
        <f t="shared" si="900"/>
        <v>0</v>
      </c>
      <c r="BJ201" s="388">
        <f t="shared" ref="BJ201:BO201" si="1006">SUM(BJ199:BJ200)</f>
        <v>0</v>
      </c>
      <c r="BK201" s="370">
        <f t="shared" si="1006"/>
        <v>0</v>
      </c>
      <c r="BL201" s="370">
        <f t="shared" si="1006"/>
        <v>0</v>
      </c>
      <c r="BM201" s="370">
        <f t="shared" si="1006"/>
        <v>0</v>
      </c>
      <c r="BN201" s="370">
        <f t="shared" si="1006"/>
        <v>0</v>
      </c>
      <c r="BO201" s="370">
        <f t="shared" si="1006"/>
        <v>0</v>
      </c>
      <c r="BP201" s="1103">
        <f t="shared" si="901"/>
        <v>0</v>
      </c>
      <c r="BR201" s="579">
        <f t="shared" si="844"/>
        <v>0</v>
      </c>
      <c r="BS201" s="579">
        <f t="shared" si="845"/>
        <v>0</v>
      </c>
      <c r="BT201" s="579">
        <f t="shared" si="846"/>
        <v>0</v>
      </c>
      <c r="BU201" s="579">
        <f t="shared" si="847"/>
        <v>0</v>
      </c>
      <c r="BV201" s="579">
        <f t="shared" si="848"/>
        <v>0</v>
      </c>
      <c r="BW201" s="579">
        <f t="shared" si="849"/>
        <v>0</v>
      </c>
      <c r="BX201" s="579">
        <f t="shared" si="850"/>
        <v>0</v>
      </c>
      <c r="BY201" s="580">
        <f t="shared" si="851"/>
        <v>0</v>
      </c>
      <c r="BZ201" s="257"/>
      <c r="CB201" s="1340">
        <f t="shared" ref="CB201:CP201" si="1007">SUM(CB199:CB200)</f>
        <v>0</v>
      </c>
      <c r="CC201" s="1341">
        <f t="shared" si="1007"/>
        <v>0</v>
      </c>
      <c r="CD201" s="1342">
        <f t="shared" si="1007"/>
        <v>0</v>
      </c>
      <c r="CE201" s="1342">
        <f t="shared" si="1007"/>
        <v>0</v>
      </c>
      <c r="CF201" s="1342">
        <f t="shared" si="1007"/>
        <v>0</v>
      </c>
      <c r="CG201" s="1343">
        <f t="shared" si="1007"/>
        <v>0</v>
      </c>
      <c r="CH201" s="1341">
        <f t="shared" si="1007"/>
        <v>0</v>
      </c>
      <c r="CI201" s="1342">
        <f t="shared" si="1007"/>
        <v>0</v>
      </c>
      <c r="CJ201" s="1342">
        <f t="shared" si="1007"/>
        <v>0</v>
      </c>
      <c r="CK201" s="1342">
        <f t="shared" si="1007"/>
        <v>0</v>
      </c>
      <c r="CL201" s="1344">
        <f t="shared" si="1007"/>
        <v>0</v>
      </c>
      <c r="CM201" s="1341">
        <f t="shared" si="1007"/>
        <v>0</v>
      </c>
      <c r="CN201" s="1342">
        <f t="shared" si="1007"/>
        <v>0</v>
      </c>
      <c r="CO201" s="1343">
        <f t="shared" si="1007"/>
        <v>0</v>
      </c>
      <c r="CP201" s="1345">
        <f t="shared" si="1007"/>
        <v>0</v>
      </c>
      <c r="CS201" s="1340">
        <f t="shared" ref="CS201:DE201" si="1008">SUM(CS199:CS200)</f>
        <v>0</v>
      </c>
      <c r="CT201" s="1343">
        <f t="shared" si="1008"/>
        <v>0</v>
      </c>
      <c r="CU201" s="1343">
        <f t="shared" si="1008"/>
        <v>0</v>
      </c>
      <c r="CV201" s="1343">
        <f t="shared" si="1008"/>
        <v>0</v>
      </c>
      <c r="CW201" s="1343">
        <f t="shared" si="1008"/>
        <v>0</v>
      </c>
      <c r="CX201" s="1343">
        <f t="shared" si="1008"/>
        <v>0</v>
      </c>
      <c r="CY201" s="1343">
        <f t="shared" si="1008"/>
        <v>0</v>
      </c>
      <c r="CZ201" s="1343">
        <f t="shared" si="1008"/>
        <v>0</v>
      </c>
      <c r="DA201" s="1343">
        <f t="shared" si="1008"/>
        <v>0</v>
      </c>
      <c r="DB201" s="1343">
        <f t="shared" si="1008"/>
        <v>0</v>
      </c>
      <c r="DC201" s="1343">
        <f t="shared" si="1008"/>
        <v>0</v>
      </c>
      <c r="DD201" s="1343">
        <f t="shared" si="1008"/>
        <v>0</v>
      </c>
      <c r="DE201" s="1343">
        <f t="shared" si="1008"/>
        <v>0</v>
      </c>
      <c r="DG201" s="1340">
        <f t="shared" ref="DG201:DS201" si="1009">SUM(DG199:DG200)</f>
        <v>0</v>
      </c>
      <c r="DH201" s="1343">
        <f t="shared" si="1009"/>
        <v>0</v>
      </c>
      <c r="DI201" s="1343">
        <f t="shared" si="1009"/>
        <v>0</v>
      </c>
      <c r="DJ201" s="1343">
        <f t="shared" si="1009"/>
        <v>0</v>
      </c>
      <c r="DK201" s="1343">
        <f t="shared" si="1009"/>
        <v>0</v>
      </c>
      <c r="DL201" s="1343">
        <f t="shared" si="1009"/>
        <v>0</v>
      </c>
      <c r="DM201" s="1343">
        <f t="shared" si="1009"/>
        <v>0</v>
      </c>
      <c r="DN201" s="1343">
        <f t="shared" si="1009"/>
        <v>0</v>
      </c>
      <c r="DO201" s="1343">
        <f t="shared" si="1009"/>
        <v>0</v>
      </c>
      <c r="DP201" s="1343">
        <f t="shared" si="1009"/>
        <v>0</v>
      </c>
      <c r="DQ201" s="1343">
        <f t="shared" si="1009"/>
        <v>0</v>
      </c>
      <c r="DR201" s="1343">
        <f t="shared" si="1009"/>
        <v>0</v>
      </c>
      <c r="DS201" s="1343">
        <f t="shared" si="1009"/>
        <v>0</v>
      </c>
      <c r="DU201" s="1340">
        <f t="shared" ref="DU201:EG201" si="1010">SUM(DU199:DU200)</f>
        <v>0</v>
      </c>
      <c r="DV201" s="1343">
        <f t="shared" si="1010"/>
        <v>0</v>
      </c>
      <c r="DW201" s="1343">
        <f t="shared" si="1010"/>
        <v>0</v>
      </c>
      <c r="DX201" s="1343">
        <f t="shared" si="1010"/>
        <v>0</v>
      </c>
      <c r="DY201" s="1343">
        <f t="shared" si="1010"/>
        <v>0</v>
      </c>
      <c r="DZ201" s="1343">
        <f t="shared" si="1010"/>
        <v>0</v>
      </c>
      <c r="EA201" s="1343">
        <f t="shared" si="1010"/>
        <v>0</v>
      </c>
      <c r="EB201" s="1343">
        <f t="shared" si="1010"/>
        <v>0</v>
      </c>
      <c r="EC201" s="1343">
        <f t="shared" si="1010"/>
        <v>0</v>
      </c>
      <c r="ED201" s="1343">
        <f t="shared" si="1010"/>
        <v>0</v>
      </c>
      <c r="EE201" s="1343">
        <f t="shared" si="1010"/>
        <v>0</v>
      </c>
      <c r="EF201" s="1343">
        <f t="shared" si="1010"/>
        <v>0</v>
      </c>
      <c r="EG201" s="1343">
        <f t="shared" si="1010"/>
        <v>0</v>
      </c>
      <c r="EI201" s="2424"/>
      <c r="EJ201" s="3322"/>
      <c r="EK201" s="369" t="s">
        <v>239</v>
      </c>
      <c r="EL201" s="370">
        <f t="shared" ref="EL201:ER201" si="1011">SUM(EL199:EL200)</f>
        <v>0</v>
      </c>
      <c r="EM201" s="370">
        <f t="shared" si="1011"/>
        <v>0</v>
      </c>
      <c r="EN201" s="370">
        <f t="shared" si="1011"/>
        <v>0</v>
      </c>
      <c r="EO201" s="370">
        <f t="shared" si="1011"/>
        <v>0</v>
      </c>
      <c r="EP201" s="370">
        <f t="shared" si="1011"/>
        <v>0</v>
      </c>
      <c r="EQ201" s="370">
        <f t="shared" si="1011"/>
        <v>0</v>
      </c>
      <c r="ER201" s="371">
        <f t="shared" si="1011"/>
        <v>0</v>
      </c>
      <c r="ES201" s="13">
        <f>SUM(EL201:EQ201)</f>
        <v>0</v>
      </c>
      <c r="ET201" s="6"/>
      <c r="EU201" s="9"/>
      <c r="EV201" s="388">
        <f t="shared" ref="EV201:FA201" si="1012">SUM(EV199:EV200)</f>
        <v>0</v>
      </c>
      <c r="EW201" s="370">
        <f t="shared" si="1012"/>
        <v>0</v>
      </c>
      <c r="EX201" s="370">
        <f t="shared" si="1012"/>
        <v>0</v>
      </c>
      <c r="EY201" s="370">
        <f t="shared" si="1012"/>
        <v>0</v>
      </c>
      <c r="EZ201" s="370">
        <f t="shared" si="1012"/>
        <v>0</v>
      </c>
      <c r="FA201" s="370">
        <f t="shared" si="1012"/>
        <v>0</v>
      </c>
      <c r="FB201" s="389">
        <f t="shared" si="904"/>
        <v>0</v>
      </c>
      <c r="FC201" s="1"/>
      <c r="FD201" s="388">
        <f t="shared" ref="FD201:FI201" si="1013">SUM(FD199:FD200)</f>
        <v>0</v>
      </c>
      <c r="FE201" s="370">
        <f t="shared" si="1013"/>
        <v>0</v>
      </c>
      <c r="FF201" s="370">
        <f t="shared" si="1013"/>
        <v>0</v>
      </c>
      <c r="FG201" s="370">
        <f t="shared" si="1013"/>
        <v>0</v>
      </c>
      <c r="FH201" s="370">
        <f t="shared" si="1013"/>
        <v>0</v>
      </c>
      <c r="FI201" s="370">
        <f t="shared" si="1013"/>
        <v>0</v>
      </c>
      <c r="FJ201" s="389">
        <f t="shared" si="905"/>
        <v>0</v>
      </c>
      <c r="FL201" s="388">
        <f t="shared" ref="FL201:FQ201" si="1014">SUM(FL199:FL200)</f>
        <v>0</v>
      </c>
      <c r="FM201" s="370">
        <f t="shared" si="1014"/>
        <v>0</v>
      </c>
      <c r="FN201" s="370">
        <f t="shared" si="1014"/>
        <v>0</v>
      </c>
      <c r="FO201" s="370">
        <f t="shared" si="1014"/>
        <v>0</v>
      </c>
      <c r="FP201" s="370">
        <f t="shared" si="1014"/>
        <v>0</v>
      </c>
      <c r="FQ201" s="370">
        <f t="shared" si="1014"/>
        <v>0</v>
      </c>
      <c r="FR201" s="389">
        <f t="shared" si="906"/>
        <v>0</v>
      </c>
      <c r="FT201" s="388">
        <f t="shared" ref="FT201:FY201" si="1015">SUM(FT199:FT200)</f>
        <v>0</v>
      </c>
      <c r="FU201" s="370">
        <f t="shared" si="1015"/>
        <v>0</v>
      </c>
      <c r="FV201" s="370">
        <f t="shared" si="1015"/>
        <v>0</v>
      </c>
      <c r="FW201" s="370">
        <f t="shared" si="1015"/>
        <v>0</v>
      </c>
      <c r="FX201" s="370">
        <f t="shared" si="1015"/>
        <v>0</v>
      </c>
      <c r="FY201" s="370">
        <f t="shared" si="1015"/>
        <v>0</v>
      </c>
      <c r="FZ201" s="389">
        <f t="shared" si="907"/>
        <v>0</v>
      </c>
      <c r="GB201" s="388">
        <f t="shared" ref="GB201:GG201" si="1016">SUM(GB199:GB200)</f>
        <v>0</v>
      </c>
      <c r="GC201" s="370">
        <f t="shared" si="1016"/>
        <v>0</v>
      </c>
      <c r="GD201" s="370">
        <f t="shared" si="1016"/>
        <v>0</v>
      </c>
      <c r="GE201" s="370">
        <f t="shared" si="1016"/>
        <v>0</v>
      </c>
      <c r="GF201" s="370">
        <f t="shared" si="1016"/>
        <v>0</v>
      </c>
      <c r="GG201" s="370">
        <f t="shared" si="1016"/>
        <v>0</v>
      </c>
      <c r="GH201" s="389">
        <f t="shared" si="908"/>
        <v>0</v>
      </c>
      <c r="GJ201" s="388">
        <f t="shared" ref="GJ201:GO201" si="1017">SUM(GJ199:GJ200)</f>
        <v>0</v>
      </c>
      <c r="GK201" s="370">
        <f t="shared" si="1017"/>
        <v>0</v>
      </c>
      <c r="GL201" s="370">
        <f t="shared" si="1017"/>
        <v>0</v>
      </c>
      <c r="GM201" s="370">
        <f t="shared" si="1017"/>
        <v>0</v>
      </c>
      <c r="GN201" s="370">
        <f t="shared" si="1017"/>
        <v>0</v>
      </c>
      <c r="GO201" s="370">
        <f t="shared" si="1017"/>
        <v>0</v>
      </c>
      <c r="GP201" s="389">
        <f t="shared" si="909"/>
        <v>0</v>
      </c>
      <c r="GR201" s="388">
        <f t="shared" ref="GR201:GW201" si="1018">SUM(GR199:GR200)</f>
        <v>0</v>
      </c>
      <c r="GS201" s="370">
        <f t="shared" si="1018"/>
        <v>0</v>
      </c>
      <c r="GT201" s="370">
        <f t="shared" si="1018"/>
        <v>0</v>
      </c>
      <c r="GU201" s="370">
        <f t="shared" si="1018"/>
        <v>0</v>
      </c>
      <c r="GV201" s="370">
        <f t="shared" si="1018"/>
        <v>0</v>
      </c>
      <c r="GW201" s="370">
        <f t="shared" si="1018"/>
        <v>0</v>
      </c>
      <c r="GX201" s="1103">
        <f t="shared" si="910"/>
        <v>0</v>
      </c>
      <c r="GZ201" s="579">
        <f t="shared" si="867"/>
        <v>0</v>
      </c>
      <c r="HA201" s="579">
        <f t="shared" si="868"/>
        <v>0</v>
      </c>
      <c r="HB201" s="579">
        <f t="shared" si="869"/>
        <v>0</v>
      </c>
      <c r="HC201" s="579">
        <f t="shared" si="870"/>
        <v>0</v>
      </c>
      <c r="HD201" s="579">
        <f t="shared" si="871"/>
        <v>0</v>
      </c>
      <c r="HE201" s="579">
        <f t="shared" si="872"/>
        <v>0</v>
      </c>
      <c r="HF201" s="579">
        <f t="shared" si="873"/>
        <v>0</v>
      </c>
      <c r="HG201" s="580">
        <f t="shared" si="874"/>
        <v>0</v>
      </c>
      <c r="HH201" s="257"/>
    </row>
    <row r="202" spans="1:216" ht="15" hidden="1" customHeight="1" x14ac:dyDescent="0.25">
      <c r="A202" s="2424"/>
      <c r="B202" s="3230">
        <f>'DATA INPUT'!B114</f>
        <v>0</v>
      </c>
      <c r="C202" s="357" t="s">
        <v>1033</v>
      </c>
      <c r="D202" s="358">
        <f>IF('DATA INPUT'!I114&gt;0,IF('DATA INPUT'!I114&lt;=50000,'DATA INPUT'!I114,50000),0)</f>
        <v>0</v>
      </c>
      <c r="E202" s="358">
        <f>IF('DATA INPUT'!J114&gt;0,IF(SUM($D202:D202)&lt;50000,MIN('DATA INPUT'!J114,50000-SUM($D202:D202)),0),0)</f>
        <v>0</v>
      </c>
      <c r="F202" s="358">
        <f>IF('DATA INPUT'!K114&gt;0,IF(SUM($D202:E202)&lt;50000,MIN('DATA INPUT'!K114,50000-SUM($D202:E202)),0),0)</f>
        <v>0</v>
      </c>
      <c r="G202" s="358">
        <f>IF('DATA INPUT'!L114&gt;0,IF(SUM($D202:F202)&lt;50000,MIN('DATA INPUT'!L114,50000-SUM($D202:F202)),0),0)</f>
        <v>0</v>
      </c>
      <c r="H202" s="358">
        <f>IF('DATA INPUT'!M114&gt;0,IF(SUM($D202:G202)&lt;50000,MIN('DATA INPUT'!M114,50000-SUM($D202:G202)),0),0)</f>
        <v>0</v>
      </c>
      <c r="I202" s="358">
        <f>IF('DATA INPUT'!N114&gt;0,IF(SUM($D202:H202)&lt;50000,MIN('DATA INPUT'!N114,50000-SUM($D202:H202)),0),0)</f>
        <v>0</v>
      </c>
      <c r="J202" s="152">
        <f>SUM(D202:I202)</f>
        <v>0</v>
      </c>
      <c r="K202" s="6"/>
      <c r="L202" s="9"/>
      <c r="M202" s="6"/>
      <c r="N202" s="390"/>
      <c r="O202" s="358"/>
      <c r="P202" s="358"/>
      <c r="Q202" s="358"/>
      <c r="R202" s="358"/>
      <c r="S202" s="358"/>
      <c r="T202" s="166">
        <f t="shared" si="895"/>
        <v>0</v>
      </c>
      <c r="U202" s="1"/>
      <c r="V202" s="390"/>
      <c r="W202" s="358"/>
      <c r="X202" s="358"/>
      <c r="Y202" s="358"/>
      <c r="Z202" s="358"/>
      <c r="AA202" s="358"/>
      <c r="AB202" s="140">
        <f t="shared" si="896"/>
        <v>0</v>
      </c>
      <c r="AD202" s="390"/>
      <c r="AE202" s="358"/>
      <c r="AF202" s="358"/>
      <c r="AG202" s="358"/>
      <c r="AH202" s="358"/>
      <c r="AI202" s="358"/>
      <c r="AJ202" s="208">
        <f t="shared" si="897"/>
        <v>0</v>
      </c>
      <c r="AL202" s="390"/>
      <c r="AM202" s="358"/>
      <c r="AN202" s="358"/>
      <c r="AO202" s="358"/>
      <c r="AP202" s="358"/>
      <c r="AQ202" s="358"/>
      <c r="AR202" s="180">
        <f t="shared" si="898"/>
        <v>0</v>
      </c>
      <c r="AT202" s="390"/>
      <c r="AU202" s="358"/>
      <c r="AV202" s="358"/>
      <c r="AW202" s="358"/>
      <c r="AX202" s="358"/>
      <c r="AY202" s="358"/>
      <c r="AZ202" s="152">
        <f t="shared" si="899"/>
        <v>0</v>
      </c>
      <c r="BB202" s="390"/>
      <c r="BC202" s="358"/>
      <c r="BD202" s="358"/>
      <c r="BE202" s="358"/>
      <c r="BF202" s="358"/>
      <c r="BG202" s="358"/>
      <c r="BH202" s="194">
        <f t="shared" si="900"/>
        <v>0</v>
      </c>
      <c r="BJ202" s="390"/>
      <c r="BK202" s="358"/>
      <c r="BL202" s="358"/>
      <c r="BM202" s="358"/>
      <c r="BN202" s="358"/>
      <c r="BO202" s="358"/>
      <c r="BP202" s="1104">
        <f t="shared" si="901"/>
        <v>0</v>
      </c>
      <c r="BR202" s="575">
        <f t="shared" si="844"/>
        <v>0</v>
      </c>
      <c r="BS202" s="575">
        <f t="shared" si="845"/>
        <v>0</v>
      </c>
      <c r="BT202" s="575">
        <f t="shared" si="846"/>
        <v>0</v>
      </c>
      <c r="BU202" s="575">
        <f t="shared" si="847"/>
        <v>0</v>
      </c>
      <c r="BV202" s="575">
        <f t="shared" si="848"/>
        <v>0</v>
      </c>
      <c r="BW202" s="575">
        <f t="shared" si="849"/>
        <v>0</v>
      </c>
      <c r="BX202" s="991">
        <f t="shared" si="850"/>
        <v>0</v>
      </c>
      <c r="BY202" s="573">
        <f t="shared" si="851"/>
        <v>0</v>
      </c>
      <c r="BZ202" s="257"/>
      <c r="CB202" s="1339">
        <f>D202</f>
        <v>0</v>
      </c>
      <c r="CC202" s="1170">
        <f>E202</f>
        <v>0</v>
      </c>
      <c r="CD202" s="1171"/>
      <c r="CE202" s="1171"/>
      <c r="CF202" s="1171"/>
      <c r="CG202" s="1172"/>
      <c r="CH202" s="1289">
        <f>$F202</f>
        <v>0</v>
      </c>
      <c r="CI202" s="1174"/>
      <c r="CJ202" s="1174"/>
      <c r="CK202" s="1174"/>
      <c r="CL202" s="1175"/>
      <c r="CM202" s="1176">
        <f>$G202</f>
        <v>0</v>
      </c>
      <c r="CN202" s="1290"/>
      <c r="CO202" s="1178"/>
      <c r="CP202" s="1179">
        <f>SUM(CB202:CO202)</f>
        <v>0</v>
      </c>
      <c r="CS202" s="390"/>
      <c r="CT202" s="358"/>
      <c r="CU202" s="1346"/>
      <c r="CV202" s="390"/>
      <c r="CW202" s="358"/>
      <c r="CX202" s="1346"/>
      <c r="CY202" s="390"/>
      <c r="CZ202" s="358"/>
      <c r="DA202" s="1346"/>
      <c r="DB202" s="390"/>
      <c r="DC202" s="358"/>
      <c r="DD202" s="1346"/>
      <c r="DE202" s="1065">
        <f>SUM(CS202:DD202)</f>
        <v>0</v>
      </c>
      <c r="DG202" s="390"/>
      <c r="DH202" s="358"/>
      <c r="DI202" s="1346"/>
      <c r="DJ202" s="390"/>
      <c r="DK202" s="358"/>
      <c r="DL202" s="1346"/>
      <c r="DM202" s="390"/>
      <c r="DN202" s="358"/>
      <c r="DO202" s="1346"/>
      <c r="DP202" s="390"/>
      <c r="DQ202" s="358"/>
      <c r="DR202" s="1346"/>
      <c r="DS202" s="1065">
        <f>SUM(DG202:DR202)</f>
        <v>0</v>
      </c>
      <c r="DU202" s="390"/>
      <c r="DV202" s="358"/>
      <c r="DW202" s="1346"/>
      <c r="DX202" s="390"/>
      <c r="DY202" s="358"/>
      <c r="DZ202" s="1346"/>
      <c r="EA202" s="390"/>
      <c r="EB202" s="358"/>
      <c r="EC202" s="1346"/>
      <c r="ED202" s="390"/>
      <c r="EE202" s="358"/>
      <c r="EF202" s="1346"/>
      <c r="EG202" s="1065">
        <f>SUM(DU202:EF202)</f>
        <v>0</v>
      </c>
      <c r="EI202" s="2424"/>
      <c r="EJ202" s="3230">
        <f>B202</f>
        <v>0</v>
      </c>
      <c r="EK202" s="357" t="s">
        <v>1033</v>
      </c>
      <c r="EL202" s="358">
        <f t="shared" ref="EL202:EQ203" si="1019">ROUND(D202,0)</f>
        <v>0</v>
      </c>
      <c r="EM202" s="358">
        <f t="shared" si="1019"/>
        <v>0</v>
      </c>
      <c r="EN202" s="358">
        <f t="shared" si="1019"/>
        <v>0</v>
      </c>
      <c r="EO202" s="358">
        <f t="shared" si="1019"/>
        <v>0</v>
      </c>
      <c r="EP202" s="358">
        <f t="shared" si="1019"/>
        <v>0</v>
      </c>
      <c r="EQ202" s="358">
        <f t="shared" si="1019"/>
        <v>0</v>
      </c>
      <c r="ER202" s="152">
        <f>SUM(EL202:EQ202)</f>
        <v>0</v>
      </c>
      <c r="ES202" s="6"/>
      <c r="ET202" s="9"/>
      <c r="EU202" s="6"/>
      <c r="EV202" s="390">
        <f t="shared" ref="EV202:FA203" si="1020">ROUND(N202,0)</f>
        <v>0</v>
      </c>
      <c r="EW202" s="358">
        <f t="shared" si="1020"/>
        <v>0</v>
      </c>
      <c r="EX202" s="358">
        <f t="shared" si="1020"/>
        <v>0</v>
      </c>
      <c r="EY202" s="358">
        <f t="shared" si="1020"/>
        <v>0</v>
      </c>
      <c r="EZ202" s="358">
        <f t="shared" si="1020"/>
        <v>0</v>
      </c>
      <c r="FA202" s="358">
        <f t="shared" si="1020"/>
        <v>0</v>
      </c>
      <c r="FB202" s="166">
        <f t="shared" si="904"/>
        <v>0</v>
      </c>
      <c r="FC202" s="1"/>
      <c r="FD202" s="390"/>
      <c r="FE202" s="358"/>
      <c r="FF202" s="358"/>
      <c r="FG202" s="358"/>
      <c r="FH202" s="358"/>
      <c r="FI202" s="358"/>
      <c r="FJ202" s="140">
        <f t="shared" si="905"/>
        <v>0</v>
      </c>
      <c r="FL202" s="390"/>
      <c r="FM202" s="358"/>
      <c r="FN202" s="358"/>
      <c r="FO202" s="358"/>
      <c r="FP202" s="358"/>
      <c r="FQ202" s="358"/>
      <c r="FR202" s="208">
        <f t="shared" si="906"/>
        <v>0</v>
      </c>
      <c r="FT202" s="390"/>
      <c r="FU202" s="358"/>
      <c r="FV202" s="358"/>
      <c r="FW202" s="358"/>
      <c r="FX202" s="358"/>
      <c r="FY202" s="358"/>
      <c r="FZ202" s="180">
        <f t="shared" si="907"/>
        <v>0</v>
      </c>
      <c r="GB202" s="390"/>
      <c r="GC202" s="358"/>
      <c r="GD202" s="358"/>
      <c r="GE202" s="358"/>
      <c r="GF202" s="358"/>
      <c r="GG202" s="358"/>
      <c r="GH202" s="152">
        <f t="shared" si="908"/>
        <v>0</v>
      </c>
      <c r="GJ202" s="390"/>
      <c r="GK202" s="358"/>
      <c r="GL202" s="358"/>
      <c r="GM202" s="358"/>
      <c r="GN202" s="358"/>
      <c r="GO202" s="358"/>
      <c r="GP202" s="194">
        <f t="shared" si="909"/>
        <v>0</v>
      </c>
      <c r="GR202" s="390"/>
      <c r="GS202" s="358"/>
      <c r="GT202" s="358"/>
      <c r="GU202" s="358"/>
      <c r="GV202" s="358"/>
      <c r="GW202" s="358"/>
      <c r="GX202" s="1104">
        <f t="shared" si="910"/>
        <v>0</v>
      </c>
      <c r="GZ202" s="575">
        <f t="shared" si="867"/>
        <v>0</v>
      </c>
      <c r="HA202" s="575">
        <f t="shared" si="868"/>
        <v>0</v>
      </c>
      <c r="HB202" s="575">
        <f t="shared" si="869"/>
        <v>0</v>
      </c>
      <c r="HC202" s="575">
        <f t="shared" si="870"/>
        <v>0</v>
      </c>
      <c r="HD202" s="575">
        <f t="shared" si="871"/>
        <v>0</v>
      </c>
      <c r="HE202" s="575">
        <f t="shared" si="872"/>
        <v>0</v>
      </c>
      <c r="HF202" s="991">
        <f t="shared" si="873"/>
        <v>0</v>
      </c>
      <c r="HG202" s="573">
        <f t="shared" si="874"/>
        <v>0</v>
      </c>
      <c r="HH202" s="257"/>
    </row>
    <row r="203" spans="1:216" ht="15" hidden="1" customHeight="1" thickBot="1" x14ac:dyDescent="0.3">
      <c r="A203" s="2424"/>
      <c r="B203" s="3231"/>
      <c r="C203" s="368" t="s">
        <v>224</v>
      </c>
      <c r="D203" s="55">
        <f>IF('DATA INPUT'!I114&gt;50000,'DATA INPUT'!I114-D202,0)</f>
        <v>0</v>
      </c>
      <c r="E203" s="55">
        <f>IF('DATA INPUT'!J114&gt;E202,'DATA INPUT'!J114-E202,0)</f>
        <v>0</v>
      </c>
      <c r="F203" s="55">
        <f>IF('DATA INPUT'!K114&gt;F202,'DATA INPUT'!K114-F202,0)</f>
        <v>0</v>
      </c>
      <c r="G203" s="55">
        <f>IF('DATA INPUT'!L114&gt;G202,'DATA INPUT'!L114-G202,0)</f>
        <v>0</v>
      </c>
      <c r="H203" s="55">
        <f>IF('DATA INPUT'!M114&gt;H202,'DATA INPUT'!M114-H202,0)</f>
        <v>0</v>
      </c>
      <c r="I203" s="55">
        <f>IF('DATA INPUT'!N114&gt;I202,'DATA INPUT'!N114-I202,0)</f>
        <v>0</v>
      </c>
      <c r="J203" s="150">
        <f>SUM(D203:I203)</f>
        <v>0</v>
      </c>
      <c r="K203" s="9"/>
      <c r="L203" s="9"/>
      <c r="M203" s="9"/>
      <c r="N203" s="391"/>
      <c r="O203" s="55"/>
      <c r="P203" s="55"/>
      <c r="Q203" s="55"/>
      <c r="R203" s="55"/>
      <c r="S203" s="55"/>
      <c r="T203" s="164">
        <f t="shared" si="895"/>
        <v>0</v>
      </c>
      <c r="U203" s="1"/>
      <c r="V203" s="391"/>
      <c r="W203" s="55"/>
      <c r="X203" s="55"/>
      <c r="Y203" s="55"/>
      <c r="Z203" s="55"/>
      <c r="AA203" s="55"/>
      <c r="AB203" s="138">
        <f t="shared" si="896"/>
        <v>0</v>
      </c>
      <c r="AD203" s="391"/>
      <c r="AE203" s="55"/>
      <c r="AF203" s="55"/>
      <c r="AG203" s="55"/>
      <c r="AH203" s="55"/>
      <c r="AI203" s="55"/>
      <c r="AJ203" s="206">
        <f t="shared" si="897"/>
        <v>0</v>
      </c>
      <c r="AL203" s="391"/>
      <c r="AM203" s="55"/>
      <c r="AN203" s="55"/>
      <c r="AO203" s="55"/>
      <c r="AP203" s="55"/>
      <c r="AQ203" s="55"/>
      <c r="AR203" s="178">
        <f t="shared" si="898"/>
        <v>0</v>
      </c>
      <c r="AT203" s="391"/>
      <c r="AU203" s="55"/>
      <c r="AV203" s="55"/>
      <c r="AW203" s="55"/>
      <c r="AX203" s="55"/>
      <c r="AY203" s="55"/>
      <c r="AZ203" s="150">
        <f t="shared" si="899"/>
        <v>0</v>
      </c>
      <c r="BB203" s="391"/>
      <c r="BC203" s="55"/>
      <c r="BD203" s="55"/>
      <c r="BE203" s="55"/>
      <c r="BF203" s="55"/>
      <c r="BG203" s="55"/>
      <c r="BH203" s="192">
        <f t="shared" si="900"/>
        <v>0</v>
      </c>
      <c r="BJ203" s="391"/>
      <c r="BK203" s="55"/>
      <c r="BL203" s="55"/>
      <c r="BM203" s="55"/>
      <c r="BN203" s="55"/>
      <c r="BO203" s="55"/>
      <c r="BP203" s="1102">
        <f t="shared" si="901"/>
        <v>0</v>
      </c>
      <c r="BR203" s="575">
        <f t="shared" si="844"/>
        <v>0</v>
      </c>
      <c r="BS203" s="575">
        <f t="shared" si="845"/>
        <v>0</v>
      </c>
      <c r="BT203" s="575">
        <f t="shared" si="846"/>
        <v>0</v>
      </c>
      <c r="BU203" s="575">
        <f t="shared" si="847"/>
        <v>0</v>
      </c>
      <c r="BV203" s="575">
        <f t="shared" si="848"/>
        <v>0</v>
      </c>
      <c r="BW203" s="575">
        <f t="shared" si="849"/>
        <v>0</v>
      </c>
      <c r="BX203" s="991">
        <f t="shared" si="850"/>
        <v>0</v>
      </c>
      <c r="BY203" s="573">
        <f t="shared" si="851"/>
        <v>0</v>
      </c>
      <c r="BZ203" s="257"/>
      <c r="CB203" s="1323">
        <f>D203</f>
        <v>0</v>
      </c>
      <c r="CC203" s="1324">
        <f>E203</f>
        <v>0</v>
      </c>
      <c r="CD203" s="1325"/>
      <c r="CE203" s="1325"/>
      <c r="CF203" s="1325"/>
      <c r="CG203" s="1326"/>
      <c r="CH203" s="1331">
        <f>$F203</f>
        <v>0</v>
      </c>
      <c r="CI203" s="1332"/>
      <c r="CJ203" s="1332"/>
      <c r="CK203" s="1332"/>
      <c r="CL203" s="1333"/>
      <c r="CM203" s="1334">
        <f>$G203</f>
        <v>0</v>
      </c>
      <c r="CN203" s="1335"/>
      <c r="CO203" s="1336"/>
      <c r="CP203" s="1228">
        <f>SUM(CB203:CO203)</f>
        <v>0</v>
      </c>
      <c r="CS203" s="391"/>
      <c r="CT203" s="55"/>
      <c r="CU203" s="1347"/>
      <c r="CV203" s="391"/>
      <c r="CW203" s="55"/>
      <c r="CX203" s="1347"/>
      <c r="CY203" s="391"/>
      <c r="CZ203" s="55"/>
      <c r="DA203" s="1347"/>
      <c r="DB203" s="391"/>
      <c r="DC203" s="55"/>
      <c r="DD203" s="1347"/>
      <c r="DE203" s="1181">
        <f>SUM(CS203:DD203)</f>
        <v>0</v>
      </c>
      <c r="DG203" s="391"/>
      <c r="DH203" s="55"/>
      <c r="DI203" s="1347"/>
      <c r="DJ203" s="391"/>
      <c r="DK203" s="55"/>
      <c r="DL203" s="1347"/>
      <c r="DM203" s="391"/>
      <c r="DN203" s="55"/>
      <c r="DO203" s="1347"/>
      <c r="DP203" s="391"/>
      <c r="DQ203" s="55"/>
      <c r="DR203" s="1347"/>
      <c r="DS203" s="1181">
        <f>SUM(DG203:DR203)</f>
        <v>0</v>
      </c>
      <c r="DU203" s="391"/>
      <c r="DV203" s="55"/>
      <c r="DW203" s="1347"/>
      <c r="DX203" s="391"/>
      <c r="DY203" s="55"/>
      <c r="DZ203" s="1347"/>
      <c r="EA203" s="391"/>
      <c r="EB203" s="55"/>
      <c r="EC203" s="1347"/>
      <c r="ED203" s="391"/>
      <c r="EE203" s="55"/>
      <c r="EF203" s="1347"/>
      <c r="EG203" s="1181">
        <f>SUM(DU203:EF203)</f>
        <v>0</v>
      </c>
      <c r="EI203" s="2424"/>
      <c r="EJ203" s="3231"/>
      <c r="EK203" s="368" t="s">
        <v>224</v>
      </c>
      <c r="EL203" s="55">
        <f t="shared" si="1019"/>
        <v>0</v>
      </c>
      <c r="EM203" s="55">
        <f t="shared" si="1019"/>
        <v>0</v>
      </c>
      <c r="EN203" s="55">
        <f t="shared" si="1019"/>
        <v>0</v>
      </c>
      <c r="EO203" s="55">
        <f t="shared" si="1019"/>
        <v>0</v>
      </c>
      <c r="EP203" s="55">
        <f t="shared" si="1019"/>
        <v>0</v>
      </c>
      <c r="EQ203" s="55">
        <f t="shared" si="1019"/>
        <v>0</v>
      </c>
      <c r="ER203" s="150">
        <f>SUM(EL203:EQ203)</f>
        <v>0</v>
      </c>
      <c r="ES203" s="9"/>
      <c r="ET203" s="9"/>
      <c r="EU203" s="9"/>
      <c r="EV203" s="391">
        <f t="shared" si="1020"/>
        <v>0</v>
      </c>
      <c r="EW203" s="55">
        <f t="shared" si="1020"/>
        <v>0</v>
      </c>
      <c r="EX203" s="55">
        <f t="shared" si="1020"/>
        <v>0</v>
      </c>
      <c r="EY203" s="55">
        <f t="shared" si="1020"/>
        <v>0</v>
      </c>
      <c r="EZ203" s="55">
        <f t="shared" si="1020"/>
        <v>0</v>
      </c>
      <c r="FA203" s="55">
        <f t="shared" si="1020"/>
        <v>0</v>
      </c>
      <c r="FB203" s="164">
        <f t="shared" si="904"/>
        <v>0</v>
      </c>
      <c r="FC203" s="1"/>
      <c r="FD203" s="391"/>
      <c r="FE203" s="55"/>
      <c r="FF203" s="55"/>
      <c r="FG203" s="55"/>
      <c r="FH203" s="55"/>
      <c r="FI203" s="55"/>
      <c r="FJ203" s="138">
        <f t="shared" si="905"/>
        <v>0</v>
      </c>
      <c r="FL203" s="391"/>
      <c r="FM203" s="55"/>
      <c r="FN203" s="55"/>
      <c r="FO203" s="55"/>
      <c r="FP203" s="55"/>
      <c r="FQ203" s="55"/>
      <c r="FR203" s="206">
        <f t="shared" si="906"/>
        <v>0</v>
      </c>
      <c r="FT203" s="391"/>
      <c r="FU203" s="55"/>
      <c r="FV203" s="55"/>
      <c r="FW203" s="55"/>
      <c r="FX203" s="55"/>
      <c r="FY203" s="55"/>
      <c r="FZ203" s="178">
        <f t="shared" si="907"/>
        <v>0</v>
      </c>
      <c r="GB203" s="391"/>
      <c r="GC203" s="55"/>
      <c r="GD203" s="55"/>
      <c r="GE203" s="55"/>
      <c r="GF203" s="55"/>
      <c r="GG203" s="55"/>
      <c r="GH203" s="150">
        <f t="shared" si="908"/>
        <v>0</v>
      </c>
      <c r="GJ203" s="391"/>
      <c r="GK203" s="55"/>
      <c r="GL203" s="55"/>
      <c r="GM203" s="55"/>
      <c r="GN203" s="55"/>
      <c r="GO203" s="55"/>
      <c r="GP203" s="192">
        <f t="shared" si="909"/>
        <v>0</v>
      </c>
      <c r="GR203" s="391"/>
      <c r="GS203" s="55"/>
      <c r="GT203" s="55"/>
      <c r="GU203" s="55"/>
      <c r="GV203" s="55"/>
      <c r="GW203" s="55"/>
      <c r="GX203" s="1102">
        <f t="shared" si="910"/>
        <v>0</v>
      </c>
      <c r="GZ203" s="575">
        <f t="shared" si="867"/>
        <v>0</v>
      </c>
      <c r="HA203" s="575">
        <f t="shared" si="868"/>
        <v>0</v>
      </c>
      <c r="HB203" s="575">
        <f t="shared" si="869"/>
        <v>0</v>
      </c>
      <c r="HC203" s="575">
        <f t="shared" si="870"/>
        <v>0</v>
      </c>
      <c r="HD203" s="575">
        <f t="shared" si="871"/>
        <v>0</v>
      </c>
      <c r="HE203" s="575">
        <f t="shared" si="872"/>
        <v>0</v>
      </c>
      <c r="HF203" s="991">
        <f t="shared" si="873"/>
        <v>0</v>
      </c>
      <c r="HG203" s="573">
        <f t="shared" si="874"/>
        <v>0</v>
      </c>
      <c r="HH203" s="257"/>
    </row>
    <row r="204" spans="1:216" ht="15" hidden="1" customHeight="1" thickBot="1" x14ac:dyDescent="0.3">
      <c r="A204" s="2424"/>
      <c r="B204" s="3232"/>
      <c r="C204" s="372" t="s">
        <v>239</v>
      </c>
      <c r="D204" s="373">
        <f t="shared" ref="D204:J204" si="1021">SUM(D202:D203)</f>
        <v>0</v>
      </c>
      <c r="E204" s="373">
        <f t="shared" si="1021"/>
        <v>0</v>
      </c>
      <c r="F204" s="373">
        <f t="shared" si="1021"/>
        <v>0</v>
      </c>
      <c r="G204" s="373">
        <f t="shared" si="1021"/>
        <v>0</v>
      </c>
      <c r="H204" s="373">
        <f t="shared" si="1021"/>
        <v>0</v>
      </c>
      <c r="I204" s="373">
        <f t="shared" si="1021"/>
        <v>0</v>
      </c>
      <c r="J204" s="374">
        <f t="shared" si="1021"/>
        <v>0</v>
      </c>
      <c r="K204" s="13">
        <f>SUM(D204:I204)</f>
        <v>0</v>
      </c>
      <c r="L204" s="13"/>
      <c r="M204" s="9"/>
      <c r="N204" s="392">
        <f t="shared" ref="N204:S204" si="1022">SUM(N202:N203)</f>
        <v>0</v>
      </c>
      <c r="O204" s="373">
        <f t="shared" si="1022"/>
        <v>0</v>
      </c>
      <c r="P204" s="373">
        <f t="shared" si="1022"/>
        <v>0</v>
      </c>
      <c r="Q204" s="373">
        <f t="shared" si="1022"/>
        <v>0</v>
      </c>
      <c r="R204" s="373">
        <f t="shared" si="1022"/>
        <v>0</v>
      </c>
      <c r="S204" s="373">
        <f t="shared" si="1022"/>
        <v>0</v>
      </c>
      <c r="T204" s="393">
        <f t="shared" si="895"/>
        <v>0</v>
      </c>
      <c r="U204" s="1"/>
      <c r="V204" s="392">
        <f t="shared" ref="V204:AA204" si="1023">SUM(V202:V203)</f>
        <v>0</v>
      </c>
      <c r="W204" s="373">
        <f t="shared" si="1023"/>
        <v>0</v>
      </c>
      <c r="X204" s="373">
        <f t="shared" si="1023"/>
        <v>0</v>
      </c>
      <c r="Y204" s="373">
        <f t="shared" si="1023"/>
        <v>0</v>
      </c>
      <c r="Z204" s="373">
        <f t="shared" si="1023"/>
        <v>0</v>
      </c>
      <c r="AA204" s="373">
        <f t="shared" si="1023"/>
        <v>0</v>
      </c>
      <c r="AB204" s="393">
        <f t="shared" si="896"/>
        <v>0</v>
      </c>
      <c r="AD204" s="392">
        <f t="shared" ref="AD204:AI204" si="1024">SUM(AD202:AD203)</f>
        <v>0</v>
      </c>
      <c r="AE204" s="373">
        <f t="shared" si="1024"/>
        <v>0</v>
      </c>
      <c r="AF204" s="373">
        <f t="shared" si="1024"/>
        <v>0</v>
      </c>
      <c r="AG204" s="373">
        <f t="shared" si="1024"/>
        <v>0</v>
      </c>
      <c r="AH204" s="373">
        <f t="shared" si="1024"/>
        <v>0</v>
      </c>
      <c r="AI204" s="373">
        <f t="shared" si="1024"/>
        <v>0</v>
      </c>
      <c r="AJ204" s="393">
        <f t="shared" si="897"/>
        <v>0</v>
      </c>
      <c r="AL204" s="392">
        <f t="shared" ref="AL204:AQ204" si="1025">SUM(AL202:AL203)</f>
        <v>0</v>
      </c>
      <c r="AM204" s="373">
        <f t="shared" si="1025"/>
        <v>0</v>
      </c>
      <c r="AN204" s="373">
        <f t="shared" si="1025"/>
        <v>0</v>
      </c>
      <c r="AO204" s="373">
        <f t="shared" si="1025"/>
        <v>0</v>
      </c>
      <c r="AP204" s="373">
        <f t="shared" si="1025"/>
        <v>0</v>
      </c>
      <c r="AQ204" s="373">
        <f t="shared" si="1025"/>
        <v>0</v>
      </c>
      <c r="AR204" s="393">
        <f t="shared" si="898"/>
        <v>0</v>
      </c>
      <c r="AT204" s="392">
        <f t="shared" ref="AT204:AY204" si="1026">SUM(AT202:AT203)</f>
        <v>0</v>
      </c>
      <c r="AU204" s="373">
        <f t="shared" si="1026"/>
        <v>0</v>
      </c>
      <c r="AV204" s="373">
        <f t="shared" si="1026"/>
        <v>0</v>
      </c>
      <c r="AW204" s="373">
        <f t="shared" si="1026"/>
        <v>0</v>
      </c>
      <c r="AX204" s="373">
        <f t="shared" si="1026"/>
        <v>0</v>
      </c>
      <c r="AY204" s="373">
        <f t="shared" si="1026"/>
        <v>0</v>
      </c>
      <c r="AZ204" s="393">
        <f t="shared" si="899"/>
        <v>0</v>
      </c>
      <c r="BB204" s="392">
        <f t="shared" ref="BB204:BG204" si="1027">SUM(BB202:BB203)</f>
        <v>0</v>
      </c>
      <c r="BC204" s="373">
        <f t="shared" si="1027"/>
        <v>0</v>
      </c>
      <c r="BD204" s="373">
        <f t="shared" si="1027"/>
        <v>0</v>
      </c>
      <c r="BE204" s="373">
        <f t="shared" si="1027"/>
        <v>0</v>
      </c>
      <c r="BF204" s="373">
        <f t="shared" si="1027"/>
        <v>0</v>
      </c>
      <c r="BG204" s="373">
        <f t="shared" si="1027"/>
        <v>0</v>
      </c>
      <c r="BH204" s="393">
        <f t="shared" si="900"/>
        <v>0</v>
      </c>
      <c r="BJ204" s="392">
        <f t="shared" ref="BJ204:BO204" si="1028">SUM(BJ202:BJ203)</f>
        <v>0</v>
      </c>
      <c r="BK204" s="373">
        <f t="shared" si="1028"/>
        <v>0</v>
      </c>
      <c r="BL204" s="373">
        <f t="shared" si="1028"/>
        <v>0</v>
      </c>
      <c r="BM204" s="373">
        <f t="shared" si="1028"/>
        <v>0</v>
      </c>
      <c r="BN204" s="373">
        <f t="shared" si="1028"/>
        <v>0</v>
      </c>
      <c r="BO204" s="373">
        <f t="shared" si="1028"/>
        <v>0</v>
      </c>
      <c r="BP204" s="1103">
        <f t="shared" si="901"/>
        <v>0</v>
      </c>
      <c r="BR204" s="579">
        <f t="shared" si="844"/>
        <v>0</v>
      </c>
      <c r="BS204" s="579">
        <f t="shared" si="845"/>
        <v>0</v>
      </c>
      <c r="BT204" s="579">
        <f t="shared" si="846"/>
        <v>0</v>
      </c>
      <c r="BU204" s="579">
        <f t="shared" si="847"/>
        <v>0</v>
      </c>
      <c r="BV204" s="579">
        <f t="shared" si="848"/>
        <v>0</v>
      </c>
      <c r="BW204" s="579">
        <f t="shared" si="849"/>
        <v>0</v>
      </c>
      <c r="BX204" s="579">
        <f t="shared" si="850"/>
        <v>0</v>
      </c>
      <c r="BY204" s="580">
        <f t="shared" si="851"/>
        <v>0</v>
      </c>
      <c r="BZ204" s="257"/>
      <c r="CB204" s="1348">
        <f t="shared" ref="CB204:CP204" si="1029">SUM(CB202:CB203)</f>
        <v>0</v>
      </c>
      <c r="CC204" s="1348">
        <f t="shared" si="1029"/>
        <v>0</v>
      </c>
      <c r="CD204" s="1348">
        <f t="shared" si="1029"/>
        <v>0</v>
      </c>
      <c r="CE204" s="1348">
        <f t="shared" si="1029"/>
        <v>0</v>
      </c>
      <c r="CF204" s="1348">
        <f t="shared" si="1029"/>
        <v>0</v>
      </c>
      <c r="CG204" s="1348">
        <f t="shared" si="1029"/>
        <v>0</v>
      </c>
      <c r="CH204" s="1348">
        <f t="shared" si="1029"/>
        <v>0</v>
      </c>
      <c r="CI204" s="1348">
        <f t="shared" si="1029"/>
        <v>0</v>
      </c>
      <c r="CJ204" s="1348">
        <f t="shared" si="1029"/>
        <v>0</v>
      </c>
      <c r="CK204" s="1348">
        <f t="shared" si="1029"/>
        <v>0</v>
      </c>
      <c r="CL204" s="1348">
        <f t="shared" si="1029"/>
        <v>0</v>
      </c>
      <c r="CM204" s="1348">
        <f t="shared" si="1029"/>
        <v>0</v>
      </c>
      <c r="CN204" s="1348">
        <f t="shared" si="1029"/>
        <v>0</v>
      </c>
      <c r="CO204" s="1348">
        <f t="shared" si="1029"/>
        <v>0</v>
      </c>
      <c r="CP204" s="1348">
        <f t="shared" si="1029"/>
        <v>0</v>
      </c>
      <c r="CS204" s="1348">
        <f t="shared" ref="CS204:DE204" si="1030">SUM(CS202:CS203)</f>
        <v>0</v>
      </c>
      <c r="CT204" s="1348">
        <f t="shared" si="1030"/>
        <v>0</v>
      </c>
      <c r="CU204" s="1348">
        <f t="shared" si="1030"/>
        <v>0</v>
      </c>
      <c r="CV204" s="1348">
        <f t="shared" si="1030"/>
        <v>0</v>
      </c>
      <c r="CW204" s="1348">
        <f t="shared" si="1030"/>
        <v>0</v>
      </c>
      <c r="CX204" s="1348">
        <f t="shared" si="1030"/>
        <v>0</v>
      </c>
      <c r="CY204" s="1348">
        <f t="shared" si="1030"/>
        <v>0</v>
      </c>
      <c r="CZ204" s="1348">
        <f t="shared" si="1030"/>
        <v>0</v>
      </c>
      <c r="DA204" s="1348">
        <f t="shared" si="1030"/>
        <v>0</v>
      </c>
      <c r="DB204" s="1348">
        <f t="shared" si="1030"/>
        <v>0</v>
      </c>
      <c r="DC204" s="1348">
        <f t="shared" si="1030"/>
        <v>0</v>
      </c>
      <c r="DD204" s="1348">
        <f t="shared" si="1030"/>
        <v>0</v>
      </c>
      <c r="DE204" s="1348">
        <f t="shared" si="1030"/>
        <v>0</v>
      </c>
      <c r="DG204" s="1348">
        <f t="shared" ref="DG204:DS204" si="1031">SUM(DG202:DG203)</f>
        <v>0</v>
      </c>
      <c r="DH204" s="1348">
        <f t="shared" si="1031"/>
        <v>0</v>
      </c>
      <c r="DI204" s="1348">
        <f t="shared" si="1031"/>
        <v>0</v>
      </c>
      <c r="DJ204" s="1348">
        <f t="shared" si="1031"/>
        <v>0</v>
      </c>
      <c r="DK204" s="1348">
        <f t="shared" si="1031"/>
        <v>0</v>
      </c>
      <c r="DL204" s="1348">
        <f t="shared" si="1031"/>
        <v>0</v>
      </c>
      <c r="DM204" s="1348">
        <f t="shared" si="1031"/>
        <v>0</v>
      </c>
      <c r="DN204" s="1348">
        <f t="shared" si="1031"/>
        <v>0</v>
      </c>
      <c r="DO204" s="1348">
        <f t="shared" si="1031"/>
        <v>0</v>
      </c>
      <c r="DP204" s="1348">
        <f t="shared" si="1031"/>
        <v>0</v>
      </c>
      <c r="DQ204" s="1348">
        <f t="shared" si="1031"/>
        <v>0</v>
      </c>
      <c r="DR204" s="1348">
        <f t="shared" si="1031"/>
        <v>0</v>
      </c>
      <c r="DS204" s="1348">
        <f t="shared" si="1031"/>
        <v>0</v>
      </c>
      <c r="DU204" s="1348">
        <f t="shared" ref="DU204:EG204" si="1032">SUM(DU202:DU203)</f>
        <v>0</v>
      </c>
      <c r="DV204" s="1348">
        <f t="shared" si="1032"/>
        <v>0</v>
      </c>
      <c r="DW204" s="1348">
        <f t="shared" si="1032"/>
        <v>0</v>
      </c>
      <c r="DX204" s="1348">
        <f t="shared" si="1032"/>
        <v>0</v>
      </c>
      <c r="DY204" s="1348">
        <f t="shared" si="1032"/>
        <v>0</v>
      </c>
      <c r="DZ204" s="1348">
        <f t="shared" si="1032"/>
        <v>0</v>
      </c>
      <c r="EA204" s="1348">
        <f t="shared" si="1032"/>
        <v>0</v>
      </c>
      <c r="EB204" s="1348">
        <f t="shared" si="1032"/>
        <v>0</v>
      </c>
      <c r="EC204" s="1348">
        <f t="shared" si="1032"/>
        <v>0</v>
      </c>
      <c r="ED204" s="1348">
        <f t="shared" si="1032"/>
        <v>0</v>
      </c>
      <c r="EE204" s="1348">
        <f t="shared" si="1032"/>
        <v>0</v>
      </c>
      <c r="EF204" s="1348">
        <f t="shared" si="1032"/>
        <v>0</v>
      </c>
      <c r="EG204" s="1348">
        <f t="shared" si="1032"/>
        <v>0</v>
      </c>
      <c r="EI204" s="2424"/>
      <c r="EJ204" s="3232"/>
      <c r="EK204" s="372" t="s">
        <v>239</v>
      </c>
      <c r="EL204" s="373">
        <f t="shared" ref="EL204:ER204" si="1033">SUM(EL202:EL203)</f>
        <v>0</v>
      </c>
      <c r="EM204" s="373">
        <f t="shared" si="1033"/>
        <v>0</v>
      </c>
      <c r="EN204" s="373">
        <f t="shared" si="1033"/>
        <v>0</v>
      </c>
      <c r="EO204" s="373">
        <f t="shared" si="1033"/>
        <v>0</v>
      </c>
      <c r="EP204" s="373">
        <f t="shared" si="1033"/>
        <v>0</v>
      </c>
      <c r="EQ204" s="373">
        <f t="shared" si="1033"/>
        <v>0</v>
      </c>
      <c r="ER204" s="374">
        <f t="shared" si="1033"/>
        <v>0</v>
      </c>
      <c r="ES204" s="13">
        <f>SUM(EL204:EQ204)</f>
        <v>0</v>
      </c>
      <c r="ET204" s="13"/>
      <c r="EU204" s="9"/>
      <c r="EV204" s="392">
        <f t="shared" ref="EV204:FA204" si="1034">SUM(EV202:EV203)</f>
        <v>0</v>
      </c>
      <c r="EW204" s="373">
        <f t="shared" si="1034"/>
        <v>0</v>
      </c>
      <c r="EX204" s="373">
        <f t="shared" si="1034"/>
        <v>0</v>
      </c>
      <c r="EY204" s="373">
        <f t="shared" si="1034"/>
        <v>0</v>
      </c>
      <c r="EZ204" s="373">
        <f t="shared" si="1034"/>
        <v>0</v>
      </c>
      <c r="FA204" s="373">
        <f t="shared" si="1034"/>
        <v>0</v>
      </c>
      <c r="FB204" s="393">
        <f t="shared" si="904"/>
        <v>0</v>
      </c>
      <c r="FC204" s="1"/>
      <c r="FD204" s="392">
        <f t="shared" ref="FD204:FI204" si="1035">SUM(FD202:FD203)</f>
        <v>0</v>
      </c>
      <c r="FE204" s="373">
        <f t="shared" si="1035"/>
        <v>0</v>
      </c>
      <c r="FF204" s="373">
        <f t="shared" si="1035"/>
        <v>0</v>
      </c>
      <c r="FG204" s="373">
        <f t="shared" si="1035"/>
        <v>0</v>
      </c>
      <c r="FH204" s="373">
        <f t="shared" si="1035"/>
        <v>0</v>
      </c>
      <c r="FI204" s="373">
        <f t="shared" si="1035"/>
        <v>0</v>
      </c>
      <c r="FJ204" s="393">
        <f t="shared" si="905"/>
        <v>0</v>
      </c>
      <c r="FL204" s="392">
        <f t="shared" ref="FL204:FQ204" si="1036">SUM(FL202:FL203)</f>
        <v>0</v>
      </c>
      <c r="FM204" s="373">
        <f t="shared" si="1036"/>
        <v>0</v>
      </c>
      <c r="FN204" s="373">
        <f t="shared" si="1036"/>
        <v>0</v>
      </c>
      <c r="FO204" s="373">
        <f t="shared" si="1036"/>
        <v>0</v>
      </c>
      <c r="FP204" s="373">
        <f t="shared" si="1036"/>
        <v>0</v>
      </c>
      <c r="FQ204" s="373">
        <f t="shared" si="1036"/>
        <v>0</v>
      </c>
      <c r="FR204" s="393">
        <f t="shared" si="906"/>
        <v>0</v>
      </c>
      <c r="FT204" s="392">
        <f t="shared" ref="FT204:FY204" si="1037">SUM(FT202:FT203)</f>
        <v>0</v>
      </c>
      <c r="FU204" s="373">
        <f t="shared" si="1037"/>
        <v>0</v>
      </c>
      <c r="FV204" s="373">
        <f t="shared" si="1037"/>
        <v>0</v>
      </c>
      <c r="FW204" s="373">
        <f t="shared" si="1037"/>
        <v>0</v>
      </c>
      <c r="FX204" s="373">
        <f t="shared" si="1037"/>
        <v>0</v>
      </c>
      <c r="FY204" s="373">
        <f t="shared" si="1037"/>
        <v>0</v>
      </c>
      <c r="FZ204" s="393">
        <f t="shared" si="907"/>
        <v>0</v>
      </c>
      <c r="GB204" s="392">
        <f t="shared" ref="GB204:GG204" si="1038">SUM(GB202:GB203)</f>
        <v>0</v>
      </c>
      <c r="GC204" s="373">
        <f t="shared" si="1038"/>
        <v>0</v>
      </c>
      <c r="GD204" s="373">
        <f t="shared" si="1038"/>
        <v>0</v>
      </c>
      <c r="GE204" s="373">
        <f t="shared" si="1038"/>
        <v>0</v>
      </c>
      <c r="GF204" s="373">
        <f t="shared" si="1038"/>
        <v>0</v>
      </c>
      <c r="GG204" s="373">
        <f t="shared" si="1038"/>
        <v>0</v>
      </c>
      <c r="GH204" s="393">
        <f t="shared" si="908"/>
        <v>0</v>
      </c>
      <c r="GJ204" s="392">
        <f t="shared" ref="GJ204:GO204" si="1039">SUM(GJ202:GJ203)</f>
        <v>0</v>
      </c>
      <c r="GK204" s="373">
        <f t="shared" si="1039"/>
        <v>0</v>
      </c>
      <c r="GL204" s="373">
        <f t="shared" si="1039"/>
        <v>0</v>
      </c>
      <c r="GM204" s="373">
        <f t="shared" si="1039"/>
        <v>0</v>
      </c>
      <c r="GN204" s="373">
        <f t="shared" si="1039"/>
        <v>0</v>
      </c>
      <c r="GO204" s="373">
        <f t="shared" si="1039"/>
        <v>0</v>
      </c>
      <c r="GP204" s="393">
        <f t="shared" si="909"/>
        <v>0</v>
      </c>
      <c r="GR204" s="392">
        <f t="shared" ref="GR204:GW204" si="1040">SUM(GR202:GR203)</f>
        <v>0</v>
      </c>
      <c r="GS204" s="373">
        <f t="shared" si="1040"/>
        <v>0</v>
      </c>
      <c r="GT204" s="373">
        <f t="shared" si="1040"/>
        <v>0</v>
      </c>
      <c r="GU204" s="373">
        <f t="shared" si="1040"/>
        <v>0</v>
      </c>
      <c r="GV204" s="373">
        <f t="shared" si="1040"/>
        <v>0</v>
      </c>
      <c r="GW204" s="373">
        <f t="shared" si="1040"/>
        <v>0</v>
      </c>
      <c r="GX204" s="1103">
        <f t="shared" si="910"/>
        <v>0</v>
      </c>
      <c r="GZ204" s="579">
        <f t="shared" si="867"/>
        <v>0</v>
      </c>
      <c r="HA204" s="579">
        <f t="shared" si="868"/>
        <v>0</v>
      </c>
      <c r="HB204" s="579">
        <f t="shared" si="869"/>
        <v>0</v>
      </c>
      <c r="HC204" s="579">
        <f t="shared" si="870"/>
        <v>0</v>
      </c>
      <c r="HD204" s="579">
        <f t="shared" si="871"/>
        <v>0</v>
      </c>
      <c r="HE204" s="579">
        <f t="shared" si="872"/>
        <v>0</v>
      </c>
      <c r="HF204" s="579">
        <f t="shared" si="873"/>
        <v>0</v>
      </c>
      <c r="HG204" s="580">
        <f t="shared" si="874"/>
        <v>0</v>
      </c>
      <c r="HH204" s="257"/>
    </row>
    <row r="205" spans="1:216" ht="15" hidden="1" customHeight="1" x14ac:dyDescent="0.25">
      <c r="A205" s="2424"/>
      <c r="B205" s="3320">
        <f>'DATA INPUT'!B115</f>
        <v>0</v>
      </c>
      <c r="C205" s="359" t="s">
        <v>1033</v>
      </c>
      <c r="D205" s="360">
        <f>IF('DATA INPUT'!I115&gt;0,IF('DATA INPUT'!I115&lt;=50000,'DATA INPUT'!I115,50000),0)</f>
        <v>0</v>
      </c>
      <c r="E205" s="360">
        <f>IF('DATA INPUT'!J115&gt;0,IF(SUM($D205:D205)&lt;50000,MIN('DATA INPUT'!J115,50000-SUM($D205:D205)),0),0)</f>
        <v>0</v>
      </c>
      <c r="F205" s="360">
        <f>IF('DATA INPUT'!K115&gt;0,IF(SUM($D205:E205)&lt;50000,MIN('DATA INPUT'!K115,50000-SUM($D205:E205)),0),0)</f>
        <v>0</v>
      </c>
      <c r="G205" s="360">
        <f>IF('DATA INPUT'!L115&gt;0,IF(SUM($D205:F205)&lt;50000,MIN('DATA INPUT'!L115,50000-SUM($D205:F205)),0),0)</f>
        <v>0</v>
      </c>
      <c r="H205" s="360">
        <f>IF('DATA INPUT'!M115&gt;0,IF(SUM($D205:G205)&lt;50000,MIN('DATA INPUT'!M115,50000-SUM($D205:G205)),0),0)</f>
        <v>0</v>
      </c>
      <c r="I205" s="360">
        <f>IF('DATA INPUT'!N115&gt;0,IF(SUM($D205:H205)&lt;50000,MIN('DATA INPUT'!N115,50000-SUM($D205:H205)),0),0)</f>
        <v>0</v>
      </c>
      <c r="J205" s="180">
        <f>SUM(D205:I205)</f>
        <v>0</v>
      </c>
      <c r="K205" s="6"/>
      <c r="L205" s="9"/>
      <c r="M205" s="6"/>
      <c r="N205" s="386"/>
      <c r="O205" s="360"/>
      <c r="P205" s="360"/>
      <c r="Q205" s="360"/>
      <c r="R205" s="360"/>
      <c r="S205" s="360"/>
      <c r="T205" s="166">
        <f t="shared" si="895"/>
        <v>0</v>
      </c>
      <c r="U205" s="1"/>
      <c r="V205" s="386"/>
      <c r="W205" s="360"/>
      <c r="X205" s="360"/>
      <c r="Y205" s="360"/>
      <c r="Z205" s="360"/>
      <c r="AA205" s="360"/>
      <c r="AB205" s="140">
        <f t="shared" si="896"/>
        <v>0</v>
      </c>
      <c r="AD205" s="386"/>
      <c r="AE205" s="360"/>
      <c r="AF205" s="360"/>
      <c r="AG205" s="360"/>
      <c r="AH205" s="360"/>
      <c r="AI205" s="360"/>
      <c r="AJ205" s="208">
        <f t="shared" si="897"/>
        <v>0</v>
      </c>
      <c r="AL205" s="386"/>
      <c r="AM205" s="360"/>
      <c r="AN205" s="360"/>
      <c r="AO205" s="360"/>
      <c r="AP205" s="360"/>
      <c r="AQ205" s="360"/>
      <c r="AR205" s="180">
        <f t="shared" si="898"/>
        <v>0</v>
      </c>
      <c r="AT205" s="386"/>
      <c r="AU205" s="360"/>
      <c r="AV205" s="360"/>
      <c r="AW205" s="360"/>
      <c r="AX205" s="360"/>
      <c r="AY205" s="360"/>
      <c r="AZ205" s="152">
        <f t="shared" si="899"/>
        <v>0</v>
      </c>
      <c r="BB205" s="386"/>
      <c r="BC205" s="360"/>
      <c r="BD205" s="360"/>
      <c r="BE205" s="360"/>
      <c r="BF205" s="360"/>
      <c r="BG205" s="360"/>
      <c r="BH205" s="194">
        <f t="shared" si="900"/>
        <v>0</v>
      </c>
      <c r="BJ205" s="386"/>
      <c r="BK205" s="360"/>
      <c r="BL205" s="360"/>
      <c r="BM205" s="360"/>
      <c r="BN205" s="360"/>
      <c r="BO205" s="360"/>
      <c r="BP205" s="1104">
        <f t="shared" si="901"/>
        <v>0</v>
      </c>
      <c r="BR205" s="575">
        <f t="shared" si="844"/>
        <v>0</v>
      </c>
      <c r="BS205" s="575">
        <f t="shared" si="845"/>
        <v>0</v>
      </c>
      <c r="BT205" s="575">
        <f t="shared" si="846"/>
        <v>0</v>
      </c>
      <c r="BU205" s="575">
        <f t="shared" si="847"/>
        <v>0</v>
      </c>
      <c r="BV205" s="575">
        <f t="shared" si="848"/>
        <v>0</v>
      </c>
      <c r="BW205" s="575">
        <f t="shared" si="849"/>
        <v>0</v>
      </c>
      <c r="BX205" s="991">
        <f t="shared" si="850"/>
        <v>0</v>
      </c>
      <c r="BY205" s="573">
        <f t="shared" si="851"/>
        <v>0</v>
      </c>
      <c r="BZ205" s="257"/>
      <c r="CB205" s="1339">
        <f>D205</f>
        <v>0</v>
      </c>
      <c r="CC205" s="1170">
        <f>E205</f>
        <v>0</v>
      </c>
      <c r="CD205" s="1171"/>
      <c r="CE205" s="1171"/>
      <c r="CF205" s="1171"/>
      <c r="CG205" s="1172"/>
      <c r="CH205" s="1289">
        <f>$F205</f>
        <v>0</v>
      </c>
      <c r="CI205" s="1174"/>
      <c r="CJ205" s="1174"/>
      <c r="CK205" s="1174"/>
      <c r="CL205" s="1175"/>
      <c r="CM205" s="1176">
        <f>$G205</f>
        <v>0</v>
      </c>
      <c r="CN205" s="1290"/>
      <c r="CO205" s="1178"/>
      <c r="CP205" s="1179">
        <f>SUM(CB205:CO205)</f>
        <v>0</v>
      </c>
      <c r="CS205" s="386"/>
      <c r="CT205" s="360"/>
      <c r="CU205" s="1161"/>
      <c r="CV205" s="386"/>
      <c r="CW205" s="360"/>
      <c r="CX205" s="1161"/>
      <c r="CY205" s="386"/>
      <c r="CZ205" s="360"/>
      <c r="DA205" s="1161"/>
      <c r="DB205" s="386"/>
      <c r="DC205" s="360"/>
      <c r="DD205" s="1161"/>
      <c r="DE205" s="1065">
        <f>SUM(CS205:DD205)</f>
        <v>0</v>
      </c>
      <c r="DG205" s="386"/>
      <c r="DH205" s="360"/>
      <c r="DI205" s="1161"/>
      <c r="DJ205" s="386"/>
      <c r="DK205" s="360"/>
      <c r="DL205" s="1161"/>
      <c r="DM205" s="386"/>
      <c r="DN205" s="360"/>
      <c r="DO205" s="1161"/>
      <c r="DP205" s="386"/>
      <c r="DQ205" s="360"/>
      <c r="DR205" s="1161"/>
      <c r="DS205" s="1065">
        <f>SUM(DG205:DR205)</f>
        <v>0</v>
      </c>
      <c r="DU205" s="386"/>
      <c r="DV205" s="360"/>
      <c r="DW205" s="1161"/>
      <c r="DX205" s="386"/>
      <c r="DY205" s="360"/>
      <c r="DZ205" s="1161"/>
      <c r="EA205" s="386"/>
      <c r="EB205" s="360"/>
      <c r="EC205" s="1161"/>
      <c r="ED205" s="386"/>
      <c r="EE205" s="360"/>
      <c r="EF205" s="1161"/>
      <c r="EG205" s="1065">
        <f>SUM(DU205:EF205)</f>
        <v>0</v>
      </c>
      <c r="EI205" s="2424"/>
      <c r="EJ205" s="3320">
        <f>B205</f>
        <v>0</v>
      </c>
      <c r="EK205" s="359" t="s">
        <v>1033</v>
      </c>
      <c r="EL205" s="360">
        <f t="shared" ref="EL205:EQ206" si="1041">ROUND(D205,0)</f>
        <v>0</v>
      </c>
      <c r="EM205" s="360">
        <f t="shared" si="1041"/>
        <v>0</v>
      </c>
      <c r="EN205" s="360">
        <f t="shared" si="1041"/>
        <v>0</v>
      </c>
      <c r="EO205" s="360">
        <f t="shared" si="1041"/>
        <v>0</v>
      </c>
      <c r="EP205" s="360">
        <f t="shared" si="1041"/>
        <v>0</v>
      </c>
      <c r="EQ205" s="360">
        <f t="shared" si="1041"/>
        <v>0</v>
      </c>
      <c r="ER205" s="180">
        <f>SUM(EL205:EQ205)</f>
        <v>0</v>
      </c>
      <c r="ES205" s="6"/>
      <c r="ET205" s="9"/>
      <c r="EU205" s="6"/>
      <c r="EV205" s="386">
        <f t="shared" ref="EV205:FA206" si="1042">ROUND(N205,0)</f>
        <v>0</v>
      </c>
      <c r="EW205" s="360">
        <f t="shared" si="1042"/>
        <v>0</v>
      </c>
      <c r="EX205" s="360">
        <f t="shared" si="1042"/>
        <v>0</v>
      </c>
      <c r="EY205" s="360">
        <f t="shared" si="1042"/>
        <v>0</v>
      </c>
      <c r="EZ205" s="360">
        <f t="shared" si="1042"/>
        <v>0</v>
      </c>
      <c r="FA205" s="360">
        <f t="shared" si="1042"/>
        <v>0</v>
      </c>
      <c r="FB205" s="166">
        <f t="shared" si="904"/>
        <v>0</v>
      </c>
      <c r="FC205" s="1"/>
      <c r="FD205" s="386"/>
      <c r="FE205" s="360"/>
      <c r="FF205" s="360"/>
      <c r="FG205" s="360"/>
      <c r="FH205" s="360"/>
      <c r="FI205" s="360"/>
      <c r="FJ205" s="140">
        <f t="shared" si="905"/>
        <v>0</v>
      </c>
      <c r="FL205" s="386"/>
      <c r="FM205" s="360"/>
      <c r="FN205" s="360"/>
      <c r="FO205" s="360"/>
      <c r="FP205" s="360"/>
      <c r="FQ205" s="360"/>
      <c r="FR205" s="208">
        <f t="shared" si="906"/>
        <v>0</v>
      </c>
      <c r="FT205" s="386"/>
      <c r="FU205" s="360"/>
      <c r="FV205" s="360"/>
      <c r="FW205" s="360"/>
      <c r="FX205" s="360"/>
      <c r="FY205" s="360"/>
      <c r="FZ205" s="180">
        <f t="shared" si="907"/>
        <v>0</v>
      </c>
      <c r="GB205" s="386"/>
      <c r="GC205" s="360"/>
      <c r="GD205" s="360"/>
      <c r="GE205" s="360"/>
      <c r="GF205" s="360"/>
      <c r="GG205" s="360"/>
      <c r="GH205" s="152">
        <f t="shared" si="908"/>
        <v>0</v>
      </c>
      <c r="GJ205" s="386"/>
      <c r="GK205" s="360"/>
      <c r="GL205" s="360"/>
      <c r="GM205" s="360"/>
      <c r="GN205" s="360"/>
      <c r="GO205" s="360"/>
      <c r="GP205" s="194">
        <f t="shared" si="909"/>
        <v>0</v>
      </c>
      <c r="GR205" s="386"/>
      <c r="GS205" s="360"/>
      <c r="GT205" s="360"/>
      <c r="GU205" s="360"/>
      <c r="GV205" s="360"/>
      <c r="GW205" s="360"/>
      <c r="GX205" s="1104">
        <f t="shared" si="910"/>
        <v>0</v>
      </c>
      <c r="GZ205" s="575">
        <f t="shared" si="867"/>
        <v>0</v>
      </c>
      <c r="HA205" s="575">
        <f t="shared" si="868"/>
        <v>0</v>
      </c>
      <c r="HB205" s="575">
        <f t="shared" si="869"/>
        <v>0</v>
      </c>
      <c r="HC205" s="575">
        <f t="shared" si="870"/>
        <v>0</v>
      </c>
      <c r="HD205" s="575">
        <f t="shared" si="871"/>
        <v>0</v>
      </c>
      <c r="HE205" s="575">
        <f t="shared" si="872"/>
        <v>0</v>
      </c>
      <c r="HF205" s="991">
        <f t="shared" si="873"/>
        <v>0</v>
      </c>
      <c r="HG205" s="573">
        <f t="shared" si="874"/>
        <v>0</v>
      </c>
      <c r="HH205" s="257"/>
    </row>
    <row r="206" spans="1:216" ht="15" hidden="1" customHeight="1" thickBot="1" x14ac:dyDescent="0.3">
      <c r="A206" s="2424"/>
      <c r="B206" s="3321"/>
      <c r="C206" s="367" t="s">
        <v>224</v>
      </c>
      <c r="D206" s="56">
        <f>IF('DATA INPUT'!I115&gt;50000,'DATA INPUT'!I115-D205,0)</f>
        <v>0</v>
      </c>
      <c r="E206" s="56">
        <f>IF('DATA INPUT'!J115&gt;E205,'DATA INPUT'!J115-E205,0)</f>
        <v>0</v>
      </c>
      <c r="F206" s="56">
        <f>IF('DATA INPUT'!K115&gt;F205,'DATA INPUT'!K115-F205,0)</f>
        <v>0</v>
      </c>
      <c r="G206" s="56">
        <f>IF('DATA INPUT'!L115&gt;G205,'DATA INPUT'!L115-G205,0)</f>
        <v>0</v>
      </c>
      <c r="H206" s="56">
        <f>IF('DATA INPUT'!M115&gt;H205,'DATA INPUT'!M115-H205,0)</f>
        <v>0</v>
      </c>
      <c r="I206" s="56">
        <f>IF('DATA INPUT'!N115&gt;I205,'DATA INPUT'!N115-I205,0)</f>
        <v>0</v>
      </c>
      <c r="J206" s="178">
        <f>SUM(D206:I206)</f>
        <v>0</v>
      </c>
      <c r="K206" s="9"/>
      <c r="L206" s="9"/>
      <c r="M206" s="9"/>
      <c r="N206" s="387"/>
      <c r="O206" s="56"/>
      <c r="P206" s="56"/>
      <c r="Q206" s="56"/>
      <c r="R206" s="56"/>
      <c r="S206" s="56"/>
      <c r="T206" s="164">
        <f t="shared" si="895"/>
        <v>0</v>
      </c>
      <c r="U206" s="1"/>
      <c r="V206" s="387"/>
      <c r="W206" s="56"/>
      <c r="X206" s="56"/>
      <c r="Y206" s="56"/>
      <c r="Z206" s="56"/>
      <c r="AA206" s="56"/>
      <c r="AB206" s="138">
        <f t="shared" si="896"/>
        <v>0</v>
      </c>
      <c r="AD206" s="387"/>
      <c r="AE206" s="56"/>
      <c r="AF206" s="56"/>
      <c r="AG206" s="56"/>
      <c r="AH206" s="56"/>
      <c r="AI206" s="56"/>
      <c r="AJ206" s="206">
        <f t="shared" si="897"/>
        <v>0</v>
      </c>
      <c r="AL206" s="387"/>
      <c r="AM206" s="56"/>
      <c r="AN206" s="56"/>
      <c r="AO206" s="56"/>
      <c r="AP206" s="56"/>
      <c r="AQ206" s="56"/>
      <c r="AR206" s="178">
        <f t="shared" si="898"/>
        <v>0</v>
      </c>
      <c r="AT206" s="387"/>
      <c r="AU206" s="56"/>
      <c r="AV206" s="56"/>
      <c r="AW206" s="56"/>
      <c r="AX206" s="56"/>
      <c r="AY206" s="56"/>
      <c r="AZ206" s="150">
        <f t="shared" si="899"/>
        <v>0</v>
      </c>
      <c r="BB206" s="387"/>
      <c r="BC206" s="56"/>
      <c r="BD206" s="56"/>
      <c r="BE206" s="56"/>
      <c r="BF206" s="56"/>
      <c r="BG206" s="56"/>
      <c r="BH206" s="192">
        <f t="shared" si="900"/>
        <v>0</v>
      </c>
      <c r="BJ206" s="387"/>
      <c r="BK206" s="56"/>
      <c r="BL206" s="56"/>
      <c r="BM206" s="56"/>
      <c r="BN206" s="56"/>
      <c r="BO206" s="56"/>
      <c r="BP206" s="1102">
        <f t="shared" si="901"/>
        <v>0</v>
      </c>
      <c r="BR206" s="575">
        <f t="shared" si="844"/>
        <v>0</v>
      </c>
      <c r="BS206" s="575">
        <f t="shared" si="845"/>
        <v>0</v>
      </c>
      <c r="BT206" s="575">
        <f t="shared" si="846"/>
        <v>0</v>
      </c>
      <c r="BU206" s="575">
        <f t="shared" si="847"/>
        <v>0</v>
      </c>
      <c r="BV206" s="575">
        <f t="shared" si="848"/>
        <v>0</v>
      </c>
      <c r="BW206" s="575">
        <f t="shared" si="849"/>
        <v>0</v>
      </c>
      <c r="BX206" s="991">
        <f t="shared" si="850"/>
        <v>0</v>
      </c>
      <c r="BY206" s="573">
        <f t="shared" si="851"/>
        <v>0</v>
      </c>
      <c r="BZ206" s="257"/>
      <c r="CB206" s="1323">
        <f>D206</f>
        <v>0</v>
      </c>
      <c r="CC206" s="1324">
        <f>E206</f>
        <v>0</v>
      </c>
      <c r="CD206" s="1325"/>
      <c r="CE206" s="1325"/>
      <c r="CF206" s="1325"/>
      <c r="CG206" s="1326"/>
      <c r="CH206" s="1331">
        <f>$F206</f>
        <v>0</v>
      </c>
      <c r="CI206" s="1332"/>
      <c r="CJ206" s="1332"/>
      <c r="CK206" s="1332"/>
      <c r="CL206" s="1333"/>
      <c r="CM206" s="1334">
        <f>$G206</f>
        <v>0</v>
      </c>
      <c r="CN206" s="1335"/>
      <c r="CO206" s="1336"/>
      <c r="CP206" s="1228">
        <f>SUM(CB206:CO206)</f>
        <v>0</v>
      </c>
      <c r="CS206" s="387"/>
      <c r="CT206" s="56"/>
      <c r="CU206" s="1183"/>
      <c r="CV206" s="387"/>
      <c r="CW206" s="56"/>
      <c r="CX206" s="1183"/>
      <c r="CY206" s="387"/>
      <c r="CZ206" s="56"/>
      <c r="DA206" s="1183"/>
      <c r="DB206" s="387"/>
      <c r="DC206" s="56"/>
      <c r="DD206" s="1183"/>
      <c r="DE206" s="1181">
        <f>SUM(CS206:DD206)</f>
        <v>0</v>
      </c>
      <c r="DG206" s="387"/>
      <c r="DH206" s="56"/>
      <c r="DI206" s="1183"/>
      <c r="DJ206" s="387"/>
      <c r="DK206" s="56"/>
      <c r="DL206" s="1183"/>
      <c r="DM206" s="387"/>
      <c r="DN206" s="56"/>
      <c r="DO206" s="1183"/>
      <c r="DP206" s="387"/>
      <c r="DQ206" s="56"/>
      <c r="DR206" s="1183"/>
      <c r="DS206" s="1181">
        <f>SUM(DG206:DR206)</f>
        <v>0</v>
      </c>
      <c r="DU206" s="387"/>
      <c r="DV206" s="56"/>
      <c r="DW206" s="1183"/>
      <c r="DX206" s="387"/>
      <c r="DY206" s="56"/>
      <c r="DZ206" s="1183"/>
      <c r="EA206" s="387"/>
      <c r="EB206" s="56"/>
      <c r="EC206" s="1183"/>
      <c r="ED206" s="387"/>
      <c r="EE206" s="56"/>
      <c r="EF206" s="1183"/>
      <c r="EG206" s="1181">
        <f>SUM(DU206:EF206)</f>
        <v>0</v>
      </c>
      <c r="EI206" s="2424"/>
      <c r="EJ206" s="3321"/>
      <c r="EK206" s="367" t="s">
        <v>224</v>
      </c>
      <c r="EL206" s="56">
        <f t="shared" si="1041"/>
        <v>0</v>
      </c>
      <c r="EM206" s="56">
        <f t="shared" si="1041"/>
        <v>0</v>
      </c>
      <c r="EN206" s="56">
        <f t="shared" si="1041"/>
        <v>0</v>
      </c>
      <c r="EO206" s="56">
        <f t="shared" si="1041"/>
        <v>0</v>
      </c>
      <c r="EP206" s="56">
        <f t="shared" si="1041"/>
        <v>0</v>
      </c>
      <c r="EQ206" s="56">
        <f t="shared" si="1041"/>
        <v>0</v>
      </c>
      <c r="ER206" s="178">
        <f>SUM(EL206:EQ206)</f>
        <v>0</v>
      </c>
      <c r="ES206" s="9"/>
      <c r="ET206" s="9"/>
      <c r="EU206" s="9"/>
      <c r="EV206" s="387">
        <f t="shared" si="1042"/>
        <v>0</v>
      </c>
      <c r="EW206" s="56">
        <f t="shared" si="1042"/>
        <v>0</v>
      </c>
      <c r="EX206" s="56">
        <f t="shared" si="1042"/>
        <v>0</v>
      </c>
      <c r="EY206" s="56">
        <f t="shared" si="1042"/>
        <v>0</v>
      </c>
      <c r="EZ206" s="56">
        <f t="shared" si="1042"/>
        <v>0</v>
      </c>
      <c r="FA206" s="56">
        <f t="shared" si="1042"/>
        <v>0</v>
      </c>
      <c r="FB206" s="164">
        <f t="shared" si="904"/>
        <v>0</v>
      </c>
      <c r="FC206" s="1"/>
      <c r="FD206" s="387"/>
      <c r="FE206" s="56"/>
      <c r="FF206" s="56"/>
      <c r="FG206" s="56"/>
      <c r="FH206" s="56"/>
      <c r="FI206" s="56"/>
      <c r="FJ206" s="138">
        <f t="shared" si="905"/>
        <v>0</v>
      </c>
      <c r="FL206" s="387"/>
      <c r="FM206" s="56"/>
      <c r="FN206" s="56"/>
      <c r="FO206" s="56"/>
      <c r="FP206" s="56"/>
      <c r="FQ206" s="56"/>
      <c r="FR206" s="206">
        <f t="shared" si="906"/>
        <v>0</v>
      </c>
      <c r="FT206" s="387"/>
      <c r="FU206" s="56"/>
      <c r="FV206" s="56"/>
      <c r="FW206" s="56"/>
      <c r="FX206" s="56"/>
      <c r="FY206" s="56"/>
      <c r="FZ206" s="178">
        <f t="shared" si="907"/>
        <v>0</v>
      </c>
      <c r="GB206" s="387"/>
      <c r="GC206" s="56"/>
      <c r="GD206" s="56"/>
      <c r="GE206" s="56"/>
      <c r="GF206" s="56"/>
      <c r="GG206" s="56"/>
      <c r="GH206" s="150">
        <f t="shared" si="908"/>
        <v>0</v>
      </c>
      <c r="GJ206" s="387"/>
      <c r="GK206" s="56"/>
      <c r="GL206" s="56"/>
      <c r="GM206" s="56"/>
      <c r="GN206" s="56"/>
      <c r="GO206" s="56"/>
      <c r="GP206" s="192">
        <f t="shared" si="909"/>
        <v>0</v>
      </c>
      <c r="GR206" s="387"/>
      <c r="GS206" s="56"/>
      <c r="GT206" s="56"/>
      <c r="GU206" s="56"/>
      <c r="GV206" s="56"/>
      <c r="GW206" s="56"/>
      <c r="GX206" s="1102">
        <f t="shared" si="910"/>
        <v>0</v>
      </c>
      <c r="GZ206" s="575">
        <f t="shared" si="867"/>
        <v>0</v>
      </c>
      <c r="HA206" s="575">
        <f t="shared" si="868"/>
        <v>0</v>
      </c>
      <c r="HB206" s="575">
        <f t="shared" si="869"/>
        <v>0</v>
      </c>
      <c r="HC206" s="575">
        <f t="shared" si="870"/>
        <v>0</v>
      </c>
      <c r="HD206" s="575">
        <f t="shared" si="871"/>
        <v>0</v>
      </c>
      <c r="HE206" s="575">
        <f t="shared" si="872"/>
        <v>0</v>
      </c>
      <c r="HF206" s="991">
        <f t="shared" si="873"/>
        <v>0</v>
      </c>
      <c r="HG206" s="573">
        <f t="shared" si="874"/>
        <v>0</v>
      </c>
      <c r="HH206" s="257"/>
    </row>
    <row r="207" spans="1:216" ht="15" hidden="1" customHeight="1" thickBot="1" x14ac:dyDescent="0.3">
      <c r="A207" s="2424"/>
      <c r="B207" s="3322"/>
      <c r="C207" s="369" t="s">
        <v>239</v>
      </c>
      <c r="D207" s="370">
        <f t="shared" ref="D207:J207" si="1043">SUM(D205:D206)</f>
        <v>0</v>
      </c>
      <c r="E207" s="370">
        <f t="shared" si="1043"/>
        <v>0</v>
      </c>
      <c r="F207" s="370">
        <f t="shared" si="1043"/>
        <v>0</v>
      </c>
      <c r="G207" s="370">
        <f t="shared" si="1043"/>
        <v>0</v>
      </c>
      <c r="H207" s="370">
        <f t="shared" si="1043"/>
        <v>0</v>
      </c>
      <c r="I207" s="370">
        <f t="shared" si="1043"/>
        <v>0</v>
      </c>
      <c r="J207" s="371">
        <f t="shared" si="1043"/>
        <v>0</v>
      </c>
      <c r="K207" s="13">
        <f>SUM(D207:I207)</f>
        <v>0</v>
      </c>
      <c r="L207" s="6"/>
      <c r="M207" s="9"/>
      <c r="N207" s="388">
        <f t="shared" ref="N207:S207" si="1044">SUM(N205:N206)</f>
        <v>0</v>
      </c>
      <c r="O207" s="370">
        <f t="shared" si="1044"/>
        <v>0</v>
      </c>
      <c r="P207" s="370">
        <f t="shared" si="1044"/>
        <v>0</v>
      </c>
      <c r="Q207" s="370">
        <f t="shared" si="1044"/>
        <v>0</v>
      </c>
      <c r="R207" s="370">
        <f t="shared" si="1044"/>
        <v>0</v>
      </c>
      <c r="S207" s="370">
        <f t="shared" si="1044"/>
        <v>0</v>
      </c>
      <c r="T207" s="389">
        <f t="shared" si="895"/>
        <v>0</v>
      </c>
      <c r="U207" s="1"/>
      <c r="V207" s="388">
        <f t="shared" ref="V207:AA207" si="1045">SUM(V205:V206)</f>
        <v>0</v>
      </c>
      <c r="W207" s="370">
        <f t="shared" si="1045"/>
        <v>0</v>
      </c>
      <c r="X207" s="370">
        <f t="shared" si="1045"/>
        <v>0</v>
      </c>
      <c r="Y207" s="370">
        <f t="shared" si="1045"/>
        <v>0</v>
      </c>
      <c r="Z207" s="370">
        <f t="shared" si="1045"/>
        <v>0</v>
      </c>
      <c r="AA207" s="370">
        <f t="shared" si="1045"/>
        <v>0</v>
      </c>
      <c r="AB207" s="389">
        <f t="shared" si="896"/>
        <v>0</v>
      </c>
      <c r="AD207" s="388">
        <f t="shared" ref="AD207:AI207" si="1046">SUM(AD205:AD206)</f>
        <v>0</v>
      </c>
      <c r="AE207" s="370">
        <f t="shared" si="1046"/>
        <v>0</v>
      </c>
      <c r="AF207" s="370">
        <f t="shared" si="1046"/>
        <v>0</v>
      </c>
      <c r="AG207" s="370">
        <f t="shared" si="1046"/>
        <v>0</v>
      </c>
      <c r="AH207" s="370">
        <f t="shared" si="1046"/>
        <v>0</v>
      </c>
      <c r="AI207" s="370">
        <f t="shared" si="1046"/>
        <v>0</v>
      </c>
      <c r="AJ207" s="389">
        <f t="shared" si="897"/>
        <v>0</v>
      </c>
      <c r="AL207" s="388">
        <f t="shared" ref="AL207:AQ207" si="1047">SUM(AL205:AL206)</f>
        <v>0</v>
      </c>
      <c r="AM207" s="370">
        <f t="shared" si="1047"/>
        <v>0</v>
      </c>
      <c r="AN207" s="370">
        <f t="shared" si="1047"/>
        <v>0</v>
      </c>
      <c r="AO207" s="370">
        <f t="shared" si="1047"/>
        <v>0</v>
      </c>
      <c r="AP207" s="370">
        <f t="shared" si="1047"/>
        <v>0</v>
      </c>
      <c r="AQ207" s="370">
        <f t="shared" si="1047"/>
        <v>0</v>
      </c>
      <c r="AR207" s="389">
        <f t="shared" si="898"/>
        <v>0</v>
      </c>
      <c r="AT207" s="388">
        <f t="shared" ref="AT207:AY207" si="1048">SUM(AT205:AT206)</f>
        <v>0</v>
      </c>
      <c r="AU207" s="370">
        <f t="shared" si="1048"/>
        <v>0</v>
      </c>
      <c r="AV207" s="370">
        <f t="shared" si="1048"/>
        <v>0</v>
      </c>
      <c r="AW207" s="370">
        <f t="shared" si="1048"/>
        <v>0</v>
      </c>
      <c r="AX207" s="370">
        <f t="shared" si="1048"/>
        <v>0</v>
      </c>
      <c r="AY207" s="370">
        <f t="shared" si="1048"/>
        <v>0</v>
      </c>
      <c r="AZ207" s="389">
        <f t="shared" si="899"/>
        <v>0</v>
      </c>
      <c r="BB207" s="388">
        <f t="shared" ref="BB207:BG207" si="1049">SUM(BB205:BB206)</f>
        <v>0</v>
      </c>
      <c r="BC207" s="370">
        <f t="shared" si="1049"/>
        <v>0</v>
      </c>
      <c r="BD207" s="370">
        <f t="shared" si="1049"/>
        <v>0</v>
      </c>
      <c r="BE207" s="370">
        <f t="shared" si="1049"/>
        <v>0</v>
      </c>
      <c r="BF207" s="370">
        <f t="shared" si="1049"/>
        <v>0</v>
      </c>
      <c r="BG207" s="370">
        <f t="shared" si="1049"/>
        <v>0</v>
      </c>
      <c r="BH207" s="389">
        <f t="shared" si="900"/>
        <v>0</v>
      </c>
      <c r="BJ207" s="388">
        <f t="shared" ref="BJ207:BO207" si="1050">SUM(BJ205:BJ206)</f>
        <v>0</v>
      </c>
      <c r="BK207" s="370">
        <f t="shared" si="1050"/>
        <v>0</v>
      </c>
      <c r="BL207" s="370">
        <f t="shared" si="1050"/>
        <v>0</v>
      </c>
      <c r="BM207" s="370">
        <f t="shared" si="1050"/>
        <v>0</v>
      </c>
      <c r="BN207" s="370">
        <f t="shared" si="1050"/>
        <v>0</v>
      </c>
      <c r="BO207" s="370">
        <f t="shared" si="1050"/>
        <v>0</v>
      </c>
      <c r="BP207" s="1103">
        <f t="shared" si="901"/>
        <v>0</v>
      </c>
      <c r="BR207" s="579">
        <f t="shared" si="844"/>
        <v>0</v>
      </c>
      <c r="BS207" s="579">
        <f t="shared" si="845"/>
        <v>0</v>
      </c>
      <c r="BT207" s="579">
        <f t="shared" si="846"/>
        <v>0</v>
      </c>
      <c r="BU207" s="579">
        <f t="shared" si="847"/>
        <v>0</v>
      </c>
      <c r="BV207" s="579">
        <f t="shared" si="848"/>
        <v>0</v>
      </c>
      <c r="BW207" s="579">
        <f t="shared" si="849"/>
        <v>0</v>
      </c>
      <c r="BX207" s="579">
        <f t="shared" si="850"/>
        <v>0</v>
      </c>
      <c r="BY207" s="580">
        <f t="shared" si="851"/>
        <v>0</v>
      </c>
      <c r="BZ207" s="257"/>
      <c r="CB207" s="1340">
        <f t="shared" ref="CB207:CP207" si="1051">SUM(CB205:CB206)</f>
        <v>0</v>
      </c>
      <c r="CC207" s="1341">
        <f t="shared" si="1051"/>
        <v>0</v>
      </c>
      <c r="CD207" s="1342">
        <f t="shared" si="1051"/>
        <v>0</v>
      </c>
      <c r="CE207" s="1342">
        <f t="shared" si="1051"/>
        <v>0</v>
      </c>
      <c r="CF207" s="1342">
        <f t="shared" si="1051"/>
        <v>0</v>
      </c>
      <c r="CG207" s="1343">
        <f t="shared" si="1051"/>
        <v>0</v>
      </c>
      <c r="CH207" s="1341">
        <f t="shared" si="1051"/>
        <v>0</v>
      </c>
      <c r="CI207" s="1342">
        <f t="shared" si="1051"/>
        <v>0</v>
      </c>
      <c r="CJ207" s="1342">
        <f t="shared" si="1051"/>
        <v>0</v>
      </c>
      <c r="CK207" s="1342">
        <f t="shared" si="1051"/>
        <v>0</v>
      </c>
      <c r="CL207" s="1344">
        <f t="shared" si="1051"/>
        <v>0</v>
      </c>
      <c r="CM207" s="1341">
        <f t="shared" si="1051"/>
        <v>0</v>
      </c>
      <c r="CN207" s="1342">
        <f t="shared" si="1051"/>
        <v>0</v>
      </c>
      <c r="CO207" s="1343">
        <f t="shared" si="1051"/>
        <v>0</v>
      </c>
      <c r="CP207" s="1345">
        <f t="shared" si="1051"/>
        <v>0</v>
      </c>
      <c r="CS207" s="1340">
        <f t="shared" ref="CS207:DE207" si="1052">SUM(CS205:CS206)</f>
        <v>0</v>
      </c>
      <c r="CT207" s="1343">
        <f t="shared" si="1052"/>
        <v>0</v>
      </c>
      <c r="CU207" s="1343">
        <f t="shared" si="1052"/>
        <v>0</v>
      </c>
      <c r="CV207" s="1343">
        <f t="shared" si="1052"/>
        <v>0</v>
      </c>
      <c r="CW207" s="1343">
        <f t="shared" si="1052"/>
        <v>0</v>
      </c>
      <c r="CX207" s="1343">
        <f t="shared" si="1052"/>
        <v>0</v>
      </c>
      <c r="CY207" s="1343">
        <f t="shared" si="1052"/>
        <v>0</v>
      </c>
      <c r="CZ207" s="1343">
        <f t="shared" si="1052"/>
        <v>0</v>
      </c>
      <c r="DA207" s="1343">
        <f t="shared" si="1052"/>
        <v>0</v>
      </c>
      <c r="DB207" s="1343">
        <f t="shared" si="1052"/>
        <v>0</v>
      </c>
      <c r="DC207" s="1343">
        <f t="shared" si="1052"/>
        <v>0</v>
      </c>
      <c r="DD207" s="1343">
        <f t="shared" si="1052"/>
        <v>0</v>
      </c>
      <c r="DE207" s="1343">
        <f t="shared" si="1052"/>
        <v>0</v>
      </c>
      <c r="DG207" s="1340">
        <f t="shared" ref="DG207:DS207" si="1053">SUM(DG205:DG206)</f>
        <v>0</v>
      </c>
      <c r="DH207" s="1343">
        <f t="shared" si="1053"/>
        <v>0</v>
      </c>
      <c r="DI207" s="1343">
        <f t="shared" si="1053"/>
        <v>0</v>
      </c>
      <c r="DJ207" s="1343">
        <f t="shared" si="1053"/>
        <v>0</v>
      </c>
      <c r="DK207" s="1343">
        <f t="shared" si="1053"/>
        <v>0</v>
      </c>
      <c r="DL207" s="1343">
        <f t="shared" si="1053"/>
        <v>0</v>
      </c>
      <c r="DM207" s="1343">
        <f t="shared" si="1053"/>
        <v>0</v>
      </c>
      <c r="DN207" s="1343">
        <f t="shared" si="1053"/>
        <v>0</v>
      </c>
      <c r="DO207" s="1343">
        <f t="shared" si="1053"/>
        <v>0</v>
      </c>
      <c r="DP207" s="1343">
        <f t="shared" si="1053"/>
        <v>0</v>
      </c>
      <c r="DQ207" s="1343">
        <f t="shared" si="1053"/>
        <v>0</v>
      </c>
      <c r="DR207" s="1343">
        <f t="shared" si="1053"/>
        <v>0</v>
      </c>
      <c r="DS207" s="1343">
        <f t="shared" si="1053"/>
        <v>0</v>
      </c>
      <c r="DU207" s="1340">
        <f t="shared" ref="DU207:EG207" si="1054">SUM(DU205:DU206)</f>
        <v>0</v>
      </c>
      <c r="DV207" s="1343">
        <f t="shared" si="1054"/>
        <v>0</v>
      </c>
      <c r="DW207" s="1343">
        <f t="shared" si="1054"/>
        <v>0</v>
      </c>
      <c r="DX207" s="1343">
        <f t="shared" si="1054"/>
        <v>0</v>
      </c>
      <c r="DY207" s="1343">
        <f t="shared" si="1054"/>
        <v>0</v>
      </c>
      <c r="DZ207" s="1343">
        <f t="shared" si="1054"/>
        <v>0</v>
      </c>
      <c r="EA207" s="1343">
        <f t="shared" si="1054"/>
        <v>0</v>
      </c>
      <c r="EB207" s="1343">
        <f t="shared" si="1054"/>
        <v>0</v>
      </c>
      <c r="EC207" s="1343">
        <f t="shared" si="1054"/>
        <v>0</v>
      </c>
      <c r="ED207" s="1343">
        <f t="shared" si="1054"/>
        <v>0</v>
      </c>
      <c r="EE207" s="1343">
        <f t="shared" si="1054"/>
        <v>0</v>
      </c>
      <c r="EF207" s="1343">
        <f t="shared" si="1054"/>
        <v>0</v>
      </c>
      <c r="EG207" s="1343">
        <f t="shared" si="1054"/>
        <v>0</v>
      </c>
      <c r="EI207" s="2424"/>
      <c r="EJ207" s="3322"/>
      <c r="EK207" s="369" t="s">
        <v>239</v>
      </c>
      <c r="EL207" s="370">
        <f t="shared" ref="EL207:ER207" si="1055">SUM(EL205:EL206)</f>
        <v>0</v>
      </c>
      <c r="EM207" s="370">
        <f t="shared" si="1055"/>
        <v>0</v>
      </c>
      <c r="EN207" s="370">
        <f t="shared" si="1055"/>
        <v>0</v>
      </c>
      <c r="EO207" s="370">
        <f t="shared" si="1055"/>
        <v>0</v>
      </c>
      <c r="EP207" s="370">
        <f t="shared" si="1055"/>
        <v>0</v>
      </c>
      <c r="EQ207" s="370">
        <f t="shared" si="1055"/>
        <v>0</v>
      </c>
      <c r="ER207" s="371">
        <f t="shared" si="1055"/>
        <v>0</v>
      </c>
      <c r="ES207" s="13">
        <f>SUM(EL207:EQ207)</f>
        <v>0</v>
      </c>
      <c r="ET207" s="6"/>
      <c r="EU207" s="9"/>
      <c r="EV207" s="388">
        <f t="shared" ref="EV207:FA207" si="1056">SUM(EV205:EV206)</f>
        <v>0</v>
      </c>
      <c r="EW207" s="370">
        <f t="shared" si="1056"/>
        <v>0</v>
      </c>
      <c r="EX207" s="370">
        <f t="shared" si="1056"/>
        <v>0</v>
      </c>
      <c r="EY207" s="370">
        <f t="shared" si="1056"/>
        <v>0</v>
      </c>
      <c r="EZ207" s="370">
        <f t="shared" si="1056"/>
        <v>0</v>
      </c>
      <c r="FA207" s="370">
        <f t="shared" si="1056"/>
        <v>0</v>
      </c>
      <c r="FB207" s="389">
        <f t="shared" si="904"/>
        <v>0</v>
      </c>
      <c r="FC207" s="1"/>
      <c r="FD207" s="388">
        <f t="shared" ref="FD207:FI207" si="1057">SUM(FD205:FD206)</f>
        <v>0</v>
      </c>
      <c r="FE207" s="370">
        <f t="shared" si="1057"/>
        <v>0</v>
      </c>
      <c r="FF207" s="370">
        <f t="shared" si="1057"/>
        <v>0</v>
      </c>
      <c r="FG207" s="370">
        <f t="shared" si="1057"/>
        <v>0</v>
      </c>
      <c r="FH207" s="370">
        <f t="shared" si="1057"/>
        <v>0</v>
      </c>
      <c r="FI207" s="370">
        <f t="shared" si="1057"/>
        <v>0</v>
      </c>
      <c r="FJ207" s="389">
        <f t="shared" si="905"/>
        <v>0</v>
      </c>
      <c r="FL207" s="388">
        <f t="shared" ref="FL207:FQ207" si="1058">SUM(FL205:FL206)</f>
        <v>0</v>
      </c>
      <c r="FM207" s="370">
        <f t="shared" si="1058"/>
        <v>0</v>
      </c>
      <c r="FN207" s="370">
        <f t="shared" si="1058"/>
        <v>0</v>
      </c>
      <c r="FO207" s="370">
        <f t="shared" si="1058"/>
        <v>0</v>
      </c>
      <c r="FP207" s="370">
        <f t="shared" si="1058"/>
        <v>0</v>
      </c>
      <c r="FQ207" s="370">
        <f t="shared" si="1058"/>
        <v>0</v>
      </c>
      <c r="FR207" s="389">
        <f t="shared" si="906"/>
        <v>0</v>
      </c>
      <c r="FT207" s="388">
        <f t="shared" ref="FT207:FY207" si="1059">SUM(FT205:FT206)</f>
        <v>0</v>
      </c>
      <c r="FU207" s="370">
        <f t="shared" si="1059"/>
        <v>0</v>
      </c>
      <c r="FV207" s="370">
        <f t="shared" si="1059"/>
        <v>0</v>
      </c>
      <c r="FW207" s="370">
        <f t="shared" si="1059"/>
        <v>0</v>
      </c>
      <c r="FX207" s="370">
        <f t="shared" si="1059"/>
        <v>0</v>
      </c>
      <c r="FY207" s="370">
        <f t="shared" si="1059"/>
        <v>0</v>
      </c>
      <c r="FZ207" s="389">
        <f t="shared" si="907"/>
        <v>0</v>
      </c>
      <c r="GB207" s="388">
        <f t="shared" ref="GB207:GG207" si="1060">SUM(GB205:GB206)</f>
        <v>0</v>
      </c>
      <c r="GC207" s="370">
        <f t="shared" si="1060"/>
        <v>0</v>
      </c>
      <c r="GD207" s="370">
        <f t="shared" si="1060"/>
        <v>0</v>
      </c>
      <c r="GE207" s="370">
        <f t="shared" si="1060"/>
        <v>0</v>
      </c>
      <c r="GF207" s="370">
        <f t="shared" si="1060"/>
        <v>0</v>
      </c>
      <c r="GG207" s="370">
        <f t="shared" si="1060"/>
        <v>0</v>
      </c>
      <c r="GH207" s="389">
        <f t="shared" si="908"/>
        <v>0</v>
      </c>
      <c r="GJ207" s="388">
        <f t="shared" ref="GJ207:GO207" si="1061">SUM(GJ205:GJ206)</f>
        <v>0</v>
      </c>
      <c r="GK207" s="370">
        <f t="shared" si="1061"/>
        <v>0</v>
      </c>
      <c r="GL207" s="370">
        <f t="shared" si="1061"/>
        <v>0</v>
      </c>
      <c r="GM207" s="370">
        <f t="shared" si="1061"/>
        <v>0</v>
      </c>
      <c r="GN207" s="370">
        <f t="shared" si="1061"/>
        <v>0</v>
      </c>
      <c r="GO207" s="370">
        <f t="shared" si="1061"/>
        <v>0</v>
      </c>
      <c r="GP207" s="389">
        <f t="shared" si="909"/>
        <v>0</v>
      </c>
      <c r="GR207" s="388">
        <f t="shared" ref="GR207:GW207" si="1062">SUM(GR205:GR206)</f>
        <v>0</v>
      </c>
      <c r="GS207" s="370">
        <f t="shared" si="1062"/>
        <v>0</v>
      </c>
      <c r="GT207" s="370">
        <f t="shared" si="1062"/>
        <v>0</v>
      </c>
      <c r="GU207" s="370">
        <f t="shared" si="1062"/>
        <v>0</v>
      </c>
      <c r="GV207" s="370">
        <f t="shared" si="1062"/>
        <v>0</v>
      </c>
      <c r="GW207" s="370">
        <f t="shared" si="1062"/>
        <v>0</v>
      </c>
      <c r="GX207" s="1103">
        <f t="shared" si="910"/>
        <v>0</v>
      </c>
      <c r="GZ207" s="579">
        <f t="shared" si="867"/>
        <v>0</v>
      </c>
      <c r="HA207" s="579">
        <f t="shared" si="868"/>
        <v>0</v>
      </c>
      <c r="HB207" s="579">
        <f t="shared" si="869"/>
        <v>0</v>
      </c>
      <c r="HC207" s="579">
        <f t="shared" si="870"/>
        <v>0</v>
      </c>
      <c r="HD207" s="579">
        <f t="shared" si="871"/>
        <v>0</v>
      </c>
      <c r="HE207" s="579">
        <f t="shared" si="872"/>
        <v>0</v>
      </c>
      <c r="HF207" s="579">
        <f t="shared" si="873"/>
        <v>0</v>
      </c>
      <c r="HG207" s="580">
        <f t="shared" si="874"/>
        <v>0</v>
      </c>
      <c r="HH207" s="257"/>
    </row>
    <row r="208" spans="1:216" ht="15" hidden="1" customHeight="1" x14ac:dyDescent="0.25">
      <c r="A208" s="2424"/>
      <c r="B208" s="3230">
        <f>'DATA INPUT'!B116</f>
        <v>0</v>
      </c>
      <c r="C208" s="357" t="s">
        <v>1033</v>
      </c>
      <c r="D208" s="358">
        <f>IF('DATA INPUT'!I116&gt;0,IF('DATA INPUT'!I116&lt;=50000,'DATA INPUT'!I116,50000),0)</f>
        <v>0</v>
      </c>
      <c r="E208" s="358">
        <f>IF('DATA INPUT'!J116&gt;0,IF(SUM($D208:D208)&lt;50000,MIN('DATA INPUT'!J116,50000-SUM($D208:D208)),0),0)</f>
        <v>0</v>
      </c>
      <c r="F208" s="358">
        <f>IF('DATA INPUT'!K116&gt;0,IF(SUM($D208:E208)&lt;50000,MIN('DATA INPUT'!K116,50000-SUM($D208:E208)),0),0)</f>
        <v>0</v>
      </c>
      <c r="G208" s="358">
        <f>IF('DATA INPUT'!L116&gt;0,IF(SUM($D208:F208)&lt;50000,MIN('DATA INPUT'!L116,50000-SUM($D208:F208)),0),0)</f>
        <v>0</v>
      </c>
      <c r="H208" s="358">
        <f>IF('DATA INPUT'!M116&gt;0,IF(SUM($D208:G208)&lt;50000,MIN('DATA INPUT'!M116,50000-SUM($D208:G208)),0),0)</f>
        <v>0</v>
      </c>
      <c r="I208" s="358">
        <f>IF('DATA INPUT'!N116&gt;0,IF(SUM($D208:H208)&lt;50000,MIN('DATA INPUT'!N116,50000-SUM($D208:H208)),0),0)</f>
        <v>0</v>
      </c>
      <c r="J208" s="152">
        <f>SUM(D208:I208)</f>
        <v>0</v>
      </c>
      <c r="K208" s="6"/>
      <c r="L208" s="9"/>
      <c r="M208" s="6"/>
      <c r="N208" s="390"/>
      <c r="O208" s="358"/>
      <c r="P208" s="358"/>
      <c r="Q208" s="358"/>
      <c r="R208" s="358"/>
      <c r="S208" s="358"/>
      <c r="T208" s="166">
        <f t="shared" si="895"/>
        <v>0</v>
      </c>
      <c r="U208" s="1"/>
      <c r="V208" s="390"/>
      <c r="W208" s="358"/>
      <c r="X208" s="358"/>
      <c r="Y208" s="358"/>
      <c r="Z208" s="358"/>
      <c r="AA208" s="358"/>
      <c r="AB208" s="140">
        <f t="shared" si="896"/>
        <v>0</v>
      </c>
      <c r="AD208" s="390"/>
      <c r="AE208" s="358"/>
      <c r="AF208" s="358"/>
      <c r="AG208" s="358"/>
      <c r="AH208" s="358"/>
      <c r="AI208" s="358"/>
      <c r="AJ208" s="208">
        <f t="shared" si="897"/>
        <v>0</v>
      </c>
      <c r="AL208" s="390"/>
      <c r="AM208" s="358"/>
      <c r="AN208" s="358"/>
      <c r="AO208" s="358"/>
      <c r="AP208" s="358"/>
      <c r="AQ208" s="358"/>
      <c r="AR208" s="180">
        <f t="shared" si="898"/>
        <v>0</v>
      </c>
      <c r="AT208" s="390"/>
      <c r="AU208" s="358"/>
      <c r="AV208" s="358"/>
      <c r="AW208" s="358"/>
      <c r="AX208" s="358"/>
      <c r="AY208" s="358"/>
      <c r="AZ208" s="152">
        <f t="shared" si="899"/>
        <v>0</v>
      </c>
      <c r="BB208" s="390"/>
      <c r="BC208" s="358"/>
      <c r="BD208" s="358"/>
      <c r="BE208" s="358"/>
      <c r="BF208" s="358"/>
      <c r="BG208" s="358"/>
      <c r="BH208" s="194">
        <f t="shared" si="900"/>
        <v>0</v>
      </c>
      <c r="BJ208" s="390"/>
      <c r="BK208" s="358"/>
      <c r="BL208" s="358"/>
      <c r="BM208" s="358"/>
      <c r="BN208" s="358"/>
      <c r="BO208" s="358"/>
      <c r="BP208" s="1104">
        <f t="shared" si="901"/>
        <v>0</v>
      </c>
      <c r="BR208" s="575">
        <f t="shared" si="844"/>
        <v>0</v>
      </c>
      <c r="BS208" s="575">
        <f t="shared" si="845"/>
        <v>0</v>
      </c>
      <c r="BT208" s="575">
        <f t="shared" si="846"/>
        <v>0</v>
      </c>
      <c r="BU208" s="575">
        <f t="shared" si="847"/>
        <v>0</v>
      </c>
      <c r="BV208" s="575">
        <f t="shared" si="848"/>
        <v>0</v>
      </c>
      <c r="BW208" s="575">
        <f t="shared" si="849"/>
        <v>0</v>
      </c>
      <c r="BX208" s="991">
        <f t="shared" si="850"/>
        <v>0</v>
      </c>
      <c r="BY208" s="573">
        <f t="shared" si="851"/>
        <v>0</v>
      </c>
      <c r="BZ208" s="257"/>
      <c r="CB208" s="1339">
        <f>D208</f>
        <v>0</v>
      </c>
      <c r="CC208" s="1170">
        <f>E208</f>
        <v>0</v>
      </c>
      <c r="CD208" s="1171"/>
      <c r="CE208" s="1171"/>
      <c r="CF208" s="1171"/>
      <c r="CG208" s="1172"/>
      <c r="CH208" s="1289">
        <f>$F208</f>
        <v>0</v>
      </c>
      <c r="CI208" s="1174"/>
      <c r="CJ208" s="1174"/>
      <c r="CK208" s="1174"/>
      <c r="CL208" s="1175"/>
      <c r="CM208" s="1176">
        <f>$G208</f>
        <v>0</v>
      </c>
      <c r="CN208" s="1290"/>
      <c r="CO208" s="1178"/>
      <c r="CP208" s="1179">
        <f>SUM(CB208:CO208)</f>
        <v>0</v>
      </c>
      <c r="CS208" s="390"/>
      <c r="CT208" s="358"/>
      <c r="CU208" s="1346"/>
      <c r="CV208" s="390"/>
      <c r="CW208" s="358"/>
      <c r="CX208" s="1346"/>
      <c r="CY208" s="390"/>
      <c r="CZ208" s="358"/>
      <c r="DA208" s="1346"/>
      <c r="DB208" s="390"/>
      <c r="DC208" s="358"/>
      <c r="DD208" s="1346"/>
      <c r="DE208" s="1065">
        <f>SUM(CS208:DD208)</f>
        <v>0</v>
      </c>
      <c r="DG208" s="390"/>
      <c r="DH208" s="358"/>
      <c r="DI208" s="1346"/>
      <c r="DJ208" s="390"/>
      <c r="DK208" s="358"/>
      <c r="DL208" s="1346"/>
      <c r="DM208" s="390"/>
      <c r="DN208" s="358"/>
      <c r="DO208" s="1346"/>
      <c r="DP208" s="390"/>
      <c r="DQ208" s="358"/>
      <c r="DR208" s="1346"/>
      <c r="DS208" s="1065">
        <f>SUM(DG208:DR208)</f>
        <v>0</v>
      </c>
      <c r="DU208" s="390"/>
      <c r="DV208" s="358"/>
      <c r="DW208" s="1346"/>
      <c r="DX208" s="390"/>
      <c r="DY208" s="358"/>
      <c r="DZ208" s="1346"/>
      <c r="EA208" s="390"/>
      <c r="EB208" s="358"/>
      <c r="EC208" s="1346"/>
      <c r="ED208" s="390"/>
      <c r="EE208" s="358"/>
      <c r="EF208" s="1346"/>
      <c r="EG208" s="1065">
        <f>SUM(DU208:EF208)</f>
        <v>0</v>
      </c>
      <c r="EI208" s="2424"/>
      <c r="EJ208" s="3230">
        <f>B208</f>
        <v>0</v>
      </c>
      <c r="EK208" s="357" t="s">
        <v>1033</v>
      </c>
      <c r="EL208" s="358">
        <f t="shared" ref="EL208:EQ209" si="1063">ROUND(D208,0)</f>
        <v>0</v>
      </c>
      <c r="EM208" s="358">
        <f t="shared" si="1063"/>
        <v>0</v>
      </c>
      <c r="EN208" s="358">
        <f t="shared" si="1063"/>
        <v>0</v>
      </c>
      <c r="EO208" s="358">
        <f t="shared" si="1063"/>
        <v>0</v>
      </c>
      <c r="EP208" s="358">
        <f t="shared" si="1063"/>
        <v>0</v>
      </c>
      <c r="EQ208" s="358">
        <f t="shared" si="1063"/>
        <v>0</v>
      </c>
      <c r="ER208" s="152">
        <f>SUM(EL208:EQ208)</f>
        <v>0</v>
      </c>
      <c r="ES208" s="6"/>
      <c r="ET208" s="9"/>
      <c r="EU208" s="6"/>
      <c r="EV208" s="390">
        <f t="shared" ref="EV208:FA209" si="1064">ROUND(N208,0)</f>
        <v>0</v>
      </c>
      <c r="EW208" s="358">
        <f t="shared" si="1064"/>
        <v>0</v>
      </c>
      <c r="EX208" s="358">
        <f t="shared" si="1064"/>
        <v>0</v>
      </c>
      <c r="EY208" s="358">
        <f t="shared" si="1064"/>
        <v>0</v>
      </c>
      <c r="EZ208" s="358">
        <f t="shared" si="1064"/>
        <v>0</v>
      </c>
      <c r="FA208" s="358">
        <f t="shared" si="1064"/>
        <v>0</v>
      </c>
      <c r="FB208" s="166">
        <f t="shared" si="904"/>
        <v>0</v>
      </c>
      <c r="FC208" s="1"/>
      <c r="FD208" s="390"/>
      <c r="FE208" s="358"/>
      <c r="FF208" s="358"/>
      <c r="FG208" s="358"/>
      <c r="FH208" s="358"/>
      <c r="FI208" s="358"/>
      <c r="FJ208" s="140">
        <f t="shared" si="905"/>
        <v>0</v>
      </c>
      <c r="FL208" s="390"/>
      <c r="FM208" s="358"/>
      <c r="FN208" s="358"/>
      <c r="FO208" s="358"/>
      <c r="FP208" s="358"/>
      <c r="FQ208" s="358"/>
      <c r="FR208" s="208">
        <f t="shared" si="906"/>
        <v>0</v>
      </c>
      <c r="FT208" s="390"/>
      <c r="FU208" s="358"/>
      <c r="FV208" s="358"/>
      <c r="FW208" s="358"/>
      <c r="FX208" s="358"/>
      <c r="FY208" s="358"/>
      <c r="FZ208" s="180">
        <f t="shared" si="907"/>
        <v>0</v>
      </c>
      <c r="GB208" s="390"/>
      <c r="GC208" s="358"/>
      <c r="GD208" s="358"/>
      <c r="GE208" s="358"/>
      <c r="GF208" s="358"/>
      <c r="GG208" s="358"/>
      <c r="GH208" s="152">
        <f t="shared" si="908"/>
        <v>0</v>
      </c>
      <c r="GJ208" s="390"/>
      <c r="GK208" s="358"/>
      <c r="GL208" s="358"/>
      <c r="GM208" s="358"/>
      <c r="GN208" s="358"/>
      <c r="GO208" s="358"/>
      <c r="GP208" s="194">
        <f t="shared" si="909"/>
        <v>0</v>
      </c>
      <c r="GR208" s="390"/>
      <c r="GS208" s="358"/>
      <c r="GT208" s="358"/>
      <c r="GU208" s="358"/>
      <c r="GV208" s="358"/>
      <c r="GW208" s="358"/>
      <c r="GX208" s="1104">
        <f t="shared" si="910"/>
        <v>0</v>
      </c>
      <c r="GZ208" s="575">
        <f t="shared" si="867"/>
        <v>0</v>
      </c>
      <c r="HA208" s="575">
        <f t="shared" si="868"/>
        <v>0</v>
      </c>
      <c r="HB208" s="575">
        <f t="shared" si="869"/>
        <v>0</v>
      </c>
      <c r="HC208" s="575">
        <f t="shared" si="870"/>
        <v>0</v>
      </c>
      <c r="HD208" s="575">
        <f t="shared" si="871"/>
        <v>0</v>
      </c>
      <c r="HE208" s="575">
        <f t="shared" si="872"/>
        <v>0</v>
      </c>
      <c r="HF208" s="991">
        <f t="shared" si="873"/>
        <v>0</v>
      </c>
      <c r="HG208" s="573">
        <f t="shared" si="874"/>
        <v>0</v>
      </c>
      <c r="HH208" s="257"/>
    </row>
    <row r="209" spans="1:216" ht="15" hidden="1" customHeight="1" thickBot="1" x14ac:dyDescent="0.3">
      <c r="A209" s="2424"/>
      <c r="B209" s="3231"/>
      <c r="C209" s="368" t="s">
        <v>224</v>
      </c>
      <c r="D209" s="55">
        <f>IF('DATA INPUT'!I116&gt;50000,'DATA INPUT'!I116-D208,0)</f>
        <v>0</v>
      </c>
      <c r="E209" s="55">
        <f>IF('DATA INPUT'!J116&gt;E208,'DATA INPUT'!J116-E208,0)</f>
        <v>0</v>
      </c>
      <c r="F209" s="55">
        <f>IF('DATA INPUT'!K116&gt;F208,'DATA INPUT'!K116-F208,0)</f>
        <v>0</v>
      </c>
      <c r="G209" s="55">
        <f>IF('DATA INPUT'!L116&gt;G208,'DATA INPUT'!L116-G208,0)</f>
        <v>0</v>
      </c>
      <c r="H209" s="55">
        <f>IF('DATA INPUT'!M116&gt;H208,'DATA INPUT'!M116-H208,0)</f>
        <v>0</v>
      </c>
      <c r="I209" s="55">
        <f>IF('DATA INPUT'!N116&gt;I208,'DATA INPUT'!N116-I208,0)</f>
        <v>0</v>
      </c>
      <c r="J209" s="150">
        <f>SUM(D209:I209)</f>
        <v>0</v>
      </c>
      <c r="K209" s="9"/>
      <c r="L209" s="9"/>
      <c r="M209" s="9"/>
      <c r="N209" s="391"/>
      <c r="O209" s="55"/>
      <c r="P209" s="55"/>
      <c r="Q209" s="55"/>
      <c r="R209" s="55"/>
      <c r="S209" s="55"/>
      <c r="T209" s="164">
        <f t="shared" si="895"/>
        <v>0</v>
      </c>
      <c r="U209" s="1"/>
      <c r="V209" s="391"/>
      <c r="W209" s="55"/>
      <c r="X209" s="55"/>
      <c r="Y209" s="55"/>
      <c r="Z209" s="55"/>
      <c r="AA209" s="55"/>
      <c r="AB209" s="138">
        <f t="shared" si="896"/>
        <v>0</v>
      </c>
      <c r="AD209" s="391"/>
      <c r="AE209" s="55"/>
      <c r="AF209" s="55"/>
      <c r="AG209" s="55"/>
      <c r="AH209" s="55"/>
      <c r="AI209" s="55"/>
      <c r="AJ209" s="206">
        <f t="shared" si="897"/>
        <v>0</v>
      </c>
      <c r="AL209" s="391"/>
      <c r="AM209" s="55"/>
      <c r="AN209" s="55"/>
      <c r="AO209" s="55"/>
      <c r="AP209" s="55"/>
      <c r="AQ209" s="55"/>
      <c r="AR209" s="178">
        <f t="shared" si="898"/>
        <v>0</v>
      </c>
      <c r="AT209" s="391"/>
      <c r="AU209" s="55"/>
      <c r="AV209" s="55"/>
      <c r="AW209" s="55"/>
      <c r="AX209" s="55"/>
      <c r="AY209" s="55"/>
      <c r="AZ209" s="150">
        <f t="shared" si="899"/>
        <v>0</v>
      </c>
      <c r="BB209" s="391"/>
      <c r="BC209" s="55"/>
      <c r="BD209" s="55"/>
      <c r="BE209" s="55"/>
      <c r="BF209" s="55"/>
      <c r="BG209" s="55"/>
      <c r="BH209" s="192">
        <f t="shared" si="900"/>
        <v>0</v>
      </c>
      <c r="BJ209" s="391"/>
      <c r="BK209" s="55"/>
      <c r="BL209" s="55"/>
      <c r="BM209" s="55"/>
      <c r="BN209" s="55"/>
      <c r="BO209" s="55"/>
      <c r="BP209" s="1102">
        <f t="shared" si="901"/>
        <v>0</v>
      </c>
      <c r="BR209" s="575">
        <f t="shared" si="844"/>
        <v>0</v>
      </c>
      <c r="BS209" s="575">
        <f t="shared" si="845"/>
        <v>0</v>
      </c>
      <c r="BT209" s="575">
        <f t="shared" si="846"/>
        <v>0</v>
      </c>
      <c r="BU209" s="575">
        <f t="shared" si="847"/>
        <v>0</v>
      </c>
      <c r="BV209" s="575">
        <f t="shared" si="848"/>
        <v>0</v>
      </c>
      <c r="BW209" s="575">
        <f t="shared" si="849"/>
        <v>0</v>
      </c>
      <c r="BX209" s="991">
        <f t="shared" si="850"/>
        <v>0</v>
      </c>
      <c r="BY209" s="573">
        <f t="shared" si="851"/>
        <v>0</v>
      </c>
      <c r="BZ209" s="257"/>
      <c r="CB209" s="1323">
        <f>D209</f>
        <v>0</v>
      </c>
      <c r="CC209" s="1324">
        <f>E209</f>
        <v>0</v>
      </c>
      <c r="CD209" s="1325"/>
      <c r="CE209" s="1325"/>
      <c r="CF209" s="1325"/>
      <c r="CG209" s="1326"/>
      <c r="CH209" s="1331">
        <f>$F209</f>
        <v>0</v>
      </c>
      <c r="CI209" s="1332"/>
      <c r="CJ209" s="1332"/>
      <c r="CK209" s="1332"/>
      <c r="CL209" s="1333"/>
      <c r="CM209" s="1334">
        <f>$G209</f>
        <v>0</v>
      </c>
      <c r="CN209" s="1335"/>
      <c r="CO209" s="1336"/>
      <c r="CP209" s="1228">
        <f>SUM(CB209:CO209)</f>
        <v>0</v>
      </c>
      <c r="CS209" s="391"/>
      <c r="CT209" s="55"/>
      <c r="CU209" s="1347"/>
      <c r="CV209" s="391"/>
      <c r="CW209" s="55"/>
      <c r="CX209" s="1347"/>
      <c r="CY209" s="391"/>
      <c r="CZ209" s="55"/>
      <c r="DA209" s="1347"/>
      <c r="DB209" s="391"/>
      <c r="DC209" s="55"/>
      <c r="DD209" s="1347"/>
      <c r="DE209" s="1181">
        <f>SUM(CS209:DD209)</f>
        <v>0</v>
      </c>
      <c r="DG209" s="391"/>
      <c r="DH209" s="55"/>
      <c r="DI209" s="1347"/>
      <c r="DJ209" s="391"/>
      <c r="DK209" s="55"/>
      <c r="DL209" s="1347"/>
      <c r="DM209" s="391"/>
      <c r="DN209" s="55"/>
      <c r="DO209" s="1347"/>
      <c r="DP209" s="391"/>
      <c r="DQ209" s="55"/>
      <c r="DR209" s="1347"/>
      <c r="DS209" s="1181">
        <f>SUM(DG209:DR209)</f>
        <v>0</v>
      </c>
      <c r="DU209" s="391"/>
      <c r="DV209" s="55"/>
      <c r="DW209" s="1347"/>
      <c r="DX209" s="391"/>
      <c r="DY209" s="55"/>
      <c r="DZ209" s="1347"/>
      <c r="EA209" s="391"/>
      <c r="EB209" s="55"/>
      <c r="EC209" s="1347"/>
      <c r="ED209" s="391"/>
      <c r="EE209" s="55"/>
      <c r="EF209" s="1347"/>
      <c r="EG209" s="1181">
        <f>SUM(DU209:EF209)</f>
        <v>0</v>
      </c>
      <c r="EI209" s="2424"/>
      <c r="EJ209" s="3231"/>
      <c r="EK209" s="368" t="s">
        <v>224</v>
      </c>
      <c r="EL209" s="55">
        <f t="shared" si="1063"/>
        <v>0</v>
      </c>
      <c r="EM209" s="55">
        <f t="shared" si="1063"/>
        <v>0</v>
      </c>
      <c r="EN209" s="55">
        <f t="shared" si="1063"/>
        <v>0</v>
      </c>
      <c r="EO209" s="55">
        <f t="shared" si="1063"/>
        <v>0</v>
      </c>
      <c r="EP209" s="55">
        <f t="shared" si="1063"/>
        <v>0</v>
      </c>
      <c r="EQ209" s="55">
        <f t="shared" si="1063"/>
        <v>0</v>
      </c>
      <c r="ER209" s="150">
        <f>SUM(EL209:EQ209)</f>
        <v>0</v>
      </c>
      <c r="ES209" s="9"/>
      <c r="ET209" s="9"/>
      <c r="EU209" s="9"/>
      <c r="EV209" s="391">
        <f t="shared" si="1064"/>
        <v>0</v>
      </c>
      <c r="EW209" s="55">
        <f t="shared" si="1064"/>
        <v>0</v>
      </c>
      <c r="EX209" s="55">
        <f t="shared" si="1064"/>
        <v>0</v>
      </c>
      <c r="EY209" s="55">
        <f t="shared" si="1064"/>
        <v>0</v>
      </c>
      <c r="EZ209" s="55">
        <f t="shared" si="1064"/>
        <v>0</v>
      </c>
      <c r="FA209" s="55">
        <f t="shared" si="1064"/>
        <v>0</v>
      </c>
      <c r="FB209" s="164">
        <f t="shared" si="904"/>
        <v>0</v>
      </c>
      <c r="FC209" s="1"/>
      <c r="FD209" s="391"/>
      <c r="FE209" s="55"/>
      <c r="FF209" s="55"/>
      <c r="FG209" s="55"/>
      <c r="FH209" s="55"/>
      <c r="FI209" s="55"/>
      <c r="FJ209" s="138">
        <f t="shared" si="905"/>
        <v>0</v>
      </c>
      <c r="FL209" s="391"/>
      <c r="FM209" s="55"/>
      <c r="FN209" s="55"/>
      <c r="FO209" s="55"/>
      <c r="FP209" s="55"/>
      <c r="FQ209" s="55"/>
      <c r="FR209" s="206">
        <f t="shared" si="906"/>
        <v>0</v>
      </c>
      <c r="FT209" s="391"/>
      <c r="FU209" s="55"/>
      <c r="FV209" s="55"/>
      <c r="FW209" s="55"/>
      <c r="FX209" s="55"/>
      <c r="FY209" s="55"/>
      <c r="FZ209" s="178">
        <f t="shared" si="907"/>
        <v>0</v>
      </c>
      <c r="GB209" s="391"/>
      <c r="GC209" s="55"/>
      <c r="GD209" s="55"/>
      <c r="GE209" s="55"/>
      <c r="GF209" s="55"/>
      <c r="GG209" s="55"/>
      <c r="GH209" s="150">
        <f t="shared" si="908"/>
        <v>0</v>
      </c>
      <c r="GJ209" s="391"/>
      <c r="GK209" s="55"/>
      <c r="GL209" s="55"/>
      <c r="GM209" s="55"/>
      <c r="GN209" s="55"/>
      <c r="GO209" s="55"/>
      <c r="GP209" s="192">
        <f t="shared" si="909"/>
        <v>0</v>
      </c>
      <c r="GR209" s="391"/>
      <c r="GS209" s="55"/>
      <c r="GT209" s="55"/>
      <c r="GU209" s="55"/>
      <c r="GV209" s="55"/>
      <c r="GW209" s="55"/>
      <c r="GX209" s="1102">
        <f t="shared" si="910"/>
        <v>0</v>
      </c>
      <c r="GZ209" s="575">
        <f t="shared" si="867"/>
        <v>0</v>
      </c>
      <c r="HA209" s="575">
        <f t="shared" si="868"/>
        <v>0</v>
      </c>
      <c r="HB209" s="575">
        <f t="shared" si="869"/>
        <v>0</v>
      </c>
      <c r="HC209" s="575">
        <f t="shared" si="870"/>
        <v>0</v>
      </c>
      <c r="HD209" s="575">
        <f t="shared" si="871"/>
        <v>0</v>
      </c>
      <c r="HE209" s="575">
        <f t="shared" si="872"/>
        <v>0</v>
      </c>
      <c r="HF209" s="991">
        <f t="shared" si="873"/>
        <v>0</v>
      </c>
      <c r="HG209" s="573">
        <f t="shared" si="874"/>
        <v>0</v>
      </c>
      <c r="HH209" s="257"/>
    </row>
    <row r="210" spans="1:216" ht="15" hidden="1" customHeight="1" thickBot="1" x14ac:dyDescent="0.3">
      <c r="A210" s="2424"/>
      <c r="B210" s="3232"/>
      <c r="C210" s="372" t="s">
        <v>239</v>
      </c>
      <c r="D210" s="373">
        <f t="shared" ref="D210:J210" si="1065">SUM(D208:D209)</f>
        <v>0</v>
      </c>
      <c r="E210" s="373">
        <f t="shared" si="1065"/>
        <v>0</v>
      </c>
      <c r="F210" s="373">
        <f t="shared" si="1065"/>
        <v>0</v>
      </c>
      <c r="G210" s="373">
        <f t="shared" si="1065"/>
        <v>0</v>
      </c>
      <c r="H210" s="373">
        <f t="shared" si="1065"/>
        <v>0</v>
      </c>
      <c r="I210" s="373">
        <f t="shared" si="1065"/>
        <v>0</v>
      </c>
      <c r="J210" s="374">
        <f t="shared" si="1065"/>
        <v>0</v>
      </c>
      <c r="K210" s="13">
        <f>SUM(D210:I210)</f>
        <v>0</v>
      </c>
      <c r="L210" s="13"/>
      <c r="M210" s="9"/>
      <c r="N210" s="392">
        <f t="shared" ref="N210:S210" si="1066">SUM(N208:N209)</f>
        <v>0</v>
      </c>
      <c r="O210" s="373">
        <f t="shared" si="1066"/>
        <v>0</v>
      </c>
      <c r="P210" s="373">
        <f t="shared" si="1066"/>
        <v>0</v>
      </c>
      <c r="Q210" s="373">
        <f t="shared" si="1066"/>
        <v>0</v>
      </c>
      <c r="R210" s="373">
        <f t="shared" si="1066"/>
        <v>0</v>
      </c>
      <c r="S210" s="373">
        <f t="shared" si="1066"/>
        <v>0</v>
      </c>
      <c r="T210" s="393">
        <f t="shared" si="895"/>
        <v>0</v>
      </c>
      <c r="U210" s="1"/>
      <c r="V210" s="392">
        <f t="shared" ref="V210:AA210" si="1067">SUM(V208:V209)</f>
        <v>0</v>
      </c>
      <c r="W210" s="373">
        <f t="shared" si="1067"/>
        <v>0</v>
      </c>
      <c r="X210" s="373">
        <f t="shared" si="1067"/>
        <v>0</v>
      </c>
      <c r="Y210" s="373">
        <f t="shared" si="1067"/>
        <v>0</v>
      </c>
      <c r="Z210" s="373">
        <f t="shared" si="1067"/>
        <v>0</v>
      </c>
      <c r="AA210" s="373">
        <f t="shared" si="1067"/>
        <v>0</v>
      </c>
      <c r="AB210" s="393">
        <f t="shared" si="896"/>
        <v>0</v>
      </c>
      <c r="AD210" s="392">
        <f t="shared" ref="AD210:AI210" si="1068">SUM(AD208:AD209)</f>
        <v>0</v>
      </c>
      <c r="AE210" s="373">
        <f t="shared" si="1068"/>
        <v>0</v>
      </c>
      <c r="AF210" s="373">
        <f t="shared" si="1068"/>
        <v>0</v>
      </c>
      <c r="AG210" s="373">
        <f t="shared" si="1068"/>
        <v>0</v>
      </c>
      <c r="AH210" s="373">
        <f t="shared" si="1068"/>
        <v>0</v>
      </c>
      <c r="AI210" s="373">
        <f t="shared" si="1068"/>
        <v>0</v>
      </c>
      <c r="AJ210" s="393">
        <f t="shared" si="897"/>
        <v>0</v>
      </c>
      <c r="AL210" s="392">
        <f t="shared" ref="AL210:AQ210" si="1069">SUM(AL208:AL209)</f>
        <v>0</v>
      </c>
      <c r="AM210" s="373">
        <f t="shared" si="1069"/>
        <v>0</v>
      </c>
      <c r="AN210" s="373">
        <f t="shared" si="1069"/>
        <v>0</v>
      </c>
      <c r="AO210" s="373">
        <f t="shared" si="1069"/>
        <v>0</v>
      </c>
      <c r="AP210" s="373">
        <f t="shared" si="1069"/>
        <v>0</v>
      </c>
      <c r="AQ210" s="373">
        <f t="shared" si="1069"/>
        <v>0</v>
      </c>
      <c r="AR210" s="393">
        <f t="shared" si="898"/>
        <v>0</v>
      </c>
      <c r="AT210" s="392">
        <f t="shared" ref="AT210:AY210" si="1070">SUM(AT208:AT209)</f>
        <v>0</v>
      </c>
      <c r="AU210" s="373">
        <f t="shared" si="1070"/>
        <v>0</v>
      </c>
      <c r="AV210" s="373">
        <f t="shared" si="1070"/>
        <v>0</v>
      </c>
      <c r="AW210" s="373">
        <f t="shared" si="1070"/>
        <v>0</v>
      </c>
      <c r="AX210" s="373">
        <f t="shared" si="1070"/>
        <v>0</v>
      </c>
      <c r="AY210" s="373">
        <f t="shared" si="1070"/>
        <v>0</v>
      </c>
      <c r="AZ210" s="393">
        <f t="shared" si="899"/>
        <v>0</v>
      </c>
      <c r="BB210" s="392">
        <f t="shared" ref="BB210:BG210" si="1071">SUM(BB208:BB209)</f>
        <v>0</v>
      </c>
      <c r="BC210" s="373">
        <f t="shared" si="1071"/>
        <v>0</v>
      </c>
      <c r="BD210" s="373">
        <f t="shared" si="1071"/>
        <v>0</v>
      </c>
      <c r="BE210" s="373">
        <f t="shared" si="1071"/>
        <v>0</v>
      </c>
      <c r="BF210" s="373">
        <f t="shared" si="1071"/>
        <v>0</v>
      </c>
      <c r="BG210" s="373">
        <f t="shared" si="1071"/>
        <v>0</v>
      </c>
      <c r="BH210" s="393">
        <f t="shared" si="900"/>
        <v>0</v>
      </c>
      <c r="BJ210" s="392">
        <f t="shared" ref="BJ210:BO210" si="1072">SUM(BJ208:BJ209)</f>
        <v>0</v>
      </c>
      <c r="BK210" s="373">
        <f t="shared" si="1072"/>
        <v>0</v>
      </c>
      <c r="BL210" s="373">
        <f t="shared" si="1072"/>
        <v>0</v>
      </c>
      <c r="BM210" s="373">
        <f t="shared" si="1072"/>
        <v>0</v>
      </c>
      <c r="BN210" s="373">
        <f t="shared" si="1072"/>
        <v>0</v>
      </c>
      <c r="BO210" s="373">
        <f t="shared" si="1072"/>
        <v>0</v>
      </c>
      <c r="BP210" s="1103">
        <f t="shared" si="901"/>
        <v>0</v>
      </c>
      <c r="BR210" s="579">
        <f t="shared" si="844"/>
        <v>0</v>
      </c>
      <c r="BS210" s="579">
        <f t="shared" si="845"/>
        <v>0</v>
      </c>
      <c r="BT210" s="579">
        <f t="shared" si="846"/>
        <v>0</v>
      </c>
      <c r="BU210" s="579">
        <f t="shared" si="847"/>
        <v>0</v>
      </c>
      <c r="BV210" s="579">
        <f t="shared" si="848"/>
        <v>0</v>
      </c>
      <c r="BW210" s="579">
        <f t="shared" si="849"/>
        <v>0</v>
      </c>
      <c r="BX210" s="579">
        <f t="shared" si="850"/>
        <v>0</v>
      </c>
      <c r="BY210" s="580">
        <f t="shared" si="851"/>
        <v>0</v>
      </c>
      <c r="BZ210" s="257"/>
      <c r="CB210" s="1348">
        <f t="shared" ref="CB210:CP210" si="1073">SUM(CB208:CB209)</f>
        <v>0</v>
      </c>
      <c r="CC210" s="1348">
        <f t="shared" si="1073"/>
        <v>0</v>
      </c>
      <c r="CD210" s="1348">
        <f t="shared" si="1073"/>
        <v>0</v>
      </c>
      <c r="CE210" s="1348">
        <f t="shared" si="1073"/>
        <v>0</v>
      </c>
      <c r="CF210" s="1348">
        <f t="shared" si="1073"/>
        <v>0</v>
      </c>
      <c r="CG210" s="1348">
        <f t="shared" si="1073"/>
        <v>0</v>
      </c>
      <c r="CH210" s="1348">
        <f t="shared" si="1073"/>
        <v>0</v>
      </c>
      <c r="CI210" s="1348">
        <f t="shared" si="1073"/>
        <v>0</v>
      </c>
      <c r="CJ210" s="1348">
        <f t="shared" si="1073"/>
        <v>0</v>
      </c>
      <c r="CK210" s="1348">
        <f t="shared" si="1073"/>
        <v>0</v>
      </c>
      <c r="CL210" s="1348">
        <f t="shared" si="1073"/>
        <v>0</v>
      </c>
      <c r="CM210" s="1348">
        <f t="shared" si="1073"/>
        <v>0</v>
      </c>
      <c r="CN210" s="1348">
        <f t="shared" si="1073"/>
        <v>0</v>
      </c>
      <c r="CO210" s="1348">
        <f t="shared" si="1073"/>
        <v>0</v>
      </c>
      <c r="CP210" s="1348">
        <f t="shared" si="1073"/>
        <v>0</v>
      </c>
      <c r="CS210" s="1348">
        <f t="shared" ref="CS210:DE210" si="1074">SUM(CS208:CS209)</f>
        <v>0</v>
      </c>
      <c r="CT210" s="1348">
        <f t="shared" si="1074"/>
        <v>0</v>
      </c>
      <c r="CU210" s="1348">
        <f t="shared" si="1074"/>
        <v>0</v>
      </c>
      <c r="CV210" s="1348">
        <f t="shared" si="1074"/>
        <v>0</v>
      </c>
      <c r="CW210" s="1348">
        <f t="shared" si="1074"/>
        <v>0</v>
      </c>
      <c r="CX210" s="1348">
        <f t="shared" si="1074"/>
        <v>0</v>
      </c>
      <c r="CY210" s="1348">
        <f t="shared" si="1074"/>
        <v>0</v>
      </c>
      <c r="CZ210" s="1348">
        <f t="shared" si="1074"/>
        <v>0</v>
      </c>
      <c r="DA210" s="1348">
        <f t="shared" si="1074"/>
        <v>0</v>
      </c>
      <c r="DB210" s="1348">
        <f t="shared" si="1074"/>
        <v>0</v>
      </c>
      <c r="DC210" s="1348">
        <f t="shared" si="1074"/>
        <v>0</v>
      </c>
      <c r="DD210" s="1348">
        <f t="shared" si="1074"/>
        <v>0</v>
      </c>
      <c r="DE210" s="1348">
        <f t="shared" si="1074"/>
        <v>0</v>
      </c>
      <c r="DG210" s="1348">
        <f t="shared" ref="DG210:DS210" si="1075">SUM(DG208:DG209)</f>
        <v>0</v>
      </c>
      <c r="DH210" s="1348">
        <f t="shared" si="1075"/>
        <v>0</v>
      </c>
      <c r="DI210" s="1348">
        <f t="shared" si="1075"/>
        <v>0</v>
      </c>
      <c r="DJ210" s="1348">
        <f t="shared" si="1075"/>
        <v>0</v>
      </c>
      <c r="DK210" s="1348">
        <f t="shared" si="1075"/>
        <v>0</v>
      </c>
      <c r="DL210" s="1348">
        <f t="shared" si="1075"/>
        <v>0</v>
      </c>
      <c r="DM210" s="1348">
        <f t="shared" si="1075"/>
        <v>0</v>
      </c>
      <c r="DN210" s="1348">
        <f t="shared" si="1075"/>
        <v>0</v>
      </c>
      <c r="DO210" s="1348">
        <f t="shared" si="1075"/>
        <v>0</v>
      </c>
      <c r="DP210" s="1348">
        <f t="shared" si="1075"/>
        <v>0</v>
      </c>
      <c r="DQ210" s="1348">
        <f t="shared" si="1075"/>
        <v>0</v>
      </c>
      <c r="DR210" s="1348">
        <f t="shared" si="1075"/>
        <v>0</v>
      </c>
      <c r="DS210" s="1348">
        <f t="shared" si="1075"/>
        <v>0</v>
      </c>
      <c r="DU210" s="1348">
        <f t="shared" ref="DU210:EG210" si="1076">SUM(DU208:DU209)</f>
        <v>0</v>
      </c>
      <c r="DV210" s="1348">
        <f t="shared" si="1076"/>
        <v>0</v>
      </c>
      <c r="DW210" s="1348">
        <f t="shared" si="1076"/>
        <v>0</v>
      </c>
      <c r="DX210" s="1348">
        <f t="shared" si="1076"/>
        <v>0</v>
      </c>
      <c r="DY210" s="1348">
        <f t="shared" si="1076"/>
        <v>0</v>
      </c>
      <c r="DZ210" s="1348">
        <f t="shared" si="1076"/>
        <v>0</v>
      </c>
      <c r="EA210" s="1348">
        <f t="shared" si="1076"/>
        <v>0</v>
      </c>
      <c r="EB210" s="1348">
        <f t="shared" si="1076"/>
        <v>0</v>
      </c>
      <c r="EC210" s="1348">
        <f t="shared" si="1076"/>
        <v>0</v>
      </c>
      <c r="ED210" s="1348">
        <f t="shared" si="1076"/>
        <v>0</v>
      </c>
      <c r="EE210" s="1348">
        <f t="shared" si="1076"/>
        <v>0</v>
      </c>
      <c r="EF210" s="1348">
        <f t="shared" si="1076"/>
        <v>0</v>
      </c>
      <c r="EG210" s="1348">
        <f t="shared" si="1076"/>
        <v>0</v>
      </c>
      <c r="EI210" s="2424"/>
      <c r="EJ210" s="3232"/>
      <c r="EK210" s="372" t="s">
        <v>239</v>
      </c>
      <c r="EL210" s="373">
        <f t="shared" ref="EL210:ER210" si="1077">SUM(EL208:EL209)</f>
        <v>0</v>
      </c>
      <c r="EM210" s="373">
        <f t="shared" si="1077"/>
        <v>0</v>
      </c>
      <c r="EN210" s="373">
        <f t="shared" si="1077"/>
        <v>0</v>
      </c>
      <c r="EO210" s="373">
        <f t="shared" si="1077"/>
        <v>0</v>
      </c>
      <c r="EP210" s="373">
        <f t="shared" si="1077"/>
        <v>0</v>
      </c>
      <c r="EQ210" s="373">
        <f t="shared" si="1077"/>
        <v>0</v>
      </c>
      <c r="ER210" s="374">
        <f t="shared" si="1077"/>
        <v>0</v>
      </c>
      <c r="ES210" s="13">
        <f>SUM(EL210:EQ210)</f>
        <v>0</v>
      </c>
      <c r="ET210" s="13"/>
      <c r="EU210" s="9"/>
      <c r="EV210" s="392">
        <f t="shared" ref="EV210:FA210" si="1078">SUM(EV208:EV209)</f>
        <v>0</v>
      </c>
      <c r="EW210" s="373">
        <f t="shared" si="1078"/>
        <v>0</v>
      </c>
      <c r="EX210" s="373">
        <f t="shared" si="1078"/>
        <v>0</v>
      </c>
      <c r="EY210" s="373">
        <f t="shared" si="1078"/>
        <v>0</v>
      </c>
      <c r="EZ210" s="373">
        <f t="shared" si="1078"/>
        <v>0</v>
      </c>
      <c r="FA210" s="373">
        <f t="shared" si="1078"/>
        <v>0</v>
      </c>
      <c r="FB210" s="393">
        <f t="shared" si="904"/>
        <v>0</v>
      </c>
      <c r="FC210" s="1"/>
      <c r="FD210" s="392">
        <f t="shared" ref="FD210:FI210" si="1079">SUM(FD208:FD209)</f>
        <v>0</v>
      </c>
      <c r="FE210" s="373">
        <f t="shared" si="1079"/>
        <v>0</v>
      </c>
      <c r="FF210" s="373">
        <f t="shared" si="1079"/>
        <v>0</v>
      </c>
      <c r="FG210" s="373">
        <f t="shared" si="1079"/>
        <v>0</v>
      </c>
      <c r="FH210" s="373">
        <f t="shared" si="1079"/>
        <v>0</v>
      </c>
      <c r="FI210" s="373">
        <f t="shared" si="1079"/>
        <v>0</v>
      </c>
      <c r="FJ210" s="393">
        <f t="shared" si="905"/>
        <v>0</v>
      </c>
      <c r="FL210" s="392">
        <f t="shared" ref="FL210:FQ210" si="1080">SUM(FL208:FL209)</f>
        <v>0</v>
      </c>
      <c r="FM210" s="373">
        <f t="shared" si="1080"/>
        <v>0</v>
      </c>
      <c r="FN210" s="373">
        <f t="shared" si="1080"/>
        <v>0</v>
      </c>
      <c r="FO210" s="373">
        <f t="shared" si="1080"/>
        <v>0</v>
      </c>
      <c r="FP210" s="373">
        <f t="shared" si="1080"/>
        <v>0</v>
      </c>
      <c r="FQ210" s="373">
        <f t="shared" si="1080"/>
        <v>0</v>
      </c>
      <c r="FR210" s="393">
        <f t="shared" si="906"/>
        <v>0</v>
      </c>
      <c r="FT210" s="392">
        <f t="shared" ref="FT210:FY210" si="1081">SUM(FT208:FT209)</f>
        <v>0</v>
      </c>
      <c r="FU210" s="373">
        <f t="shared" si="1081"/>
        <v>0</v>
      </c>
      <c r="FV210" s="373">
        <f t="shared" si="1081"/>
        <v>0</v>
      </c>
      <c r="FW210" s="373">
        <f t="shared" si="1081"/>
        <v>0</v>
      </c>
      <c r="FX210" s="373">
        <f t="shared" si="1081"/>
        <v>0</v>
      </c>
      <c r="FY210" s="373">
        <f t="shared" si="1081"/>
        <v>0</v>
      </c>
      <c r="FZ210" s="393">
        <f t="shared" si="907"/>
        <v>0</v>
      </c>
      <c r="GB210" s="392">
        <f t="shared" ref="GB210:GG210" si="1082">SUM(GB208:GB209)</f>
        <v>0</v>
      </c>
      <c r="GC210" s="373">
        <f t="shared" si="1082"/>
        <v>0</v>
      </c>
      <c r="GD210" s="373">
        <f t="shared" si="1082"/>
        <v>0</v>
      </c>
      <c r="GE210" s="373">
        <f t="shared" si="1082"/>
        <v>0</v>
      </c>
      <c r="GF210" s="373">
        <f t="shared" si="1082"/>
        <v>0</v>
      </c>
      <c r="GG210" s="373">
        <f t="shared" si="1082"/>
        <v>0</v>
      </c>
      <c r="GH210" s="393">
        <f t="shared" si="908"/>
        <v>0</v>
      </c>
      <c r="GJ210" s="392">
        <f t="shared" ref="GJ210:GO210" si="1083">SUM(GJ208:GJ209)</f>
        <v>0</v>
      </c>
      <c r="GK210" s="373">
        <f t="shared" si="1083"/>
        <v>0</v>
      </c>
      <c r="GL210" s="373">
        <f t="shared" si="1083"/>
        <v>0</v>
      </c>
      <c r="GM210" s="373">
        <f t="shared" si="1083"/>
        <v>0</v>
      </c>
      <c r="GN210" s="373">
        <f t="shared" si="1083"/>
        <v>0</v>
      </c>
      <c r="GO210" s="373">
        <f t="shared" si="1083"/>
        <v>0</v>
      </c>
      <c r="GP210" s="393">
        <f t="shared" si="909"/>
        <v>0</v>
      </c>
      <c r="GR210" s="392">
        <f t="shared" ref="GR210:GW210" si="1084">SUM(GR208:GR209)</f>
        <v>0</v>
      </c>
      <c r="GS210" s="373">
        <f t="shared" si="1084"/>
        <v>0</v>
      </c>
      <c r="GT210" s="373">
        <f t="shared" si="1084"/>
        <v>0</v>
      </c>
      <c r="GU210" s="373">
        <f t="shared" si="1084"/>
        <v>0</v>
      </c>
      <c r="GV210" s="373">
        <f t="shared" si="1084"/>
        <v>0</v>
      </c>
      <c r="GW210" s="373">
        <f t="shared" si="1084"/>
        <v>0</v>
      </c>
      <c r="GX210" s="1103">
        <f t="shared" si="910"/>
        <v>0</v>
      </c>
      <c r="GZ210" s="579">
        <f t="shared" si="867"/>
        <v>0</v>
      </c>
      <c r="HA210" s="579">
        <f t="shared" si="868"/>
        <v>0</v>
      </c>
      <c r="HB210" s="579">
        <f t="shared" si="869"/>
        <v>0</v>
      </c>
      <c r="HC210" s="579">
        <f t="shared" si="870"/>
        <v>0</v>
      </c>
      <c r="HD210" s="579">
        <f t="shared" si="871"/>
        <v>0</v>
      </c>
      <c r="HE210" s="579">
        <f t="shared" si="872"/>
        <v>0</v>
      </c>
      <c r="HF210" s="579">
        <f t="shared" si="873"/>
        <v>0</v>
      </c>
      <c r="HG210" s="580">
        <f t="shared" si="874"/>
        <v>0</v>
      </c>
      <c r="HH210" s="257"/>
    </row>
    <row r="211" spans="1:216" ht="15" hidden="1" customHeight="1" x14ac:dyDescent="0.25">
      <c r="A211" s="2424"/>
      <c r="B211" s="3320">
        <f>'DATA INPUT'!B117</f>
        <v>0</v>
      </c>
      <c r="C211" s="359" t="s">
        <v>1033</v>
      </c>
      <c r="D211" s="360">
        <f>IF('DATA INPUT'!I117&gt;0,IF('DATA INPUT'!I117&lt;=50000,'DATA INPUT'!I117,50000),0)</f>
        <v>0</v>
      </c>
      <c r="E211" s="360">
        <f>IF('DATA INPUT'!J117&gt;0,IF(SUM($D211:D211)&lt;50000,MIN('DATA INPUT'!J117,50000-SUM($D211:D211)),0),0)</f>
        <v>0</v>
      </c>
      <c r="F211" s="360">
        <f>IF('DATA INPUT'!K117&gt;0,IF(SUM($D211:E211)&lt;50000,MIN('DATA INPUT'!K117,50000-SUM($D211:E211)),0),0)</f>
        <v>0</v>
      </c>
      <c r="G211" s="360">
        <f>IF('DATA INPUT'!L117&gt;0,IF(SUM($D211:F211)&lt;50000,MIN('DATA INPUT'!L117,50000-SUM($D211:F211)),0),0)</f>
        <v>0</v>
      </c>
      <c r="H211" s="360">
        <f>IF('DATA INPUT'!M117&gt;0,IF(SUM($D211:G211)&lt;50000,MIN('DATA INPUT'!M117,50000-SUM($D211:G211)),0),0)</f>
        <v>0</v>
      </c>
      <c r="I211" s="360">
        <f>IF('DATA INPUT'!N117&gt;0,IF(SUM($D211:H211)&lt;50000,MIN('DATA INPUT'!N117,50000-SUM($D211:H211)),0),0)</f>
        <v>0</v>
      </c>
      <c r="J211" s="180">
        <f>SUM(D211:I211)</f>
        <v>0</v>
      </c>
      <c r="K211" s="6"/>
      <c r="L211" s="9"/>
      <c r="M211" s="6"/>
      <c r="N211" s="386"/>
      <c r="O211" s="360"/>
      <c r="P211" s="360"/>
      <c r="Q211" s="360"/>
      <c r="R211" s="360"/>
      <c r="S211" s="360"/>
      <c r="T211" s="166">
        <f t="shared" si="895"/>
        <v>0</v>
      </c>
      <c r="U211" s="1"/>
      <c r="V211" s="386"/>
      <c r="W211" s="360"/>
      <c r="X211" s="360"/>
      <c r="Y211" s="360"/>
      <c r="Z211" s="360"/>
      <c r="AA211" s="360"/>
      <c r="AB211" s="140">
        <f t="shared" si="896"/>
        <v>0</v>
      </c>
      <c r="AD211" s="386"/>
      <c r="AE211" s="360"/>
      <c r="AF211" s="360"/>
      <c r="AG211" s="360"/>
      <c r="AH211" s="360"/>
      <c r="AI211" s="360"/>
      <c r="AJ211" s="208">
        <f t="shared" si="897"/>
        <v>0</v>
      </c>
      <c r="AL211" s="386"/>
      <c r="AM211" s="360"/>
      <c r="AN211" s="360"/>
      <c r="AO211" s="360"/>
      <c r="AP211" s="360"/>
      <c r="AQ211" s="360"/>
      <c r="AR211" s="180">
        <f t="shared" si="898"/>
        <v>0</v>
      </c>
      <c r="AT211" s="386"/>
      <c r="AU211" s="360"/>
      <c r="AV211" s="360"/>
      <c r="AW211" s="360"/>
      <c r="AX211" s="360"/>
      <c r="AY211" s="360"/>
      <c r="AZ211" s="152">
        <f t="shared" si="899"/>
        <v>0</v>
      </c>
      <c r="BB211" s="386"/>
      <c r="BC211" s="360"/>
      <c r="BD211" s="360"/>
      <c r="BE211" s="360"/>
      <c r="BF211" s="360"/>
      <c r="BG211" s="360"/>
      <c r="BH211" s="194">
        <f t="shared" si="900"/>
        <v>0</v>
      </c>
      <c r="BJ211" s="386"/>
      <c r="BK211" s="360"/>
      <c r="BL211" s="360"/>
      <c r="BM211" s="360"/>
      <c r="BN211" s="360"/>
      <c r="BO211" s="360"/>
      <c r="BP211" s="1104">
        <f t="shared" si="901"/>
        <v>0</v>
      </c>
      <c r="BR211" s="575">
        <f t="shared" si="844"/>
        <v>0</v>
      </c>
      <c r="BS211" s="575">
        <f t="shared" si="845"/>
        <v>0</v>
      </c>
      <c r="BT211" s="575">
        <f t="shared" si="846"/>
        <v>0</v>
      </c>
      <c r="BU211" s="575">
        <f t="shared" si="847"/>
        <v>0</v>
      </c>
      <c r="BV211" s="575">
        <f t="shared" si="848"/>
        <v>0</v>
      </c>
      <c r="BW211" s="575">
        <f t="shared" si="849"/>
        <v>0</v>
      </c>
      <c r="BX211" s="991">
        <f t="shared" si="850"/>
        <v>0</v>
      </c>
      <c r="BY211" s="573">
        <f t="shared" si="851"/>
        <v>0</v>
      </c>
      <c r="BZ211" s="257"/>
      <c r="CB211" s="1339">
        <f>D211</f>
        <v>0</v>
      </c>
      <c r="CC211" s="1170">
        <f>E211</f>
        <v>0</v>
      </c>
      <c r="CD211" s="1171"/>
      <c r="CE211" s="1171"/>
      <c r="CF211" s="1171"/>
      <c r="CG211" s="1172"/>
      <c r="CH211" s="1289">
        <f>$F211</f>
        <v>0</v>
      </c>
      <c r="CI211" s="1174"/>
      <c r="CJ211" s="1174"/>
      <c r="CK211" s="1174"/>
      <c r="CL211" s="1175"/>
      <c r="CM211" s="1176">
        <f>$G211</f>
        <v>0</v>
      </c>
      <c r="CN211" s="1290"/>
      <c r="CO211" s="1178"/>
      <c r="CP211" s="1179">
        <f>SUM(CB211:CO211)</f>
        <v>0</v>
      </c>
      <c r="CS211" s="386"/>
      <c r="CT211" s="360"/>
      <c r="CU211" s="1161"/>
      <c r="CV211" s="386"/>
      <c r="CW211" s="360"/>
      <c r="CX211" s="1161"/>
      <c r="CY211" s="386"/>
      <c r="CZ211" s="360"/>
      <c r="DA211" s="1161"/>
      <c r="DB211" s="386"/>
      <c r="DC211" s="360"/>
      <c r="DD211" s="1161"/>
      <c r="DE211" s="1065">
        <f>SUM(CS211:DD211)</f>
        <v>0</v>
      </c>
      <c r="DG211" s="386"/>
      <c r="DH211" s="360"/>
      <c r="DI211" s="1161"/>
      <c r="DJ211" s="386"/>
      <c r="DK211" s="360"/>
      <c r="DL211" s="1161"/>
      <c r="DM211" s="386"/>
      <c r="DN211" s="360"/>
      <c r="DO211" s="1161"/>
      <c r="DP211" s="386"/>
      <c r="DQ211" s="360"/>
      <c r="DR211" s="1161"/>
      <c r="DS211" s="1065">
        <f>SUM(DG211:DR211)</f>
        <v>0</v>
      </c>
      <c r="DU211" s="386"/>
      <c r="DV211" s="360"/>
      <c r="DW211" s="1161"/>
      <c r="DX211" s="386"/>
      <c r="DY211" s="360"/>
      <c r="DZ211" s="1161"/>
      <c r="EA211" s="386"/>
      <c r="EB211" s="360"/>
      <c r="EC211" s="1161"/>
      <c r="ED211" s="386"/>
      <c r="EE211" s="360"/>
      <c r="EF211" s="1161"/>
      <c r="EG211" s="1065">
        <f>SUM(DU211:EF211)</f>
        <v>0</v>
      </c>
      <c r="EI211" s="2424"/>
      <c r="EJ211" s="3320">
        <f>B211</f>
        <v>0</v>
      </c>
      <c r="EK211" s="359" t="s">
        <v>1033</v>
      </c>
      <c r="EL211" s="360">
        <f t="shared" ref="EL211:EQ212" si="1085">ROUND(D211,0)</f>
        <v>0</v>
      </c>
      <c r="EM211" s="360">
        <f t="shared" si="1085"/>
        <v>0</v>
      </c>
      <c r="EN211" s="360">
        <f t="shared" si="1085"/>
        <v>0</v>
      </c>
      <c r="EO211" s="360">
        <f t="shared" si="1085"/>
        <v>0</v>
      </c>
      <c r="EP211" s="360">
        <f t="shared" si="1085"/>
        <v>0</v>
      </c>
      <c r="EQ211" s="360">
        <f t="shared" si="1085"/>
        <v>0</v>
      </c>
      <c r="ER211" s="180">
        <f>SUM(EL211:EQ211)</f>
        <v>0</v>
      </c>
      <c r="ES211" s="6"/>
      <c r="ET211" s="9"/>
      <c r="EU211" s="6"/>
      <c r="EV211" s="386">
        <f t="shared" ref="EV211:FA212" si="1086">ROUND(N211,0)</f>
        <v>0</v>
      </c>
      <c r="EW211" s="360">
        <f t="shared" si="1086"/>
        <v>0</v>
      </c>
      <c r="EX211" s="360">
        <f t="shared" si="1086"/>
        <v>0</v>
      </c>
      <c r="EY211" s="360">
        <f t="shared" si="1086"/>
        <v>0</v>
      </c>
      <c r="EZ211" s="360">
        <f t="shared" si="1086"/>
        <v>0</v>
      </c>
      <c r="FA211" s="360">
        <f t="shared" si="1086"/>
        <v>0</v>
      </c>
      <c r="FB211" s="166">
        <f t="shared" si="904"/>
        <v>0</v>
      </c>
      <c r="FC211" s="1"/>
      <c r="FD211" s="386"/>
      <c r="FE211" s="360"/>
      <c r="FF211" s="360"/>
      <c r="FG211" s="360"/>
      <c r="FH211" s="360"/>
      <c r="FI211" s="360"/>
      <c r="FJ211" s="140">
        <f t="shared" si="905"/>
        <v>0</v>
      </c>
      <c r="FL211" s="386"/>
      <c r="FM211" s="360"/>
      <c r="FN211" s="360"/>
      <c r="FO211" s="360"/>
      <c r="FP211" s="360"/>
      <c r="FQ211" s="360"/>
      <c r="FR211" s="208">
        <f t="shared" si="906"/>
        <v>0</v>
      </c>
      <c r="FT211" s="386"/>
      <c r="FU211" s="360"/>
      <c r="FV211" s="360"/>
      <c r="FW211" s="360"/>
      <c r="FX211" s="360"/>
      <c r="FY211" s="360"/>
      <c r="FZ211" s="180">
        <f t="shared" si="907"/>
        <v>0</v>
      </c>
      <c r="GB211" s="386"/>
      <c r="GC211" s="360"/>
      <c r="GD211" s="360"/>
      <c r="GE211" s="360"/>
      <c r="GF211" s="360"/>
      <c r="GG211" s="360"/>
      <c r="GH211" s="152">
        <f t="shared" si="908"/>
        <v>0</v>
      </c>
      <c r="GJ211" s="386"/>
      <c r="GK211" s="360"/>
      <c r="GL211" s="360"/>
      <c r="GM211" s="360"/>
      <c r="GN211" s="360"/>
      <c r="GO211" s="360"/>
      <c r="GP211" s="194">
        <f t="shared" si="909"/>
        <v>0</v>
      </c>
      <c r="GR211" s="386"/>
      <c r="GS211" s="360"/>
      <c r="GT211" s="360"/>
      <c r="GU211" s="360"/>
      <c r="GV211" s="360"/>
      <c r="GW211" s="360"/>
      <c r="GX211" s="1104">
        <f t="shared" si="910"/>
        <v>0</v>
      </c>
      <c r="GZ211" s="575">
        <f t="shared" si="867"/>
        <v>0</v>
      </c>
      <c r="HA211" s="575">
        <f t="shared" si="868"/>
        <v>0</v>
      </c>
      <c r="HB211" s="575">
        <f t="shared" si="869"/>
        <v>0</v>
      </c>
      <c r="HC211" s="575">
        <f t="shared" si="870"/>
        <v>0</v>
      </c>
      <c r="HD211" s="575">
        <f t="shared" si="871"/>
        <v>0</v>
      </c>
      <c r="HE211" s="575">
        <f t="shared" si="872"/>
        <v>0</v>
      </c>
      <c r="HF211" s="991">
        <f t="shared" si="873"/>
        <v>0</v>
      </c>
      <c r="HG211" s="573">
        <f t="shared" si="874"/>
        <v>0</v>
      </c>
      <c r="HH211" s="257"/>
    </row>
    <row r="212" spans="1:216" ht="15" hidden="1" customHeight="1" thickBot="1" x14ac:dyDescent="0.3">
      <c r="A212" s="2424"/>
      <c r="B212" s="3321"/>
      <c r="C212" s="367" t="s">
        <v>224</v>
      </c>
      <c r="D212" s="56">
        <f>IF('DATA INPUT'!I117&gt;50000,'DATA INPUT'!I117-D211,0)</f>
        <v>0</v>
      </c>
      <c r="E212" s="56">
        <f>IF('DATA INPUT'!J117&gt;E211,'DATA INPUT'!J117-E211,0)</f>
        <v>0</v>
      </c>
      <c r="F212" s="56">
        <f>IF('DATA INPUT'!K117&gt;F211,'DATA INPUT'!K117-F211,0)</f>
        <v>0</v>
      </c>
      <c r="G212" s="56">
        <f>IF('DATA INPUT'!L117&gt;G211,'DATA INPUT'!L117-G211,0)</f>
        <v>0</v>
      </c>
      <c r="H212" s="56">
        <f>IF('DATA INPUT'!M117&gt;H211,'DATA INPUT'!M117-H211,0)</f>
        <v>0</v>
      </c>
      <c r="I212" s="56">
        <f>IF('DATA INPUT'!N117&gt;I211,'DATA INPUT'!N117-I211,0)</f>
        <v>0</v>
      </c>
      <c r="J212" s="178">
        <f>SUM(D212:I212)</f>
        <v>0</v>
      </c>
      <c r="K212" s="9"/>
      <c r="L212" s="9"/>
      <c r="M212" s="9"/>
      <c r="N212" s="387"/>
      <c r="O212" s="56"/>
      <c r="P212" s="56"/>
      <c r="Q212" s="56"/>
      <c r="R212" s="56"/>
      <c r="S212" s="56"/>
      <c r="T212" s="164">
        <f t="shared" si="895"/>
        <v>0</v>
      </c>
      <c r="U212" s="1"/>
      <c r="V212" s="387"/>
      <c r="W212" s="56"/>
      <c r="X212" s="56"/>
      <c r="Y212" s="56"/>
      <c r="Z212" s="56"/>
      <c r="AA212" s="56"/>
      <c r="AB212" s="138">
        <f t="shared" si="896"/>
        <v>0</v>
      </c>
      <c r="AD212" s="387"/>
      <c r="AE212" s="56"/>
      <c r="AF212" s="56"/>
      <c r="AG212" s="56"/>
      <c r="AH212" s="56"/>
      <c r="AI212" s="56"/>
      <c r="AJ212" s="206">
        <f t="shared" si="897"/>
        <v>0</v>
      </c>
      <c r="AL212" s="387"/>
      <c r="AM212" s="56"/>
      <c r="AN212" s="56"/>
      <c r="AO212" s="56"/>
      <c r="AP212" s="56"/>
      <c r="AQ212" s="56"/>
      <c r="AR212" s="178">
        <f t="shared" si="898"/>
        <v>0</v>
      </c>
      <c r="AT212" s="387"/>
      <c r="AU212" s="56"/>
      <c r="AV212" s="56"/>
      <c r="AW212" s="56"/>
      <c r="AX212" s="56"/>
      <c r="AY212" s="56"/>
      <c r="AZ212" s="150">
        <f t="shared" si="899"/>
        <v>0</v>
      </c>
      <c r="BB212" s="387"/>
      <c r="BC212" s="56"/>
      <c r="BD212" s="56"/>
      <c r="BE212" s="56"/>
      <c r="BF212" s="56"/>
      <c r="BG212" s="56"/>
      <c r="BH212" s="192">
        <f t="shared" si="900"/>
        <v>0</v>
      </c>
      <c r="BJ212" s="387"/>
      <c r="BK212" s="56"/>
      <c r="BL212" s="56"/>
      <c r="BM212" s="56"/>
      <c r="BN212" s="56"/>
      <c r="BO212" s="56"/>
      <c r="BP212" s="1102">
        <f t="shared" si="901"/>
        <v>0</v>
      </c>
      <c r="BR212" s="575">
        <f t="shared" ref="BR212:BR243" si="1087">SUM(N212,V212,AD212,AL212,AT212,BB212)</f>
        <v>0</v>
      </c>
      <c r="BS212" s="575">
        <f t="shared" ref="BS212:BS243" si="1088">SUM(O212,W212,AE212,AM212,AU212,BC212)</f>
        <v>0</v>
      </c>
      <c r="BT212" s="575">
        <f t="shared" ref="BT212:BT243" si="1089">SUM(P212,X212,AF212,AN212,AV212,BD212)</f>
        <v>0</v>
      </c>
      <c r="BU212" s="575">
        <f t="shared" ref="BU212:BU243" si="1090">SUM(Q212,Y212,AG212,AO212,AW212,BE212)</f>
        <v>0</v>
      </c>
      <c r="BV212" s="575">
        <f t="shared" ref="BV212:BV243" si="1091">SUM(R212,Z212,AH212,AP212,AX212,BF212)</f>
        <v>0</v>
      </c>
      <c r="BW212" s="575">
        <f t="shared" ref="BW212:BW243" si="1092">SUM(S212,AA212,AI212,AQ212,AY212,BG212)</f>
        <v>0</v>
      </c>
      <c r="BX212" s="991">
        <f t="shared" ref="BX212:BX243" si="1093">SUM(BR212:BW212)</f>
        <v>0</v>
      </c>
      <c r="BY212" s="573">
        <f t="shared" ref="BY212:BY243" si="1094">SUM(J212+BX212)</f>
        <v>0</v>
      </c>
      <c r="BZ212" s="257"/>
      <c r="CB212" s="1323">
        <f>D212</f>
        <v>0</v>
      </c>
      <c r="CC212" s="1324">
        <f>E212</f>
        <v>0</v>
      </c>
      <c r="CD212" s="1325"/>
      <c r="CE212" s="1325"/>
      <c r="CF212" s="1325"/>
      <c r="CG212" s="1326"/>
      <c r="CH212" s="1331">
        <f>$F212</f>
        <v>0</v>
      </c>
      <c r="CI212" s="1332"/>
      <c r="CJ212" s="1332"/>
      <c r="CK212" s="1332"/>
      <c r="CL212" s="1333"/>
      <c r="CM212" s="1334">
        <f>$G212</f>
        <v>0</v>
      </c>
      <c r="CN212" s="1335"/>
      <c r="CO212" s="1336"/>
      <c r="CP212" s="1228">
        <f>SUM(CB212:CO212)</f>
        <v>0</v>
      </c>
      <c r="CS212" s="387"/>
      <c r="CT212" s="56"/>
      <c r="CU212" s="1183"/>
      <c r="CV212" s="387"/>
      <c r="CW212" s="56"/>
      <c r="CX212" s="1183"/>
      <c r="CY212" s="387"/>
      <c r="CZ212" s="56"/>
      <c r="DA212" s="1183"/>
      <c r="DB212" s="387"/>
      <c r="DC212" s="56"/>
      <c r="DD212" s="1183"/>
      <c r="DE212" s="1181">
        <f>SUM(CS212:DD212)</f>
        <v>0</v>
      </c>
      <c r="DG212" s="387"/>
      <c r="DH212" s="56"/>
      <c r="DI212" s="1183"/>
      <c r="DJ212" s="387"/>
      <c r="DK212" s="56"/>
      <c r="DL212" s="1183"/>
      <c r="DM212" s="387"/>
      <c r="DN212" s="56"/>
      <c r="DO212" s="1183"/>
      <c r="DP212" s="387"/>
      <c r="DQ212" s="56"/>
      <c r="DR212" s="1183"/>
      <c r="DS212" s="1181">
        <f>SUM(DG212:DR212)</f>
        <v>0</v>
      </c>
      <c r="DU212" s="387"/>
      <c r="DV212" s="56"/>
      <c r="DW212" s="1183"/>
      <c r="DX212" s="387"/>
      <c r="DY212" s="56"/>
      <c r="DZ212" s="1183"/>
      <c r="EA212" s="387"/>
      <c r="EB212" s="56"/>
      <c r="EC212" s="1183"/>
      <c r="ED212" s="387"/>
      <c r="EE212" s="56"/>
      <c r="EF212" s="1183"/>
      <c r="EG212" s="1181">
        <f>SUM(DU212:EF212)</f>
        <v>0</v>
      </c>
      <c r="EI212" s="2424"/>
      <c r="EJ212" s="3321"/>
      <c r="EK212" s="367" t="s">
        <v>224</v>
      </c>
      <c r="EL212" s="56">
        <f t="shared" si="1085"/>
        <v>0</v>
      </c>
      <c r="EM212" s="56">
        <f t="shared" si="1085"/>
        <v>0</v>
      </c>
      <c r="EN212" s="56">
        <f t="shared" si="1085"/>
        <v>0</v>
      </c>
      <c r="EO212" s="56">
        <f t="shared" si="1085"/>
        <v>0</v>
      </c>
      <c r="EP212" s="56">
        <f t="shared" si="1085"/>
        <v>0</v>
      </c>
      <c r="EQ212" s="56">
        <f t="shared" si="1085"/>
        <v>0</v>
      </c>
      <c r="ER212" s="178">
        <f>SUM(EL212:EQ212)</f>
        <v>0</v>
      </c>
      <c r="ES212" s="9"/>
      <c r="ET212" s="9"/>
      <c r="EU212" s="9"/>
      <c r="EV212" s="387">
        <f t="shared" si="1086"/>
        <v>0</v>
      </c>
      <c r="EW212" s="56">
        <f t="shared" si="1086"/>
        <v>0</v>
      </c>
      <c r="EX212" s="56">
        <f t="shared" si="1086"/>
        <v>0</v>
      </c>
      <c r="EY212" s="56">
        <f t="shared" si="1086"/>
        <v>0</v>
      </c>
      <c r="EZ212" s="56">
        <f t="shared" si="1086"/>
        <v>0</v>
      </c>
      <c r="FA212" s="56">
        <f t="shared" si="1086"/>
        <v>0</v>
      </c>
      <c r="FB212" s="164">
        <f t="shared" si="904"/>
        <v>0</v>
      </c>
      <c r="FC212" s="1"/>
      <c r="FD212" s="387"/>
      <c r="FE212" s="56"/>
      <c r="FF212" s="56"/>
      <c r="FG212" s="56"/>
      <c r="FH212" s="56"/>
      <c r="FI212" s="56"/>
      <c r="FJ212" s="138">
        <f t="shared" si="905"/>
        <v>0</v>
      </c>
      <c r="FL212" s="387"/>
      <c r="FM212" s="56"/>
      <c r="FN212" s="56"/>
      <c r="FO212" s="56"/>
      <c r="FP212" s="56"/>
      <c r="FQ212" s="56"/>
      <c r="FR212" s="206">
        <f t="shared" si="906"/>
        <v>0</v>
      </c>
      <c r="FT212" s="387"/>
      <c r="FU212" s="56"/>
      <c r="FV212" s="56"/>
      <c r="FW212" s="56"/>
      <c r="FX212" s="56"/>
      <c r="FY212" s="56"/>
      <c r="FZ212" s="178">
        <f t="shared" si="907"/>
        <v>0</v>
      </c>
      <c r="GB212" s="387"/>
      <c r="GC212" s="56"/>
      <c r="GD212" s="56"/>
      <c r="GE212" s="56"/>
      <c r="GF212" s="56"/>
      <c r="GG212" s="56"/>
      <c r="GH212" s="150">
        <f t="shared" si="908"/>
        <v>0</v>
      </c>
      <c r="GJ212" s="387"/>
      <c r="GK212" s="56"/>
      <c r="GL212" s="56"/>
      <c r="GM212" s="56"/>
      <c r="GN212" s="56"/>
      <c r="GO212" s="56"/>
      <c r="GP212" s="192">
        <f t="shared" si="909"/>
        <v>0</v>
      </c>
      <c r="GR212" s="387"/>
      <c r="GS212" s="56"/>
      <c r="GT212" s="56"/>
      <c r="GU212" s="56"/>
      <c r="GV212" s="56"/>
      <c r="GW212" s="56"/>
      <c r="GX212" s="1102">
        <f t="shared" si="910"/>
        <v>0</v>
      </c>
      <c r="GZ212" s="575">
        <f t="shared" ref="GZ212:GZ243" si="1095">SUM(EV212,FD212,FL212,FT212,GB212,GJ212)</f>
        <v>0</v>
      </c>
      <c r="HA212" s="575">
        <f t="shared" ref="HA212:HA243" si="1096">SUM(EW212,FE212,FM212,FU212,GC212,GK212)</f>
        <v>0</v>
      </c>
      <c r="HB212" s="575">
        <f t="shared" ref="HB212:HB243" si="1097">SUM(EX212,FF212,FN212,FV212,GD212,GL212)</f>
        <v>0</v>
      </c>
      <c r="HC212" s="575">
        <f t="shared" ref="HC212:HC243" si="1098">SUM(EY212,FG212,FO212,FW212,GE212,GM212)</f>
        <v>0</v>
      </c>
      <c r="HD212" s="575">
        <f t="shared" ref="HD212:HD243" si="1099">SUM(EZ212,FH212,FP212,FX212,GF212,GN212)</f>
        <v>0</v>
      </c>
      <c r="HE212" s="575">
        <f t="shared" ref="HE212:HE243" si="1100">SUM(FA212,FI212,FQ212,FY212,GG212,GO212)</f>
        <v>0</v>
      </c>
      <c r="HF212" s="991">
        <f t="shared" ref="HF212:HF243" si="1101">SUM(GZ212:HE212)</f>
        <v>0</v>
      </c>
      <c r="HG212" s="573">
        <f t="shared" ref="HG212:HG243" si="1102">SUM(ER212+HF212)</f>
        <v>0</v>
      </c>
      <c r="HH212" s="257"/>
    </row>
    <row r="213" spans="1:216" ht="15" hidden="1" customHeight="1" thickBot="1" x14ac:dyDescent="0.3">
      <c r="A213" s="2424"/>
      <c r="B213" s="3322"/>
      <c r="C213" s="369" t="s">
        <v>239</v>
      </c>
      <c r="D213" s="370">
        <f t="shared" ref="D213:J213" si="1103">SUM(D211:D212)</f>
        <v>0</v>
      </c>
      <c r="E213" s="370">
        <f t="shared" si="1103"/>
        <v>0</v>
      </c>
      <c r="F213" s="370">
        <f t="shared" si="1103"/>
        <v>0</v>
      </c>
      <c r="G213" s="370">
        <f t="shared" si="1103"/>
        <v>0</v>
      </c>
      <c r="H213" s="370">
        <f t="shared" si="1103"/>
        <v>0</v>
      </c>
      <c r="I213" s="370">
        <f t="shared" si="1103"/>
        <v>0</v>
      </c>
      <c r="J213" s="371">
        <f t="shared" si="1103"/>
        <v>0</v>
      </c>
      <c r="K213" s="13">
        <f>SUM(D213:I213)</f>
        <v>0</v>
      </c>
      <c r="L213" s="6"/>
      <c r="M213" s="9"/>
      <c r="N213" s="388">
        <f t="shared" ref="N213:S213" si="1104">SUM(N211:N212)</f>
        <v>0</v>
      </c>
      <c r="O213" s="370">
        <f t="shared" si="1104"/>
        <v>0</v>
      </c>
      <c r="P213" s="370">
        <f t="shared" si="1104"/>
        <v>0</v>
      </c>
      <c r="Q213" s="370">
        <f t="shared" si="1104"/>
        <v>0</v>
      </c>
      <c r="R213" s="370">
        <f t="shared" si="1104"/>
        <v>0</v>
      </c>
      <c r="S213" s="370">
        <f t="shared" si="1104"/>
        <v>0</v>
      </c>
      <c r="T213" s="389">
        <f t="shared" si="895"/>
        <v>0</v>
      </c>
      <c r="U213" s="1"/>
      <c r="V213" s="388">
        <f t="shared" ref="V213:AA213" si="1105">SUM(V211:V212)</f>
        <v>0</v>
      </c>
      <c r="W213" s="370">
        <f t="shared" si="1105"/>
        <v>0</v>
      </c>
      <c r="X213" s="370">
        <f t="shared" si="1105"/>
        <v>0</v>
      </c>
      <c r="Y213" s="370">
        <f t="shared" si="1105"/>
        <v>0</v>
      </c>
      <c r="Z213" s="370">
        <f t="shared" si="1105"/>
        <v>0</v>
      </c>
      <c r="AA213" s="370">
        <f t="shared" si="1105"/>
        <v>0</v>
      </c>
      <c r="AB213" s="389">
        <f t="shared" si="896"/>
        <v>0</v>
      </c>
      <c r="AD213" s="388">
        <f t="shared" ref="AD213:AI213" si="1106">SUM(AD211:AD212)</f>
        <v>0</v>
      </c>
      <c r="AE213" s="370">
        <f t="shared" si="1106"/>
        <v>0</v>
      </c>
      <c r="AF213" s="370">
        <f t="shared" si="1106"/>
        <v>0</v>
      </c>
      <c r="AG213" s="370">
        <f t="shared" si="1106"/>
        <v>0</v>
      </c>
      <c r="AH213" s="370">
        <f t="shared" si="1106"/>
        <v>0</v>
      </c>
      <c r="AI213" s="370">
        <f t="shared" si="1106"/>
        <v>0</v>
      </c>
      <c r="AJ213" s="389">
        <f t="shared" si="897"/>
        <v>0</v>
      </c>
      <c r="AL213" s="388">
        <f t="shared" ref="AL213:AQ213" si="1107">SUM(AL211:AL212)</f>
        <v>0</v>
      </c>
      <c r="AM213" s="370">
        <f t="shared" si="1107"/>
        <v>0</v>
      </c>
      <c r="AN213" s="370">
        <f t="shared" si="1107"/>
        <v>0</v>
      </c>
      <c r="AO213" s="370">
        <f t="shared" si="1107"/>
        <v>0</v>
      </c>
      <c r="AP213" s="370">
        <f t="shared" si="1107"/>
        <v>0</v>
      </c>
      <c r="AQ213" s="370">
        <f t="shared" si="1107"/>
        <v>0</v>
      </c>
      <c r="AR213" s="389">
        <f t="shared" si="898"/>
        <v>0</v>
      </c>
      <c r="AT213" s="388">
        <f t="shared" ref="AT213:AY213" si="1108">SUM(AT211:AT212)</f>
        <v>0</v>
      </c>
      <c r="AU213" s="370">
        <f t="shared" si="1108"/>
        <v>0</v>
      </c>
      <c r="AV213" s="370">
        <f t="shared" si="1108"/>
        <v>0</v>
      </c>
      <c r="AW213" s="370">
        <f t="shared" si="1108"/>
        <v>0</v>
      </c>
      <c r="AX213" s="370">
        <f t="shared" si="1108"/>
        <v>0</v>
      </c>
      <c r="AY213" s="370">
        <f t="shared" si="1108"/>
        <v>0</v>
      </c>
      <c r="AZ213" s="389">
        <f t="shared" si="899"/>
        <v>0</v>
      </c>
      <c r="BB213" s="388">
        <f t="shared" ref="BB213:BG213" si="1109">SUM(BB211:BB212)</f>
        <v>0</v>
      </c>
      <c r="BC213" s="370">
        <f t="shared" si="1109"/>
        <v>0</v>
      </c>
      <c r="BD213" s="370">
        <f t="shared" si="1109"/>
        <v>0</v>
      </c>
      <c r="BE213" s="370">
        <f t="shared" si="1109"/>
        <v>0</v>
      </c>
      <c r="BF213" s="370">
        <f t="shared" si="1109"/>
        <v>0</v>
      </c>
      <c r="BG213" s="370">
        <f t="shared" si="1109"/>
        <v>0</v>
      </c>
      <c r="BH213" s="389">
        <f t="shared" si="900"/>
        <v>0</v>
      </c>
      <c r="BJ213" s="388">
        <f t="shared" ref="BJ213:BO213" si="1110">SUM(BJ211:BJ212)</f>
        <v>0</v>
      </c>
      <c r="BK213" s="370">
        <f t="shared" si="1110"/>
        <v>0</v>
      </c>
      <c r="BL213" s="370">
        <f t="shared" si="1110"/>
        <v>0</v>
      </c>
      <c r="BM213" s="370">
        <f t="shared" si="1110"/>
        <v>0</v>
      </c>
      <c r="BN213" s="370">
        <f t="shared" si="1110"/>
        <v>0</v>
      </c>
      <c r="BO213" s="370">
        <f t="shared" si="1110"/>
        <v>0</v>
      </c>
      <c r="BP213" s="1103">
        <f t="shared" si="901"/>
        <v>0</v>
      </c>
      <c r="BR213" s="579">
        <f t="shared" si="1087"/>
        <v>0</v>
      </c>
      <c r="BS213" s="579">
        <f t="shared" si="1088"/>
        <v>0</v>
      </c>
      <c r="BT213" s="579">
        <f t="shared" si="1089"/>
        <v>0</v>
      </c>
      <c r="BU213" s="579">
        <f t="shared" si="1090"/>
        <v>0</v>
      </c>
      <c r="BV213" s="579">
        <f t="shared" si="1091"/>
        <v>0</v>
      </c>
      <c r="BW213" s="579">
        <f t="shared" si="1092"/>
        <v>0</v>
      </c>
      <c r="BX213" s="579">
        <f t="shared" si="1093"/>
        <v>0</v>
      </c>
      <c r="BY213" s="580">
        <f t="shared" si="1094"/>
        <v>0</v>
      </c>
      <c r="BZ213" s="257"/>
      <c r="CB213" s="1340">
        <f t="shared" ref="CB213:CP213" si="1111">SUM(CB211:CB212)</f>
        <v>0</v>
      </c>
      <c r="CC213" s="1341">
        <f t="shared" si="1111"/>
        <v>0</v>
      </c>
      <c r="CD213" s="1342">
        <f t="shared" si="1111"/>
        <v>0</v>
      </c>
      <c r="CE213" s="1342">
        <f t="shared" si="1111"/>
        <v>0</v>
      </c>
      <c r="CF213" s="1342">
        <f t="shared" si="1111"/>
        <v>0</v>
      </c>
      <c r="CG213" s="1343">
        <f t="shared" si="1111"/>
        <v>0</v>
      </c>
      <c r="CH213" s="1341">
        <f t="shared" si="1111"/>
        <v>0</v>
      </c>
      <c r="CI213" s="1342">
        <f t="shared" si="1111"/>
        <v>0</v>
      </c>
      <c r="CJ213" s="1342">
        <f t="shared" si="1111"/>
        <v>0</v>
      </c>
      <c r="CK213" s="1342">
        <f t="shared" si="1111"/>
        <v>0</v>
      </c>
      <c r="CL213" s="1344">
        <f t="shared" si="1111"/>
        <v>0</v>
      </c>
      <c r="CM213" s="1341">
        <f t="shared" si="1111"/>
        <v>0</v>
      </c>
      <c r="CN213" s="1342">
        <f t="shared" si="1111"/>
        <v>0</v>
      </c>
      <c r="CO213" s="1343">
        <f t="shared" si="1111"/>
        <v>0</v>
      </c>
      <c r="CP213" s="1345">
        <f t="shared" si="1111"/>
        <v>0</v>
      </c>
      <c r="CS213" s="1340">
        <f t="shared" ref="CS213:DE213" si="1112">SUM(CS211:CS212)</f>
        <v>0</v>
      </c>
      <c r="CT213" s="1343">
        <f t="shared" si="1112"/>
        <v>0</v>
      </c>
      <c r="CU213" s="1343">
        <f t="shared" si="1112"/>
        <v>0</v>
      </c>
      <c r="CV213" s="1343">
        <f t="shared" si="1112"/>
        <v>0</v>
      </c>
      <c r="CW213" s="1343">
        <f t="shared" si="1112"/>
        <v>0</v>
      </c>
      <c r="CX213" s="1343">
        <f t="shared" si="1112"/>
        <v>0</v>
      </c>
      <c r="CY213" s="1343">
        <f t="shared" si="1112"/>
        <v>0</v>
      </c>
      <c r="CZ213" s="1343">
        <f t="shared" si="1112"/>
        <v>0</v>
      </c>
      <c r="DA213" s="1343">
        <f t="shared" si="1112"/>
        <v>0</v>
      </c>
      <c r="DB213" s="1343">
        <f t="shared" si="1112"/>
        <v>0</v>
      </c>
      <c r="DC213" s="1343">
        <f t="shared" si="1112"/>
        <v>0</v>
      </c>
      <c r="DD213" s="1343">
        <f t="shared" si="1112"/>
        <v>0</v>
      </c>
      <c r="DE213" s="1343">
        <f t="shared" si="1112"/>
        <v>0</v>
      </c>
      <c r="DG213" s="1340">
        <f t="shared" ref="DG213:DS213" si="1113">SUM(DG211:DG212)</f>
        <v>0</v>
      </c>
      <c r="DH213" s="1343">
        <f t="shared" si="1113"/>
        <v>0</v>
      </c>
      <c r="DI213" s="1343">
        <f t="shared" si="1113"/>
        <v>0</v>
      </c>
      <c r="DJ213" s="1343">
        <f t="shared" si="1113"/>
        <v>0</v>
      </c>
      <c r="DK213" s="1343">
        <f t="shared" si="1113"/>
        <v>0</v>
      </c>
      <c r="DL213" s="1343">
        <f t="shared" si="1113"/>
        <v>0</v>
      </c>
      <c r="DM213" s="1343">
        <f t="shared" si="1113"/>
        <v>0</v>
      </c>
      <c r="DN213" s="1343">
        <f t="shared" si="1113"/>
        <v>0</v>
      </c>
      <c r="DO213" s="1343">
        <f t="shared" si="1113"/>
        <v>0</v>
      </c>
      <c r="DP213" s="1343">
        <f t="shared" si="1113"/>
        <v>0</v>
      </c>
      <c r="DQ213" s="1343">
        <f t="shared" si="1113"/>
        <v>0</v>
      </c>
      <c r="DR213" s="1343">
        <f t="shared" si="1113"/>
        <v>0</v>
      </c>
      <c r="DS213" s="1343">
        <f t="shared" si="1113"/>
        <v>0</v>
      </c>
      <c r="DU213" s="1340">
        <f t="shared" ref="DU213:EG213" si="1114">SUM(DU211:DU212)</f>
        <v>0</v>
      </c>
      <c r="DV213" s="1343">
        <f t="shared" si="1114"/>
        <v>0</v>
      </c>
      <c r="DW213" s="1343">
        <f t="shared" si="1114"/>
        <v>0</v>
      </c>
      <c r="DX213" s="1343">
        <f t="shared" si="1114"/>
        <v>0</v>
      </c>
      <c r="DY213" s="1343">
        <f t="shared" si="1114"/>
        <v>0</v>
      </c>
      <c r="DZ213" s="1343">
        <f t="shared" si="1114"/>
        <v>0</v>
      </c>
      <c r="EA213" s="1343">
        <f t="shared" si="1114"/>
        <v>0</v>
      </c>
      <c r="EB213" s="1343">
        <f t="shared" si="1114"/>
        <v>0</v>
      </c>
      <c r="EC213" s="1343">
        <f t="shared" si="1114"/>
        <v>0</v>
      </c>
      <c r="ED213" s="1343">
        <f t="shared" si="1114"/>
        <v>0</v>
      </c>
      <c r="EE213" s="1343">
        <f t="shared" si="1114"/>
        <v>0</v>
      </c>
      <c r="EF213" s="1343">
        <f t="shared" si="1114"/>
        <v>0</v>
      </c>
      <c r="EG213" s="1343">
        <f t="shared" si="1114"/>
        <v>0</v>
      </c>
      <c r="EI213" s="2424"/>
      <c r="EJ213" s="3322"/>
      <c r="EK213" s="369" t="s">
        <v>239</v>
      </c>
      <c r="EL213" s="370">
        <f t="shared" ref="EL213:ER213" si="1115">SUM(EL211:EL212)</f>
        <v>0</v>
      </c>
      <c r="EM213" s="370">
        <f t="shared" si="1115"/>
        <v>0</v>
      </c>
      <c r="EN213" s="370">
        <f t="shared" si="1115"/>
        <v>0</v>
      </c>
      <c r="EO213" s="370">
        <f t="shared" si="1115"/>
        <v>0</v>
      </c>
      <c r="EP213" s="370">
        <f t="shared" si="1115"/>
        <v>0</v>
      </c>
      <c r="EQ213" s="370">
        <f t="shared" si="1115"/>
        <v>0</v>
      </c>
      <c r="ER213" s="371">
        <f t="shared" si="1115"/>
        <v>0</v>
      </c>
      <c r="ES213" s="13">
        <f>SUM(EL213:EQ213)</f>
        <v>0</v>
      </c>
      <c r="ET213" s="6"/>
      <c r="EU213" s="9"/>
      <c r="EV213" s="388">
        <f t="shared" ref="EV213:FA213" si="1116">SUM(EV211:EV212)</f>
        <v>0</v>
      </c>
      <c r="EW213" s="370">
        <f t="shared" si="1116"/>
        <v>0</v>
      </c>
      <c r="EX213" s="370">
        <f t="shared" si="1116"/>
        <v>0</v>
      </c>
      <c r="EY213" s="370">
        <f t="shared" si="1116"/>
        <v>0</v>
      </c>
      <c r="EZ213" s="370">
        <f t="shared" si="1116"/>
        <v>0</v>
      </c>
      <c r="FA213" s="370">
        <f t="shared" si="1116"/>
        <v>0</v>
      </c>
      <c r="FB213" s="389">
        <f t="shared" si="904"/>
        <v>0</v>
      </c>
      <c r="FC213" s="1"/>
      <c r="FD213" s="388">
        <f t="shared" ref="FD213:FI213" si="1117">SUM(FD211:FD212)</f>
        <v>0</v>
      </c>
      <c r="FE213" s="370">
        <f t="shared" si="1117"/>
        <v>0</v>
      </c>
      <c r="FF213" s="370">
        <f t="shared" si="1117"/>
        <v>0</v>
      </c>
      <c r="FG213" s="370">
        <f t="shared" si="1117"/>
        <v>0</v>
      </c>
      <c r="FH213" s="370">
        <f t="shared" si="1117"/>
        <v>0</v>
      </c>
      <c r="FI213" s="370">
        <f t="shared" si="1117"/>
        <v>0</v>
      </c>
      <c r="FJ213" s="389">
        <f t="shared" si="905"/>
        <v>0</v>
      </c>
      <c r="FL213" s="388">
        <f t="shared" ref="FL213:FQ213" si="1118">SUM(FL211:FL212)</f>
        <v>0</v>
      </c>
      <c r="FM213" s="370">
        <f t="shared" si="1118"/>
        <v>0</v>
      </c>
      <c r="FN213" s="370">
        <f t="shared" si="1118"/>
        <v>0</v>
      </c>
      <c r="FO213" s="370">
        <f t="shared" si="1118"/>
        <v>0</v>
      </c>
      <c r="FP213" s="370">
        <f t="shared" si="1118"/>
        <v>0</v>
      </c>
      <c r="FQ213" s="370">
        <f t="shared" si="1118"/>
        <v>0</v>
      </c>
      <c r="FR213" s="389">
        <f t="shared" si="906"/>
        <v>0</v>
      </c>
      <c r="FT213" s="388">
        <f t="shared" ref="FT213:FY213" si="1119">SUM(FT211:FT212)</f>
        <v>0</v>
      </c>
      <c r="FU213" s="370">
        <f t="shared" si="1119"/>
        <v>0</v>
      </c>
      <c r="FV213" s="370">
        <f t="shared" si="1119"/>
        <v>0</v>
      </c>
      <c r="FW213" s="370">
        <f t="shared" si="1119"/>
        <v>0</v>
      </c>
      <c r="FX213" s="370">
        <f t="shared" si="1119"/>
        <v>0</v>
      </c>
      <c r="FY213" s="370">
        <f t="shared" si="1119"/>
        <v>0</v>
      </c>
      <c r="FZ213" s="389">
        <f t="shared" si="907"/>
        <v>0</v>
      </c>
      <c r="GB213" s="388">
        <f t="shared" ref="GB213:GG213" si="1120">SUM(GB211:GB212)</f>
        <v>0</v>
      </c>
      <c r="GC213" s="370">
        <f t="shared" si="1120"/>
        <v>0</v>
      </c>
      <c r="GD213" s="370">
        <f t="shared" si="1120"/>
        <v>0</v>
      </c>
      <c r="GE213" s="370">
        <f t="shared" si="1120"/>
        <v>0</v>
      </c>
      <c r="GF213" s="370">
        <f t="shared" si="1120"/>
        <v>0</v>
      </c>
      <c r="GG213" s="370">
        <f t="shared" si="1120"/>
        <v>0</v>
      </c>
      <c r="GH213" s="389">
        <f t="shared" si="908"/>
        <v>0</v>
      </c>
      <c r="GJ213" s="388">
        <f t="shared" ref="GJ213:GO213" si="1121">SUM(GJ211:GJ212)</f>
        <v>0</v>
      </c>
      <c r="GK213" s="370">
        <f t="shared" si="1121"/>
        <v>0</v>
      </c>
      <c r="GL213" s="370">
        <f t="shared" si="1121"/>
        <v>0</v>
      </c>
      <c r="GM213" s="370">
        <f t="shared" si="1121"/>
        <v>0</v>
      </c>
      <c r="GN213" s="370">
        <f t="shared" si="1121"/>
        <v>0</v>
      </c>
      <c r="GO213" s="370">
        <f t="shared" si="1121"/>
        <v>0</v>
      </c>
      <c r="GP213" s="389">
        <f t="shared" si="909"/>
        <v>0</v>
      </c>
      <c r="GR213" s="388">
        <f t="shared" ref="GR213:GW213" si="1122">SUM(GR211:GR212)</f>
        <v>0</v>
      </c>
      <c r="GS213" s="370">
        <f t="shared" si="1122"/>
        <v>0</v>
      </c>
      <c r="GT213" s="370">
        <f t="shared" si="1122"/>
        <v>0</v>
      </c>
      <c r="GU213" s="370">
        <f t="shared" si="1122"/>
        <v>0</v>
      </c>
      <c r="GV213" s="370">
        <f t="shared" si="1122"/>
        <v>0</v>
      </c>
      <c r="GW213" s="370">
        <f t="shared" si="1122"/>
        <v>0</v>
      </c>
      <c r="GX213" s="1103">
        <f t="shared" si="910"/>
        <v>0</v>
      </c>
      <c r="GZ213" s="579">
        <f t="shared" si="1095"/>
        <v>0</v>
      </c>
      <c r="HA213" s="579">
        <f t="shared" si="1096"/>
        <v>0</v>
      </c>
      <c r="HB213" s="579">
        <f t="shared" si="1097"/>
        <v>0</v>
      </c>
      <c r="HC213" s="579">
        <f t="shared" si="1098"/>
        <v>0</v>
      </c>
      <c r="HD213" s="579">
        <f t="shared" si="1099"/>
        <v>0</v>
      </c>
      <c r="HE213" s="579">
        <f t="shared" si="1100"/>
        <v>0</v>
      </c>
      <c r="HF213" s="579">
        <f t="shared" si="1101"/>
        <v>0</v>
      </c>
      <c r="HG213" s="580">
        <f t="shared" si="1102"/>
        <v>0</v>
      </c>
      <c r="HH213" s="257"/>
    </row>
    <row r="214" spans="1:216" ht="15" hidden="1" customHeight="1" thickBot="1" x14ac:dyDescent="0.3">
      <c r="A214" s="2425"/>
      <c r="B214" s="375"/>
      <c r="C214" s="376" t="s">
        <v>55</v>
      </c>
      <c r="D214" s="377">
        <f t="shared" ref="D214:J214" si="1123">SUMIF($C$184:$C$213,"SUBTOTAL",D$184:D$213)</f>
        <v>0</v>
      </c>
      <c r="E214" s="377">
        <f t="shared" si="1123"/>
        <v>0</v>
      </c>
      <c r="F214" s="377">
        <f t="shared" si="1123"/>
        <v>0</v>
      </c>
      <c r="G214" s="377">
        <f t="shared" si="1123"/>
        <v>0</v>
      </c>
      <c r="H214" s="377">
        <f t="shared" si="1123"/>
        <v>0</v>
      </c>
      <c r="I214" s="377">
        <f t="shared" si="1123"/>
        <v>0</v>
      </c>
      <c r="J214" s="377">
        <f t="shared" si="1123"/>
        <v>0</v>
      </c>
      <c r="K214" s="13">
        <f>SUM(D214:I214)</f>
        <v>0</v>
      </c>
      <c r="L214" s="9"/>
      <c r="M214" s="13"/>
      <c r="N214" s="377">
        <f t="shared" ref="N214:T214" si="1124">SUMIF($C$184:$C$213,"SUBTOTAL",N$184:N$213)</f>
        <v>0</v>
      </c>
      <c r="O214" s="377">
        <f t="shared" si="1124"/>
        <v>0</v>
      </c>
      <c r="P214" s="377">
        <f t="shared" si="1124"/>
        <v>0</v>
      </c>
      <c r="Q214" s="377">
        <f t="shared" si="1124"/>
        <v>0</v>
      </c>
      <c r="R214" s="377">
        <f t="shared" si="1124"/>
        <v>0</v>
      </c>
      <c r="S214" s="377">
        <f t="shared" si="1124"/>
        <v>0</v>
      </c>
      <c r="T214" s="377">
        <f t="shared" si="1124"/>
        <v>0</v>
      </c>
      <c r="U214" s="1"/>
      <c r="V214" s="377">
        <f t="shared" ref="V214:AB214" si="1125">SUMIF($C$184:$C$213,"SUBTOTAL",V$184:V$213)</f>
        <v>0</v>
      </c>
      <c r="W214" s="377">
        <f t="shared" si="1125"/>
        <v>0</v>
      </c>
      <c r="X214" s="377">
        <f t="shared" si="1125"/>
        <v>0</v>
      </c>
      <c r="Y214" s="377">
        <f t="shared" si="1125"/>
        <v>0</v>
      </c>
      <c r="Z214" s="377">
        <f t="shared" si="1125"/>
        <v>0</v>
      </c>
      <c r="AA214" s="377">
        <f t="shared" si="1125"/>
        <v>0</v>
      </c>
      <c r="AB214" s="377">
        <f t="shared" si="1125"/>
        <v>0</v>
      </c>
      <c r="AD214" s="377">
        <f t="shared" ref="AD214:AJ214" si="1126">SUMIF($C$184:$C$213,"SUBTOTAL",AD$184:AD$213)</f>
        <v>0</v>
      </c>
      <c r="AE214" s="377">
        <f t="shared" si="1126"/>
        <v>0</v>
      </c>
      <c r="AF214" s="377">
        <f t="shared" si="1126"/>
        <v>0</v>
      </c>
      <c r="AG214" s="377">
        <f t="shared" si="1126"/>
        <v>0</v>
      </c>
      <c r="AH214" s="377">
        <f t="shared" si="1126"/>
        <v>0</v>
      </c>
      <c r="AI214" s="377">
        <f t="shared" si="1126"/>
        <v>0</v>
      </c>
      <c r="AJ214" s="377">
        <f t="shared" si="1126"/>
        <v>0</v>
      </c>
      <c r="AL214" s="377">
        <f t="shared" ref="AL214:AR214" si="1127">SUMIF($C$184:$C$213,"SUBTOTAL",AL$184:AL$213)</f>
        <v>0</v>
      </c>
      <c r="AM214" s="377">
        <f t="shared" si="1127"/>
        <v>0</v>
      </c>
      <c r="AN214" s="377">
        <f t="shared" si="1127"/>
        <v>0</v>
      </c>
      <c r="AO214" s="377">
        <f t="shared" si="1127"/>
        <v>0</v>
      </c>
      <c r="AP214" s="377">
        <f t="shared" si="1127"/>
        <v>0</v>
      </c>
      <c r="AQ214" s="377">
        <f t="shared" si="1127"/>
        <v>0</v>
      </c>
      <c r="AR214" s="377">
        <f t="shared" si="1127"/>
        <v>0</v>
      </c>
      <c r="AT214" s="377">
        <f t="shared" ref="AT214:AZ214" si="1128">SUMIF($C$184:$C$213,"SUBTOTAL",AT$184:AT$213)</f>
        <v>0</v>
      </c>
      <c r="AU214" s="377">
        <f t="shared" si="1128"/>
        <v>0</v>
      </c>
      <c r="AV214" s="377">
        <f t="shared" si="1128"/>
        <v>0</v>
      </c>
      <c r="AW214" s="377">
        <f t="shared" si="1128"/>
        <v>0</v>
      </c>
      <c r="AX214" s="377">
        <f t="shared" si="1128"/>
        <v>0</v>
      </c>
      <c r="AY214" s="377">
        <f t="shared" si="1128"/>
        <v>0</v>
      </c>
      <c r="AZ214" s="377">
        <f t="shared" si="1128"/>
        <v>0</v>
      </c>
      <c r="BB214" s="377">
        <f t="shared" ref="BB214:BH214" si="1129">SUMIF($C$184:$C$213,"SUBTOTAL",BB$184:BB$213)</f>
        <v>0</v>
      </c>
      <c r="BC214" s="377">
        <f t="shared" si="1129"/>
        <v>0</v>
      </c>
      <c r="BD214" s="377">
        <f t="shared" si="1129"/>
        <v>0</v>
      </c>
      <c r="BE214" s="377">
        <f t="shared" si="1129"/>
        <v>0</v>
      </c>
      <c r="BF214" s="377">
        <f t="shared" si="1129"/>
        <v>0</v>
      </c>
      <c r="BG214" s="377">
        <f t="shared" si="1129"/>
        <v>0</v>
      </c>
      <c r="BH214" s="377">
        <f t="shared" si="1129"/>
        <v>0</v>
      </c>
      <c r="BJ214" s="377">
        <f t="shared" ref="BJ214:BP214" si="1130">SUMIF($C$184:$C$213,"SUBTOTAL",BJ$184:BJ$213)</f>
        <v>0</v>
      </c>
      <c r="BK214" s="377">
        <f t="shared" si="1130"/>
        <v>0</v>
      </c>
      <c r="BL214" s="377">
        <f t="shared" si="1130"/>
        <v>0</v>
      </c>
      <c r="BM214" s="377">
        <f t="shared" si="1130"/>
        <v>0</v>
      </c>
      <c r="BN214" s="377">
        <f t="shared" si="1130"/>
        <v>0</v>
      </c>
      <c r="BO214" s="377">
        <f t="shared" si="1130"/>
        <v>0</v>
      </c>
      <c r="BP214" s="1127">
        <f t="shared" si="1130"/>
        <v>0</v>
      </c>
      <c r="BR214" s="271">
        <f t="shared" si="1087"/>
        <v>0</v>
      </c>
      <c r="BS214" s="271">
        <f t="shared" si="1088"/>
        <v>0</v>
      </c>
      <c r="BT214" s="271">
        <f t="shared" si="1089"/>
        <v>0</v>
      </c>
      <c r="BU214" s="271">
        <f t="shared" si="1090"/>
        <v>0</v>
      </c>
      <c r="BV214" s="271">
        <f t="shared" si="1091"/>
        <v>0</v>
      </c>
      <c r="BW214" s="271">
        <f t="shared" si="1092"/>
        <v>0</v>
      </c>
      <c r="BX214" s="271">
        <f t="shared" si="1093"/>
        <v>0</v>
      </c>
      <c r="BY214" s="272">
        <f t="shared" si="1094"/>
        <v>0</v>
      </c>
      <c r="BZ214" s="259"/>
      <c r="CB214" s="1349">
        <f t="shared" ref="CB214:CP214" si="1131">SUMIF($C$184:$C$213,"SUBTOTAL",CB$184:CB$213)</f>
        <v>0</v>
      </c>
      <c r="CC214" s="1349">
        <f t="shared" si="1131"/>
        <v>0</v>
      </c>
      <c r="CD214" s="1349">
        <f t="shared" si="1131"/>
        <v>0</v>
      </c>
      <c r="CE214" s="1349">
        <f t="shared" si="1131"/>
        <v>0</v>
      </c>
      <c r="CF214" s="1349">
        <f t="shared" si="1131"/>
        <v>0</v>
      </c>
      <c r="CG214" s="1349">
        <f t="shared" si="1131"/>
        <v>0</v>
      </c>
      <c r="CH214" s="1349">
        <f t="shared" si="1131"/>
        <v>0</v>
      </c>
      <c r="CI214" s="1349">
        <f t="shared" si="1131"/>
        <v>0</v>
      </c>
      <c r="CJ214" s="1349">
        <f t="shared" si="1131"/>
        <v>0</v>
      </c>
      <c r="CK214" s="1349">
        <f t="shared" si="1131"/>
        <v>0</v>
      </c>
      <c r="CL214" s="1349">
        <f t="shared" si="1131"/>
        <v>0</v>
      </c>
      <c r="CM214" s="1349">
        <f t="shared" si="1131"/>
        <v>0</v>
      </c>
      <c r="CN214" s="1349">
        <f t="shared" si="1131"/>
        <v>0</v>
      </c>
      <c r="CO214" s="1349">
        <f t="shared" si="1131"/>
        <v>0</v>
      </c>
      <c r="CP214" s="1349">
        <f t="shared" si="1131"/>
        <v>0</v>
      </c>
      <c r="CS214" s="1349">
        <f t="shared" ref="CS214:DE214" si="1132">SUMIF($C$184:$C$213,"SUBTOTAL",CS$184:CS$213)</f>
        <v>0</v>
      </c>
      <c r="CT214" s="1349">
        <f t="shared" si="1132"/>
        <v>0</v>
      </c>
      <c r="CU214" s="1349">
        <f t="shared" si="1132"/>
        <v>0</v>
      </c>
      <c r="CV214" s="1349">
        <f t="shared" si="1132"/>
        <v>0</v>
      </c>
      <c r="CW214" s="1349">
        <f t="shared" si="1132"/>
        <v>0</v>
      </c>
      <c r="CX214" s="1349">
        <f t="shared" si="1132"/>
        <v>0</v>
      </c>
      <c r="CY214" s="1349">
        <f t="shared" si="1132"/>
        <v>0</v>
      </c>
      <c r="CZ214" s="1349">
        <f t="shared" si="1132"/>
        <v>0</v>
      </c>
      <c r="DA214" s="1349">
        <f t="shared" si="1132"/>
        <v>0</v>
      </c>
      <c r="DB214" s="1349">
        <f t="shared" si="1132"/>
        <v>0</v>
      </c>
      <c r="DC214" s="1349">
        <f t="shared" si="1132"/>
        <v>0</v>
      </c>
      <c r="DD214" s="1349">
        <f t="shared" si="1132"/>
        <v>0</v>
      </c>
      <c r="DE214" s="1349">
        <f t="shared" si="1132"/>
        <v>0</v>
      </c>
      <c r="DG214" s="1349">
        <f t="shared" ref="DG214:DS214" si="1133">SUMIF($C$184:$C$213,"SUBTOTAL",DG$184:DG$213)</f>
        <v>0</v>
      </c>
      <c r="DH214" s="1349">
        <f t="shared" si="1133"/>
        <v>0</v>
      </c>
      <c r="DI214" s="1349">
        <f t="shared" si="1133"/>
        <v>0</v>
      </c>
      <c r="DJ214" s="1349">
        <f t="shared" si="1133"/>
        <v>0</v>
      </c>
      <c r="DK214" s="1349">
        <f t="shared" si="1133"/>
        <v>0</v>
      </c>
      <c r="DL214" s="1349">
        <f t="shared" si="1133"/>
        <v>0</v>
      </c>
      <c r="DM214" s="1349">
        <f t="shared" si="1133"/>
        <v>0</v>
      </c>
      <c r="DN214" s="1349">
        <f t="shared" si="1133"/>
        <v>0</v>
      </c>
      <c r="DO214" s="1349">
        <f t="shared" si="1133"/>
        <v>0</v>
      </c>
      <c r="DP214" s="1349">
        <f t="shared" si="1133"/>
        <v>0</v>
      </c>
      <c r="DQ214" s="1349">
        <f t="shared" si="1133"/>
        <v>0</v>
      </c>
      <c r="DR214" s="1349">
        <f t="shared" si="1133"/>
        <v>0</v>
      </c>
      <c r="DS214" s="1349">
        <f t="shared" si="1133"/>
        <v>0</v>
      </c>
      <c r="DU214" s="1349">
        <f t="shared" ref="DU214:EG214" si="1134">SUMIF($C$184:$C$213,"SUBTOTAL",DU$184:DU$213)</f>
        <v>0</v>
      </c>
      <c r="DV214" s="1349">
        <f t="shared" si="1134"/>
        <v>0</v>
      </c>
      <c r="DW214" s="1349">
        <f t="shared" si="1134"/>
        <v>0</v>
      </c>
      <c r="DX214" s="1349">
        <f t="shared" si="1134"/>
        <v>0</v>
      </c>
      <c r="DY214" s="1349">
        <f t="shared" si="1134"/>
        <v>0</v>
      </c>
      <c r="DZ214" s="1349">
        <f t="shared" si="1134"/>
        <v>0</v>
      </c>
      <c r="EA214" s="1349">
        <f t="shared" si="1134"/>
        <v>0</v>
      </c>
      <c r="EB214" s="1349">
        <f t="shared" si="1134"/>
        <v>0</v>
      </c>
      <c r="EC214" s="1349">
        <f t="shared" si="1134"/>
        <v>0</v>
      </c>
      <c r="ED214" s="1349">
        <f t="shared" si="1134"/>
        <v>0</v>
      </c>
      <c r="EE214" s="1349">
        <f t="shared" si="1134"/>
        <v>0</v>
      </c>
      <c r="EF214" s="1349">
        <f t="shared" si="1134"/>
        <v>0</v>
      </c>
      <c r="EG214" s="1349">
        <f t="shared" si="1134"/>
        <v>0</v>
      </c>
      <c r="EI214" s="2425"/>
      <c r="EJ214" s="375"/>
      <c r="EK214" s="376" t="s">
        <v>55</v>
      </c>
      <c r="EL214" s="377">
        <f t="shared" ref="EL214:ER214" si="1135">SUMIF($C$184:$C$213,"SUBTOTAL",EL$184:EL$213)</f>
        <v>0</v>
      </c>
      <c r="EM214" s="377">
        <f t="shared" si="1135"/>
        <v>0</v>
      </c>
      <c r="EN214" s="377">
        <f t="shared" si="1135"/>
        <v>0</v>
      </c>
      <c r="EO214" s="377">
        <f t="shared" si="1135"/>
        <v>0</v>
      </c>
      <c r="EP214" s="377">
        <f t="shared" si="1135"/>
        <v>0</v>
      </c>
      <c r="EQ214" s="377">
        <f t="shared" si="1135"/>
        <v>0</v>
      </c>
      <c r="ER214" s="377">
        <f t="shared" si="1135"/>
        <v>0</v>
      </c>
      <c r="ES214" s="13">
        <f>SUM(EL214:EQ214)</f>
        <v>0</v>
      </c>
      <c r="ET214" s="9"/>
      <c r="EU214" s="13"/>
      <c r="EV214" s="377">
        <f t="shared" ref="EV214:FB214" si="1136">SUMIF($C$184:$C$213,"SUBTOTAL",EV$184:EV$213)</f>
        <v>0</v>
      </c>
      <c r="EW214" s="377">
        <f t="shared" si="1136"/>
        <v>0</v>
      </c>
      <c r="EX214" s="377">
        <f t="shared" si="1136"/>
        <v>0</v>
      </c>
      <c r="EY214" s="377">
        <f t="shared" si="1136"/>
        <v>0</v>
      </c>
      <c r="EZ214" s="377">
        <f t="shared" si="1136"/>
        <v>0</v>
      </c>
      <c r="FA214" s="377">
        <f t="shared" si="1136"/>
        <v>0</v>
      </c>
      <c r="FB214" s="377">
        <f t="shared" si="1136"/>
        <v>0</v>
      </c>
      <c r="FC214" s="1"/>
      <c r="FD214" s="377">
        <f t="shared" ref="FD214:FJ214" si="1137">SUMIF($C$184:$C$213,"SUBTOTAL",FD$184:FD$213)</f>
        <v>0</v>
      </c>
      <c r="FE214" s="377">
        <f t="shared" si="1137"/>
        <v>0</v>
      </c>
      <c r="FF214" s="377">
        <f t="shared" si="1137"/>
        <v>0</v>
      </c>
      <c r="FG214" s="377">
        <f t="shared" si="1137"/>
        <v>0</v>
      </c>
      <c r="FH214" s="377">
        <f t="shared" si="1137"/>
        <v>0</v>
      </c>
      <c r="FI214" s="377">
        <f t="shared" si="1137"/>
        <v>0</v>
      </c>
      <c r="FJ214" s="377">
        <f t="shared" si="1137"/>
        <v>0</v>
      </c>
      <c r="FL214" s="377">
        <f t="shared" ref="FL214:FR214" si="1138">SUMIF($C$184:$C$213,"SUBTOTAL",FL$184:FL$213)</f>
        <v>0</v>
      </c>
      <c r="FM214" s="377">
        <f t="shared" si="1138"/>
        <v>0</v>
      </c>
      <c r="FN214" s="377">
        <f t="shared" si="1138"/>
        <v>0</v>
      </c>
      <c r="FO214" s="377">
        <f t="shared" si="1138"/>
        <v>0</v>
      </c>
      <c r="FP214" s="377">
        <f t="shared" si="1138"/>
        <v>0</v>
      </c>
      <c r="FQ214" s="377">
        <f t="shared" si="1138"/>
        <v>0</v>
      </c>
      <c r="FR214" s="377">
        <f t="shared" si="1138"/>
        <v>0</v>
      </c>
      <c r="FT214" s="377">
        <f t="shared" ref="FT214:FZ214" si="1139">SUMIF($C$184:$C$213,"SUBTOTAL",FT$184:FT$213)</f>
        <v>0</v>
      </c>
      <c r="FU214" s="377">
        <f t="shared" si="1139"/>
        <v>0</v>
      </c>
      <c r="FV214" s="377">
        <f t="shared" si="1139"/>
        <v>0</v>
      </c>
      <c r="FW214" s="377">
        <f t="shared" si="1139"/>
        <v>0</v>
      </c>
      <c r="FX214" s="377">
        <f t="shared" si="1139"/>
        <v>0</v>
      </c>
      <c r="FY214" s="377">
        <f t="shared" si="1139"/>
        <v>0</v>
      </c>
      <c r="FZ214" s="377">
        <f t="shared" si="1139"/>
        <v>0</v>
      </c>
      <c r="GB214" s="377">
        <f t="shared" ref="GB214:GH214" si="1140">SUMIF($C$184:$C$213,"SUBTOTAL",GB$184:GB$213)</f>
        <v>0</v>
      </c>
      <c r="GC214" s="377">
        <f t="shared" si="1140"/>
        <v>0</v>
      </c>
      <c r="GD214" s="377">
        <f t="shared" si="1140"/>
        <v>0</v>
      </c>
      <c r="GE214" s="377">
        <f t="shared" si="1140"/>
        <v>0</v>
      </c>
      <c r="GF214" s="377">
        <f t="shared" si="1140"/>
        <v>0</v>
      </c>
      <c r="GG214" s="377">
        <f t="shared" si="1140"/>
        <v>0</v>
      </c>
      <c r="GH214" s="377">
        <f t="shared" si="1140"/>
        <v>0</v>
      </c>
      <c r="GJ214" s="377">
        <f t="shared" ref="GJ214:GP214" si="1141">SUMIF($C$184:$C$213,"SUBTOTAL",GJ$184:GJ$213)</f>
        <v>0</v>
      </c>
      <c r="GK214" s="377">
        <f t="shared" si="1141"/>
        <v>0</v>
      </c>
      <c r="GL214" s="377">
        <f t="shared" si="1141"/>
        <v>0</v>
      </c>
      <c r="GM214" s="377">
        <f t="shared" si="1141"/>
        <v>0</v>
      </c>
      <c r="GN214" s="377">
        <f t="shared" si="1141"/>
        <v>0</v>
      </c>
      <c r="GO214" s="377">
        <f t="shared" si="1141"/>
        <v>0</v>
      </c>
      <c r="GP214" s="377">
        <f t="shared" si="1141"/>
        <v>0</v>
      </c>
      <c r="GR214" s="377">
        <f t="shared" ref="GR214:GX214" si="1142">SUMIF($C$184:$C$213,"SUBTOTAL",GR$184:GR$213)</f>
        <v>0</v>
      </c>
      <c r="GS214" s="377">
        <f t="shared" si="1142"/>
        <v>0</v>
      </c>
      <c r="GT214" s="377">
        <f t="shared" si="1142"/>
        <v>0</v>
      </c>
      <c r="GU214" s="377">
        <f t="shared" si="1142"/>
        <v>0</v>
      </c>
      <c r="GV214" s="377">
        <f t="shared" si="1142"/>
        <v>0</v>
      </c>
      <c r="GW214" s="377">
        <f t="shared" si="1142"/>
        <v>0</v>
      </c>
      <c r="GX214" s="1127">
        <f t="shared" si="1142"/>
        <v>0</v>
      </c>
      <c r="GZ214" s="271">
        <f t="shared" si="1095"/>
        <v>0</v>
      </c>
      <c r="HA214" s="271">
        <f t="shared" si="1096"/>
        <v>0</v>
      </c>
      <c r="HB214" s="271">
        <f t="shared" si="1097"/>
        <v>0</v>
      </c>
      <c r="HC214" s="271">
        <f t="shared" si="1098"/>
        <v>0</v>
      </c>
      <c r="HD214" s="271">
        <f t="shared" si="1099"/>
        <v>0</v>
      </c>
      <c r="HE214" s="271">
        <f t="shared" si="1100"/>
        <v>0</v>
      </c>
      <c r="HF214" s="271">
        <f t="shared" si="1101"/>
        <v>0</v>
      </c>
      <c r="HG214" s="272">
        <f t="shared" si="1102"/>
        <v>0</v>
      </c>
      <c r="HH214" s="259"/>
    </row>
    <row r="215" spans="1:216" ht="15" hidden="1" customHeight="1" x14ac:dyDescent="0.25">
      <c r="A215" s="2510" t="s">
        <v>35</v>
      </c>
      <c r="C215" s="484" t="str">
        <f>'DATA INPUT'!B97</f>
        <v>User/Service Fees</v>
      </c>
      <c r="D215" s="86">
        <f>'DATA INPUT'!I97</f>
        <v>0</v>
      </c>
      <c r="E215" s="86">
        <f>'DATA INPUT'!J97</f>
        <v>0</v>
      </c>
      <c r="F215" s="86">
        <f>'DATA INPUT'!K97</f>
        <v>0</v>
      </c>
      <c r="G215" s="86">
        <f>'DATA INPUT'!L97</f>
        <v>0</v>
      </c>
      <c r="H215" s="86">
        <f>'DATA INPUT'!M97</f>
        <v>0</v>
      </c>
      <c r="I215" s="86">
        <f>'DATA INPUT'!N97</f>
        <v>0</v>
      </c>
      <c r="J215" s="426">
        <f t="shared" ref="J215:J227" si="1143">SUM(D215:I215)</f>
        <v>0</v>
      </c>
      <c r="K215" s="9"/>
      <c r="L215" s="9"/>
      <c r="M215" s="9"/>
      <c r="N215" s="5"/>
      <c r="O215" s="41"/>
      <c r="P215" s="41"/>
      <c r="Q215" s="41"/>
      <c r="R215" s="41"/>
      <c r="S215" s="41"/>
      <c r="T215" s="381">
        <f t="shared" ref="T215:T227" si="1144">SUM(N215:S215)</f>
        <v>0</v>
      </c>
      <c r="U215" s="1"/>
      <c r="V215" s="41"/>
      <c r="W215" s="41"/>
      <c r="X215" s="41"/>
      <c r="Y215" s="41"/>
      <c r="Z215" s="41"/>
      <c r="AA215" s="41"/>
      <c r="AB215" s="395">
        <f t="shared" ref="AB215:AB227" si="1145">SUM(V215:AA215)</f>
        <v>0</v>
      </c>
      <c r="AD215" s="41"/>
      <c r="AE215" s="41"/>
      <c r="AF215" s="41"/>
      <c r="AG215" s="41"/>
      <c r="AH215" s="41"/>
      <c r="AI215" s="41"/>
      <c r="AJ215" s="396">
        <f t="shared" ref="AJ215:AJ227" si="1146">SUM(AD215:AI215)</f>
        <v>0</v>
      </c>
      <c r="AL215" s="41"/>
      <c r="AM215" s="41"/>
      <c r="AN215" s="41"/>
      <c r="AO215" s="41"/>
      <c r="AP215" s="41"/>
      <c r="AQ215" s="41"/>
      <c r="AR215" s="397">
        <f t="shared" ref="AR215:AR227" si="1147">SUM(AL215:AQ215)</f>
        <v>0</v>
      </c>
      <c r="AT215" s="41"/>
      <c r="AU215" s="41"/>
      <c r="AV215" s="41"/>
      <c r="AW215" s="41"/>
      <c r="AX215" s="41"/>
      <c r="AY215" s="41"/>
      <c r="AZ215" s="398">
        <f t="shared" ref="AZ215:AZ227" si="1148">SUM(AT215:AY215)</f>
        <v>0</v>
      </c>
      <c r="BB215" s="41"/>
      <c r="BC215" s="41"/>
      <c r="BD215" s="41"/>
      <c r="BE215" s="41"/>
      <c r="BF215" s="41"/>
      <c r="BG215" s="41"/>
      <c r="BH215" s="399">
        <f t="shared" ref="BH215:BH227" si="1149">SUM(BB215:BG215)</f>
        <v>0</v>
      </c>
      <c r="BJ215" s="41"/>
      <c r="BK215" s="41"/>
      <c r="BL215" s="41"/>
      <c r="BM215" s="41"/>
      <c r="BN215" s="41"/>
      <c r="BO215" s="41"/>
      <c r="BP215" s="1112">
        <f t="shared" ref="BP215:BP227" si="1150">SUM(BJ215:BO215)</f>
        <v>0</v>
      </c>
      <c r="BR215" s="575">
        <f t="shared" si="1087"/>
        <v>0</v>
      </c>
      <c r="BS215" s="575">
        <f t="shared" si="1088"/>
        <v>0</v>
      </c>
      <c r="BT215" s="575">
        <f t="shared" si="1089"/>
        <v>0</v>
      </c>
      <c r="BU215" s="575">
        <f t="shared" si="1090"/>
        <v>0</v>
      </c>
      <c r="BV215" s="575">
        <f t="shared" si="1091"/>
        <v>0</v>
      </c>
      <c r="BW215" s="575">
        <f t="shared" si="1092"/>
        <v>0</v>
      </c>
      <c r="BX215" s="991">
        <f t="shared" si="1093"/>
        <v>0</v>
      </c>
      <c r="BY215" s="573">
        <f t="shared" si="1094"/>
        <v>0</v>
      </c>
      <c r="BZ215" s="257"/>
      <c r="CB215" s="1339">
        <f t="shared" ref="CB215:CB224" si="1151">D215/12*3</f>
        <v>0</v>
      </c>
      <c r="CC215" s="1170">
        <f>$E215/12*3</f>
        <v>0</v>
      </c>
      <c r="CD215" s="1171">
        <f>$E215/12*3</f>
        <v>0</v>
      </c>
      <c r="CE215" s="1171">
        <f>$E215/12*2</f>
        <v>0</v>
      </c>
      <c r="CF215" s="1171">
        <f>$E215/12*1</f>
        <v>0</v>
      </c>
      <c r="CG215" s="1172">
        <f>$E215/12*3</f>
        <v>0</v>
      </c>
      <c r="CH215" s="1241">
        <f>$F215/12*3</f>
        <v>0</v>
      </c>
      <c r="CI215" s="1163">
        <f>$F215/12*3</f>
        <v>0</v>
      </c>
      <c r="CJ215" s="1163">
        <f>$F215/12*2</f>
        <v>0</v>
      </c>
      <c r="CK215" s="1163">
        <f>$F215/12*1</f>
        <v>0</v>
      </c>
      <c r="CL215" s="1164">
        <f>$F215/12*3</f>
        <v>0</v>
      </c>
      <c r="CM215" s="1187">
        <f>$G215/8*3</f>
        <v>0</v>
      </c>
      <c r="CN215" s="1188">
        <f>$G215/8*3</f>
        <v>0</v>
      </c>
      <c r="CO215" s="1189">
        <f>$G215/8*2</f>
        <v>0</v>
      </c>
      <c r="CP215" s="1179">
        <f t="shared" ref="CP215:CP246" si="1152">SUM(CB215:CO215)</f>
        <v>0</v>
      </c>
      <c r="CS215" s="575"/>
      <c r="CT215" s="5"/>
      <c r="CU215" s="1180"/>
      <c r="CV215" s="575"/>
      <c r="CW215" s="5"/>
      <c r="CX215" s="1180"/>
      <c r="CY215" s="575"/>
      <c r="CZ215" s="5"/>
      <c r="DA215" s="1180"/>
      <c r="DB215" s="575"/>
      <c r="DC215" s="5"/>
      <c r="DD215" s="1180"/>
      <c r="DE215" s="1181">
        <f t="shared" ref="DE215:DE227" si="1153">SUM(CS215:DD215)</f>
        <v>0</v>
      </c>
      <c r="DG215" s="575"/>
      <c r="DH215" s="5"/>
      <c r="DI215" s="1180"/>
      <c r="DJ215" s="575"/>
      <c r="DK215" s="5"/>
      <c r="DL215" s="1180"/>
      <c r="DM215" s="575"/>
      <c r="DN215" s="5"/>
      <c r="DO215" s="1180"/>
      <c r="DP215" s="575"/>
      <c r="DQ215" s="5"/>
      <c r="DR215" s="1180"/>
      <c r="DS215" s="1181">
        <f t="shared" ref="DS215:DS227" si="1154">SUM(DG215:DR215)</f>
        <v>0</v>
      </c>
      <c r="DU215" s="575"/>
      <c r="DV215" s="5"/>
      <c r="DW215" s="1180"/>
      <c r="DX215" s="575"/>
      <c r="DY215" s="5"/>
      <c r="DZ215" s="1180"/>
      <c r="EA215" s="575"/>
      <c r="EB215" s="5"/>
      <c r="EC215" s="1180"/>
      <c r="ED215" s="575"/>
      <c r="EE215" s="5"/>
      <c r="EF215" s="1180"/>
      <c r="EG215" s="1181">
        <f t="shared" ref="EG215:EG227" si="1155">SUM(DU215:EF215)</f>
        <v>0</v>
      </c>
      <c r="EI215" s="3455" t="s">
        <v>35</v>
      </c>
      <c r="EK215" s="484" t="str">
        <f t="shared" ref="EK215:EK223" si="1156">C215</f>
        <v>User/Service Fees</v>
      </c>
      <c r="EL215" s="86">
        <f t="shared" ref="EL215:EL227" si="1157">ROUND(D215,0)</f>
        <v>0</v>
      </c>
      <c r="EM215" s="86">
        <f t="shared" ref="EM215:EM227" si="1158">ROUND(E215,0)</f>
        <v>0</v>
      </c>
      <c r="EN215" s="86">
        <f t="shared" ref="EN215:EN227" si="1159">ROUND(F215,0)</f>
        <v>0</v>
      </c>
      <c r="EO215" s="86">
        <f t="shared" ref="EO215:EO227" si="1160">ROUND(G215,0)</f>
        <v>0</v>
      </c>
      <c r="EP215" s="86">
        <f t="shared" ref="EP215:EP227" si="1161">ROUND(H215,0)</f>
        <v>0</v>
      </c>
      <c r="EQ215" s="86">
        <f t="shared" ref="EQ215:EQ227" si="1162">ROUND(I215,0)</f>
        <v>0</v>
      </c>
      <c r="ER215" s="426">
        <f t="shared" ref="ER215:ER246" si="1163">SUM(EL215:EQ215)</f>
        <v>0</v>
      </c>
      <c r="ES215" s="9"/>
      <c r="ET215" s="9"/>
      <c r="EU215" s="9"/>
      <c r="EV215" s="5">
        <f t="shared" ref="EV215:EV227" si="1164">ROUND(N215,0)</f>
        <v>0</v>
      </c>
      <c r="EW215" s="41">
        <f t="shared" ref="EW215:EW227" si="1165">ROUND(O215,0)</f>
        <v>0</v>
      </c>
      <c r="EX215" s="41">
        <f t="shared" ref="EX215:EX227" si="1166">ROUND(P215,0)</f>
        <v>0</v>
      </c>
      <c r="EY215" s="41">
        <f t="shared" ref="EY215:EY227" si="1167">ROUND(Q215,0)</f>
        <v>0</v>
      </c>
      <c r="EZ215" s="41">
        <f t="shared" ref="EZ215:EZ227" si="1168">ROUND(R215,0)</f>
        <v>0</v>
      </c>
      <c r="FA215" s="41">
        <f t="shared" ref="FA215:FA227" si="1169">ROUND(S215,0)</f>
        <v>0</v>
      </c>
      <c r="FB215" s="381">
        <f t="shared" ref="FB215:FB227" si="1170">SUM(EV215:FA215)</f>
        <v>0</v>
      </c>
      <c r="FC215" s="1"/>
      <c r="FD215" s="41"/>
      <c r="FE215" s="41"/>
      <c r="FF215" s="41"/>
      <c r="FG215" s="41"/>
      <c r="FH215" s="41"/>
      <c r="FI215" s="41"/>
      <c r="FJ215" s="395">
        <f t="shared" ref="FJ215:FJ227" si="1171">SUM(FD215:FI215)</f>
        <v>0</v>
      </c>
      <c r="FL215" s="41"/>
      <c r="FM215" s="41"/>
      <c r="FN215" s="41"/>
      <c r="FO215" s="41"/>
      <c r="FP215" s="41"/>
      <c r="FQ215" s="41"/>
      <c r="FR215" s="396">
        <f t="shared" ref="FR215:FR227" si="1172">SUM(FL215:FQ215)</f>
        <v>0</v>
      </c>
      <c r="FT215" s="41"/>
      <c r="FU215" s="41"/>
      <c r="FV215" s="41"/>
      <c r="FW215" s="41"/>
      <c r="FX215" s="41"/>
      <c r="FY215" s="41"/>
      <c r="FZ215" s="397">
        <f t="shared" ref="FZ215:FZ227" si="1173">SUM(FT215:FY215)</f>
        <v>0</v>
      </c>
      <c r="GB215" s="41"/>
      <c r="GC215" s="41"/>
      <c r="GD215" s="41"/>
      <c r="GE215" s="41"/>
      <c r="GF215" s="41"/>
      <c r="GG215" s="41"/>
      <c r="GH215" s="398">
        <f t="shared" ref="GH215:GH227" si="1174">SUM(GB215:GG215)</f>
        <v>0</v>
      </c>
      <c r="GJ215" s="41"/>
      <c r="GK215" s="41"/>
      <c r="GL215" s="41"/>
      <c r="GM215" s="41"/>
      <c r="GN215" s="41"/>
      <c r="GO215" s="41"/>
      <c r="GP215" s="399">
        <f t="shared" ref="GP215:GP227" si="1175">SUM(GJ215:GO215)</f>
        <v>0</v>
      </c>
      <c r="GR215" s="41"/>
      <c r="GS215" s="41"/>
      <c r="GT215" s="41"/>
      <c r="GU215" s="41"/>
      <c r="GV215" s="41"/>
      <c r="GW215" s="41"/>
      <c r="GX215" s="1112">
        <f t="shared" ref="GX215:GX227" si="1176">SUM(GR215:GW215)</f>
        <v>0</v>
      </c>
      <c r="GZ215" s="575">
        <f t="shared" si="1095"/>
        <v>0</v>
      </c>
      <c r="HA215" s="575">
        <f t="shared" si="1096"/>
        <v>0</v>
      </c>
      <c r="HB215" s="575">
        <f t="shared" si="1097"/>
        <v>0</v>
      </c>
      <c r="HC215" s="575">
        <f t="shared" si="1098"/>
        <v>0</v>
      </c>
      <c r="HD215" s="575">
        <f t="shared" si="1099"/>
        <v>0</v>
      </c>
      <c r="HE215" s="575">
        <f t="shared" si="1100"/>
        <v>0</v>
      </c>
      <c r="HF215" s="991">
        <f t="shared" si="1101"/>
        <v>0</v>
      </c>
      <c r="HG215" s="573">
        <f t="shared" si="1102"/>
        <v>0</v>
      </c>
      <c r="HH215" s="257"/>
    </row>
    <row r="216" spans="1:216" ht="15" hidden="1" customHeight="1" x14ac:dyDescent="0.25">
      <c r="A216" s="72"/>
      <c r="B216" s="54"/>
      <c r="C216" s="320" t="str">
        <f>'DATA INPUT'!B98</f>
        <v>Payment to Human Subjects</v>
      </c>
      <c r="D216" s="321">
        <f>'DATA INPUT'!I98</f>
        <v>0</v>
      </c>
      <c r="E216" s="321">
        <f>'DATA INPUT'!J98</f>
        <v>0</v>
      </c>
      <c r="F216" s="321">
        <f>'DATA INPUT'!K98</f>
        <v>0</v>
      </c>
      <c r="G216" s="321">
        <f>'DATA INPUT'!L98</f>
        <v>0</v>
      </c>
      <c r="H216" s="321">
        <f>'DATA INPUT'!M98</f>
        <v>0</v>
      </c>
      <c r="I216" s="321">
        <f>'DATA INPUT'!N98</f>
        <v>0</v>
      </c>
      <c r="J216" s="322">
        <f t="shared" si="1143"/>
        <v>0</v>
      </c>
      <c r="K216" s="9"/>
      <c r="L216" s="9"/>
      <c r="M216" s="9"/>
      <c r="N216" s="5"/>
      <c r="O216" s="5"/>
      <c r="P216" s="5"/>
      <c r="Q216" s="5"/>
      <c r="R216" s="5"/>
      <c r="S216" s="5"/>
      <c r="T216" s="167">
        <f t="shared" si="1144"/>
        <v>0</v>
      </c>
      <c r="U216" s="1"/>
      <c r="V216" s="5"/>
      <c r="W216" s="5"/>
      <c r="X216" s="5"/>
      <c r="Y216" s="5"/>
      <c r="Z216" s="5"/>
      <c r="AA216" s="5"/>
      <c r="AB216" s="48">
        <f t="shared" si="1145"/>
        <v>0</v>
      </c>
      <c r="AD216" s="5"/>
      <c r="AE216" s="5"/>
      <c r="AF216" s="5"/>
      <c r="AG216" s="5"/>
      <c r="AH216" s="5"/>
      <c r="AI216" s="5"/>
      <c r="AJ216" s="209">
        <f t="shared" si="1146"/>
        <v>0</v>
      </c>
      <c r="AL216" s="5"/>
      <c r="AM216" s="5"/>
      <c r="AN216" s="5"/>
      <c r="AO216" s="5"/>
      <c r="AP216" s="5"/>
      <c r="AQ216" s="5"/>
      <c r="AR216" s="181">
        <f t="shared" si="1147"/>
        <v>0</v>
      </c>
      <c r="AT216" s="5"/>
      <c r="AU216" s="5"/>
      <c r="AV216" s="5"/>
      <c r="AW216" s="5"/>
      <c r="AX216" s="5"/>
      <c r="AY216" s="5"/>
      <c r="AZ216" s="153">
        <f t="shared" si="1148"/>
        <v>0</v>
      </c>
      <c r="BB216" s="5"/>
      <c r="BC216" s="5"/>
      <c r="BD216" s="5"/>
      <c r="BE216" s="5"/>
      <c r="BF216" s="5"/>
      <c r="BG216" s="5"/>
      <c r="BH216" s="195">
        <f t="shared" si="1149"/>
        <v>0</v>
      </c>
      <c r="BJ216" s="5"/>
      <c r="BK216" s="5"/>
      <c r="BL216" s="5"/>
      <c r="BM216" s="5"/>
      <c r="BN216" s="5"/>
      <c r="BO216" s="5"/>
      <c r="BP216" s="1105">
        <f t="shared" si="1150"/>
        <v>0</v>
      </c>
      <c r="BR216" s="575">
        <f t="shared" si="1087"/>
        <v>0</v>
      </c>
      <c r="BS216" s="575">
        <f t="shared" si="1088"/>
        <v>0</v>
      </c>
      <c r="BT216" s="575">
        <f t="shared" si="1089"/>
        <v>0</v>
      </c>
      <c r="BU216" s="575">
        <f t="shared" si="1090"/>
        <v>0</v>
      </c>
      <c r="BV216" s="575">
        <f t="shared" si="1091"/>
        <v>0</v>
      </c>
      <c r="BW216" s="575">
        <f t="shared" si="1092"/>
        <v>0</v>
      </c>
      <c r="BX216" s="991">
        <f t="shared" si="1093"/>
        <v>0</v>
      </c>
      <c r="BY216" s="573">
        <f t="shared" si="1094"/>
        <v>0</v>
      </c>
      <c r="BZ216" s="257"/>
      <c r="CB216" s="1323">
        <f t="shared" si="1151"/>
        <v>0</v>
      </c>
      <c r="CC216" s="1324">
        <f t="shared" ref="CC216:CC224" si="1177">E216</f>
        <v>0</v>
      </c>
      <c r="CD216" s="1325"/>
      <c r="CE216" s="1325"/>
      <c r="CF216" s="1325"/>
      <c r="CG216" s="1326"/>
      <c r="CH216" s="1331">
        <f t="shared" ref="CH216:CH224" si="1178">F216</f>
        <v>0</v>
      </c>
      <c r="CI216" s="1332"/>
      <c r="CJ216" s="1332"/>
      <c r="CK216" s="1332"/>
      <c r="CL216" s="1333"/>
      <c r="CM216" s="1334">
        <f t="shared" ref="CM216:CM224" si="1179">G216</f>
        <v>0</v>
      </c>
      <c r="CN216" s="1335"/>
      <c r="CO216" s="1336"/>
      <c r="CP216" s="1228">
        <f t="shared" si="1152"/>
        <v>0</v>
      </c>
      <c r="CS216" s="575"/>
      <c r="CT216" s="5"/>
      <c r="CU216" s="1180"/>
      <c r="CV216" s="575"/>
      <c r="CW216" s="5"/>
      <c r="CX216" s="1180"/>
      <c r="CY216" s="575"/>
      <c r="CZ216" s="5"/>
      <c r="DA216" s="1180"/>
      <c r="DB216" s="575"/>
      <c r="DC216" s="5"/>
      <c r="DD216" s="1180"/>
      <c r="DE216" s="1181">
        <f t="shared" si="1153"/>
        <v>0</v>
      </c>
      <c r="DG216" s="575"/>
      <c r="DH216" s="5"/>
      <c r="DI216" s="1180"/>
      <c r="DJ216" s="575"/>
      <c r="DK216" s="5"/>
      <c r="DL216" s="1180"/>
      <c r="DM216" s="575"/>
      <c r="DN216" s="5"/>
      <c r="DO216" s="1180"/>
      <c r="DP216" s="575"/>
      <c r="DQ216" s="5"/>
      <c r="DR216" s="1180"/>
      <c r="DS216" s="1181">
        <f t="shared" si="1154"/>
        <v>0</v>
      </c>
      <c r="DU216" s="575"/>
      <c r="DV216" s="5"/>
      <c r="DW216" s="1180"/>
      <c r="DX216" s="575"/>
      <c r="DY216" s="5"/>
      <c r="DZ216" s="1180"/>
      <c r="EA216" s="575"/>
      <c r="EB216" s="5"/>
      <c r="EC216" s="1180"/>
      <c r="ED216" s="575"/>
      <c r="EE216" s="5"/>
      <c r="EF216" s="1180"/>
      <c r="EG216" s="1181">
        <f t="shared" si="1155"/>
        <v>0</v>
      </c>
      <c r="EI216" s="3456"/>
      <c r="EJ216" s="54"/>
      <c r="EK216" s="320" t="str">
        <f t="shared" si="1156"/>
        <v>Payment to Human Subjects</v>
      </c>
      <c r="EL216" s="321">
        <f t="shared" si="1157"/>
        <v>0</v>
      </c>
      <c r="EM216" s="321">
        <f t="shared" si="1158"/>
        <v>0</v>
      </c>
      <c r="EN216" s="321">
        <f t="shared" si="1159"/>
        <v>0</v>
      </c>
      <c r="EO216" s="321">
        <f t="shared" si="1160"/>
        <v>0</v>
      </c>
      <c r="EP216" s="321">
        <f t="shared" si="1161"/>
        <v>0</v>
      </c>
      <c r="EQ216" s="321">
        <f t="shared" si="1162"/>
        <v>0</v>
      </c>
      <c r="ER216" s="322">
        <f t="shared" si="1163"/>
        <v>0</v>
      </c>
      <c r="ES216" s="9"/>
      <c r="ET216" s="9"/>
      <c r="EU216" s="9"/>
      <c r="EV216" s="5">
        <f t="shared" si="1164"/>
        <v>0</v>
      </c>
      <c r="EW216" s="5">
        <f t="shared" si="1165"/>
        <v>0</v>
      </c>
      <c r="EX216" s="5">
        <f t="shared" si="1166"/>
        <v>0</v>
      </c>
      <c r="EY216" s="5">
        <f t="shared" si="1167"/>
        <v>0</v>
      </c>
      <c r="EZ216" s="5">
        <f t="shared" si="1168"/>
        <v>0</v>
      </c>
      <c r="FA216" s="5">
        <f t="shared" si="1169"/>
        <v>0</v>
      </c>
      <c r="FB216" s="167">
        <f t="shared" si="1170"/>
        <v>0</v>
      </c>
      <c r="FC216" s="1"/>
      <c r="FD216" s="5"/>
      <c r="FE216" s="5"/>
      <c r="FF216" s="5"/>
      <c r="FG216" s="5"/>
      <c r="FH216" s="5"/>
      <c r="FI216" s="5"/>
      <c r="FJ216" s="48">
        <f t="shared" si="1171"/>
        <v>0</v>
      </c>
      <c r="FL216" s="5"/>
      <c r="FM216" s="5"/>
      <c r="FN216" s="5"/>
      <c r="FO216" s="5"/>
      <c r="FP216" s="5"/>
      <c r="FQ216" s="5"/>
      <c r="FR216" s="209">
        <f t="shared" si="1172"/>
        <v>0</v>
      </c>
      <c r="FT216" s="5"/>
      <c r="FU216" s="5"/>
      <c r="FV216" s="5"/>
      <c r="FW216" s="5"/>
      <c r="FX216" s="5"/>
      <c r="FY216" s="5"/>
      <c r="FZ216" s="181">
        <f t="shared" si="1173"/>
        <v>0</v>
      </c>
      <c r="GB216" s="5"/>
      <c r="GC216" s="5"/>
      <c r="GD216" s="5"/>
      <c r="GE216" s="5"/>
      <c r="GF216" s="5"/>
      <c r="GG216" s="5"/>
      <c r="GH216" s="153">
        <f t="shared" si="1174"/>
        <v>0</v>
      </c>
      <c r="GJ216" s="5"/>
      <c r="GK216" s="5"/>
      <c r="GL216" s="5"/>
      <c r="GM216" s="5"/>
      <c r="GN216" s="5"/>
      <c r="GO216" s="5"/>
      <c r="GP216" s="195">
        <f t="shared" si="1175"/>
        <v>0</v>
      </c>
      <c r="GR216" s="5"/>
      <c r="GS216" s="5"/>
      <c r="GT216" s="5"/>
      <c r="GU216" s="5"/>
      <c r="GV216" s="5"/>
      <c r="GW216" s="5"/>
      <c r="GX216" s="1105">
        <f t="shared" si="1176"/>
        <v>0</v>
      </c>
      <c r="GZ216" s="575">
        <f t="shared" si="1095"/>
        <v>0</v>
      </c>
      <c r="HA216" s="575">
        <f t="shared" si="1096"/>
        <v>0</v>
      </c>
      <c r="HB216" s="575">
        <f t="shared" si="1097"/>
        <v>0</v>
      </c>
      <c r="HC216" s="575">
        <f t="shared" si="1098"/>
        <v>0</v>
      </c>
      <c r="HD216" s="575">
        <f t="shared" si="1099"/>
        <v>0</v>
      </c>
      <c r="HE216" s="575">
        <f t="shared" si="1100"/>
        <v>0</v>
      </c>
      <c r="HF216" s="991">
        <f t="shared" si="1101"/>
        <v>0</v>
      </c>
      <c r="HG216" s="573">
        <f t="shared" si="1102"/>
        <v>0</v>
      </c>
      <c r="HH216" s="257"/>
    </row>
    <row r="217" spans="1:216" ht="15" hidden="1" customHeight="1" x14ac:dyDescent="0.25">
      <c r="A217" s="72"/>
      <c r="B217" s="54"/>
      <c r="C217" s="2509" t="str">
        <f>'DATA INPUT'!B99</f>
        <v>Rental Costs (no F&amp;A)</v>
      </c>
      <c r="D217" s="321">
        <f>'DATA INPUT'!I99</f>
        <v>0</v>
      </c>
      <c r="E217" s="321">
        <f>'DATA INPUT'!J99</f>
        <v>0</v>
      </c>
      <c r="F217" s="321">
        <f>'DATA INPUT'!K99</f>
        <v>0</v>
      </c>
      <c r="G217" s="321">
        <f>'DATA INPUT'!L99</f>
        <v>0</v>
      </c>
      <c r="H217" s="321">
        <f>'DATA INPUT'!M99</f>
        <v>0</v>
      </c>
      <c r="I217" s="321">
        <f>'DATA INPUT'!N99</f>
        <v>0</v>
      </c>
      <c r="J217" s="322">
        <f t="shared" si="1143"/>
        <v>0</v>
      </c>
      <c r="K217" s="9"/>
      <c r="L217" s="9"/>
      <c r="M217" s="9"/>
      <c r="N217" s="5"/>
      <c r="O217" s="5"/>
      <c r="P217" s="5"/>
      <c r="Q217" s="5"/>
      <c r="R217" s="5"/>
      <c r="S217" s="5"/>
      <c r="T217" s="167">
        <f t="shared" si="1144"/>
        <v>0</v>
      </c>
      <c r="U217" s="1"/>
      <c r="V217" s="5"/>
      <c r="W217" s="5"/>
      <c r="X217" s="5"/>
      <c r="Y217" s="5"/>
      <c r="Z217" s="5"/>
      <c r="AA217" s="5"/>
      <c r="AB217" s="48">
        <f t="shared" si="1145"/>
        <v>0</v>
      </c>
      <c r="AD217" s="5"/>
      <c r="AE217" s="5"/>
      <c r="AF217" s="5"/>
      <c r="AG217" s="5"/>
      <c r="AH217" s="5"/>
      <c r="AI217" s="5"/>
      <c r="AJ217" s="209">
        <f t="shared" si="1146"/>
        <v>0</v>
      </c>
      <c r="AL217" s="5"/>
      <c r="AM217" s="5"/>
      <c r="AN217" s="5"/>
      <c r="AO217" s="5"/>
      <c r="AP217" s="5"/>
      <c r="AQ217" s="5"/>
      <c r="AR217" s="181">
        <f t="shared" si="1147"/>
        <v>0</v>
      </c>
      <c r="AT217" s="5"/>
      <c r="AU217" s="5"/>
      <c r="AV217" s="5"/>
      <c r="AW217" s="5"/>
      <c r="AX217" s="5"/>
      <c r="AY217" s="5"/>
      <c r="AZ217" s="153">
        <f t="shared" si="1148"/>
        <v>0</v>
      </c>
      <c r="BB217" s="5"/>
      <c r="BC217" s="5"/>
      <c r="BD217" s="5"/>
      <c r="BE217" s="5"/>
      <c r="BF217" s="5"/>
      <c r="BG217" s="5"/>
      <c r="BH217" s="195">
        <f t="shared" si="1149"/>
        <v>0</v>
      </c>
      <c r="BJ217" s="5"/>
      <c r="BK217" s="5"/>
      <c r="BL217" s="5"/>
      <c r="BM217" s="5"/>
      <c r="BN217" s="5"/>
      <c r="BO217" s="5"/>
      <c r="BP217" s="1105">
        <f t="shared" si="1150"/>
        <v>0</v>
      </c>
      <c r="BR217" s="575">
        <f t="shared" si="1087"/>
        <v>0</v>
      </c>
      <c r="BS217" s="575">
        <f t="shared" si="1088"/>
        <v>0</v>
      </c>
      <c r="BT217" s="575">
        <f t="shared" si="1089"/>
        <v>0</v>
      </c>
      <c r="BU217" s="575">
        <f t="shared" si="1090"/>
        <v>0</v>
      </c>
      <c r="BV217" s="575">
        <f t="shared" si="1091"/>
        <v>0</v>
      </c>
      <c r="BW217" s="575">
        <f t="shared" si="1092"/>
        <v>0</v>
      </c>
      <c r="BX217" s="991">
        <f t="shared" si="1093"/>
        <v>0</v>
      </c>
      <c r="BY217" s="573">
        <f t="shared" si="1094"/>
        <v>0</v>
      </c>
      <c r="BZ217" s="257"/>
      <c r="CB217" s="1323">
        <f t="shared" si="1151"/>
        <v>0</v>
      </c>
      <c r="CC217" s="1324">
        <f t="shared" si="1177"/>
        <v>0</v>
      </c>
      <c r="CD217" s="1325"/>
      <c r="CE217" s="1325"/>
      <c r="CF217" s="1325"/>
      <c r="CG217" s="1326"/>
      <c r="CH217" s="1331">
        <f t="shared" si="1178"/>
        <v>0</v>
      </c>
      <c r="CI217" s="1332"/>
      <c r="CJ217" s="1332"/>
      <c r="CK217" s="1332"/>
      <c r="CL217" s="1333"/>
      <c r="CM217" s="1334">
        <f t="shared" si="1179"/>
        <v>0</v>
      </c>
      <c r="CN217" s="1335"/>
      <c r="CO217" s="1336"/>
      <c r="CP217" s="1228">
        <f t="shared" si="1152"/>
        <v>0</v>
      </c>
      <c r="CS217" s="575"/>
      <c r="CT217" s="5"/>
      <c r="CU217" s="1180"/>
      <c r="CV217" s="575"/>
      <c r="CW217" s="5"/>
      <c r="CX217" s="1180"/>
      <c r="CY217" s="575"/>
      <c r="CZ217" s="5"/>
      <c r="DA217" s="1180"/>
      <c r="DB217" s="575"/>
      <c r="DC217" s="5"/>
      <c r="DD217" s="1180"/>
      <c r="DE217" s="1181">
        <f t="shared" si="1153"/>
        <v>0</v>
      </c>
      <c r="DG217" s="575"/>
      <c r="DH217" s="5"/>
      <c r="DI217" s="1180"/>
      <c r="DJ217" s="575"/>
      <c r="DK217" s="5"/>
      <c r="DL217" s="1180"/>
      <c r="DM217" s="575"/>
      <c r="DN217" s="5"/>
      <c r="DO217" s="1180"/>
      <c r="DP217" s="575"/>
      <c r="DQ217" s="5"/>
      <c r="DR217" s="1180"/>
      <c r="DS217" s="1181">
        <f t="shared" si="1154"/>
        <v>0</v>
      </c>
      <c r="DU217" s="575"/>
      <c r="DV217" s="5"/>
      <c r="DW217" s="1180"/>
      <c r="DX217" s="575"/>
      <c r="DY217" s="5"/>
      <c r="DZ217" s="1180"/>
      <c r="EA217" s="575"/>
      <c r="EB217" s="5"/>
      <c r="EC217" s="1180"/>
      <c r="ED217" s="575"/>
      <c r="EE217" s="5"/>
      <c r="EF217" s="1180"/>
      <c r="EG217" s="1181">
        <f t="shared" si="1155"/>
        <v>0</v>
      </c>
      <c r="EI217" s="3456"/>
      <c r="EJ217" s="54"/>
      <c r="EK217" s="2509" t="str">
        <f t="shared" si="1156"/>
        <v>Rental Costs (no F&amp;A)</v>
      </c>
      <c r="EL217" s="321">
        <f t="shared" si="1157"/>
        <v>0</v>
      </c>
      <c r="EM217" s="321">
        <f t="shared" si="1158"/>
        <v>0</v>
      </c>
      <c r="EN217" s="321">
        <f t="shared" si="1159"/>
        <v>0</v>
      </c>
      <c r="EO217" s="321">
        <f t="shared" si="1160"/>
        <v>0</v>
      </c>
      <c r="EP217" s="321">
        <f t="shared" si="1161"/>
        <v>0</v>
      </c>
      <c r="EQ217" s="321">
        <f t="shared" si="1162"/>
        <v>0</v>
      </c>
      <c r="ER217" s="322">
        <f t="shared" si="1163"/>
        <v>0</v>
      </c>
      <c r="ES217" s="9"/>
      <c r="ET217" s="9"/>
      <c r="EU217" s="9"/>
      <c r="EV217" s="5">
        <f t="shared" si="1164"/>
        <v>0</v>
      </c>
      <c r="EW217" s="5">
        <f t="shared" si="1165"/>
        <v>0</v>
      </c>
      <c r="EX217" s="5">
        <f t="shared" si="1166"/>
        <v>0</v>
      </c>
      <c r="EY217" s="5">
        <f t="shared" si="1167"/>
        <v>0</v>
      </c>
      <c r="EZ217" s="5">
        <f t="shared" si="1168"/>
        <v>0</v>
      </c>
      <c r="FA217" s="5">
        <f t="shared" si="1169"/>
        <v>0</v>
      </c>
      <c r="FB217" s="167">
        <f t="shared" si="1170"/>
        <v>0</v>
      </c>
      <c r="FC217" s="1"/>
      <c r="FD217" s="5"/>
      <c r="FE217" s="5"/>
      <c r="FF217" s="5"/>
      <c r="FG217" s="5"/>
      <c r="FH217" s="5"/>
      <c r="FI217" s="5"/>
      <c r="FJ217" s="48">
        <f t="shared" si="1171"/>
        <v>0</v>
      </c>
      <c r="FL217" s="5"/>
      <c r="FM217" s="5"/>
      <c r="FN217" s="5"/>
      <c r="FO217" s="5"/>
      <c r="FP217" s="5"/>
      <c r="FQ217" s="5"/>
      <c r="FR217" s="209">
        <f t="shared" si="1172"/>
        <v>0</v>
      </c>
      <c r="FT217" s="5"/>
      <c r="FU217" s="5"/>
      <c r="FV217" s="5"/>
      <c r="FW217" s="5"/>
      <c r="FX217" s="5"/>
      <c r="FY217" s="5"/>
      <c r="FZ217" s="181">
        <f t="shared" si="1173"/>
        <v>0</v>
      </c>
      <c r="GB217" s="5"/>
      <c r="GC217" s="5"/>
      <c r="GD217" s="5"/>
      <c r="GE217" s="5"/>
      <c r="GF217" s="5"/>
      <c r="GG217" s="5"/>
      <c r="GH217" s="153">
        <f t="shared" si="1174"/>
        <v>0</v>
      </c>
      <c r="GJ217" s="5"/>
      <c r="GK217" s="5"/>
      <c r="GL217" s="5"/>
      <c r="GM217" s="5"/>
      <c r="GN217" s="5"/>
      <c r="GO217" s="5"/>
      <c r="GP217" s="195">
        <f t="shared" si="1175"/>
        <v>0</v>
      </c>
      <c r="GR217" s="5"/>
      <c r="GS217" s="5"/>
      <c r="GT217" s="5"/>
      <c r="GU217" s="5"/>
      <c r="GV217" s="5"/>
      <c r="GW217" s="5"/>
      <c r="GX217" s="1105">
        <f t="shared" si="1176"/>
        <v>0</v>
      </c>
      <c r="GZ217" s="575">
        <f t="shared" si="1095"/>
        <v>0</v>
      </c>
      <c r="HA217" s="575">
        <f t="shared" si="1096"/>
        <v>0</v>
      </c>
      <c r="HB217" s="575">
        <f t="shared" si="1097"/>
        <v>0</v>
      </c>
      <c r="HC217" s="575">
        <f t="shared" si="1098"/>
        <v>0</v>
      </c>
      <c r="HD217" s="575">
        <f t="shared" si="1099"/>
        <v>0</v>
      </c>
      <c r="HE217" s="575">
        <f t="shared" si="1100"/>
        <v>0</v>
      </c>
      <c r="HF217" s="991">
        <f t="shared" si="1101"/>
        <v>0</v>
      </c>
      <c r="HG217" s="573">
        <f t="shared" si="1102"/>
        <v>0</v>
      </c>
      <c r="HH217" s="257"/>
    </row>
    <row r="218" spans="1:216" ht="15" hidden="1" customHeight="1" x14ac:dyDescent="0.25">
      <c r="A218" s="72"/>
      <c r="B218" s="54"/>
      <c r="C218" s="320" t="str">
        <f>'DATA INPUT'!B100</f>
        <v>Other - Specify</v>
      </c>
      <c r="D218" s="321">
        <f>'DATA INPUT'!I100</f>
        <v>0</v>
      </c>
      <c r="E218" s="321">
        <f>'DATA INPUT'!J100</f>
        <v>0</v>
      </c>
      <c r="F218" s="321">
        <f>'DATA INPUT'!K100</f>
        <v>0</v>
      </c>
      <c r="G218" s="321">
        <f>'DATA INPUT'!L100</f>
        <v>0</v>
      </c>
      <c r="H218" s="321">
        <f>'DATA INPUT'!M100</f>
        <v>0</v>
      </c>
      <c r="I218" s="321">
        <f>'DATA INPUT'!N100</f>
        <v>0</v>
      </c>
      <c r="J218" s="322">
        <f t="shared" si="1143"/>
        <v>0</v>
      </c>
      <c r="K218" s="9"/>
      <c r="L218" s="9"/>
      <c r="M218" s="9"/>
      <c r="N218" s="5"/>
      <c r="O218" s="5"/>
      <c r="P218" s="5"/>
      <c r="Q218" s="5"/>
      <c r="R218" s="5"/>
      <c r="S218" s="5"/>
      <c r="T218" s="167">
        <f t="shared" si="1144"/>
        <v>0</v>
      </c>
      <c r="U218" s="1"/>
      <c r="V218" s="5"/>
      <c r="W218" s="5"/>
      <c r="X218" s="5"/>
      <c r="Y218" s="5"/>
      <c r="Z218" s="5"/>
      <c r="AA218" s="5"/>
      <c r="AB218" s="48">
        <f t="shared" si="1145"/>
        <v>0</v>
      </c>
      <c r="AD218" s="5"/>
      <c r="AE218" s="5"/>
      <c r="AF218" s="5"/>
      <c r="AG218" s="5"/>
      <c r="AH218" s="5"/>
      <c r="AI218" s="5"/>
      <c r="AJ218" s="209">
        <f t="shared" si="1146"/>
        <v>0</v>
      </c>
      <c r="AL218" s="5"/>
      <c r="AM218" s="5"/>
      <c r="AN218" s="5"/>
      <c r="AO218" s="5"/>
      <c r="AP218" s="5"/>
      <c r="AQ218" s="5"/>
      <c r="AR218" s="181">
        <f t="shared" si="1147"/>
        <v>0</v>
      </c>
      <c r="AT218" s="5"/>
      <c r="AU218" s="5"/>
      <c r="AV218" s="5"/>
      <c r="AW218" s="5"/>
      <c r="AX218" s="5"/>
      <c r="AY218" s="5"/>
      <c r="AZ218" s="153">
        <f t="shared" si="1148"/>
        <v>0</v>
      </c>
      <c r="BB218" s="5"/>
      <c r="BC218" s="5"/>
      <c r="BD218" s="5"/>
      <c r="BE218" s="5"/>
      <c r="BF218" s="5"/>
      <c r="BG218" s="5"/>
      <c r="BH218" s="195">
        <f t="shared" si="1149"/>
        <v>0</v>
      </c>
      <c r="BJ218" s="5"/>
      <c r="BK218" s="5"/>
      <c r="BL218" s="5"/>
      <c r="BM218" s="5"/>
      <c r="BN218" s="5"/>
      <c r="BO218" s="5"/>
      <c r="BP218" s="1105">
        <f t="shared" si="1150"/>
        <v>0</v>
      </c>
      <c r="BR218" s="575">
        <f t="shared" si="1087"/>
        <v>0</v>
      </c>
      <c r="BS218" s="575">
        <f t="shared" si="1088"/>
        <v>0</v>
      </c>
      <c r="BT218" s="575">
        <f t="shared" si="1089"/>
        <v>0</v>
      </c>
      <c r="BU218" s="575">
        <f t="shared" si="1090"/>
        <v>0</v>
      </c>
      <c r="BV218" s="575">
        <f t="shared" si="1091"/>
        <v>0</v>
      </c>
      <c r="BW218" s="575">
        <f t="shared" si="1092"/>
        <v>0</v>
      </c>
      <c r="BX218" s="991">
        <f t="shared" si="1093"/>
        <v>0</v>
      </c>
      <c r="BY218" s="573">
        <f t="shared" si="1094"/>
        <v>0</v>
      </c>
      <c r="BZ218" s="257"/>
      <c r="CB218" s="1323">
        <f t="shared" si="1151"/>
        <v>0</v>
      </c>
      <c r="CC218" s="1324">
        <f t="shared" si="1177"/>
        <v>0</v>
      </c>
      <c r="CD218" s="1325"/>
      <c r="CE218" s="1325"/>
      <c r="CF218" s="1325"/>
      <c r="CG218" s="1326"/>
      <c r="CH218" s="1331">
        <f t="shared" si="1178"/>
        <v>0</v>
      </c>
      <c r="CI218" s="1332"/>
      <c r="CJ218" s="1332"/>
      <c r="CK218" s="1332"/>
      <c r="CL218" s="1333"/>
      <c r="CM218" s="1334">
        <f t="shared" si="1179"/>
        <v>0</v>
      </c>
      <c r="CN218" s="1335"/>
      <c r="CO218" s="1336"/>
      <c r="CP218" s="1228">
        <f t="shared" si="1152"/>
        <v>0</v>
      </c>
      <c r="CS218" s="575"/>
      <c r="CT218" s="5"/>
      <c r="CU218" s="1180"/>
      <c r="CV218" s="575"/>
      <c r="CW218" s="5"/>
      <c r="CX218" s="1180"/>
      <c r="CY218" s="575"/>
      <c r="CZ218" s="5"/>
      <c r="DA218" s="1180"/>
      <c r="DB218" s="575"/>
      <c r="DC218" s="5"/>
      <c r="DD218" s="1180"/>
      <c r="DE218" s="1181">
        <f t="shared" si="1153"/>
        <v>0</v>
      </c>
      <c r="DG218" s="575"/>
      <c r="DH218" s="5"/>
      <c r="DI218" s="1180"/>
      <c r="DJ218" s="575"/>
      <c r="DK218" s="5"/>
      <c r="DL218" s="1180"/>
      <c r="DM218" s="575"/>
      <c r="DN218" s="5"/>
      <c r="DO218" s="1180"/>
      <c r="DP218" s="575"/>
      <c r="DQ218" s="5"/>
      <c r="DR218" s="1180"/>
      <c r="DS218" s="1181">
        <f t="shared" si="1154"/>
        <v>0</v>
      </c>
      <c r="DU218" s="575"/>
      <c r="DV218" s="5"/>
      <c r="DW218" s="1180"/>
      <c r="DX218" s="575"/>
      <c r="DY218" s="5"/>
      <c r="DZ218" s="1180"/>
      <c r="EA218" s="575"/>
      <c r="EB218" s="5"/>
      <c r="EC218" s="1180"/>
      <c r="ED218" s="575"/>
      <c r="EE218" s="5"/>
      <c r="EF218" s="1180"/>
      <c r="EG218" s="1181">
        <f t="shared" si="1155"/>
        <v>0</v>
      </c>
      <c r="EI218" s="3456"/>
      <c r="EJ218" s="54"/>
      <c r="EK218" s="320" t="str">
        <f t="shared" si="1156"/>
        <v>Other - Specify</v>
      </c>
      <c r="EL218" s="321">
        <f t="shared" si="1157"/>
        <v>0</v>
      </c>
      <c r="EM218" s="321">
        <f t="shared" si="1158"/>
        <v>0</v>
      </c>
      <c r="EN218" s="321">
        <f t="shared" si="1159"/>
        <v>0</v>
      </c>
      <c r="EO218" s="321">
        <f t="shared" si="1160"/>
        <v>0</v>
      </c>
      <c r="EP218" s="321">
        <f t="shared" si="1161"/>
        <v>0</v>
      </c>
      <c r="EQ218" s="321">
        <f t="shared" si="1162"/>
        <v>0</v>
      </c>
      <c r="ER218" s="322">
        <f t="shared" si="1163"/>
        <v>0</v>
      </c>
      <c r="ES218" s="9"/>
      <c r="ET218" s="9"/>
      <c r="EU218" s="9"/>
      <c r="EV218" s="5">
        <f t="shared" si="1164"/>
        <v>0</v>
      </c>
      <c r="EW218" s="5">
        <f t="shared" si="1165"/>
        <v>0</v>
      </c>
      <c r="EX218" s="5">
        <f t="shared" si="1166"/>
        <v>0</v>
      </c>
      <c r="EY218" s="5">
        <f t="shared" si="1167"/>
        <v>0</v>
      </c>
      <c r="EZ218" s="5">
        <f t="shared" si="1168"/>
        <v>0</v>
      </c>
      <c r="FA218" s="5">
        <f t="shared" si="1169"/>
        <v>0</v>
      </c>
      <c r="FB218" s="167">
        <f t="shared" si="1170"/>
        <v>0</v>
      </c>
      <c r="FC218" s="1"/>
      <c r="FD218" s="5"/>
      <c r="FE218" s="5"/>
      <c r="FF218" s="5"/>
      <c r="FG218" s="5"/>
      <c r="FH218" s="5"/>
      <c r="FI218" s="5"/>
      <c r="FJ218" s="48">
        <f t="shared" si="1171"/>
        <v>0</v>
      </c>
      <c r="FL218" s="5"/>
      <c r="FM218" s="5"/>
      <c r="FN218" s="5"/>
      <c r="FO218" s="5"/>
      <c r="FP218" s="5"/>
      <c r="FQ218" s="5"/>
      <c r="FR218" s="209">
        <f t="shared" si="1172"/>
        <v>0</v>
      </c>
      <c r="FT218" s="5"/>
      <c r="FU218" s="5"/>
      <c r="FV218" s="5"/>
      <c r="FW218" s="5"/>
      <c r="FX218" s="5"/>
      <c r="FY218" s="5"/>
      <c r="FZ218" s="181">
        <f t="shared" si="1173"/>
        <v>0</v>
      </c>
      <c r="GB218" s="5"/>
      <c r="GC218" s="5"/>
      <c r="GD218" s="5"/>
      <c r="GE218" s="5"/>
      <c r="GF218" s="5"/>
      <c r="GG218" s="5"/>
      <c r="GH218" s="153">
        <f t="shared" si="1174"/>
        <v>0</v>
      </c>
      <c r="GJ218" s="5"/>
      <c r="GK218" s="5"/>
      <c r="GL218" s="5"/>
      <c r="GM218" s="5"/>
      <c r="GN218" s="5"/>
      <c r="GO218" s="5"/>
      <c r="GP218" s="195">
        <f t="shared" si="1175"/>
        <v>0</v>
      </c>
      <c r="GR218" s="5"/>
      <c r="GS218" s="5"/>
      <c r="GT218" s="5"/>
      <c r="GU218" s="5"/>
      <c r="GV218" s="5"/>
      <c r="GW218" s="5"/>
      <c r="GX218" s="1105">
        <f t="shared" si="1176"/>
        <v>0</v>
      </c>
      <c r="GZ218" s="575">
        <f t="shared" si="1095"/>
        <v>0</v>
      </c>
      <c r="HA218" s="575">
        <f t="shared" si="1096"/>
        <v>0</v>
      </c>
      <c r="HB218" s="575">
        <f t="shared" si="1097"/>
        <v>0</v>
      </c>
      <c r="HC218" s="575">
        <f t="shared" si="1098"/>
        <v>0</v>
      </c>
      <c r="HD218" s="575">
        <f t="shared" si="1099"/>
        <v>0</v>
      </c>
      <c r="HE218" s="575">
        <f t="shared" si="1100"/>
        <v>0</v>
      </c>
      <c r="HF218" s="991">
        <f t="shared" si="1101"/>
        <v>0</v>
      </c>
      <c r="HG218" s="573">
        <f t="shared" si="1102"/>
        <v>0</v>
      </c>
      <c r="HH218" s="257"/>
    </row>
    <row r="219" spans="1:216" ht="15" hidden="1" customHeight="1" x14ac:dyDescent="0.25">
      <c r="A219" s="72"/>
      <c r="B219" s="54"/>
      <c r="C219" s="320" t="str">
        <f>'DATA INPUT'!B101</f>
        <v>Other - Specify</v>
      </c>
      <c r="D219" s="321">
        <f>'DATA INPUT'!I101</f>
        <v>0</v>
      </c>
      <c r="E219" s="321">
        <f>'DATA INPUT'!J101</f>
        <v>0</v>
      </c>
      <c r="F219" s="321">
        <f>'DATA INPUT'!K101</f>
        <v>0</v>
      </c>
      <c r="G219" s="321">
        <f>'DATA INPUT'!L101</f>
        <v>0</v>
      </c>
      <c r="H219" s="321">
        <f>'DATA INPUT'!M101</f>
        <v>0</v>
      </c>
      <c r="I219" s="321">
        <f>'DATA INPUT'!N101</f>
        <v>0</v>
      </c>
      <c r="J219" s="322">
        <f t="shared" si="1143"/>
        <v>0</v>
      </c>
      <c r="K219" s="9"/>
      <c r="L219" s="9"/>
      <c r="M219" s="9"/>
      <c r="N219" s="5"/>
      <c r="O219" s="5"/>
      <c r="P219" s="5"/>
      <c r="Q219" s="5"/>
      <c r="R219" s="5"/>
      <c r="S219" s="5"/>
      <c r="T219" s="167">
        <f t="shared" si="1144"/>
        <v>0</v>
      </c>
      <c r="U219" s="1"/>
      <c r="V219" s="5"/>
      <c r="W219" s="5"/>
      <c r="X219" s="5"/>
      <c r="Y219" s="5"/>
      <c r="Z219" s="5"/>
      <c r="AA219" s="5"/>
      <c r="AB219" s="48">
        <f t="shared" si="1145"/>
        <v>0</v>
      </c>
      <c r="AD219" s="5"/>
      <c r="AE219" s="5"/>
      <c r="AF219" s="5"/>
      <c r="AG219" s="5"/>
      <c r="AH219" s="5"/>
      <c r="AI219" s="5"/>
      <c r="AJ219" s="209">
        <f t="shared" si="1146"/>
        <v>0</v>
      </c>
      <c r="AL219" s="5"/>
      <c r="AM219" s="5"/>
      <c r="AN219" s="5"/>
      <c r="AO219" s="5"/>
      <c r="AP219" s="5"/>
      <c r="AQ219" s="5"/>
      <c r="AR219" s="181">
        <f t="shared" si="1147"/>
        <v>0</v>
      </c>
      <c r="AT219" s="5"/>
      <c r="AU219" s="5"/>
      <c r="AV219" s="5"/>
      <c r="AW219" s="5"/>
      <c r="AX219" s="5"/>
      <c r="AY219" s="5"/>
      <c r="AZ219" s="153">
        <f t="shared" si="1148"/>
        <v>0</v>
      </c>
      <c r="BB219" s="5"/>
      <c r="BC219" s="5"/>
      <c r="BD219" s="5"/>
      <c r="BE219" s="5"/>
      <c r="BF219" s="5"/>
      <c r="BG219" s="5"/>
      <c r="BH219" s="195">
        <f t="shared" si="1149"/>
        <v>0</v>
      </c>
      <c r="BJ219" s="5"/>
      <c r="BK219" s="5"/>
      <c r="BL219" s="5"/>
      <c r="BM219" s="5"/>
      <c r="BN219" s="5"/>
      <c r="BO219" s="5"/>
      <c r="BP219" s="1105">
        <f t="shared" si="1150"/>
        <v>0</v>
      </c>
      <c r="BR219" s="575">
        <f t="shared" si="1087"/>
        <v>0</v>
      </c>
      <c r="BS219" s="575">
        <f t="shared" si="1088"/>
        <v>0</v>
      </c>
      <c r="BT219" s="575">
        <f t="shared" si="1089"/>
        <v>0</v>
      </c>
      <c r="BU219" s="575">
        <f t="shared" si="1090"/>
        <v>0</v>
      </c>
      <c r="BV219" s="575">
        <f t="shared" si="1091"/>
        <v>0</v>
      </c>
      <c r="BW219" s="575">
        <f t="shared" si="1092"/>
        <v>0</v>
      </c>
      <c r="BX219" s="991">
        <f t="shared" si="1093"/>
        <v>0</v>
      </c>
      <c r="BY219" s="573">
        <f t="shared" si="1094"/>
        <v>0</v>
      </c>
      <c r="BZ219" s="257"/>
      <c r="CB219" s="1323">
        <f t="shared" si="1151"/>
        <v>0</v>
      </c>
      <c r="CC219" s="1324">
        <f t="shared" si="1177"/>
        <v>0</v>
      </c>
      <c r="CD219" s="1325"/>
      <c r="CE219" s="1325"/>
      <c r="CF219" s="1325"/>
      <c r="CG219" s="1326"/>
      <c r="CH219" s="1331">
        <f t="shared" si="1178"/>
        <v>0</v>
      </c>
      <c r="CI219" s="1332"/>
      <c r="CJ219" s="1332"/>
      <c r="CK219" s="1332"/>
      <c r="CL219" s="1333"/>
      <c r="CM219" s="1334">
        <f t="shared" si="1179"/>
        <v>0</v>
      </c>
      <c r="CN219" s="1335"/>
      <c r="CO219" s="1336"/>
      <c r="CP219" s="1228">
        <f t="shared" si="1152"/>
        <v>0</v>
      </c>
      <c r="CS219" s="575"/>
      <c r="CT219" s="5"/>
      <c r="CU219" s="1180"/>
      <c r="CV219" s="575"/>
      <c r="CW219" s="5"/>
      <c r="CX219" s="1180"/>
      <c r="CY219" s="575"/>
      <c r="CZ219" s="5"/>
      <c r="DA219" s="1180"/>
      <c r="DB219" s="575"/>
      <c r="DC219" s="5"/>
      <c r="DD219" s="1180"/>
      <c r="DE219" s="1181">
        <f t="shared" si="1153"/>
        <v>0</v>
      </c>
      <c r="DG219" s="575"/>
      <c r="DH219" s="5"/>
      <c r="DI219" s="1180"/>
      <c r="DJ219" s="575"/>
      <c r="DK219" s="5"/>
      <c r="DL219" s="1180"/>
      <c r="DM219" s="575"/>
      <c r="DN219" s="5"/>
      <c r="DO219" s="1180"/>
      <c r="DP219" s="575"/>
      <c r="DQ219" s="5"/>
      <c r="DR219" s="1180"/>
      <c r="DS219" s="1181">
        <f t="shared" si="1154"/>
        <v>0</v>
      </c>
      <c r="DU219" s="575"/>
      <c r="DV219" s="5"/>
      <c r="DW219" s="1180"/>
      <c r="DX219" s="575"/>
      <c r="DY219" s="5"/>
      <c r="DZ219" s="1180"/>
      <c r="EA219" s="575"/>
      <c r="EB219" s="5"/>
      <c r="EC219" s="1180"/>
      <c r="ED219" s="575"/>
      <c r="EE219" s="5"/>
      <c r="EF219" s="1180"/>
      <c r="EG219" s="1181">
        <f t="shared" si="1155"/>
        <v>0</v>
      </c>
      <c r="EI219" s="3456"/>
      <c r="EJ219" s="54"/>
      <c r="EK219" s="320" t="str">
        <f t="shared" si="1156"/>
        <v>Other - Specify</v>
      </c>
      <c r="EL219" s="321">
        <f t="shared" si="1157"/>
        <v>0</v>
      </c>
      <c r="EM219" s="321">
        <f t="shared" si="1158"/>
        <v>0</v>
      </c>
      <c r="EN219" s="321">
        <f t="shared" si="1159"/>
        <v>0</v>
      </c>
      <c r="EO219" s="321">
        <f t="shared" si="1160"/>
        <v>0</v>
      </c>
      <c r="EP219" s="321">
        <f t="shared" si="1161"/>
        <v>0</v>
      </c>
      <c r="EQ219" s="321">
        <f t="shared" si="1162"/>
        <v>0</v>
      </c>
      <c r="ER219" s="322">
        <f t="shared" si="1163"/>
        <v>0</v>
      </c>
      <c r="ES219" s="9"/>
      <c r="ET219" s="9"/>
      <c r="EU219" s="9"/>
      <c r="EV219" s="5">
        <f t="shared" si="1164"/>
        <v>0</v>
      </c>
      <c r="EW219" s="5">
        <f t="shared" si="1165"/>
        <v>0</v>
      </c>
      <c r="EX219" s="5">
        <f t="shared" si="1166"/>
        <v>0</v>
      </c>
      <c r="EY219" s="5">
        <f t="shared" si="1167"/>
        <v>0</v>
      </c>
      <c r="EZ219" s="5">
        <f t="shared" si="1168"/>
        <v>0</v>
      </c>
      <c r="FA219" s="5">
        <f t="shared" si="1169"/>
        <v>0</v>
      </c>
      <c r="FB219" s="167">
        <f t="shared" si="1170"/>
        <v>0</v>
      </c>
      <c r="FC219" s="1"/>
      <c r="FD219" s="5"/>
      <c r="FE219" s="5"/>
      <c r="FF219" s="5"/>
      <c r="FG219" s="5"/>
      <c r="FH219" s="5"/>
      <c r="FI219" s="5"/>
      <c r="FJ219" s="48">
        <f t="shared" si="1171"/>
        <v>0</v>
      </c>
      <c r="FL219" s="5"/>
      <c r="FM219" s="5"/>
      <c r="FN219" s="5"/>
      <c r="FO219" s="5"/>
      <c r="FP219" s="5"/>
      <c r="FQ219" s="5"/>
      <c r="FR219" s="209">
        <f t="shared" si="1172"/>
        <v>0</v>
      </c>
      <c r="FT219" s="5"/>
      <c r="FU219" s="5"/>
      <c r="FV219" s="5"/>
      <c r="FW219" s="5"/>
      <c r="FX219" s="5"/>
      <c r="FY219" s="5"/>
      <c r="FZ219" s="181">
        <f t="shared" si="1173"/>
        <v>0</v>
      </c>
      <c r="GB219" s="5"/>
      <c r="GC219" s="5"/>
      <c r="GD219" s="5"/>
      <c r="GE219" s="5"/>
      <c r="GF219" s="5"/>
      <c r="GG219" s="5"/>
      <c r="GH219" s="153">
        <f t="shared" si="1174"/>
        <v>0</v>
      </c>
      <c r="GJ219" s="5"/>
      <c r="GK219" s="5"/>
      <c r="GL219" s="5"/>
      <c r="GM219" s="5"/>
      <c r="GN219" s="5"/>
      <c r="GO219" s="5"/>
      <c r="GP219" s="195">
        <f t="shared" si="1175"/>
        <v>0</v>
      </c>
      <c r="GR219" s="5"/>
      <c r="GS219" s="5"/>
      <c r="GT219" s="5"/>
      <c r="GU219" s="5"/>
      <c r="GV219" s="5"/>
      <c r="GW219" s="5"/>
      <c r="GX219" s="1105">
        <f t="shared" si="1176"/>
        <v>0</v>
      </c>
      <c r="GZ219" s="575">
        <f t="shared" si="1095"/>
        <v>0</v>
      </c>
      <c r="HA219" s="575">
        <f t="shared" si="1096"/>
        <v>0</v>
      </c>
      <c r="HB219" s="575">
        <f t="shared" si="1097"/>
        <v>0</v>
      </c>
      <c r="HC219" s="575">
        <f t="shared" si="1098"/>
        <v>0</v>
      </c>
      <c r="HD219" s="575">
        <f t="shared" si="1099"/>
        <v>0</v>
      </c>
      <c r="HE219" s="575">
        <f t="shared" si="1100"/>
        <v>0</v>
      </c>
      <c r="HF219" s="991">
        <f t="shared" si="1101"/>
        <v>0</v>
      </c>
      <c r="HG219" s="573">
        <f t="shared" si="1102"/>
        <v>0</v>
      </c>
      <c r="HH219" s="257"/>
    </row>
    <row r="220" spans="1:216" ht="15" hidden="1" customHeight="1" x14ac:dyDescent="0.25">
      <c r="A220" s="72"/>
      <c r="B220" s="54"/>
      <c r="C220" s="320" t="str">
        <f>'DATA INPUT'!B102</f>
        <v>Other - Specify</v>
      </c>
      <c r="D220" s="321">
        <f>'DATA INPUT'!I102</f>
        <v>0</v>
      </c>
      <c r="E220" s="321">
        <f>'DATA INPUT'!J102</f>
        <v>0</v>
      </c>
      <c r="F220" s="321">
        <f>'DATA INPUT'!K102</f>
        <v>0</v>
      </c>
      <c r="G220" s="321">
        <f>'DATA INPUT'!L102</f>
        <v>0</v>
      </c>
      <c r="H220" s="321">
        <f>'DATA INPUT'!M102</f>
        <v>0</v>
      </c>
      <c r="I220" s="321">
        <f>'DATA INPUT'!N102</f>
        <v>0</v>
      </c>
      <c r="J220" s="322">
        <f t="shared" si="1143"/>
        <v>0</v>
      </c>
      <c r="K220" s="9"/>
      <c r="L220" s="9"/>
      <c r="M220" s="9"/>
      <c r="N220" s="5"/>
      <c r="O220" s="5"/>
      <c r="P220" s="5"/>
      <c r="Q220" s="5"/>
      <c r="R220" s="5"/>
      <c r="S220" s="5"/>
      <c r="T220" s="167">
        <f t="shared" si="1144"/>
        <v>0</v>
      </c>
      <c r="U220" s="1"/>
      <c r="V220" s="5"/>
      <c r="W220" s="5"/>
      <c r="X220" s="5"/>
      <c r="Y220" s="5"/>
      <c r="Z220" s="5"/>
      <c r="AA220" s="5"/>
      <c r="AB220" s="48">
        <f t="shared" si="1145"/>
        <v>0</v>
      </c>
      <c r="AD220" s="5"/>
      <c r="AE220" s="5"/>
      <c r="AF220" s="5"/>
      <c r="AG220" s="5"/>
      <c r="AH220" s="5"/>
      <c r="AI220" s="5"/>
      <c r="AJ220" s="209">
        <f t="shared" si="1146"/>
        <v>0</v>
      </c>
      <c r="AL220" s="5"/>
      <c r="AM220" s="5"/>
      <c r="AN220" s="5"/>
      <c r="AO220" s="5"/>
      <c r="AP220" s="5"/>
      <c r="AQ220" s="5"/>
      <c r="AR220" s="181">
        <f t="shared" si="1147"/>
        <v>0</v>
      </c>
      <c r="AT220" s="5"/>
      <c r="AU220" s="5"/>
      <c r="AV220" s="5"/>
      <c r="AW220" s="5"/>
      <c r="AX220" s="5"/>
      <c r="AY220" s="5"/>
      <c r="AZ220" s="153">
        <f t="shared" si="1148"/>
        <v>0</v>
      </c>
      <c r="BB220" s="5"/>
      <c r="BC220" s="5"/>
      <c r="BD220" s="5"/>
      <c r="BE220" s="5"/>
      <c r="BF220" s="5"/>
      <c r="BG220" s="5"/>
      <c r="BH220" s="195">
        <f t="shared" si="1149"/>
        <v>0</v>
      </c>
      <c r="BJ220" s="5"/>
      <c r="BK220" s="5"/>
      <c r="BL220" s="5"/>
      <c r="BM220" s="5"/>
      <c r="BN220" s="5"/>
      <c r="BO220" s="5"/>
      <c r="BP220" s="1105">
        <f t="shared" si="1150"/>
        <v>0</v>
      </c>
      <c r="BR220" s="575">
        <f t="shared" si="1087"/>
        <v>0</v>
      </c>
      <c r="BS220" s="575">
        <f t="shared" si="1088"/>
        <v>0</v>
      </c>
      <c r="BT220" s="575">
        <f t="shared" si="1089"/>
        <v>0</v>
      </c>
      <c r="BU220" s="575">
        <f t="shared" si="1090"/>
        <v>0</v>
      </c>
      <c r="BV220" s="575">
        <f t="shared" si="1091"/>
        <v>0</v>
      </c>
      <c r="BW220" s="575">
        <f t="shared" si="1092"/>
        <v>0</v>
      </c>
      <c r="BX220" s="991">
        <f t="shared" si="1093"/>
        <v>0</v>
      </c>
      <c r="BY220" s="573">
        <f t="shared" si="1094"/>
        <v>0</v>
      </c>
      <c r="BZ220" s="257"/>
      <c r="CB220" s="1323">
        <f t="shared" si="1151"/>
        <v>0</v>
      </c>
      <c r="CC220" s="1324">
        <f t="shared" si="1177"/>
        <v>0</v>
      </c>
      <c r="CD220" s="1325"/>
      <c r="CE220" s="1325"/>
      <c r="CF220" s="1325"/>
      <c r="CG220" s="1326"/>
      <c r="CH220" s="1331">
        <f t="shared" si="1178"/>
        <v>0</v>
      </c>
      <c r="CI220" s="1332"/>
      <c r="CJ220" s="1332"/>
      <c r="CK220" s="1332"/>
      <c r="CL220" s="1333"/>
      <c r="CM220" s="1334">
        <f t="shared" si="1179"/>
        <v>0</v>
      </c>
      <c r="CN220" s="1335"/>
      <c r="CO220" s="1336"/>
      <c r="CP220" s="1228">
        <f t="shared" si="1152"/>
        <v>0</v>
      </c>
      <c r="CS220" s="575"/>
      <c r="CT220" s="5"/>
      <c r="CU220" s="1180"/>
      <c r="CV220" s="575"/>
      <c r="CW220" s="5"/>
      <c r="CX220" s="1180"/>
      <c r="CY220" s="575"/>
      <c r="CZ220" s="5"/>
      <c r="DA220" s="1180"/>
      <c r="DB220" s="575"/>
      <c r="DC220" s="5"/>
      <c r="DD220" s="1180"/>
      <c r="DE220" s="1181">
        <f t="shared" si="1153"/>
        <v>0</v>
      </c>
      <c r="DG220" s="575"/>
      <c r="DH220" s="5"/>
      <c r="DI220" s="1180"/>
      <c r="DJ220" s="575"/>
      <c r="DK220" s="5"/>
      <c r="DL220" s="1180"/>
      <c r="DM220" s="575"/>
      <c r="DN220" s="5"/>
      <c r="DO220" s="1180"/>
      <c r="DP220" s="575"/>
      <c r="DQ220" s="5"/>
      <c r="DR220" s="1180"/>
      <c r="DS220" s="1181">
        <f t="shared" si="1154"/>
        <v>0</v>
      </c>
      <c r="DU220" s="575"/>
      <c r="DV220" s="5"/>
      <c r="DW220" s="1180"/>
      <c r="DX220" s="575"/>
      <c r="DY220" s="5"/>
      <c r="DZ220" s="1180"/>
      <c r="EA220" s="575"/>
      <c r="EB220" s="5"/>
      <c r="EC220" s="1180"/>
      <c r="ED220" s="575"/>
      <c r="EE220" s="5"/>
      <c r="EF220" s="1180"/>
      <c r="EG220" s="1181">
        <f t="shared" si="1155"/>
        <v>0</v>
      </c>
      <c r="EI220" s="3456"/>
      <c r="EJ220" s="54"/>
      <c r="EK220" s="320" t="str">
        <f t="shared" si="1156"/>
        <v>Other - Specify</v>
      </c>
      <c r="EL220" s="321">
        <f t="shared" si="1157"/>
        <v>0</v>
      </c>
      <c r="EM220" s="321">
        <f t="shared" si="1158"/>
        <v>0</v>
      </c>
      <c r="EN220" s="321">
        <f t="shared" si="1159"/>
        <v>0</v>
      </c>
      <c r="EO220" s="321">
        <f t="shared" si="1160"/>
        <v>0</v>
      </c>
      <c r="EP220" s="321">
        <f t="shared" si="1161"/>
        <v>0</v>
      </c>
      <c r="EQ220" s="321">
        <f t="shared" si="1162"/>
        <v>0</v>
      </c>
      <c r="ER220" s="322">
        <f t="shared" si="1163"/>
        <v>0</v>
      </c>
      <c r="ES220" s="9"/>
      <c r="ET220" s="9"/>
      <c r="EU220" s="9"/>
      <c r="EV220" s="5">
        <f t="shared" si="1164"/>
        <v>0</v>
      </c>
      <c r="EW220" s="5">
        <f t="shared" si="1165"/>
        <v>0</v>
      </c>
      <c r="EX220" s="5">
        <f t="shared" si="1166"/>
        <v>0</v>
      </c>
      <c r="EY220" s="5">
        <f t="shared" si="1167"/>
        <v>0</v>
      </c>
      <c r="EZ220" s="5">
        <f t="shared" si="1168"/>
        <v>0</v>
      </c>
      <c r="FA220" s="5">
        <f t="shared" si="1169"/>
        <v>0</v>
      </c>
      <c r="FB220" s="167">
        <f t="shared" si="1170"/>
        <v>0</v>
      </c>
      <c r="FC220" s="1"/>
      <c r="FD220" s="5"/>
      <c r="FE220" s="5"/>
      <c r="FF220" s="5"/>
      <c r="FG220" s="5"/>
      <c r="FH220" s="5"/>
      <c r="FI220" s="5"/>
      <c r="FJ220" s="48">
        <f t="shared" si="1171"/>
        <v>0</v>
      </c>
      <c r="FL220" s="5"/>
      <c r="FM220" s="5"/>
      <c r="FN220" s="5"/>
      <c r="FO220" s="5"/>
      <c r="FP220" s="5"/>
      <c r="FQ220" s="5"/>
      <c r="FR220" s="209">
        <f t="shared" si="1172"/>
        <v>0</v>
      </c>
      <c r="FT220" s="5"/>
      <c r="FU220" s="5"/>
      <c r="FV220" s="5"/>
      <c r="FW220" s="5"/>
      <c r="FX220" s="5"/>
      <c r="FY220" s="5"/>
      <c r="FZ220" s="181">
        <f t="shared" si="1173"/>
        <v>0</v>
      </c>
      <c r="GB220" s="5"/>
      <c r="GC220" s="5"/>
      <c r="GD220" s="5"/>
      <c r="GE220" s="5"/>
      <c r="GF220" s="5"/>
      <c r="GG220" s="5"/>
      <c r="GH220" s="153">
        <f t="shared" si="1174"/>
        <v>0</v>
      </c>
      <c r="GJ220" s="5"/>
      <c r="GK220" s="5"/>
      <c r="GL220" s="5"/>
      <c r="GM220" s="5"/>
      <c r="GN220" s="5"/>
      <c r="GO220" s="5"/>
      <c r="GP220" s="195">
        <f t="shared" si="1175"/>
        <v>0</v>
      </c>
      <c r="GR220" s="5"/>
      <c r="GS220" s="5"/>
      <c r="GT220" s="5"/>
      <c r="GU220" s="5"/>
      <c r="GV220" s="5"/>
      <c r="GW220" s="5"/>
      <c r="GX220" s="1105">
        <f t="shared" si="1176"/>
        <v>0</v>
      </c>
      <c r="GZ220" s="575">
        <f t="shared" si="1095"/>
        <v>0</v>
      </c>
      <c r="HA220" s="575">
        <f t="shared" si="1096"/>
        <v>0</v>
      </c>
      <c r="HB220" s="575">
        <f t="shared" si="1097"/>
        <v>0</v>
      </c>
      <c r="HC220" s="575">
        <f t="shared" si="1098"/>
        <v>0</v>
      </c>
      <c r="HD220" s="575">
        <f t="shared" si="1099"/>
        <v>0</v>
      </c>
      <c r="HE220" s="575">
        <f t="shared" si="1100"/>
        <v>0</v>
      </c>
      <c r="HF220" s="991">
        <f t="shared" si="1101"/>
        <v>0</v>
      </c>
      <c r="HG220" s="573">
        <f t="shared" si="1102"/>
        <v>0</v>
      </c>
      <c r="HH220" s="257"/>
    </row>
    <row r="221" spans="1:216" ht="15" hidden="1" customHeight="1" x14ac:dyDescent="0.25">
      <c r="A221" s="72"/>
      <c r="B221" s="54"/>
      <c r="C221" s="320" t="str">
        <f>'DATA INPUT'!B103</f>
        <v>Other - Specify</v>
      </c>
      <c r="D221" s="321">
        <f>'DATA INPUT'!I103</f>
        <v>0</v>
      </c>
      <c r="E221" s="321">
        <f>'DATA INPUT'!J103</f>
        <v>0</v>
      </c>
      <c r="F221" s="321">
        <f>'DATA INPUT'!K103</f>
        <v>0</v>
      </c>
      <c r="G221" s="321">
        <f>'DATA INPUT'!L103</f>
        <v>0</v>
      </c>
      <c r="H221" s="321">
        <f>'DATA INPUT'!M103</f>
        <v>0</v>
      </c>
      <c r="I221" s="321">
        <f>'DATA INPUT'!N103</f>
        <v>0</v>
      </c>
      <c r="J221" s="322">
        <f t="shared" si="1143"/>
        <v>0</v>
      </c>
      <c r="K221" s="9"/>
      <c r="L221" s="9"/>
      <c r="M221" s="9"/>
      <c r="N221" s="5"/>
      <c r="O221" s="5"/>
      <c r="P221" s="5"/>
      <c r="Q221" s="5"/>
      <c r="R221" s="5"/>
      <c r="S221" s="5"/>
      <c r="T221" s="167">
        <f t="shared" si="1144"/>
        <v>0</v>
      </c>
      <c r="U221" s="1"/>
      <c r="V221" s="5"/>
      <c r="W221" s="5"/>
      <c r="X221" s="5"/>
      <c r="Y221" s="5"/>
      <c r="Z221" s="5"/>
      <c r="AA221" s="5"/>
      <c r="AB221" s="48">
        <f t="shared" si="1145"/>
        <v>0</v>
      </c>
      <c r="AD221" s="5"/>
      <c r="AE221" s="5"/>
      <c r="AF221" s="5"/>
      <c r="AG221" s="5"/>
      <c r="AH221" s="5"/>
      <c r="AI221" s="5"/>
      <c r="AJ221" s="209">
        <f t="shared" si="1146"/>
        <v>0</v>
      </c>
      <c r="AL221" s="5"/>
      <c r="AM221" s="5"/>
      <c r="AN221" s="5"/>
      <c r="AO221" s="5"/>
      <c r="AP221" s="5"/>
      <c r="AQ221" s="5"/>
      <c r="AR221" s="181">
        <f t="shared" si="1147"/>
        <v>0</v>
      </c>
      <c r="AT221" s="5"/>
      <c r="AU221" s="5"/>
      <c r="AV221" s="5"/>
      <c r="AW221" s="5"/>
      <c r="AX221" s="5"/>
      <c r="AY221" s="5"/>
      <c r="AZ221" s="153">
        <f t="shared" si="1148"/>
        <v>0</v>
      </c>
      <c r="BB221" s="5"/>
      <c r="BC221" s="5"/>
      <c r="BD221" s="5"/>
      <c r="BE221" s="5"/>
      <c r="BF221" s="5"/>
      <c r="BG221" s="5"/>
      <c r="BH221" s="195">
        <f t="shared" si="1149"/>
        <v>0</v>
      </c>
      <c r="BJ221" s="5"/>
      <c r="BK221" s="5"/>
      <c r="BL221" s="5"/>
      <c r="BM221" s="5"/>
      <c r="BN221" s="5"/>
      <c r="BO221" s="5"/>
      <c r="BP221" s="1105">
        <f t="shared" si="1150"/>
        <v>0</v>
      </c>
      <c r="BR221" s="575">
        <f t="shared" si="1087"/>
        <v>0</v>
      </c>
      <c r="BS221" s="575">
        <f t="shared" si="1088"/>
        <v>0</v>
      </c>
      <c r="BT221" s="575">
        <f t="shared" si="1089"/>
        <v>0</v>
      </c>
      <c r="BU221" s="575">
        <f t="shared" si="1090"/>
        <v>0</v>
      </c>
      <c r="BV221" s="575">
        <f t="shared" si="1091"/>
        <v>0</v>
      </c>
      <c r="BW221" s="575">
        <f t="shared" si="1092"/>
        <v>0</v>
      </c>
      <c r="BX221" s="991">
        <f t="shared" si="1093"/>
        <v>0</v>
      </c>
      <c r="BY221" s="573">
        <f t="shared" si="1094"/>
        <v>0</v>
      </c>
      <c r="BZ221" s="257"/>
      <c r="CB221" s="1323">
        <f t="shared" si="1151"/>
        <v>0</v>
      </c>
      <c r="CC221" s="1324">
        <f t="shared" si="1177"/>
        <v>0</v>
      </c>
      <c r="CD221" s="1325"/>
      <c r="CE221" s="1325"/>
      <c r="CF221" s="1325"/>
      <c r="CG221" s="1326"/>
      <c r="CH221" s="1331">
        <f t="shared" si="1178"/>
        <v>0</v>
      </c>
      <c r="CI221" s="1332"/>
      <c r="CJ221" s="1332"/>
      <c r="CK221" s="1332"/>
      <c r="CL221" s="1333"/>
      <c r="CM221" s="1334">
        <f t="shared" si="1179"/>
        <v>0</v>
      </c>
      <c r="CN221" s="1335"/>
      <c r="CO221" s="1336"/>
      <c r="CP221" s="1228">
        <f t="shared" si="1152"/>
        <v>0</v>
      </c>
      <c r="CS221" s="575"/>
      <c r="CT221" s="5"/>
      <c r="CU221" s="1180"/>
      <c r="CV221" s="575"/>
      <c r="CW221" s="5"/>
      <c r="CX221" s="1180"/>
      <c r="CY221" s="575"/>
      <c r="CZ221" s="5"/>
      <c r="DA221" s="1180"/>
      <c r="DB221" s="575"/>
      <c r="DC221" s="5"/>
      <c r="DD221" s="1180"/>
      <c r="DE221" s="1181">
        <f t="shared" si="1153"/>
        <v>0</v>
      </c>
      <c r="DG221" s="575"/>
      <c r="DH221" s="5"/>
      <c r="DI221" s="1180"/>
      <c r="DJ221" s="575"/>
      <c r="DK221" s="5"/>
      <c r="DL221" s="1180"/>
      <c r="DM221" s="575"/>
      <c r="DN221" s="5"/>
      <c r="DO221" s="1180"/>
      <c r="DP221" s="575"/>
      <c r="DQ221" s="5"/>
      <c r="DR221" s="1180"/>
      <c r="DS221" s="1181">
        <f t="shared" si="1154"/>
        <v>0</v>
      </c>
      <c r="DU221" s="575"/>
      <c r="DV221" s="5"/>
      <c r="DW221" s="1180"/>
      <c r="DX221" s="575"/>
      <c r="DY221" s="5"/>
      <c r="DZ221" s="1180"/>
      <c r="EA221" s="575"/>
      <c r="EB221" s="5"/>
      <c r="EC221" s="1180"/>
      <c r="ED221" s="575"/>
      <c r="EE221" s="5"/>
      <c r="EF221" s="1180"/>
      <c r="EG221" s="1181">
        <f t="shared" si="1155"/>
        <v>0</v>
      </c>
      <c r="EI221" s="3456"/>
      <c r="EJ221" s="54"/>
      <c r="EK221" s="320" t="str">
        <f t="shared" si="1156"/>
        <v>Other - Specify</v>
      </c>
      <c r="EL221" s="321">
        <f t="shared" si="1157"/>
        <v>0</v>
      </c>
      <c r="EM221" s="321">
        <f t="shared" si="1158"/>
        <v>0</v>
      </c>
      <c r="EN221" s="321">
        <f t="shared" si="1159"/>
        <v>0</v>
      </c>
      <c r="EO221" s="321">
        <f t="shared" si="1160"/>
        <v>0</v>
      </c>
      <c r="EP221" s="321">
        <f t="shared" si="1161"/>
        <v>0</v>
      </c>
      <c r="EQ221" s="321">
        <f t="shared" si="1162"/>
        <v>0</v>
      </c>
      <c r="ER221" s="322">
        <f t="shared" si="1163"/>
        <v>0</v>
      </c>
      <c r="ES221" s="9"/>
      <c r="ET221" s="9"/>
      <c r="EU221" s="9"/>
      <c r="EV221" s="5">
        <f t="shared" si="1164"/>
        <v>0</v>
      </c>
      <c r="EW221" s="5">
        <f t="shared" si="1165"/>
        <v>0</v>
      </c>
      <c r="EX221" s="5">
        <f t="shared" si="1166"/>
        <v>0</v>
      </c>
      <c r="EY221" s="5">
        <f t="shared" si="1167"/>
        <v>0</v>
      </c>
      <c r="EZ221" s="5">
        <f t="shared" si="1168"/>
        <v>0</v>
      </c>
      <c r="FA221" s="5">
        <f t="shared" si="1169"/>
        <v>0</v>
      </c>
      <c r="FB221" s="167">
        <f t="shared" si="1170"/>
        <v>0</v>
      </c>
      <c r="FC221" s="1"/>
      <c r="FD221" s="5"/>
      <c r="FE221" s="5"/>
      <c r="FF221" s="5"/>
      <c r="FG221" s="5"/>
      <c r="FH221" s="5"/>
      <c r="FI221" s="5"/>
      <c r="FJ221" s="48">
        <f t="shared" si="1171"/>
        <v>0</v>
      </c>
      <c r="FL221" s="5"/>
      <c r="FM221" s="5"/>
      <c r="FN221" s="5"/>
      <c r="FO221" s="5"/>
      <c r="FP221" s="5"/>
      <c r="FQ221" s="5"/>
      <c r="FR221" s="209">
        <f t="shared" si="1172"/>
        <v>0</v>
      </c>
      <c r="FT221" s="5"/>
      <c r="FU221" s="5"/>
      <c r="FV221" s="5"/>
      <c r="FW221" s="5"/>
      <c r="FX221" s="5"/>
      <c r="FY221" s="5"/>
      <c r="FZ221" s="181">
        <f t="shared" si="1173"/>
        <v>0</v>
      </c>
      <c r="GB221" s="5"/>
      <c r="GC221" s="5"/>
      <c r="GD221" s="5"/>
      <c r="GE221" s="5"/>
      <c r="GF221" s="5"/>
      <c r="GG221" s="5"/>
      <c r="GH221" s="153">
        <f t="shared" si="1174"/>
        <v>0</v>
      </c>
      <c r="GJ221" s="5"/>
      <c r="GK221" s="5"/>
      <c r="GL221" s="5"/>
      <c r="GM221" s="5"/>
      <c r="GN221" s="5"/>
      <c r="GO221" s="5"/>
      <c r="GP221" s="195">
        <f t="shared" si="1175"/>
        <v>0</v>
      </c>
      <c r="GR221" s="5"/>
      <c r="GS221" s="5"/>
      <c r="GT221" s="5"/>
      <c r="GU221" s="5"/>
      <c r="GV221" s="5"/>
      <c r="GW221" s="5"/>
      <c r="GX221" s="1105">
        <f t="shared" si="1176"/>
        <v>0</v>
      </c>
      <c r="GZ221" s="575">
        <f t="shared" si="1095"/>
        <v>0</v>
      </c>
      <c r="HA221" s="575">
        <f t="shared" si="1096"/>
        <v>0</v>
      </c>
      <c r="HB221" s="575">
        <f t="shared" si="1097"/>
        <v>0</v>
      </c>
      <c r="HC221" s="575">
        <f t="shared" si="1098"/>
        <v>0</v>
      </c>
      <c r="HD221" s="575">
        <f t="shared" si="1099"/>
        <v>0</v>
      </c>
      <c r="HE221" s="575">
        <f t="shared" si="1100"/>
        <v>0</v>
      </c>
      <c r="HF221" s="991">
        <f t="shared" si="1101"/>
        <v>0</v>
      </c>
      <c r="HG221" s="573">
        <f t="shared" si="1102"/>
        <v>0</v>
      </c>
      <c r="HH221" s="257"/>
    </row>
    <row r="222" spans="1:216" ht="15" hidden="1" customHeight="1" x14ac:dyDescent="0.25">
      <c r="A222" s="72"/>
      <c r="B222" s="54"/>
      <c r="C222" s="320" t="str">
        <f>'DATA INPUT'!B104</f>
        <v>Other - Specify</v>
      </c>
      <c r="D222" s="321">
        <f>'DATA INPUT'!I104</f>
        <v>0</v>
      </c>
      <c r="E222" s="321">
        <f>'DATA INPUT'!J104</f>
        <v>0</v>
      </c>
      <c r="F222" s="321">
        <f>'DATA INPUT'!K104</f>
        <v>0</v>
      </c>
      <c r="G222" s="321">
        <f>'DATA INPUT'!L104</f>
        <v>0</v>
      </c>
      <c r="H222" s="321">
        <f>'DATA INPUT'!M104</f>
        <v>0</v>
      </c>
      <c r="I222" s="321">
        <f>'DATA INPUT'!N104</f>
        <v>0</v>
      </c>
      <c r="J222" s="322">
        <f t="shared" si="1143"/>
        <v>0</v>
      </c>
      <c r="K222" s="9"/>
      <c r="L222" s="9"/>
      <c r="M222" s="9"/>
      <c r="N222" s="5"/>
      <c r="O222" s="5"/>
      <c r="P222" s="5"/>
      <c r="Q222" s="5"/>
      <c r="R222" s="5"/>
      <c r="S222" s="5"/>
      <c r="T222" s="167">
        <f t="shared" si="1144"/>
        <v>0</v>
      </c>
      <c r="U222" s="1"/>
      <c r="V222" s="5"/>
      <c r="W222" s="5"/>
      <c r="X222" s="5"/>
      <c r="Y222" s="5"/>
      <c r="Z222" s="5"/>
      <c r="AA222" s="5"/>
      <c r="AB222" s="48">
        <f t="shared" si="1145"/>
        <v>0</v>
      </c>
      <c r="AD222" s="5"/>
      <c r="AE222" s="5"/>
      <c r="AF222" s="5"/>
      <c r="AG222" s="5"/>
      <c r="AH222" s="5"/>
      <c r="AI222" s="5"/>
      <c r="AJ222" s="209">
        <f t="shared" si="1146"/>
        <v>0</v>
      </c>
      <c r="AL222" s="5"/>
      <c r="AM222" s="5"/>
      <c r="AN222" s="5"/>
      <c r="AO222" s="5"/>
      <c r="AP222" s="5"/>
      <c r="AQ222" s="5"/>
      <c r="AR222" s="181">
        <f t="shared" si="1147"/>
        <v>0</v>
      </c>
      <c r="AT222" s="5"/>
      <c r="AU222" s="5"/>
      <c r="AV222" s="5"/>
      <c r="AW222" s="5"/>
      <c r="AX222" s="5"/>
      <c r="AY222" s="5"/>
      <c r="AZ222" s="153">
        <f t="shared" si="1148"/>
        <v>0</v>
      </c>
      <c r="BB222" s="5"/>
      <c r="BC222" s="5"/>
      <c r="BD222" s="5"/>
      <c r="BE222" s="5"/>
      <c r="BF222" s="5"/>
      <c r="BG222" s="5"/>
      <c r="BH222" s="195">
        <f t="shared" si="1149"/>
        <v>0</v>
      </c>
      <c r="BJ222" s="5"/>
      <c r="BK222" s="5"/>
      <c r="BL222" s="5"/>
      <c r="BM222" s="5"/>
      <c r="BN222" s="5"/>
      <c r="BO222" s="5"/>
      <c r="BP222" s="1105">
        <f t="shared" si="1150"/>
        <v>0</v>
      </c>
      <c r="BR222" s="575">
        <f t="shared" si="1087"/>
        <v>0</v>
      </c>
      <c r="BS222" s="575">
        <f t="shared" si="1088"/>
        <v>0</v>
      </c>
      <c r="BT222" s="575">
        <f t="shared" si="1089"/>
        <v>0</v>
      </c>
      <c r="BU222" s="575">
        <f t="shared" si="1090"/>
        <v>0</v>
      </c>
      <c r="BV222" s="575">
        <f t="shared" si="1091"/>
        <v>0</v>
      </c>
      <c r="BW222" s="575">
        <f t="shared" si="1092"/>
        <v>0</v>
      </c>
      <c r="BX222" s="991">
        <f t="shared" si="1093"/>
        <v>0</v>
      </c>
      <c r="BY222" s="573">
        <f t="shared" si="1094"/>
        <v>0</v>
      </c>
      <c r="BZ222" s="257"/>
      <c r="CB222" s="1323">
        <f t="shared" si="1151"/>
        <v>0</v>
      </c>
      <c r="CC222" s="1324">
        <f t="shared" si="1177"/>
        <v>0</v>
      </c>
      <c r="CD222" s="1325"/>
      <c r="CE222" s="1325"/>
      <c r="CF222" s="1325"/>
      <c r="CG222" s="1326"/>
      <c r="CH222" s="1331">
        <f t="shared" si="1178"/>
        <v>0</v>
      </c>
      <c r="CI222" s="1332"/>
      <c r="CJ222" s="1332"/>
      <c r="CK222" s="1332"/>
      <c r="CL222" s="1333"/>
      <c r="CM222" s="1334">
        <f t="shared" si="1179"/>
        <v>0</v>
      </c>
      <c r="CN222" s="1335"/>
      <c r="CO222" s="1336"/>
      <c r="CP222" s="1228">
        <f t="shared" si="1152"/>
        <v>0</v>
      </c>
      <c r="CS222" s="575"/>
      <c r="CT222" s="5"/>
      <c r="CU222" s="1180"/>
      <c r="CV222" s="575"/>
      <c r="CW222" s="5"/>
      <c r="CX222" s="1180"/>
      <c r="CY222" s="575"/>
      <c r="CZ222" s="5"/>
      <c r="DA222" s="1180"/>
      <c r="DB222" s="575"/>
      <c r="DC222" s="5"/>
      <c r="DD222" s="1180"/>
      <c r="DE222" s="1181">
        <f t="shared" si="1153"/>
        <v>0</v>
      </c>
      <c r="DG222" s="575"/>
      <c r="DH222" s="5"/>
      <c r="DI222" s="1180"/>
      <c r="DJ222" s="575"/>
      <c r="DK222" s="5"/>
      <c r="DL222" s="1180"/>
      <c r="DM222" s="575"/>
      <c r="DN222" s="5"/>
      <c r="DO222" s="1180"/>
      <c r="DP222" s="575"/>
      <c r="DQ222" s="5"/>
      <c r="DR222" s="1180"/>
      <c r="DS222" s="1181">
        <f t="shared" si="1154"/>
        <v>0</v>
      </c>
      <c r="DU222" s="575"/>
      <c r="DV222" s="5"/>
      <c r="DW222" s="1180"/>
      <c r="DX222" s="575"/>
      <c r="DY222" s="5"/>
      <c r="DZ222" s="1180"/>
      <c r="EA222" s="575"/>
      <c r="EB222" s="5"/>
      <c r="EC222" s="1180"/>
      <c r="ED222" s="575"/>
      <c r="EE222" s="5"/>
      <c r="EF222" s="1180"/>
      <c r="EG222" s="1181">
        <f t="shared" si="1155"/>
        <v>0</v>
      </c>
      <c r="EI222" s="3456"/>
      <c r="EJ222" s="54"/>
      <c r="EK222" s="320" t="str">
        <f t="shared" si="1156"/>
        <v>Other - Specify</v>
      </c>
      <c r="EL222" s="321">
        <f t="shared" si="1157"/>
        <v>0</v>
      </c>
      <c r="EM222" s="321">
        <f t="shared" si="1158"/>
        <v>0</v>
      </c>
      <c r="EN222" s="321">
        <f t="shared" si="1159"/>
        <v>0</v>
      </c>
      <c r="EO222" s="321">
        <f t="shared" si="1160"/>
        <v>0</v>
      </c>
      <c r="EP222" s="321">
        <f t="shared" si="1161"/>
        <v>0</v>
      </c>
      <c r="EQ222" s="321">
        <f t="shared" si="1162"/>
        <v>0</v>
      </c>
      <c r="ER222" s="322">
        <f t="shared" si="1163"/>
        <v>0</v>
      </c>
      <c r="ES222" s="9"/>
      <c r="ET222" s="9"/>
      <c r="EU222" s="9"/>
      <c r="EV222" s="5">
        <f t="shared" si="1164"/>
        <v>0</v>
      </c>
      <c r="EW222" s="5">
        <f t="shared" si="1165"/>
        <v>0</v>
      </c>
      <c r="EX222" s="5">
        <f t="shared" si="1166"/>
        <v>0</v>
      </c>
      <c r="EY222" s="5">
        <f t="shared" si="1167"/>
        <v>0</v>
      </c>
      <c r="EZ222" s="5">
        <f t="shared" si="1168"/>
        <v>0</v>
      </c>
      <c r="FA222" s="5">
        <f t="shared" si="1169"/>
        <v>0</v>
      </c>
      <c r="FB222" s="167">
        <f t="shared" si="1170"/>
        <v>0</v>
      </c>
      <c r="FC222" s="1"/>
      <c r="FD222" s="5"/>
      <c r="FE222" s="5"/>
      <c r="FF222" s="5"/>
      <c r="FG222" s="5"/>
      <c r="FH222" s="5"/>
      <c r="FI222" s="5"/>
      <c r="FJ222" s="48">
        <f t="shared" si="1171"/>
        <v>0</v>
      </c>
      <c r="FL222" s="5"/>
      <c r="FM222" s="5"/>
      <c r="FN222" s="5"/>
      <c r="FO222" s="5"/>
      <c r="FP222" s="5"/>
      <c r="FQ222" s="5"/>
      <c r="FR222" s="209">
        <f t="shared" si="1172"/>
        <v>0</v>
      </c>
      <c r="FT222" s="5"/>
      <c r="FU222" s="5"/>
      <c r="FV222" s="5"/>
      <c r="FW222" s="5"/>
      <c r="FX222" s="5"/>
      <c r="FY222" s="5"/>
      <c r="FZ222" s="181">
        <f t="shared" si="1173"/>
        <v>0</v>
      </c>
      <c r="GB222" s="5"/>
      <c r="GC222" s="5"/>
      <c r="GD222" s="5"/>
      <c r="GE222" s="5"/>
      <c r="GF222" s="5"/>
      <c r="GG222" s="5"/>
      <c r="GH222" s="153">
        <f t="shared" si="1174"/>
        <v>0</v>
      </c>
      <c r="GJ222" s="5"/>
      <c r="GK222" s="5"/>
      <c r="GL222" s="5"/>
      <c r="GM222" s="5"/>
      <c r="GN222" s="5"/>
      <c r="GO222" s="5"/>
      <c r="GP222" s="195">
        <f t="shared" si="1175"/>
        <v>0</v>
      </c>
      <c r="GR222" s="5"/>
      <c r="GS222" s="5"/>
      <c r="GT222" s="5"/>
      <c r="GU222" s="5"/>
      <c r="GV222" s="5"/>
      <c r="GW222" s="5"/>
      <c r="GX222" s="1105">
        <f t="shared" si="1176"/>
        <v>0</v>
      </c>
      <c r="GZ222" s="575">
        <f t="shared" si="1095"/>
        <v>0</v>
      </c>
      <c r="HA222" s="575">
        <f t="shared" si="1096"/>
        <v>0</v>
      </c>
      <c r="HB222" s="575">
        <f t="shared" si="1097"/>
        <v>0</v>
      </c>
      <c r="HC222" s="575">
        <f t="shared" si="1098"/>
        <v>0</v>
      </c>
      <c r="HD222" s="575">
        <f t="shared" si="1099"/>
        <v>0</v>
      </c>
      <c r="HE222" s="575">
        <f t="shared" si="1100"/>
        <v>0</v>
      </c>
      <c r="HF222" s="991">
        <f t="shared" si="1101"/>
        <v>0</v>
      </c>
      <c r="HG222" s="573">
        <f t="shared" si="1102"/>
        <v>0</v>
      </c>
      <c r="HH222" s="257"/>
    </row>
    <row r="223" spans="1:216" ht="15" hidden="1" customHeight="1" x14ac:dyDescent="0.25">
      <c r="A223" s="72"/>
      <c r="B223" s="54"/>
      <c r="C223" s="320" t="str">
        <f>'DATA INPUT'!B105</f>
        <v>Other - Specify</v>
      </c>
      <c r="D223" s="321">
        <f>'DATA INPUT'!I105</f>
        <v>0</v>
      </c>
      <c r="E223" s="321">
        <f>'DATA INPUT'!J105</f>
        <v>0</v>
      </c>
      <c r="F223" s="321">
        <f>'DATA INPUT'!K105</f>
        <v>0</v>
      </c>
      <c r="G223" s="321">
        <f>'DATA INPUT'!L105</f>
        <v>0</v>
      </c>
      <c r="H223" s="321">
        <f>'DATA INPUT'!M105</f>
        <v>0</v>
      </c>
      <c r="I223" s="321">
        <f>'DATA INPUT'!N105</f>
        <v>0</v>
      </c>
      <c r="J223" s="322">
        <f t="shared" si="1143"/>
        <v>0</v>
      </c>
      <c r="K223" s="9"/>
      <c r="L223" s="9"/>
      <c r="M223" s="9"/>
      <c r="N223" s="5"/>
      <c r="O223" s="5"/>
      <c r="P223" s="5"/>
      <c r="Q223" s="5"/>
      <c r="R223" s="5"/>
      <c r="S223" s="5"/>
      <c r="T223" s="167">
        <f t="shared" si="1144"/>
        <v>0</v>
      </c>
      <c r="U223" s="1"/>
      <c r="V223" s="5"/>
      <c r="W223" s="5"/>
      <c r="X223" s="5"/>
      <c r="Y223" s="5"/>
      <c r="Z223" s="5"/>
      <c r="AA223" s="5"/>
      <c r="AB223" s="48">
        <f t="shared" si="1145"/>
        <v>0</v>
      </c>
      <c r="AD223" s="5"/>
      <c r="AE223" s="5"/>
      <c r="AF223" s="5"/>
      <c r="AG223" s="5"/>
      <c r="AH223" s="5"/>
      <c r="AI223" s="5"/>
      <c r="AJ223" s="209">
        <f t="shared" si="1146"/>
        <v>0</v>
      </c>
      <c r="AL223" s="5"/>
      <c r="AM223" s="5"/>
      <c r="AN223" s="5"/>
      <c r="AO223" s="5"/>
      <c r="AP223" s="5"/>
      <c r="AQ223" s="5"/>
      <c r="AR223" s="181">
        <f t="shared" si="1147"/>
        <v>0</v>
      </c>
      <c r="AT223" s="5"/>
      <c r="AU223" s="5"/>
      <c r="AV223" s="5"/>
      <c r="AW223" s="5"/>
      <c r="AX223" s="5"/>
      <c r="AY223" s="5"/>
      <c r="AZ223" s="153">
        <f t="shared" si="1148"/>
        <v>0</v>
      </c>
      <c r="BB223" s="5"/>
      <c r="BC223" s="5"/>
      <c r="BD223" s="5"/>
      <c r="BE223" s="5"/>
      <c r="BF223" s="5"/>
      <c r="BG223" s="5"/>
      <c r="BH223" s="195">
        <f t="shared" si="1149"/>
        <v>0</v>
      </c>
      <c r="BJ223" s="5"/>
      <c r="BK223" s="5"/>
      <c r="BL223" s="5"/>
      <c r="BM223" s="5"/>
      <c r="BN223" s="5"/>
      <c r="BO223" s="5"/>
      <c r="BP223" s="1105">
        <f t="shared" si="1150"/>
        <v>0</v>
      </c>
      <c r="BR223" s="575">
        <f t="shared" si="1087"/>
        <v>0</v>
      </c>
      <c r="BS223" s="575">
        <f t="shared" si="1088"/>
        <v>0</v>
      </c>
      <c r="BT223" s="575">
        <f t="shared" si="1089"/>
        <v>0</v>
      </c>
      <c r="BU223" s="575">
        <f t="shared" si="1090"/>
        <v>0</v>
      </c>
      <c r="BV223" s="575">
        <f t="shared" si="1091"/>
        <v>0</v>
      </c>
      <c r="BW223" s="575">
        <f t="shared" si="1092"/>
        <v>0</v>
      </c>
      <c r="BX223" s="991">
        <f t="shared" si="1093"/>
        <v>0</v>
      </c>
      <c r="BY223" s="573">
        <f t="shared" si="1094"/>
        <v>0</v>
      </c>
      <c r="BZ223" s="257"/>
      <c r="CB223" s="1323">
        <f t="shared" si="1151"/>
        <v>0</v>
      </c>
      <c r="CC223" s="1324">
        <f t="shared" si="1177"/>
        <v>0</v>
      </c>
      <c r="CD223" s="1325"/>
      <c r="CE223" s="1325"/>
      <c r="CF223" s="1325"/>
      <c r="CG223" s="1326"/>
      <c r="CH223" s="1331">
        <f t="shared" si="1178"/>
        <v>0</v>
      </c>
      <c r="CI223" s="1332"/>
      <c r="CJ223" s="1332"/>
      <c r="CK223" s="1332"/>
      <c r="CL223" s="1333"/>
      <c r="CM223" s="1334">
        <f t="shared" si="1179"/>
        <v>0</v>
      </c>
      <c r="CN223" s="1335"/>
      <c r="CO223" s="1336"/>
      <c r="CP223" s="1228">
        <f t="shared" si="1152"/>
        <v>0</v>
      </c>
      <c r="CS223" s="575"/>
      <c r="CT223" s="5"/>
      <c r="CU223" s="1180"/>
      <c r="CV223" s="575"/>
      <c r="CW223" s="5"/>
      <c r="CX223" s="1180"/>
      <c r="CY223" s="575"/>
      <c r="CZ223" s="5"/>
      <c r="DA223" s="1180"/>
      <c r="DB223" s="575"/>
      <c r="DC223" s="5"/>
      <c r="DD223" s="1180"/>
      <c r="DE223" s="1181">
        <f t="shared" si="1153"/>
        <v>0</v>
      </c>
      <c r="DG223" s="575"/>
      <c r="DH223" s="5"/>
      <c r="DI223" s="1180"/>
      <c r="DJ223" s="575"/>
      <c r="DK223" s="5"/>
      <c r="DL223" s="1180"/>
      <c r="DM223" s="575"/>
      <c r="DN223" s="5"/>
      <c r="DO223" s="1180"/>
      <c r="DP223" s="575"/>
      <c r="DQ223" s="5"/>
      <c r="DR223" s="1180"/>
      <c r="DS223" s="1181">
        <f t="shared" si="1154"/>
        <v>0</v>
      </c>
      <c r="DU223" s="575"/>
      <c r="DV223" s="5"/>
      <c r="DW223" s="1180"/>
      <c r="DX223" s="575"/>
      <c r="DY223" s="5"/>
      <c r="DZ223" s="1180"/>
      <c r="EA223" s="575"/>
      <c r="EB223" s="5"/>
      <c r="EC223" s="1180"/>
      <c r="ED223" s="575"/>
      <c r="EE223" s="5"/>
      <c r="EF223" s="1180"/>
      <c r="EG223" s="1181">
        <f t="shared" si="1155"/>
        <v>0</v>
      </c>
      <c r="EI223" s="3456"/>
      <c r="EJ223" s="54"/>
      <c r="EK223" s="320" t="str">
        <f t="shared" si="1156"/>
        <v>Other - Specify</v>
      </c>
      <c r="EL223" s="321">
        <f t="shared" si="1157"/>
        <v>0</v>
      </c>
      <c r="EM223" s="321">
        <f t="shared" si="1158"/>
        <v>0</v>
      </c>
      <c r="EN223" s="321">
        <f t="shared" si="1159"/>
        <v>0</v>
      </c>
      <c r="EO223" s="321">
        <f t="shared" si="1160"/>
        <v>0</v>
      </c>
      <c r="EP223" s="321">
        <f t="shared" si="1161"/>
        <v>0</v>
      </c>
      <c r="EQ223" s="321">
        <f t="shared" si="1162"/>
        <v>0</v>
      </c>
      <c r="ER223" s="322">
        <f t="shared" si="1163"/>
        <v>0</v>
      </c>
      <c r="ES223" s="9"/>
      <c r="ET223" s="9"/>
      <c r="EU223" s="9"/>
      <c r="EV223" s="5">
        <f t="shared" si="1164"/>
        <v>0</v>
      </c>
      <c r="EW223" s="5">
        <f t="shared" si="1165"/>
        <v>0</v>
      </c>
      <c r="EX223" s="5">
        <f t="shared" si="1166"/>
        <v>0</v>
      </c>
      <c r="EY223" s="5">
        <f t="shared" si="1167"/>
        <v>0</v>
      </c>
      <c r="EZ223" s="5">
        <f t="shared" si="1168"/>
        <v>0</v>
      </c>
      <c r="FA223" s="5">
        <f t="shared" si="1169"/>
        <v>0</v>
      </c>
      <c r="FB223" s="167">
        <f t="shared" si="1170"/>
        <v>0</v>
      </c>
      <c r="FC223" s="1"/>
      <c r="FD223" s="5"/>
      <c r="FE223" s="5"/>
      <c r="FF223" s="5"/>
      <c r="FG223" s="5"/>
      <c r="FH223" s="5"/>
      <c r="FI223" s="5"/>
      <c r="FJ223" s="48">
        <f t="shared" si="1171"/>
        <v>0</v>
      </c>
      <c r="FL223" s="5"/>
      <c r="FM223" s="5"/>
      <c r="FN223" s="5"/>
      <c r="FO223" s="5"/>
      <c r="FP223" s="5"/>
      <c r="FQ223" s="5"/>
      <c r="FR223" s="209">
        <f t="shared" si="1172"/>
        <v>0</v>
      </c>
      <c r="FT223" s="5"/>
      <c r="FU223" s="5"/>
      <c r="FV223" s="5"/>
      <c r="FW223" s="5"/>
      <c r="FX223" s="5"/>
      <c r="FY223" s="5"/>
      <c r="FZ223" s="181">
        <f t="shared" si="1173"/>
        <v>0</v>
      </c>
      <c r="GB223" s="5"/>
      <c r="GC223" s="5"/>
      <c r="GD223" s="5"/>
      <c r="GE223" s="5"/>
      <c r="GF223" s="5"/>
      <c r="GG223" s="5"/>
      <c r="GH223" s="153">
        <f t="shared" si="1174"/>
        <v>0</v>
      </c>
      <c r="GJ223" s="5"/>
      <c r="GK223" s="5"/>
      <c r="GL223" s="5"/>
      <c r="GM223" s="5"/>
      <c r="GN223" s="5"/>
      <c r="GO223" s="5"/>
      <c r="GP223" s="195">
        <f t="shared" si="1175"/>
        <v>0</v>
      </c>
      <c r="GR223" s="5"/>
      <c r="GS223" s="5"/>
      <c r="GT223" s="5"/>
      <c r="GU223" s="5"/>
      <c r="GV223" s="5"/>
      <c r="GW223" s="5"/>
      <c r="GX223" s="1105">
        <f t="shared" si="1176"/>
        <v>0</v>
      </c>
      <c r="GZ223" s="575">
        <f t="shared" si="1095"/>
        <v>0</v>
      </c>
      <c r="HA223" s="575">
        <f t="shared" si="1096"/>
        <v>0</v>
      </c>
      <c r="HB223" s="575">
        <f t="shared" si="1097"/>
        <v>0</v>
      </c>
      <c r="HC223" s="575">
        <f t="shared" si="1098"/>
        <v>0</v>
      </c>
      <c r="HD223" s="575">
        <f t="shared" si="1099"/>
        <v>0</v>
      </c>
      <c r="HE223" s="575">
        <f t="shared" si="1100"/>
        <v>0</v>
      </c>
      <c r="HF223" s="991">
        <f t="shared" si="1101"/>
        <v>0</v>
      </c>
      <c r="HG223" s="573">
        <f t="shared" si="1102"/>
        <v>0</v>
      </c>
      <c r="HH223" s="257"/>
    </row>
    <row r="224" spans="1:216" ht="15" hidden="1" customHeight="1" thickBot="1" x14ac:dyDescent="0.3">
      <c r="A224" s="72"/>
      <c r="B224" s="54"/>
      <c r="C224" s="320" t="s">
        <v>566</v>
      </c>
      <c r="D224" s="321">
        <f ca="1">'Calc - TRAVEL'!AR20</f>
        <v>0</v>
      </c>
      <c r="E224" s="321">
        <f ca="1">'Calc - TRAVEL'!AR21</f>
        <v>0</v>
      </c>
      <c r="F224" s="321">
        <f ca="1">'Calc - TRAVEL'!AR22</f>
        <v>0</v>
      </c>
      <c r="G224" s="321">
        <f ca="1">'Calc - TRAVEL'!AR23</f>
        <v>0</v>
      </c>
      <c r="H224" s="321">
        <f ca="1">'Calc - TRAVEL'!AR24</f>
        <v>0</v>
      </c>
      <c r="I224" s="321">
        <f ca="1">'Calc - TRAVEL'!AR25</f>
        <v>0</v>
      </c>
      <c r="J224" s="322">
        <f t="shared" ca="1" si="1143"/>
        <v>0</v>
      </c>
      <c r="K224" s="9"/>
      <c r="L224" s="9"/>
      <c r="M224" s="9"/>
      <c r="N224" s="5"/>
      <c r="O224" s="5"/>
      <c r="P224" s="5"/>
      <c r="Q224" s="5"/>
      <c r="R224" s="5"/>
      <c r="S224" s="5"/>
      <c r="T224" s="167">
        <f t="shared" si="1144"/>
        <v>0</v>
      </c>
      <c r="U224" s="1"/>
      <c r="V224" s="5"/>
      <c r="W224" s="5"/>
      <c r="X224" s="5"/>
      <c r="Y224" s="5"/>
      <c r="Z224" s="5"/>
      <c r="AA224" s="5"/>
      <c r="AB224" s="48">
        <f t="shared" si="1145"/>
        <v>0</v>
      </c>
      <c r="AD224" s="5"/>
      <c r="AE224" s="5"/>
      <c r="AF224" s="5"/>
      <c r="AG224" s="5"/>
      <c r="AH224" s="5"/>
      <c r="AI224" s="5"/>
      <c r="AJ224" s="209">
        <f t="shared" si="1146"/>
        <v>0</v>
      </c>
      <c r="AL224" s="5"/>
      <c r="AM224" s="5"/>
      <c r="AN224" s="5"/>
      <c r="AO224" s="5"/>
      <c r="AP224" s="5"/>
      <c r="AQ224" s="5"/>
      <c r="AR224" s="181">
        <f t="shared" si="1147"/>
        <v>0</v>
      </c>
      <c r="AT224" s="5"/>
      <c r="AU224" s="5"/>
      <c r="AV224" s="5"/>
      <c r="AW224" s="5"/>
      <c r="AX224" s="5"/>
      <c r="AY224" s="5"/>
      <c r="AZ224" s="153">
        <f t="shared" si="1148"/>
        <v>0</v>
      </c>
      <c r="BB224" s="5"/>
      <c r="BC224" s="5"/>
      <c r="BD224" s="5"/>
      <c r="BE224" s="5"/>
      <c r="BF224" s="5"/>
      <c r="BG224" s="5"/>
      <c r="BH224" s="195">
        <f t="shared" si="1149"/>
        <v>0</v>
      </c>
      <c r="BJ224" s="5"/>
      <c r="BK224" s="5"/>
      <c r="BL224" s="5"/>
      <c r="BM224" s="5"/>
      <c r="BN224" s="5"/>
      <c r="BO224" s="5"/>
      <c r="BP224" s="1105">
        <f t="shared" si="1150"/>
        <v>0</v>
      </c>
      <c r="BR224" s="575">
        <f t="shared" si="1087"/>
        <v>0</v>
      </c>
      <c r="BS224" s="575">
        <f t="shared" si="1088"/>
        <v>0</v>
      </c>
      <c r="BT224" s="575">
        <f t="shared" si="1089"/>
        <v>0</v>
      </c>
      <c r="BU224" s="575">
        <f t="shared" si="1090"/>
        <v>0</v>
      </c>
      <c r="BV224" s="575">
        <f t="shared" si="1091"/>
        <v>0</v>
      </c>
      <c r="BW224" s="575">
        <f t="shared" si="1092"/>
        <v>0</v>
      </c>
      <c r="BX224" s="991">
        <f t="shared" si="1093"/>
        <v>0</v>
      </c>
      <c r="BY224" s="573">
        <f t="shared" ca="1" si="1094"/>
        <v>0</v>
      </c>
      <c r="BZ224" s="257"/>
      <c r="CB224" s="1323">
        <f t="shared" ca="1" si="1151"/>
        <v>0</v>
      </c>
      <c r="CC224" s="1324">
        <f t="shared" ca="1" si="1177"/>
        <v>0</v>
      </c>
      <c r="CD224" s="1325"/>
      <c r="CE224" s="1325"/>
      <c r="CF224" s="1325"/>
      <c r="CG224" s="1326"/>
      <c r="CH224" s="1331">
        <f t="shared" ca="1" si="1178"/>
        <v>0</v>
      </c>
      <c r="CI224" s="1332"/>
      <c r="CJ224" s="1332"/>
      <c r="CK224" s="1332"/>
      <c r="CL224" s="1333"/>
      <c r="CM224" s="1334">
        <f t="shared" ca="1" si="1179"/>
        <v>0</v>
      </c>
      <c r="CN224" s="1335"/>
      <c r="CO224" s="1336"/>
      <c r="CP224" s="1228">
        <f t="shared" ca="1" si="1152"/>
        <v>0</v>
      </c>
      <c r="CS224" s="575"/>
      <c r="CT224" s="5"/>
      <c r="CU224" s="1180"/>
      <c r="CV224" s="575"/>
      <c r="CW224" s="5"/>
      <c r="CX224" s="1180"/>
      <c r="CY224" s="575"/>
      <c r="CZ224" s="5"/>
      <c r="DA224" s="1180"/>
      <c r="DB224" s="575"/>
      <c r="DC224" s="5"/>
      <c r="DD224" s="1180"/>
      <c r="DE224" s="1181">
        <f t="shared" si="1153"/>
        <v>0</v>
      </c>
      <c r="DG224" s="575"/>
      <c r="DH224" s="5"/>
      <c r="DI224" s="1180"/>
      <c r="DJ224" s="575"/>
      <c r="DK224" s="5"/>
      <c r="DL224" s="1180"/>
      <c r="DM224" s="575"/>
      <c r="DN224" s="5"/>
      <c r="DO224" s="1180"/>
      <c r="DP224" s="575"/>
      <c r="DQ224" s="5"/>
      <c r="DR224" s="1180"/>
      <c r="DS224" s="1181">
        <f t="shared" si="1154"/>
        <v>0</v>
      </c>
      <c r="DU224" s="575"/>
      <c r="DV224" s="5"/>
      <c r="DW224" s="1180"/>
      <c r="DX224" s="575"/>
      <c r="DY224" s="5"/>
      <c r="DZ224" s="1180"/>
      <c r="EA224" s="575"/>
      <c r="EB224" s="5"/>
      <c r="EC224" s="1180"/>
      <c r="ED224" s="575"/>
      <c r="EE224" s="5"/>
      <c r="EF224" s="1180"/>
      <c r="EG224" s="1181">
        <f t="shared" si="1155"/>
        <v>0</v>
      </c>
      <c r="EI224" s="3456"/>
      <c r="EJ224" s="54"/>
      <c r="EK224" s="320" t="s">
        <v>566</v>
      </c>
      <c r="EL224" s="321">
        <f t="shared" ca="1" si="1157"/>
        <v>0</v>
      </c>
      <c r="EM224" s="321">
        <f t="shared" ca="1" si="1158"/>
        <v>0</v>
      </c>
      <c r="EN224" s="321">
        <f t="shared" ca="1" si="1159"/>
        <v>0</v>
      </c>
      <c r="EO224" s="321">
        <f t="shared" ca="1" si="1160"/>
        <v>0</v>
      </c>
      <c r="EP224" s="321">
        <f t="shared" ca="1" si="1161"/>
        <v>0</v>
      </c>
      <c r="EQ224" s="321">
        <f t="shared" ca="1" si="1162"/>
        <v>0</v>
      </c>
      <c r="ER224" s="322">
        <f t="shared" ca="1" si="1163"/>
        <v>0</v>
      </c>
      <c r="ES224" s="9"/>
      <c r="ET224" s="9"/>
      <c r="EU224" s="9"/>
      <c r="EV224" s="5">
        <f t="shared" si="1164"/>
        <v>0</v>
      </c>
      <c r="EW224" s="5">
        <f t="shared" si="1165"/>
        <v>0</v>
      </c>
      <c r="EX224" s="5">
        <f t="shared" si="1166"/>
        <v>0</v>
      </c>
      <c r="EY224" s="5">
        <f t="shared" si="1167"/>
        <v>0</v>
      </c>
      <c r="EZ224" s="5">
        <f t="shared" si="1168"/>
        <v>0</v>
      </c>
      <c r="FA224" s="5">
        <f t="shared" si="1169"/>
        <v>0</v>
      </c>
      <c r="FB224" s="167">
        <f t="shared" si="1170"/>
        <v>0</v>
      </c>
      <c r="FC224" s="1"/>
      <c r="FD224" s="5"/>
      <c r="FE224" s="5"/>
      <c r="FF224" s="5"/>
      <c r="FG224" s="5"/>
      <c r="FH224" s="5"/>
      <c r="FI224" s="5"/>
      <c r="FJ224" s="48">
        <f t="shared" si="1171"/>
        <v>0</v>
      </c>
      <c r="FL224" s="5"/>
      <c r="FM224" s="5"/>
      <c r="FN224" s="5"/>
      <c r="FO224" s="5"/>
      <c r="FP224" s="5"/>
      <c r="FQ224" s="5"/>
      <c r="FR224" s="209">
        <f t="shared" si="1172"/>
        <v>0</v>
      </c>
      <c r="FT224" s="5"/>
      <c r="FU224" s="5"/>
      <c r="FV224" s="5"/>
      <c r="FW224" s="5"/>
      <c r="FX224" s="5"/>
      <c r="FY224" s="5"/>
      <c r="FZ224" s="181">
        <f t="shared" si="1173"/>
        <v>0</v>
      </c>
      <c r="GB224" s="5"/>
      <c r="GC224" s="5"/>
      <c r="GD224" s="5"/>
      <c r="GE224" s="5"/>
      <c r="GF224" s="5"/>
      <c r="GG224" s="5"/>
      <c r="GH224" s="153">
        <f t="shared" si="1174"/>
        <v>0</v>
      </c>
      <c r="GJ224" s="5"/>
      <c r="GK224" s="5"/>
      <c r="GL224" s="5"/>
      <c r="GM224" s="5"/>
      <c r="GN224" s="5"/>
      <c r="GO224" s="5"/>
      <c r="GP224" s="195">
        <f t="shared" si="1175"/>
        <v>0</v>
      </c>
      <c r="GR224" s="5"/>
      <c r="GS224" s="5"/>
      <c r="GT224" s="5"/>
      <c r="GU224" s="5"/>
      <c r="GV224" s="5"/>
      <c r="GW224" s="5"/>
      <c r="GX224" s="1105">
        <f t="shared" si="1176"/>
        <v>0</v>
      </c>
      <c r="GZ224" s="575">
        <f t="shared" si="1095"/>
        <v>0</v>
      </c>
      <c r="HA224" s="575">
        <f t="shared" si="1096"/>
        <v>0</v>
      </c>
      <c r="HB224" s="575">
        <f t="shared" si="1097"/>
        <v>0</v>
      </c>
      <c r="HC224" s="575">
        <f t="shared" si="1098"/>
        <v>0</v>
      </c>
      <c r="HD224" s="575">
        <f t="shared" si="1099"/>
        <v>0</v>
      </c>
      <c r="HE224" s="575">
        <f t="shared" si="1100"/>
        <v>0</v>
      </c>
      <c r="HF224" s="991">
        <f t="shared" si="1101"/>
        <v>0</v>
      </c>
      <c r="HG224" s="573">
        <f t="shared" ca="1" si="1102"/>
        <v>0</v>
      </c>
      <c r="HH224" s="257"/>
    </row>
    <row r="225" spans="1:216" ht="15" customHeight="1" x14ac:dyDescent="0.25">
      <c r="A225" s="72"/>
      <c r="B225" s="3296" t="str">
        <f>'Calc - GRAD ASST'!A6</f>
        <v>GA #01 / Sponsor Funds</v>
      </c>
      <c r="C225" s="483" t="s">
        <v>57</v>
      </c>
      <c r="D225" s="86">
        <f ca="1">'Calc - GRAD ASST'!$J$20</f>
        <v>0</v>
      </c>
      <c r="E225" s="86">
        <f ca="1">'Calc - GRAD ASST'!$J$22</f>
        <v>0</v>
      </c>
      <c r="F225" s="86">
        <f ca="1">'Calc - GRAD ASST'!$J$24</f>
        <v>0</v>
      </c>
      <c r="G225" s="86">
        <f ca="1">'Calc - GRAD ASST'!$J$26</f>
        <v>0</v>
      </c>
      <c r="H225" s="86">
        <f ca="1">'Calc - GRAD ASST'!$J$28</f>
        <v>0</v>
      </c>
      <c r="I225" s="86">
        <f ca="1">'Calc - GRAD ASST'!$J$30</f>
        <v>0</v>
      </c>
      <c r="J225" s="87">
        <f t="shared" ca="1" si="1143"/>
        <v>0</v>
      </c>
      <c r="K225" s="9"/>
      <c r="M225" s="9"/>
      <c r="N225" s="5"/>
      <c r="O225" s="5"/>
      <c r="P225" s="5"/>
      <c r="Q225" s="5"/>
      <c r="R225" s="5"/>
      <c r="S225" s="5"/>
      <c r="T225" s="167">
        <f t="shared" si="1144"/>
        <v>0</v>
      </c>
      <c r="U225" s="1"/>
      <c r="V225" s="5"/>
      <c r="W225" s="5"/>
      <c r="X225" s="5"/>
      <c r="Y225" s="5"/>
      <c r="Z225" s="5"/>
      <c r="AA225" s="5"/>
      <c r="AB225" s="48">
        <f t="shared" si="1145"/>
        <v>0</v>
      </c>
      <c r="AD225" s="5"/>
      <c r="AE225" s="5"/>
      <c r="AF225" s="5"/>
      <c r="AG225" s="5"/>
      <c r="AH225" s="5"/>
      <c r="AI225" s="5"/>
      <c r="AJ225" s="209">
        <f t="shared" si="1146"/>
        <v>0</v>
      </c>
      <c r="AL225" s="5"/>
      <c r="AM225" s="5"/>
      <c r="AN225" s="5"/>
      <c r="AO225" s="5"/>
      <c r="AP225" s="5"/>
      <c r="AQ225" s="5"/>
      <c r="AR225" s="181">
        <f t="shared" si="1147"/>
        <v>0</v>
      </c>
      <c r="AT225" s="5"/>
      <c r="AU225" s="5"/>
      <c r="AV225" s="5"/>
      <c r="AW225" s="5"/>
      <c r="AX225" s="5"/>
      <c r="AY225" s="5"/>
      <c r="AZ225" s="153">
        <f t="shared" si="1148"/>
        <v>0</v>
      </c>
      <c r="BB225" s="5"/>
      <c r="BC225" s="5"/>
      <c r="BD225" s="5"/>
      <c r="BE225" s="5"/>
      <c r="BF225" s="5"/>
      <c r="BG225" s="5"/>
      <c r="BH225" s="195">
        <f t="shared" si="1149"/>
        <v>0</v>
      </c>
      <c r="BJ225" s="5"/>
      <c r="BK225" s="5"/>
      <c r="BL225" s="5"/>
      <c r="BM225" s="5"/>
      <c r="BN225" s="5"/>
      <c r="BO225" s="5"/>
      <c r="BP225" s="1630">
        <f t="shared" si="1150"/>
        <v>0</v>
      </c>
      <c r="BR225" s="575">
        <f t="shared" si="1087"/>
        <v>0</v>
      </c>
      <c r="BS225" s="575">
        <f t="shared" si="1088"/>
        <v>0</v>
      </c>
      <c r="BT225" s="575">
        <f t="shared" si="1089"/>
        <v>0</v>
      </c>
      <c r="BU225" s="575">
        <f t="shared" si="1090"/>
        <v>0</v>
      </c>
      <c r="BV225" s="575">
        <f t="shared" si="1091"/>
        <v>0</v>
      </c>
      <c r="BW225" s="575">
        <f t="shared" si="1092"/>
        <v>0</v>
      </c>
      <c r="BX225" s="991">
        <f t="shared" si="1093"/>
        <v>0</v>
      </c>
      <c r="BY225" s="573">
        <f t="shared" ca="1" si="1094"/>
        <v>0</v>
      </c>
      <c r="BZ225" s="257"/>
      <c r="CB225" s="1322">
        <f ca="1">D225</f>
        <v>0</v>
      </c>
      <c r="CC225" s="386">
        <f ca="1">$E225/3</f>
        <v>0</v>
      </c>
      <c r="CD225" s="360">
        <f ca="1">$E225/3</f>
        <v>0</v>
      </c>
      <c r="CE225" s="360">
        <f ca="1">$E225/3</f>
        <v>0</v>
      </c>
      <c r="CF225" s="360"/>
      <c r="CG225" s="1161"/>
      <c r="CH225" s="1241">
        <f ca="1">$F225/3</f>
        <v>0</v>
      </c>
      <c r="CI225" s="1163">
        <f ca="1">$F225/3</f>
        <v>0</v>
      </c>
      <c r="CJ225" s="1163">
        <f ca="1">$F225/3</f>
        <v>0</v>
      </c>
      <c r="CK225" s="1163"/>
      <c r="CL225" s="1164"/>
      <c r="CM225" s="1165">
        <f ca="1">$G225/3</f>
        <v>0</v>
      </c>
      <c r="CN225" s="1242">
        <f ca="1">$G225/3</f>
        <v>0</v>
      </c>
      <c r="CO225" s="1167">
        <f ca="1">$G225/3</f>
        <v>0</v>
      </c>
      <c r="CP225" s="1168">
        <f t="shared" ca="1" si="1152"/>
        <v>0</v>
      </c>
      <c r="CS225" s="575"/>
      <c r="CT225" s="5"/>
      <c r="CU225" s="1180"/>
      <c r="CV225" s="575"/>
      <c r="CW225" s="5"/>
      <c r="CX225" s="1180"/>
      <c r="CY225" s="575"/>
      <c r="CZ225" s="5"/>
      <c r="DA225" s="1180"/>
      <c r="DB225" s="575"/>
      <c r="DC225" s="5"/>
      <c r="DD225" s="1180"/>
      <c r="DE225" s="1181">
        <f t="shared" si="1153"/>
        <v>0</v>
      </c>
      <c r="DG225" s="575"/>
      <c r="DH225" s="5"/>
      <c r="DI225" s="1180"/>
      <c r="DJ225" s="575"/>
      <c r="DK225" s="5"/>
      <c r="DL225" s="1180"/>
      <c r="DM225" s="575"/>
      <c r="DN225" s="5"/>
      <c r="DO225" s="1180"/>
      <c r="DP225" s="575"/>
      <c r="DQ225" s="5"/>
      <c r="DR225" s="1180"/>
      <c r="DS225" s="1181">
        <f t="shared" si="1154"/>
        <v>0</v>
      </c>
      <c r="DU225" s="575"/>
      <c r="DV225" s="5"/>
      <c r="DW225" s="1180"/>
      <c r="DX225" s="575"/>
      <c r="DY225" s="5"/>
      <c r="DZ225" s="1180"/>
      <c r="EA225" s="575"/>
      <c r="EB225" s="5"/>
      <c r="EC225" s="1180"/>
      <c r="ED225" s="575"/>
      <c r="EE225" s="5"/>
      <c r="EF225" s="1180"/>
      <c r="EG225" s="1181">
        <f t="shared" si="1155"/>
        <v>0</v>
      </c>
      <c r="EI225" s="3456"/>
      <c r="EJ225" s="3296" t="str">
        <f>B225</f>
        <v>GA #01 / Sponsor Funds</v>
      </c>
      <c r="EK225" s="483" t="s">
        <v>57</v>
      </c>
      <c r="EL225" s="86">
        <f t="shared" ca="1" si="1157"/>
        <v>0</v>
      </c>
      <c r="EM225" s="86">
        <f t="shared" ca="1" si="1158"/>
        <v>0</v>
      </c>
      <c r="EN225" s="86">
        <f t="shared" ca="1" si="1159"/>
        <v>0</v>
      </c>
      <c r="EO225" s="86">
        <f t="shared" ca="1" si="1160"/>
        <v>0</v>
      </c>
      <c r="EP225" s="86">
        <f t="shared" ca="1" si="1161"/>
        <v>0</v>
      </c>
      <c r="EQ225" s="86">
        <f t="shared" ca="1" si="1162"/>
        <v>0</v>
      </c>
      <c r="ER225" s="87">
        <f t="shared" ca="1" si="1163"/>
        <v>0</v>
      </c>
      <c r="ES225" s="9"/>
      <c r="EU225" s="9"/>
      <c r="EV225" s="5">
        <f t="shared" si="1164"/>
        <v>0</v>
      </c>
      <c r="EW225" s="5">
        <f t="shared" si="1165"/>
        <v>0</v>
      </c>
      <c r="EX225" s="5">
        <f t="shared" si="1166"/>
        <v>0</v>
      </c>
      <c r="EY225" s="5">
        <f t="shared" si="1167"/>
        <v>0</v>
      </c>
      <c r="EZ225" s="5">
        <f t="shared" si="1168"/>
        <v>0</v>
      </c>
      <c r="FA225" s="5">
        <f t="shared" si="1169"/>
        <v>0</v>
      </c>
      <c r="FB225" s="167">
        <f t="shared" si="1170"/>
        <v>0</v>
      </c>
      <c r="FC225" s="1"/>
      <c r="FD225" s="5"/>
      <c r="FE225" s="5"/>
      <c r="FF225" s="5"/>
      <c r="FG225" s="5"/>
      <c r="FH225" s="5"/>
      <c r="FI225" s="5"/>
      <c r="FJ225" s="48">
        <f t="shared" si="1171"/>
        <v>0</v>
      </c>
      <c r="FL225" s="5"/>
      <c r="FM225" s="5"/>
      <c r="FN225" s="5"/>
      <c r="FO225" s="5"/>
      <c r="FP225" s="5"/>
      <c r="FQ225" s="5"/>
      <c r="FR225" s="209">
        <f t="shared" si="1172"/>
        <v>0</v>
      </c>
      <c r="FT225" s="5"/>
      <c r="FU225" s="5"/>
      <c r="FV225" s="5"/>
      <c r="FW225" s="5"/>
      <c r="FX225" s="5"/>
      <c r="FY225" s="5"/>
      <c r="FZ225" s="181">
        <f t="shared" si="1173"/>
        <v>0</v>
      </c>
      <c r="GB225" s="5"/>
      <c r="GC225" s="5"/>
      <c r="GD225" s="5"/>
      <c r="GE225" s="5"/>
      <c r="GF225" s="5"/>
      <c r="GG225" s="5"/>
      <c r="GH225" s="153">
        <f t="shared" si="1174"/>
        <v>0</v>
      </c>
      <c r="GJ225" s="5"/>
      <c r="GK225" s="5"/>
      <c r="GL225" s="5"/>
      <c r="GM225" s="5"/>
      <c r="GN225" s="5"/>
      <c r="GO225" s="5"/>
      <c r="GP225" s="195">
        <f t="shared" si="1175"/>
        <v>0</v>
      </c>
      <c r="GR225" s="5"/>
      <c r="GS225" s="5"/>
      <c r="GT225" s="5"/>
      <c r="GU225" s="5"/>
      <c r="GV225" s="5"/>
      <c r="GW225" s="5"/>
      <c r="GX225" s="1630">
        <f t="shared" si="1176"/>
        <v>0</v>
      </c>
      <c r="GZ225" s="575">
        <f t="shared" si="1095"/>
        <v>0</v>
      </c>
      <c r="HA225" s="575">
        <f t="shared" si="1096"/>
        <v>0</v>
      </c>
      <c r="HB225" s="575">
        <f t="shared" si="1097"/>
        <v>0</v>
      </c>
      <c r="HC225" s="575">
        <f t="shared" si="1098"/>
        <v>0</v>
      </c>
      <c r="HD225" s="575">
        <f t="shared" si="1099"/>
        <v>0</v>
      </c>
      <c r="HE225" s="575">
        <f t="shared" si="1100"/>
        <v>0</v>
      </c>
      <c r="HF225" s="991">
        <f t="shared" si="1101"/>
        <v>0</v>
      </c>
      <c r="HG225" s="573">
        <f t="shared" ca="1" si="1102"/>
        <v>0</v>
      </c>
      <c r="HH225" s="257"/>
    </row>
    <row r="226" spans="1:216" ht="15" customHeight="1" x14ac:dyDescent="0.25">
      <c r="A226" s="72"/>
      <c r="B226" s="3297"/>
      <c r="C226" s="78" t="s">
        <v>96</v>
      </c>
      <c r="D226" s="29">
        <f ca="1">'Calc - GRAD ASST'!$E$20</f>
        <v>0</v>
      </c>
      <c r="E226" s="29">
        <f ca="1">'Calc - GRAD ASST'!$E$22</f>
        <v>0</v>
      </c>
      <c r="F226" s="29">
        <f ca="1">'Calc - GRAD ASST'!$E$24</f>
        <v>0</v>
      </c>
      <c r="G226" s="29">
        <f ca="1">'Calc - GRAD ASST'!$E$26</f>
        <v>0</v>
      </c>
      <c r="H226" s="29">
        <f ca="1">'Calc - GRAD ASST'!$E$28</f>
        <v>0</v>
      </c>
      <c r="I226" s="29">
        <f ca="1">'Calc - GRAD ASST'!$E$30</f>
        <v>0</v>
      </c>
      <c r="J226" s="88">
        <f t="shared" ca="1" si="1143"/>
        <v>0</v>
      </c>
      <c r="L226" s="9"/>
      <c r="N226" s="29"/>
      <c r="O226" s="29"/>
      <c r="P226" s="29"/>
      <c r="Q226" s="29"/>
      <c r="R226" s="29"/>
      <c r="S226" s="29"/>
      <c r="T226" s="167">
        <f t="shared" si="1144"/>
        <v>0</v>
      </c>
      <c r="U226" s="1"/>
      <c r="V226" s="29"/>
      <c r="W226" s="29"/>
      <c r="X226" s="29"/>
      <c r="Y226" s="29"/>
      <c r="Z226" s="29"/>
      <c r="AA226" s="29"/>
      <c r="AB226" s="48">
        <f t="shared" si="1145"/>
        <v>0</v>
      </c>
      <c r="AD226" s="29"/>
      <c r="AE226" s="29"/>
      <c r="AF226" s="29"/>
      <c r="AG226" s="29"/>
      <c r="AH226" s="29"/>
      <c r="AI226" s="29"/>
      <c r="AJ226" s="209">
        <f t="shared" si="1146"/>
        <v>0</v>
      </c>
      <c r="AL226" s="29"/>
      <c r="AM226" s="29"/>
      <c r="AN226" s="29"/>
      <c r="AO226" s="29"/>
      <c r="AP226" s="29"/>
      <c r="AQ226" s="29"/>
      <c r="AR226" s="181">
        <f t="shared" si="1147"/>
        <v>0</v>
      </c>
      <c r="AT226" s="29"/>
      <c r="AU226" s="29"/>
      <c r="AV226" s="29"/>
      <c r="AW226" s="29"/>
      <c r="AX226" s="29"/>
      <c r="AY226" s="29"/>
      <c r="AZ226" s="153">
        <f t="shared" si="1148"/>
        <v>0</v>
      </c>
      <c r="BB226" s="29"/>
      <c r="BC226" s="29"/>
      <c r="BD226" s="29"/>
      <c r="BE226" s="29"/>
      <c r="BF226" s="29"/>
      <c r="BG226" s="29"/>
      <c r="BH226" s="195">
        <f t="shared" si="1149"/>
        <v>0</v>
      </c>
      <c r="BJ226" s="29"/>
      <c r="BK226" s="29"/>
      <c r="BL226" s="29"/>
      <c r="BM226" s="29"/>
      <c r="BN226" s="29"/>
      <c r="BO226" s="29"/>
      <c r="BP226" s="1630">
        <f t="shared" si="1150"/>
        <v>0</v>
      </c>
      <c r="BR226" s="575">
        <f t="shared" si="1087"/>
        <v>0</v>
      </c>
      <c r="BS226" s="575">
        <f t="shared" si="1088"/>
        <v>0</v>
      </c>
      <c r="BT226" s="575">
        <f t="shared" si="1089"/>
        <v>0</v>
      </c>
      <c r="BU226" s="575">
        <f t="shared" si="1090"/>
        <v>0</v>
      </c>
      <c r="BV226" s="575">
        <f t="shared" si="1091"/>
        <v>0</v>
      </c>
      <c r="BW226" s="575">
        <f t="shared" si="1092"/>
        <v>0</v>
      </c>
      <c r="BX226" s="991">
        <f t="shared" si="1093"/>
        <v>0</v>
      </c>
      <c r="BY226" s="573">
        <f t="shared" ca="1" si="1094"/>
        <v>0</v>
      </c>
      <c r="BZ226" s="257"/>
      <c r="CB226" s="1350">
        <f ca="1">D226</f>
        <v>0</v>
      </c>
      <c r="CC226" s="1268"/>
      <c r="CD226" s="1269"/>
      <c r="CE226" s="1269"/>
      <c r="CF226" s="1269"/>
      <c r="CG226" s="1270">
        <f ca="1">E226</f>
        <v>0</v>
      </c>
      <c r="CH226" s="1271"/>
      <c r="CI226" s="1272"/>
      <c r="CJ226" s="1272"/>
      <c r="CK226" s="1272"/>
      <c r="CL226" s="1273">
        <f ca="1">F226</f>
        <v>0</v>
      </c>
      <c r="CM226" s="1274"/>
      <c r="CN226" s="1275"/>
      <c r="CO226" s="1276"/>
      <c r="CP226" s="1224">
        <f t="shared" ca="1" si="1152"/>
        <v>0</v>
      </c>
      <c r="CS226" s="575"/>
      <c r="CT226" s="5"/>
      <c r="CU226" s="1180"/>
      <c r="CV226" s="575"/>
      <c r="CW226" s="5"/>
      <c r="CX226" s="1180"/>
      <c r="CY226" s="575"/>
      <c r="CZ226" s="5"/>
      <c r="DA226" s="1180"/>
      <c r="DB226" s="575"/>
      <c r="DC226" s="5"/>
      <c r="DD226" s="1180"/>
      <c r="DE226" s="1181">
        <f t="shared" si="1153"/>
        <v>0</v>
      </c>
      <c r="DG226" s="575"/>
      <c r="DH226" s="5"/>
      <c r="DI226" s="1180"/>
      <c r="DJ226" s="575"/>
      <c r="DK226" s="5"/>
      <c r="DL226" s="1180"/>
      <c r="DM226" s="575"/>
      <c r="DN226" s="5"/>
      <c r="DO226" s="1180"/>
      <c r="DP226" s="575"/>
      <c r="DQ226" s="5"/>
      <c r="DR226" s="1180"/>
      <c r="DS226" s="1181">
        <f t="shared" si="1154"/>
        <v>0</v>
      </c>
      <c r="DU226" s="575"/>
      <c r="DV226" s="5"/>
      <c r="DW226" s="1180"/>
      <c r="DX226" s="575"/>
      <c r="DY226" s="5"/>
      <c r="DZ226" s="1180"/>
      <c r="EA226" s="575"/>
      <c r="EB226" s="5"/>
      <c r="EC226" s="1180"/>
      <c r="ED226" s="575"/>
      <c r="EE226" s="5"/>
      <c r="EF226" s="1180"/>
      <c r="EG226" s="1181">
        <f t="shared" si="1155"/>
        <v>0</v>
      </c>
      <c r="EI226" s="3456"/>
      <c r="EJ226" s="3297"/>
      <c r="EK226" s="78" t="s">
        <v>96</v>
      </c>
      <c r="EL226" s="29">
        <f t="shared" ca="1" si="1157"/>
        <v>0</v>
      </c>
      <c r="EM226" s="29">
        <f t="shared" ca="1" si="1158"/>
        <v>0</v>
      </c>
      <c r="EN226" s="29">
        <f t="shared" ca="1" si="1159"/>
        <v>0</v>
      </c>
      <c r="EO226" s="29">
        <f t="shared" ca="1" si="1160"/>
        <v>0</v>
      </c>
      <c r="EP226" s="29">
        <f t="shared" ca="1" si="1161"/>
        <v>0</v>
      </c>
      <c r="EQ226" s="29">
        <f t="shared" ca="1" si="1162"/>
        <v>0</v>
      </c>
      <c r="ER226" s="88">
        <f t="shared" ca="1" si="1163"/>
        <v>0</v>
      </c>
      <c r="ET226" s="9"/>
      <c r="EV226" s="5">
        <f t="shared" si="1164"/>
        <v>0</v>
      </c>
      <c r="EW226" s="5">
        <f t="shared" si="1165"/>
        <v>0</v>
      </c>
      <c r="EX226" s="5">
        <f t="shared" si="1166"/>
        <v>0</v>
      </c>
      <c r="EY226" s="5">
        <f t="shared" si="1167"/>
        <v>0</v>
      </c>
      <c r="EZ226" s="5">
        <f t="shared" si="1168"/>
        <v>0</v>
      </c>
      <c r="FA226" s="5">
        <f t="shared" si="1169"/>
        <v>0</v>
      </c>
      <c r="FB226" s="167">
        <f t="shared" si="1170"/>
        <v>0</v>
      </c>
      <c r="FC226" s="1"/>
      <c r="FD226" s="29"/>
      <c r="FE226" s="29"/>
      <c r="FF226" s="29"/>
      <c r="FG226" s="29"/>
      <c r="FH226" s="29"/>
      <c r="FI226" s="29"/>
      <c r="FJ226" s="48">
        <f t="shared" si="1171"/>
        <v>0</v>
      </c>
      <c r="FL226" s="29"/>
      <c r="FM226" s="29"/>
      <c r="FN226" s="29"/>
      <c r="FO226" s="29"/>
      <c r="FP226" s="29"/>
      <c r="FQ226" s="29"/>
      <c r="FR226" s="209">
        <f t="shared" si="1172"/>
        <v>0</v>
      </c>
      <c r="FT226" s="29"/>
      <c r="FU226" s="29"/>
      <c r="FV226" s="29"/>
      <c r="FW226" s="29"/>
      <c r="FX226" s="29"/>
      <c r="FY226" s="29"/>
      <c r="FZ226" s="181">
        <f t="shared" si="1173"/>
        <v>0</v>
      </c>
      <c r="GB226" s="29"/>
      <c r="GC226" s="29"/>
      <c r="GD226" s="29"/>
      <c r="GE226" s="29"/>
      <c r="GF226" s="29"/>
      <c r="GG226" s="29"/>
      <c r="GH226" s="153">
        <f t="shared" si="1174"/>
        <v>0</v>
      </c>
      <c r="GJ226" s="29"/>
      <c r="GK226" s="29"/>
      <c r="GL226" s="29"/>
      <c r="GM226" s="29"/>
      <c r="GN226" s="29"/>
      <c r="GO226" s="29"/>
      <c r="GP226" s="195">
        <f t="shared" si="1175"/>
        <v>0</v>
      </c>
      <c r="GR226" s="29"/>
      <c r="GS226" s="29"/>
      <c r="GT226" s="29"/>
      <c r="GU226" s="29"/>
      <c r="GV226" s="29"/>
      <c r="GW226" s="29"/>
      <c r="GX226" s="1630">
        <f t="shared" si="1176"/>
        <v>0</v>
      </c>
      <c r="GZ226" s="575">
        <f t="shared" si="1095"/>
        <v>0</v>
      </c>
      <c r="HA226" s="575">
        <f t="shared" si="1096"/>
        <v>0</v>
      </c>
      <c r="HB226" s="575">
        <f t="shared" si="1097"/>
        <v>0</v>
      </c>
      <c r="HC226" s="575">
        <f t="shared" si="1098"/>
        <v>0</v>
      </c>
      <c r="HD226" s="575">
        <f t="shared" si="1099"/>
        <v>0</v>
      </c>
      <c r="HE226" s="575">
        <f t="shared" si="1100"/>
        <v>0</v>
      </c>
      <c r="HF226" s="991">
        <f t="shared" si="1101"/>
        <v>0</v>
      </c>
      <c r="HG226" s="573">
        <f t="shared" ca="1" si="1102"/>
        <v>0</v>
      </c>
      <c r="HH226" s="257"/>
    </row>
    <row r="227" spans="1:216" ht="15" customHeight="1" thickBot="1" x14ac:dyDescent="0.3">
      <c r="A227" s="72"/>
      <c r="B227" s="1839" t="str">
        <f>'Calc - GRAD ASST'!C7</f>
        <v>EECS</v>
      </c>
      <c r="C227" s="420" t="s">
        <v>130</v>
      </c>
      <c r="D227" s="42">
        <f ca="1">'Calc - GRAD ASST'!$M$20</f>
        <v>0</v>
      </c>
      <c r="E227" s="42">
        <f ca="1">'Calc - GRAD ASST'!$M$22</f>
        <v>0</v>
      </c>
      <c r="F227" s="42">
        <f ca="1">'Calc - GRAD ASST'!$M$24</f>
        <v>0</v>
      </c>
      <c r="G227" s="42">
        <f ca="1">'Calc - GRAD ASST'!$M$26</f>
        <v>0</v>
      </c>
      <c r="H227" s="42">
        <f ca="1">'Calc - GRAD ASST'!$M$28</f>
        <v>0</v>
      </c>
      <c r="I227" s="42">
        <f ca="1">'Calc - GRAD ASST'!$M$30</f>
        <v>0</v>
      </c>
      <c r="J227" s="90">
        <f t="shared" ca="1" si="1143"/>
        <v>0</v>
      </c>
      <c r="K227" s="9"/>
      <c r="L227" s="9"/>
      <c r="M227" s="9"/>
      <c r="N227" s="5"/>
      <c r="O227" s="5"/>
      <c r="P227" s="5"/>
      <c r="Q227" s="5"/>
      <c r="R227" s="5"/>
      <c r="S227" s="5"/>
      <c r="T227" s="167">
        <f t="shared" si="1144"/>
        <v>0</v>
      </c>
      <c r="U227" s="1"/>
      <c r="V227" s="5"/>
      <c r="W227" s="5"/>
      <c r="X227" s="5"/>
      <c r="Y227" s="5"/>
      <c r="Z227" s="5"/>
      <c r="AA227" s="5"/>
      <c r="AB227" s="48">
        <f t="shared" si="1145"/>
        <v>0</v>
      </c>
      <c r="AD227" s="5"/>
      <c r="AE227" s="5"/>
      <c r="AF227" s="5"/>
      <c r="AG227" s="5"/>
      <c r="AH227" s="5"/>
      <c r="AI227" s="5"/>
      <c r="AJ227" s="209">
        <f t="shared" si="1146"/>
        <v>0</v>
      </c>
      <c r="AL227" s="5"/>
      <c r="AM227" s="5"/>
      <c r="AN227" s="5"/>
      <c r="AO227" s="5"/>
      <c r="AP227" s="5"/>
      <c r="AQ227" s="5"/>
      <c r="AR227" s="181">
        <f t="shared" si="1147"/>
        <v>0</v>
      </c>
      <c r="AT227" s="5"/>
      <c r="AU227" s="5"/>
      <c r="AV227" s="5"/>
      <c r="AW227" s="5"/>
      <c r="AX227" s="5"/>
      <c r="AY227" s="5"/>
      <c r="AZ227" s="153">
        <f t="shared" si="1148"/>
        <v>0</v>
      </c>
      <c r="BB227" s="5"/>
      <c r="BC227" s="5"/>
      <c r="BD227" s="5"/>
      <c r="BE227" s="5"/>
      <c r="BF227" s="5"/>
      <c r="BG227" s="5"/>
      <c r="BH227" s="195">
        <f t="shared" si="1149"/>
        <v>0</v>
      </c>
      <c r="BJ227" s="5"/>
      <c r="BK227" s="5"/>
      <c r="BL227" s="5"/>
      <c r="BM227" s="5"/>
      <c r="BN227" s="5"/>
      <c r="BO227" s="5"/>
      <c r="BP227" s="1630">
        <f t="shared" si="1150"/>
        <v>0</v>
      </c>
      <c r="BR227" s="575">
        <f t="shared" si="1087"/>
        <v>0</v>
      </c>
      <c r="BS227" s="575">
        <f t="shared" si="1088"/>
        <v>0</v>
      </c>
      <c r="BT227" s="575">
        <f t="shared" si="1089"/>
        <v>0</v>
      </c>
      <c r="BU227" s="575">
        <f t="shared" si="1090"/>
        <v>0</v>
      </c>
      <c r="BV227" s="575">
        <f t="shared" si="1091"/>
        <v>0</v>
      </c>
      <c r="BW227" s="575">
        <f t="shared" si="1092"/>
        <v>0</v>
      </c>
      <c r="BX227" s="991">
        <f t="shared" si="1093"/>
        <v>0</v>
      </c>
      <c r="BY227" s="573">
        <f t="shared" ca="1" si="1094"/>
        <v>0</v>
      </c>
      <c r="BZ227" s="257"/>
      <c r="CB227" s="1330">
        <f ca="1">D227</f>
        <v>0</v>
      </c>
      <c r="CC227" s="1201">
        <f ca="1">($E227-$CG227)/3</f>
        <v>0</v>
      </c>
      <c r="CD227" s="1202">
        <f ca="1">($E227-$CG227)/3</f>
        <v>0</v>
      </c>
      <c r="CE227" s="1202">
        <f ca="1">($E227-$CG227)/3</f>
        <v>0</v>
      </c>
      <c r="CF227" s="1202"/>
      <c r="CG227" s="1203">
        <f ca="1">OFFSET('Calc - GRAD ASST'!$K$20,2,0)</f>
        <v>0</v>
      </c>
      <c r="CH227" s="1251">
        <f ca="1">($F227-$CL227)/3</f>
        <v>0</v>
      </c>
      <c r="CI227" s="1205">
        <f ca="1">($F227-$CL227)/3</f>
        <v>0</v>
      </c>
      <c r="CJ227" s="1205">
        <f ca="1">($F227-$CL227)/3</f>
        <v>0</v>
      </c>
      <c r="CK227" s="1205"/>
      <c r="CL227" s="1206">
        <f ca="1">OFFSET('Calc - GRAD ASST'!$K$20,4,0)</f>
        <v>0</v>
      </c>
      <c r="CM227" s="1207">
        <f ca="1">$G227/3</f>
        <v>0</v>
      </c>
      <c r="CN227" s="1252">
        <f ca="1">$G227/3</f>
        <v>0</v>
      </c>
      <c r="CO227" s="1209">
        <f ca="1">$G227/3</f>
        <v>0</v>
      </c>
      <c r="CP227" s="1316">
        <f t="shared" ca="1" si="1152"/>
        <v>0</v>
      </c>
      <c r="CS227" s="575"/>
      <c r="CT227" s="5"/>
      <c r="CU227" s="1180"/>
      <c r="CV227" s="575"/>
      <c r="CW227" s="5"/>
      <c r="CX227" s="1180"/>
      <c r="CY227" s="575"/>
      <c r="CZ227" s="5"/>
      <c r="DA227" s="1180"/>
      <c r="DB227" s="575"/>
      <c r="DC227" s="5"/>
      <c r="DD227" s="1180"/>
      <c r="DE227" s="1181">
        <f t="shared" si="1153"/>
        <v>0</v>
      </c>
      <c r="DG227" s="575"/>
      <c r="DH227" s="5"/>
      <c r="DI227" s="1180"/>
      <c r="DJ227" s="575"/>
      <c r="DK227" s="5"/>
      <c r="DL227" s="1180"/>
      <c r="DM227" s="575"/>
      <c r="DN227" s="5"/>
      <c r="DO227" s="1180"/>
      <c r="DP227" s="575"/>
      <c r="DQ227" s="5"/>
      <c r="DR227" s="1180"/>
      <c r="DS227" s="1181">
        <f t="shared" si="1154"/>
        <v>0</v>
      </c>
      <c r="DU227" s="575"/>
      <c r="DV227" s="5"/>
      <c r="DW227" s="1180"/>
      <c r="DX227" s="575"/>
      <c r="DY227" s="5"/>
      <c r="DZ227" s="1180"/>
      <c r="EA227" s="575"/>
      <c r="EB227" s="5"/>
      <c r="EC227" s="1180"/>
      <c r="ED227" s="575"/>
      <c r="EE227" s="5"/>
      <c r="EF227" s="1180"/>
      <c r="EG227" s="1181">
        <f t="shared" si="1155"/>
        <v>0</v>
      </c>
      <c r="EI227" s="3456"/>
      <c r="EJ227" s="1839" t="str">
        <f>B227</f>
        <v>EECS</v>
      </c>
      <c r="EK227" s="420" t="s">
        <v>130</v>
      </c>
      <c r="EL227" s="42">
        <f t="shared" ca="1" si="1157"/>
        <v>0</v>
      </c>
      <c r="EM227" s="42">
        <f t="shared" ca="1" si="1158"/>
        <v>0</v>
      </c>
      <c r="EN227" s="42">
        <f t="shared" ca="1" si="1159"/>
        <v>0</v>
      </c>
      <c r="EO227" s="42">
        <f t="shared" ca="1" si="1160"/>
        <v>0</v>
      </c>
      <c r="EP227" s="42">
        <f t="shared" ca="1" si="1161"/>
        <v>0</v>
      </c>
      <c r="EQ227" s="42">
        <f t="shared" ca="1" si="1162"/>
        <v>0</v>
      </c>
      <c r="ER227" s="90">
        <f t="shared" ca="1" si="1163"/>
        <v>0</v>
      </c>
      <c r="ES227" s="9"/>
      <c r="ET227" s="9"/>
      <c r="EU227" s="9"/>
      <c r="EV227" s="5">
        <f t="shared" si="1164"/>
        <v>0</v>
      </c>
      <c r="EW227" s="5">
        <f t="shared" si="1165"/>
        <v>0</v>
      </c>
      <c r="EX227" s="5">
        <f t="shared" si="1166"/>
        <v>0</v>
      </c>
      <c r="EY227" s="5">
        <f t="shared" si="1167"/>
        <v>0</v>
      </c>
      <c r="EZ227" s="5">
        <f t="shared" si="1168"/>
        <v>0</v>
      </c>
      <c r="FA227" s="5">
        <f t="shared" si="1169"/>
        <v>0</v>
      </c>
      <c r="FB227" s="167">
        <f t="shared" si="1170"/>
        <v>0</v>
      </c>
      <c r="FC227" s="1"/>
      <c r="FD227" s="5"/>
      <c r="FE227" s="5"/>
      <c r="FF227" s="5"/>
      <c r="FG227" s="5"/>
      <c r="FH227" s="5"/>
      <c r="FI227" s="5"/>
      <c r="FJ227" s="48">
        <f t="shared" si="1171"/>
        <v>0</v>
      </c>
      <c r="FL227" s="5"/>
      <c r="FM227" s="5"/>
      <c r="FN227" s="5"/>
      <c r="FO227" s="5"/>
      <c r="FP227" s="5"/>
      <c r="FQ227" s="5"/>
      <c r="FR227" s="209">
        <f t="shared" si="1172"/>
        <v>0</v>
      </c>
      <c r="FT227" s="5"/>
      <c r="FU227" s="5"/>
      <c r="FV227" s="5"/>
      <c r="FW227" s="5"/>
      <c r="FX227" s="5"/>
      <c r="FY227" s="5"/>
      <c r="FZ227" s="181">
        <f t="shared" si="1173"/>
        <v>0</v>
      </c>
      <c r="GB227" s="5"/>
      <c r="GC227" s="5"/>
      <c r="GD227" s="5"/>
      <c r="GE227" s="5"/>
      <c r="GF227" s="5"/>
      <c r="GG227" s="5"/>
      <c r="GH227" s="153">
        <f t="shared" si="1174"/>
        <v>0</v>
      </c>
      <c r="GJ227" s="5"/>
      <c r="GK227" s="5"/>
      <c r="GL227" s="5"/>
      <c r="GM227" s="5"/>
      <c r="GN227" s="5"/>
      <c r="GO227" s="5"/>
      <c r="GP227" s="195">
        <f t="shared" si="1175"/>
        <v>0</v>
      </c>
      <c r="GR227" s="5"/>
      <c r="GS227" s="5"/>
      <c r="GT227" s="5"/>
      <c r="GU227" s="5"/>
      <c r="GV227" s="5"/>
      <c r="GW227" s="5"/>
      <c r="GX227" s="1630">
        <f t="shared" si="1176"/>
        <v>0</v>
      </c>
      <c r="GZ227" s="575">
        <f t="shared" si="1095"/>
        <v>0</v>
      </c>
      <c r="HA227" s="575">
        <f t="shared" si="1096"/>
        <v>0</v>
      </c>
      <c r="HB227" s="575">
        <f t="shared" si="1097"/>
        <v>0</v>
      </c>
      <c r="HC227" s="575">
        <f t="shared" si="1098"/>
        <v>0</v>
      </c>
      <c r="HD227" s="575">
        <f t="shared" si="1099"/>
        <v>0</v>
      </c>
      <c r="HE227" s="575">
        <f t="shared" si="1100"/>
        <v>0</v>
      </c>
      <c r="HF227" s="991">
        <f t="shared" si="1101"/>
        <v>0</v>
      </c>
      <c r="HG227" s="573">
        <f t="shared" ca="1" si="1102"/>
        <v>0</v>
      </c>
      <c r="HH227" s="257"/>
    </row>
    <row r="228" spans="1:216" ht="15" customHeight="1" thickBot="1" x14ac:dyDescent="0.3">
      <c r="A228" s="72"/>
      <c r="B228" s="1840"/>
      <c r="C228" s="1677" t="s">
        <v>267</v>
      </c>
      <c r="D228" s="1678">
        <f t="shared" ref="D228:J228" ca="1" si="1180">SUM(D225:D227)</f>
        <v>0</v>
      </c>
      <c r="E228" s="1678">
        <f t="shared" ca="1" si="1180"/>
        <v>0</v>
      </c>
      <c r="F228" s="1678">
        <f t="shared" ca="1" si="1180"/>
        <v>0</v>
      </c>
      <c r="G228" s="1678">
        <f t="shared" ca="1" si="1180"/>
        <v>0</v>
      </c>
      <c r="H228" s="1678">
        <f t="shared" ca="1" si="1180"/>
        <v>0</v>
      </c>
      <c r="I228" s="1678">
        <f t="shared" ca="1" si="1180"/>
        <v>0</v>
      </c>
      <c r="J228" s="1679">
        <f t="shared" ca="1" si="1180"/>
        <v>0</v>
      </c>
      <c r="K228" s="13">
        <f ca="1">SUM(D228:I228)</f>
        <v>0</v>
      </c>
      <c r="L228" s="9"/>
      <c r="M228" s="9"/>
      <c r="N228" s="1629">
        <f t="shared" ref="N228:T228" si="1181">SUM(N225:N227)</f>
        <v>0</v>
      </c>
      <c r="O228" s="1629">
        <f t="shared" si="1181"/>
        <v>0</v>
      </c>
      <c r="P228" s="1629">
        <f t="shared" si="1181"/>
        <v>0</v>
      </c>
      <c r="Q228" s="1629">
        <f t="shared" si="1181"/>
        <v>0</v>
      </c>
      <c r="R228" s="1629">
        <f t="shared" si="1181"/>
        <v>0</v>
      </c>
      <c r="S228" s="1629">
        <f t="shared" si="1181"/>
        <v>0</v>
      </c>
      <c r="T228" s="1628">
        <f t="shared" si="1181"/>
        <v>0</v>
      </c>
      <c r="U228" s="1"/>
      <c r="V228" s="1629">
        <f t="shared" ref="V228:AB228" si="1182">SUM(V225:V227)</f>
        <v>0</v>
      </c>
      <c r="W228" s="1629">
        <f t="shared" si="1182"/>
        <v>0</v>
      </c>
      <c r="X228" s="1629">
        <f t="shared" si="1182"/>
        <v>0</v>
      </c>
      <c r="Y228" s="1629">
        <f t="shared" si="1182"/>
        <v>0</v>
      </c>
      <c r="Z228" s="1629">
        <f t="shared" si="1182"/>
        <v>0</v>
      </c>
      <c r="AA228" s="1629">
        <f t="shared" si="1182"/>
        <v>0</v>
      </c>
      <c r="AB228" s="1628">
        <f t="shared" si="1182"/>
        <v>0</v>
      </c>
      <c r="AD228" s="1629">
        <f t="shared" ref="AD228:AJ228" si="1183">SUM(AD225:AD227)</f>
        <v>0</v>
      </c>
      <c r="AE228" s="1629">
        <f t="shared" si="1183"/>
        <v>0</v>
      </c>
      <c r="AF228" s="1629">
        <f t="shared" si="1183"/>
        <v>0</v>
      </c>
      <c r="AG228" s="1629">
        <f t="shared" si="1183"/>
        <v>0</v>
      </c>
      <c r="AH228" s="1629">
        <f t="shared" si="1183"/>
        <v>0</v>
      </c>
      <c r="AI228" s="1629">
        <f t="shared" si="1183"/>
        <v>0</v>
      </c>
      <c r="AJ228" s="1628">
        <f t="shared" si="1183"/>
        <v>0</v>
      </c>
      <c r="AL228" s="7">
        <f t="shared" ref="AL228:AR228" si="1184">SUM(AL225:AL227)</f>
        <v>0</v>
      </c>
      <c r="AM228" s="7">
        <f t="shared" si="1184"/>
        <v>0</v>
      </c>
      <c r="AN228" s="7">
        <f t="shared" si="1184"/>
        <v>0</v>
      </c>
      <c r="AO228" s="7">
        <f t="shared" si="1184"/>
        <v>0</v>
      </c>
      <c r="AP228" s="7">
        <f t="shared" si="1184"/>
        <v>0</v>
      </c>
      <c r="AQ228" s="7">
        <f t="shared" si="1184"/>
        <v>0</v>
      </c>
      <c r="AR228" s="12">
        <f t="shared" si="1184"/>
        <v>0</v>
      </c>
      <c r="AT228" s="7">
        <f t="shared" ref="AT228:AZ228" si="1185">SUM(AT225:AT227)</f>
        <v>0</v>
      </c>
      <c r="AU228" s="7">
        <f t="shared" si="1185"/>
        <v>0</v>
      </c>
      <c r="AV228" s="7">
        <f t="shared" si="1185"/>
        <v>0</v>
      </c>
      <c r="AW228" s="7">
        <f t="shared" si="1185"/>
        <v>0</v>
      </c>
      <c r="AX228" s="7">
        <f t="shared" si="1185"/>
        <v>0</v>
      </c>
      <c r="AY228" s="7">
        <f t="shared" si="1185"/>
        <v>0</v>
      </c>
      <c r="AZ228" s="12">
        <f t="shared" si="1185"/>
        <v>0</v>
      </c>
      <c r="BB228" s="7">
        <f t="shared" ref="BB228:BH228" si="1186">SUM(BB225:BB227)</f>
        <v>0</v>
      </c>
      <c r="BC228" s="7">
        <f t="shared" si="1186"/>
        <v>0</v>
      </c>
      <c r="BD228" s="7">
        <f t="shared" si="1186"/>
        <v>0</v>
      </c>
      <c r="BE228" s="7">
        <f t="shared" si="1186"/>
        <v>0</v>
      </c>
      <c r="BF228" s="7">
        <f t="shared" si="1186"/>
        <v>0</v>
      </c>
      <c r="BG228" s="7">
        <f t="shared" si="1186"/>
        <v>0</v>
      </c>
      <c r="BH228" s="12">
        <f t="shared" si="1186"/>
        <v>0</v>
      </c>
      <c r="BJ228" s="7">
        <f t="shared" ref="BJ228:BP228" si="1187">SUM(BJ225:BJ227)</f>
        <v>0</v>
      </c>
      <c r="BK228" s="7">
        <f t="shared" si="1187"/>
        <v>0</v>
      </c>
      <c r="BL228" s="7">
        <f t="shared" si="1187"/>
        <v>0</v>
      </c>
      <c r="BM228" s="7">
        <f t="shared" si="1187"/>
        <v>0</v>
      </c>
      <c r="BN228" s="7">
        <f t="shared" si="1187"/>
        <v>0</v>
      </c>
      <c r="BO228" s="7">
        <f t="shared" si="1187"/>
        <v>0</v>
      </c>
      <c r="BP228" s="12">
        <f t="shared" si="1187"/>
        <v>0</v>
      </c>
      <c r="BR228" s="581">
        <f t="shared" si="1087"/>
        <v>0</v>
      </c>
      <c r="BS228" s="581">
        <f t="shared" si="1088"/>
        <v>0</v>
      </c>
      <c r="BT228" s="581">
        <f t="shared" si="1089"/>
        <v>0</v>
      </c>
      <c r="BU228" s="581">
        <f t="shared" si="1090"/>
        <v>0</v>
      </c>
      <c r="BV228" s="581">
        <f t="shared" si="1091"/>
        <v>0</v>
      </c>
      <c r="BW228" s="581">
        <f t="shared" si="1092"/>
        <v>0</v>
      </c>
      <c r="BX228" s="581">
        <f t="shared" si="1093"/>
        <v>0</v>
      </c>
      <c r="BY228" s="582">
        <f t="shared" ca="1" si="1094"/>
        <v>0</v>
      </c>
      <c r="BZ228" s="257"/>
      <c r="CB228" s="1633">
        <f t="shared" ref="CB228:CO228" ca="1" si="1188">SUM(CB225:CB227)</f>
        <v>0</v>
      </c>
      <c r="CC228" s="1634">
        <f t="shared" ca="1" si="1188"/>
        <v>0</v>
      </c>
      <c r="CD228" s="1635">
        <f t="shared" ca="1" si="1188"/>
        <v>0</v>
      </c>
      <c r="CE228" s="1635">
        <f t="shared" ca="1" si="1188"/>
        <v>0</v>
      </c>
      <c r="CF228" s="1635">
        <f t="shared" si="1188"/>
        <v>0</v>
      </c>
      <c r="CG228" s="1636">
        <f t="shared" ca="1" si="1188"/>
        <v>0</v>
      </c>
      <c r="CH228" s="1634">
        <f t="shared" ca="1" si="1188"/>
        <v>0</v>
      </c>
      <c r="CI228" s="1635">
        <f t="shared" ca="1" si="1188"/>
        <v>0</v>
      </c>
      <c r="CJ228" s="1635">
        <f t="shared" ca="1" si="1188"/>
        <v>0</v>
      </c>
      <c r="CK228" s="1635">
        <f t="shared" si="1188"/>
        <v>0</v>
      </c>
      <c r="CL228" s="1637">
        <f t="shared" ca="1" si="1188"/>
        <v>0</v>
      </c>
      <c r="CM228" s="1634">
        <f t="shared" ca="1" si="1188"/>
        <v>0</v>
      </c>
      <c r="CN228" s="1635">
        <f t="shared" ca="1" si="1188"/>
        <v>0</v>
      </c>
      <c r="CO228" s="1636">
        <f t="shared" ca="1" si="1188"/>
        <v>0</v>
      </c>
      <c r="CP228" s="1351">
        <f t="shared" ca="1" si="1152"/>
        <v>0</v>
      </c>
      <c r="CS228" s="1231">
        <f t="shared" ref="CS228:DE228" si="1189">SUM(CS225:CS227)</f>
        <v>0</v>
      </c>
      <c r="CT228" s="7">
        <f t="shared" si="1189"/>
        <v>0</v>
      </c>
      <c r="CU228" s="573">
        <f t="shared" si="1189"/>
        <v>0</v>
      </c>
      <c r="CV228" s="1231">
        <f t="shared" si="1189"/>
        <v>0</v>
      </c>
      <c r="CW228" s="7">
        <f t="shared" si="1189"/>
        <v>0</v>
      </c>
      <c r="CX228" s="573">
        <f t="shared" si="1189"/>
        <v>0</v>
      </c>
      <c r="CY228" s="1231">
        <f t="shared" si="1189"/>
        <v>0</v>
      </c>
      <c r="CZ228" s="7">
        <f t="shared" si="1189"/>
        <v>0</v>
      </c>
      <c r="DA228" s="573">
        <f t="shared" si="1189"/>
        <v>0</v>
      </c>
      <c r="DB228" s="1231">
        <f t="shared" si="1189"/>
        <v>0</v>
      </c>
      <c r="DC228" s="7">
        <f t="shared" si="1189"/>
        <v>0</v>
      </c>
      <c r="DD228" s="573">
        <f t="shared" si="1189"/>
        <v>0</v>
      </c>
      <c r="DE228" s="1181">
        <f t="shared" si="1189"/>
        <v>0</v>
      </c>
      <c r="DG228" s="1231">
        <f t="shared" ref="DG228:DS228" si="1190">SUM(DG225:DG227)</f>
        <v>0</v>
      </c>
      <c r="DH228" s="7">
        <f t="shared" si="1190"/>
        <v>0</v>
      </c>
      <c r="DI228" s="573">
        <f t="shared" si="1190"/>
        <v>0</v>
      </c>
      <c r="DJ228" s="1231">
        <f t="shared" si="1190"/>
        <v>0</v>
      </c>
      <c r="DK228" s="7">
        <f t="shared" si="1190"/>
        <v>0</v>
      </c>
      <c r="DL228" s="573">
        <f t="shared" si="1190"/>
        <v>0</v>
      </c>
      <c r="DM228" s="1231">
        <f t="shared" si="1190"/>
        <v>0</v>
      </c>
      <c r="DN228" s="7">
        <f t="shared" si="1190"/>
        <v>0</v>
      </c>
      <c r="DO228" s="573">
        <f t="shared" si="1190"/>
        <v>0</v>
      </c>
      <c r="DP228" s="1231">
        <f t="shared" si="1190"/>
        <v>0</v>
      </c>
      <c r="DQ228" s="7">
        <f t="shared" si="1190"/>
        <v>0</v>
      </c>
      <c r="DR228" s="573">
        <f t="shared" si="1190"/>
        <v>0</v>
      </c>
      <c r="DS228" s="1181">
        <f t="shared" si="1190"/>
        <v>0</v>
      </c>
      <c r="DU228" s="1231">
        <f t="shared" ref="DU228:EG228" si="1191">SUM(DU225:DU227)</f>
        <v>0</v>
      </c>
      <c r="DV228" s="7">
        <f t="shared" si="1191"/>
        <v>0</v>
      </c>
      <c r="DW228" s="573">
        <f t="shared" si="1191"/>
        <v>0</v>
      </c>
      <c r="DX228" s="1231">
        <f t="shared" si="1191"/>
        <v>0</v>
      </c>
      <c r="DY228" s="7">
        <f t="shared" si="1191"/>
        <v>0</v>
      </c>
      <c r="DZ228" s="573">
        <f t="shared" si="1191"/>
        <v>0</v>
      </c>
      <c r="EA228" s="1231">
        <f t="shared" si="1191"/>
        <v>0</v>
      </c>
      <c r="EB228" s="7">
        <f t="shared" si="1191"/>
        <v>0</v>
      </c>
      <c r="EC228" s="573">
        <f t="shared" si="1191"/>
        <v>0</v>
      </c>
      <c r="ED228" s="1231">
        <f t="shared" si="1191"/>
        <v>0</v>
      </c>
      <c r="EE228" s="7">
        <f t="shared" si="1191"/>
        <v>0</v>
      </c>
      <c r="EF228" s="573">
        <f t="shared" si="1191"/>
        <v>0</v>
      </c>
      <c r="EG228" s="1181">
        <f t="shared" si="1191"/>
        <v>0</v>
      </c>
      <c r="EI228" s="3456"/>
      <c r="EJ228" s="1840"/>
      <c r="EK228" s="1677" t="s">
        <v>267</v>
      </c>
      <c r="EL228" s="1678">
        <f t="shared" ref="EL228:EQ228" ca="1" si="1192">SUM(EL225:EL227)</f>
        <v>0</v>
      </c>
      <c r="EM228" s="1678">
        <f t="shared" ca="1" si="1192"/>
        <v>0</v>
      </c>
      <c r="EN228" s="1678">
        <f t="shared" ca="1" si="1192"/>
        <v>0</v>
      </c>
      <c r="EO228" s="1678">
        <f t="shared" ca="1" si="1192"/>
        <v>0</v>
      </c>
      <c r="EP228" s="1678">
        <f t="shared" ca="1" si="1192"/>
        <v>0</v>
      </c>
      <c r="EQ228" s="1678">
        <f t="shared" ca="1" si="1192"/>
        <v>0</v>
      </c>
      <c r="ER228" s="1679">
        <f t="shared" ca="1" si="1163"/>
        <v>0</v>
      </c>
      <c r="ES228" s="13">
        <f ca="1">SUM(ER225:ER227)</f>
        <v>0</v>
      </c>
      <c r="ET228" s="9"/>
      <c r="EU228" s="9"/>
      <c r="EV228" s="1629">
        <f t="shared" ref="EV228:FB228" si="1193">SUM(EV225:EV227)</f>
        <v>0</v>
      </c>
      <c r="EW228" s="1629">
        <f t="shared" si="1193"/>
        <v>0</v>
      </c>
      <c r="EX228" s="1629">
        <f t="shared" si="1193"/>
        <v>0</v>
      </c>
      <c r="EY228" s="1629">
        <f t="shared" si="1193"/>
        <v>0</v>
      </c>
      <c r="EZ228" s="1629">
        <f t="shared" si="1193"/>
        <v>0</v>
      </c>
      <c r="FA228" s="1629">
        <f t="shared" si="1193"/>
        <v>0</v>
      </c>
      <c r="FB228" s="1628">
        <f t="shared" si="1193"/>
        <v>0</v>
      </c>
      <c r="FC228" s="1"/>
      <c r="FD228" s="1629">
        <f t="shared" ref="FD228:FJ228" si="1194">SUM(FD225:FD227)</f>
        <v>0</v>
      </c>
      <c r="FE228" s="1629">
        <f t="shared" si="1194"/>
        <v>0</v>
      </c>
      <c r="FF228" s="1629">
        <f t="shared" si="1194"/>
        <v>0</v>
      </c>
      <c r="FG228" s="1629">
        <f t="shared" si="1194"/>
        <v>0</v>
      </c>
      <c r="FH228" s="1629">
        <f t="shared" si="1194"/>
        <v>0</v>
      </c>
      <c r="FI228" s="1629">
        <f t="shared" si="1194"/>
        <v>0</v>
      </c>
      <c r="FJ228" s="1628">
        <f t="shared" si="1194"/>
        <v>0</v>
      </c>
      <c r="FL228" s="1629">
        <f t="shared" ref="FL228:FR228" si="1195">SUM(FL225:FL227)</f>
        <v>0</v>
      </c>
      <c r="FM228" s="1629">
        <f t="shared" si="1195"/>
        <v>0</v>
      </c>
      <c r="FN228" s="1629">
        <f t="shared" si="1195"/>
        <v>0</v>
      </c>
      <c r="FO228" s="1629">
        <f t="shared" si="1195"/>
        <v>0</v>
      </c>
      <c r="FP228" s="1629">
        <f t="shared" si="1195"/>
        <v>0</v>
      </c>
      <c r="FQ228" s="1629">
        <f t="shared" si="1195"/>
        <v>0</v>
      </c>
      <c r="FR228" s="1628">
        <f t="shared" si="1195"/>
        <v>0</v>
      </c>
      <c r="FT228" s="7">
        <f t="shared" ref="FT228:FZ228" si="1196">SUM(FT225:FT227)</f>
        <v>0</v>
      </c>
      <c r="FU228" s="7">
        <f t="shared" si="1196"/>
        <v>0</v>
      </c>
      <c r="FV228" s="7">
        <f t="shared" si="1196"/>
        <v>0</v>
      </c>
      <c r="FW228" s="7">
        <f t="shared" si="1196"/>
        <v>0</v>
      </c>
      <c r="FX228" s="7">
        <f t="shared" si="1196"/>
        <v>0</v>
      </c>
      <c r="FY228" s="7">
        <f t="shared" si="1196"/>
        <v>0</v>
      </c>
      <c r="FZ228" s="12">
        <f t="shared" si="1196"/>
        <v>0</v>
      </c>
      <c r="GB228" s="7">
        <f t="shared" ref="GB228:GH228" si="1197">SUM(GB225:GB227)</f>
        <v>0</v>
      </c>
      <c r="GC228" s="7">
        <f t="shared" si="1197"/>
        <v>0</v>
      </c>
      <c r="GD228" s="7">
        <f t="shared" si="1197"/>
        <v>0</v>
      </c>
      <c r="GE228" s="7">
        <f t="shared" si="1197"/>
        <v>0</v>
      </c>
      <c r="GF228" s="7">
        <f t="shared" si="1197"/>
        <v>0</v>
      </c>
      <c r="GG228" s="7">
        <f t="shared" si="1197"/>
        <v>0</v>
      </c>
      <c r="GH228" s="12">
        <f t="shared" si="1197"/>
        <v>0</v>
      </c>
      <c r="GJ228" s="7">
        <f t="shared" ref="GJ228:GP228" si="1198">SUM(GJ225:GJ227)</f>
        <v>0</v>
      </c>
      <c r="GK228" s="7">
        <f t="shared" si="1198"/>
        <v>0</v>
      </c>
      <c r="GL228" s="7">
        <f t="shared" si="1198"/>
        <v>0</v>
      </c>
      <c r="GM228" s="7">
        <f t="shared" si="1198"/>
        <v>0</v>
      </c>
      <c r="GN228" s="7">
        <f t="shared" si="1198"/>
        <v>0</v>
      </c>
      <c r="GO228" s="7">
        <f t="shared" si="1198"/>
        <v>0</v>
      </c>
      <c r="GP228" s="12">
        <f t="shared" si="1198"/>
        <v>0</v>
      </c>
      <c r="GR228" s="7">
        <f t="shared" ref="GR228:GX228" si="1199">SUM(GR225:GR227)</f>
        <v>0</v>
      </c>
      <c r="GS228" s="7">
        <f t="shared" si="1199"/>
        <v>0</v>
      </c>
      <c r="GT228" s="7">
        <f t="shared" si="1199"/>
        <v>0</v>
      </c>
      <c r="GU228" s="7">
        <f t="shared" si="1199"/>
        <v>0</v>
      </c>
      <c r="GV228" s="7">
        <f t="shared" si="1199"/>
        <v>0</v>
      </c>
      <c r="GW228" s="7">
        <f t="shared" si="1199"/>
        <v>0</v>
      </c>
      <c r="GX228" s="12">
        <f t="shared" si="1199"/>
        <v>0</v>
      </c>
      <c r="GZ228" s="581">
        <f t="shared" si="1095"/>
        <v>0</v>
      </c>
      <c r="HA228" s="581">
        <f t="shared" si="1096"/>
        <v>0</v>
      </c>
      <c r="HB228" s="581">
        <f t="shared" si="1097"/>
        <v>0</v>
      </c>
      <c r="HC228" s="581">
        <f t="shared" si="1098"/>
        <v>0</v>
      </c>
      <c r="HD228" s="581">
        <f t="shared" si="1099"/>
        <v>0</v>
      </c>
      <c r="HE228" s="581">
        <f t="shared" si="1100"/>
        <v>0</v>
      </c>
      <c r="HF228" s="581">
        <f t="shared" si="1101"/>
        <v>0</v>
      </c>
      <c r="HG228" s="582">
        <f t="shared" ca="1" si="1102"/>
        <v>0</v>
      </c>
      <c r="HH228" s="257"/>
    </row>
    <row r="229" spans="1:216" ht="18" hidden="1" customHeight="1" x14ac:dyDescent="0.25">
      <c r="A229" s="72"/>
      <c r="B229" s="3290" t="str">
        <f>'Calc - GRAD ASST'!A35</f>
        <v>GA #02 / Sponsor Funds</v>
      </c>
      <c r="C229" s="483" t="s">
        <v>57</v>
      </c>
      <c r="D229" s="86">
        <f ca="1">'Calc - GRAD ASST'!$J$49</f>
        <v>0</v>
      </c>
      <c r="E229" s="86">
        <f ca="1">'Calc - GRAD ASST'!$J$51</f>
        <v>0</v>
      </c>
      <c r="F229" s="86">
        <f ca="1">'Calc - GRAD ASST'!$J$53</f>
        <v>0</v>
      </c>
      <c r="G229" s="86">
        <f ca="1">'Calc - GRAD ASST'!$J$55</f>
        <v>0</v>
      </c>
      <c r="H229" s="86">
        <f ca="1">'Calc - GRAD ASST'!$J$57</f>
        <v>0</v>
      </c>
      <c r="I229" s="86">
        <f ca="1">'Calc - GRAD ASST'!$J$59</f>
        <v>0</v>
      </c>
      <c r="J229" s="87">
        <f ca="1">SUM(D229:I229)</f>
        <v>0</v>
      </c>
      <c r="K229" s="9"/>
      <c r="M229" s="9"/>
      <c r="N229" s="5"/>
      <c r="O229" s="5"/>
      <c r="P229" s="5"/>
      <c r="Q229" s="5"/>
      <c r="R229" s="5"/>
      <c r="S229" s="5"/>
      <c r="T229" s="167">
        <f>SUM(N229:S229)</f>
        <v>0</v>
      </c>
      <c r="U229" s="1"/>
      <c r="V229" s="5"/>
      <c r="W229" s="5"/>
      <c r="X229" s="5"/>
      <c r="Y229" s="5"/>
      <c r="Z229" s="5"/>
      <c r="AA229" s="5"/>
      <c r="AB229" s="48">
        <f>SUM(V229:AA229)</f>
        <v>0</v>
      </c>
      <c r="AD229" s="5"/>
      <c r="AE229" s="5"/>
      <c r="AF229" s="5"/>
      <c r="AG229" s="5"/>
      <c r="AH229" s="5"/>
      <c r="AI229" s="5"/>
      <c r="AJ229" s="209">
        <f>SUM(AD229:AI229)</f>
        <v>0</v>
      </c>
      <c r="AL229" s="5"/>
      <c r="AM229" s="5"/>
      <c r="AN229" s="5"/>
      <c r="AO229" s="5"/>
      <c r="AP229" s="5"/>
      <c r="AQ229" s="5"/>
      <c r="AR229" s="181">
        <f>SUM(AL229:AQ229)</f>
        <v>0</v>
      </c>
      <c r="AT229" s="5"/>
      <c r="AU229" s="5"/>
      <c r="AV229" s="5"/>
      <c r="AW229" s="5"/>
      <c r="AX229" s="5"/>
      <c r="AY229" s="5"/>
      <c r="AZ229" s="153">
        <f>SUM(AT229:AY229)</f>
        <v>0</v>
      </c>
      <c r="BB229" s="5"/>
      <c r="BC229" s="5"/>
      <c r="BD229" s="5"/>
      <c r="BE229" s="5"/>
      <c r="BF229" s="5"/>
      <c r="BG229" s="5"/>
      <c r="BH229" s="195">
        <f>SUM(BB229:BG229)</f>
        <v>0</v>
      </c>
      <c r="BJ229" s="5"/>
      <c r="BK229" s="5"/>
      <c r="BL229" s="5"/>
      <c r="BM229" s="5"/>
      <c r="BN229" s="5"/>
      <c r="BO229" s="5"/>
      <c r="BP229" s="1630">
        <f>SUM(BJ229:BO229)</f>
        <v>0</v>
      </c>
      <c r="BR229" s="575">
        <f t="shared" si="1087"/>
        <v>0</v>
      </c>
      <c r="BS229" s="575">
        <f t="shared" si="1088"/>
        <v>0</v>
      </c>
      <c r="BT229" s="575">
        <f t="shared" si="1089"/>
        <v>0</v>
      </c>
      <c r="BU229" s="575">
        <f t="shared" si="1090"/>
        <v>0</v>
      </c>
      <c r="BV229" s="575">
        <f t="shared" si="1091"/>
        <v>0</v>
      </c>
      <c r="BW229" s="575">
        <f t="shared" si="1092"/>
        <v>0</v>
      </c>
      <c r="BX229" s="991">
        <f t="shared" si="1093"/>
        <v>0</v>
      </c>
      <c r="BY229" s="573">
        <f t="shared" ca="1" si="1094"/>
        <v>0</v>
      </c>
      <c r="BZ229" s="257"/>
      <c r="CB229" s="1322">
        <f ca="1">D229</f>
        <v>0</v>
      </c>
      <c r="CC229" s="386">
        <f ca="1">$E229/3</f>
        <v>0</v>
      </c>
      <c r="CD229" s="360">
        <f ca="1">$E229/3</f>
        <v>0</v>
      </c>
      <c r="CE229" s="360">
        <f ca="1">$E229/3</f>
        <v>0</v>
      </c>
      <c r="CF229" s="360"/>
      <c r="CG229" s="1161"/>
      <c r="CH229" s="1241">
        <f ca="1">$F229/3</f>
        <v>0</v>
      </c>
      <c r="CI229" s="1163">
        <f ca="1">$F229/3</f>
        <v>0</v>
      </c>
      <c r="CJ229" s="1163">
        <f ca="1">$F229/3</f>
        <v>0</v>
      </c>
      <c r="CK229" s="1163"/>
      <c r="CL229" s="1164"/>
      <c r="CM229" s="1165">
        <f ca="1">$G229/3</f>
        <v>0</v>
      </c>
      <c r="CN229" s="1242">
        <f ca="1">$G229/3</f>
        <v>0</v>
      </c>
      <c r="CO229" s="1167">
        <f ca="1">$G229/3</f>
        <v>0</v>
      </c>
      <c r="CP229" s="1168">
        <f t="shared" ca="1" si="1152"/>
        <v>0</v>
      </c>
      <c r="CS229" s="575"/>
      <c r="CT229" s="5"/>
      <c r="CU229" s="1180"/>
      <c r="CV229" s="575"/>
      <c r="CW229" s="5"/>
      <c r="CX229" s="1180"/>
      <c r="CY229" s="575"/>
      <c r="CZ229" s="5"/>
      <c r="DA229" s="1180"/>
      <c r="DB229" s="575"/>
      <c r="DC229" s="5"/>
      <c r="DD229" s="1180"/>
      <c r="DE229" s="1181">
        <f>SUM(CS229:DD229)</f>
        <v>0</v>
      </c>
      <c r="DG229" s="575"/>
      <c r="DH229" s="5"/>
      <c r="DI229" s="1180"/>
      <c r="DJ229" s="575"/>
      <c r="DK229" s="5"/>
      <c r="DL229" s="1180"/>
      <c r="DM229" s="575"/>
      <c r="DN229" s="5"/>
      <c r="DO229" s="1180"/>
      <c r="DP229" s="575"/>
      <c r="DQ229" s="5"/>
      <c r="DR229" s="1180"/>
      <c r="DS229" s="1181">
        <f>SUM(DG229:DR229)</f>
        <v>0</v>
      </c>
      <c r="DU229" s="575"/>
      <c r="DV229" s="5"/>
      <c r="DW229" s="1180"/>
      <c r="DX229" s="575"/>
      <c r="DY229" s="5"/>
      <c r="DZ229" s="1180"/>
      <c r="EA229" s="575"/>
      <c r="EB229" s="5"/>
      <c r="EC229" s="1180"/>
      <c r="ED229" s="575"/>
      <c r="EE229" s="5"/>
      <c r="EF229" s="1180"/>
      <c r="EG229" s="1181">
        <f>SUM(DU229:EF229)</f>
        <v>0</v>
      </c>
      <c r="EI229" s="3456"/>
      <c r="EJ229" s="3290" t="str">
        <f>B229</f>
        <v>GA #02 / Sponsor Funds</v>
      </c>
      <c r="EK229" s="483" t="s">
        <v>57</v>
      </c>
      <c r="EL229" s="86">
        <f t="shared" ref="EL229:EQ231" ca="1" si="1200">ROUND(D229,0)</f>
        <v>0</v>
      </c>
      <c r="EM229" s="86">
        <f t="shared" ca="1" si="1200"/>
        <v>0</v>
      </c>
      <c r="EN229" s="86">
        <f t="shared" ca="1" si="1200"/>
        <v>0</v>
      </c>
      <c r="EO229" s="86">
        <f t="shared" ca="1" si="1200"/>
        <v>0</v>
      </c>
      <c r="EP229" s="86">
        <f t="shared" ca="1" si="1200"/>
        <v>0</v>
      </c>
      <c r="EQ229" s="86">
        <f t="shared" ca="1" si="1200"/>
        <v>0</v>
      </c>
      <c r="ER229" s="87">
        <f t="shared" ca="1" si="1163"/>
        <v>0</v>
      </c>
      <c r="ES229" s="9"/>
      <c r="EU229" s="9"/>
      <c r="EV229" s="5">
        <f t="shared" ref="EV229:FA231" si="1201">ROUND(N229,0)</f>
        <v>0</v>
      </c>
      <c r="EW229" s="5">
        <f t="shared" si="1201"/>
        <v>0</v>
      </c>
      <c r="EX229" s="5">
        <f t="shared" si="1201"/>
        <v>0</v>
      </c>
      <c r="EY229" s="5">
        <f t="shared" si="1201"/>
        <v>0</v>
      </c>
      <c r="EZ229" s="5">
        <f t="shared" si="1201"/>
        <v>0</v>
      </c>
      <c r="FA229" s="5">
        <f t="shared" si="1201"/>
        <v>0</v>
      </c>
      <c r="FB229" s="167">
        <f>SUM(EV229:FA229)</f>
        <v>0</v>
      </c>
      <c r="FC229" s="1"/>
      <c r="FD229" s="5"/>
      <c r="FE229" s="5"/>
      <c r="FF229" s="5"/>
      <c r="FG229" s="5"/>
      <c r="FH229" s="5"/>
      <c r="FI229" s="5"/>
      <c r="FJ229" s="48">
        <f>SUM(FD229:FI229)</f>
        <v>0</v>
      </c>
      <c r="FL229" s="5"/>
      <c r="FM229" s="5"/>
      <c r="FN229" s="5"/>
      <c r="FO229" s="5"/>
      <c r="FP229" s="5"/>
      <c r="FQ229" s="5"/>
      <c r="FR229" s="209">
        <f>SUM(FL229:FQ229)</f>
        <v>0</v>
      </c>
      <c r="FT229" s="5"/>
      <c r="FU229" s="5"/>
      <c r="FV229" s="5"/>
      <c r="FW229" s="5"/>
      <c r="FX229" s="5"/>
      <c r="FY229" s="5"/>
      <c r="FZ229" s="181">
        <f>SUM(FT229:FY229)</f>
        <v>0</v>
      </c>
      <c r="GB229" s="5"/>
      <c r="GC229" s="5"/>
      <c r="GD229" s="5"/>
      <c r="GE229" s="5"/>
      <c r="GF229" s="5"/>
      <c r="GG229" s="5"/>
      <c r="GH229" s="153">
        <f>SUM(GB229:GG229)</f>
        <v>0</v>
      </c>
      <c r="GJ229" s="5"/>
      <c r="GK229" s="5"/>
      <c r="GL229" s="5"/>
      <c r="GM229" s="5"/>
      <c r="GN229" s="5"/>
      <c r="GO229" s="5"/>
      <c r="GP229" s="195">
        <f>SUM(GJ229:GO229)</f>
        <v>0</v>
      </c>
      <c r="GR229" s="5"/>
      <c r="GS229" s="5"/>
      <c r="GT229" s="5"/>
      <c r="GU229" s="5"/>
      <c r="GV229" s="5"/>
      <c r="GW229" s="5"/>
      <c r="GX229" s="1630">
        <f>SUM(GR229:GW229)</f>
        <v>0</v>
      </c>
      <c r="GZ229" s="575">
        <f t="shared" si="1095"/>
        <v>0</v>
      </c>
      <c r="HA229" s="575">
        <f t="shared" si="1096"/>
        <v>0</v>
      </c>
      <c r="HB229" s="575">
        <f t="shared" si="1097"/>
        <v>0</v>
      </c>
      <c r="HC229" s="575">
        <f t="shared" si="1098"/>
        <v>0</v>
      </c>
      <c r="HD229" s="575">
        <f t="shared" si="1099"/>
        <v>0</v>
      </c>
      <c r="HE229" s="575">
        <f t="shared" si="1100"/>
        <v>0</v>
      </c>
      <c r="HF229" s="991">
        <f t="shared" si="1101"/>
        <v>0</v>
      </c>
      <c r="HG229" s="573">
        <f t="shared" ca="1" si="1102"/>
        <v>0</v>
      </c>
      <c r="HH229" s="257"/>
    </row>
    <row r="230" spans="1:216" ht="15" hidden="1" customHeight="1" x14ac:dyDescent="0.25">
      <c r="A230" s="72"/>
      <c r="B230" s="3291"/>
      <c r="C230" s="78" t="s">
        <v>96</v>
      </c>
      <c r="D230" s="29">
        <f ca="1">'Calc - GRAD ASST'!$E$49</f>
        <v>0</v>
      </c>
      <c r="E230" s="29">
        <f ca="1">'Calc - GRAD ASST'!$E$51</f>
        <v>0</v>
      </c>
      <c r="F230" s="29">
        <f ca="1">'Calc - GRAD ASST'!$E$53</f>
        <v>0</v>
      </c>
      <c r="G230" s="29">
        <f ca="1">'Calc - GRAD ASST'!$E$55</f>
        <v>0</v>
      </c>
      <c r="H230" s="29">
        <f ca="1">'Calc - GRAD ASST'!$E$57</f>
        <v>0</v>
      </c>
      <c r="I230" s="29">
        <f ca="1">'Calc - GRAD ASST'!$E$59</f>
        <v>0</v>
      </c>
      <c r="J230" s="88">
        <f ca="1">SUM(D230:I230)</f>
        <v>0</v>
      </c>
      <c r="L230" s="9"/>
      <c r="N230" s="29"/>
      <c r="O230" s="29"/>
      <c r="P230" s="29"/>
      <c r="Q230" s="29"/>
      <c r="R230" s="29"/>
      <c r="S230" s="29"/>
      <c r="T230" s="167">
        <f>SUM(N230:S230)</f>
        <v>0</v>
      </c>
      <c r="U230" s="1"/>
      <c r="V230" s="29"/>
      <c r="W230" s="29"/>
      <c r="X230" s="29"/>
      <c r="Y230" s="29"/>
      <c r="Z230" s="29"/>
      <c r="AA230" s="29"/>
      <c r="AB230" s="48">
        <f>SUM(V230:AA230)</f>
        <v>0</v>
      </c>
      <c r="AD230" s="29"/>
      <c r="AE230" s="29"/>
      <c r="AF230" s="29"/>
      <c r="AG230" s="29"/>
      <c r="AH230" s="29"/>
      <c r="AI230" s="29"/>
      <c r="AJ230" s="209">
        <f>SUM(AD230:AI230)</f>
        <v>0</v>
      </c>
      <c r="AL230" s="29"/>
      <c r="AM230" s="29"/>
      <c r="AN230" s="29"/>
      <c r="AO230" s="29"/>
      <c r="AP230" s="29"/>
      <c r="AQ230" s="29"/>
      <c r="AR230" s="181">
        <f>SUM(AL230:AQ230)</f>
        <v>0</v>
      </c>
      <c r="AT230" s="29"/>
      <c r="AU230" s="29"/>
      <c r="AV230" s="29"/>
      <c r="AW230" s="29"/>
      <c r="AX230" s="29"/>
      <c r="AY230" s="29"/>
      <c r="AZ230" s="153">
        <f>SUM(AT230:AY230)</f>
        <v>0</v>
      </c>
      <c r="BB230" s="29"/>
      <c r="BC230" s="29"/>
      <c r="BD230" s="29"/>
      <c r="BE230" s="29"/>
      <c r="BF230" s="29"/>
      <c r="BG230" s="29"/>
      <c r="BH230" s="195">
        <f>SUM(BB230:BG230)</f>
        <v>0</v>
      </c>
      <c r="BJ230" s="29"/>
      <c r="BK230" s="29"/>
      <c r="BL230" s="29"/>
      <c r="BM230" s="29"/>
      <c r="BN230" s="29"/>
      <c r="BO230" s="29"/>
      <c r="BP230" s="1630">
        <f>SUM(BJ230:BO230)</f>
        <v>0</v>
      </c>
      <c r="BR230" s="575">
        <f t="shared" si="1087"/>
        <v>0</v>
      </c>
      <c r="BS230" s="575">
        <f t="shared" si="1088"/>
        <v>0</v>
      </c>
      <c r="BT230" s="575">
        <f t="shared" si="1089"/>
        <v>0</v>
      </c>
      <c r="BU230" s="575">
        <f t="shared" si="1090"/>
        <v>0</v>
      </c>
      <c r="BV230" s="575">
        <f t="shared" si="1091"/>
        <v>0</v>
      </c>
      <c r="BW230" s="575">
        <f t="shared" si="1092"/>
        <v>0</v>
      </c>
      <c r="BX230" s="991">
        <f t="shared" si="1093"/>
        <v>0</v>
      </c>
      <c r="BY230" s="573">
        <f t="shared" ca="1" si="1094"/>
        <v>0</v>
      </c>
      <c r="BZ230" s="257"/>
      <c r="CB230" s="1350">
        <f ca="1">D230</f>
        <v>0</v>
      </c>
      <c r="CC230" s="1268"/>
      <c r="CD230" s="1269"/>
      <c r="CE230" s="1269"/>
      <c r="CF230" s="1269"/>
      <c r="CG230" s="1270">
        <f ca="1">E230</f>
        <v>0</v>
      </c>
      <c r="CH230" s="1271"/>
      <c r="CI230" s="1272"/>
      <c r="CJ230" s="1272"/>
      <c r="CK230" s="1272"/>
      <c r="CL230" s="1273">
        <f ca="1">F230</f>
        <v>0</v>
      </c>
      <c r="CM230" s="1274"/>
      <c r="CN230" s="1275"/>
      <c r="CO230" s="1276"/>
      <c r="CP230" s="1224">
        <f t="shared" ca="1" si="1152"/>
        <v>0</v>
      </c>
      <c r="CS230" s="575"/>
      <c r="CT230" s="5"/>
      <c r="CU230" s="1180"/>
      <c r="CV230" s="575"/>
      <c r="CW230" s="5"/>
      <c r="CX230" s="1180"/>
      <c r="CY230" s="575"/>
      <c r="CZ230" s="5"/>
      <c r="DA230" s="1180"/>
      <c r="DB230" s="575"/>
      <c r="DC230" s="5"/>
      <c r="DD230" s="1180"/>
      <c r="DE230" s="1181">
        <f>SUM(CS230:DD230)</f>
        <v>0</v>
      </c>
      <c r="DG230" s="575"/>
      <c r="DH230" s="5"/>
      <c r="DI230" s="1180"/>
      <c r="DJ230" s="575"/>
      <c r="DK230" s="5"/>
      <c r="DL230" s="1180"/>
      <c r="DM230" s="575"/>
      <c r="DN230" s="5"/>
      <c r="DO230" s="1180"/>
      <c r="DP230" s="575"/>
      <c r="DQ230" s="5"/>
      <c r="DR230" s="1180"/>
      <c r="DS230" s="1181">
        <f>SUM(DG230:DR230)</f>
        <v>0</v>
      </c>
      <c r="DU230" s="575"/>
      <c r="DV230" s="5"/>
      <c r="DW230" s="1180"/>
      <c r="DX230" s="575"/>
      <c r="DY230" s="5"/>
      <c r="DZ230" s="1180"/>
      <c r="EA230" s="575"/>
      <c r="EB230" s="5"/>
      <c r="EC230" s="1180"/>
      <c r="ED230" s="575"/>
      <c r="EE230" s="5"/>
      <c r="EF230" s="1180"/>
      <c r="EG230" s="1181">
        <f>SUM(DU230:EF230)</f>
        <v>0</v>
      </c>
      <c r="EI230" s="3456"/>
      <c r="EJ230" s="3291"/>
      <c r="EK230" s="78" t="s">
        <v>96</v>
      </c>
      <c r="EL230" s="29">
        <f t="shared" ca="1" si="1200"/>
        <v>0</v>
      </c>
      <c r="EM230" s="29">
        <f t="shared" ca="1" si="1200"/>
        <v>0</v>
      </c>
      <c r="EN230" s="29">
        <f t="shared" ca="1" si="1200"/>
        <v>0</v>
      </c>
      <c r="EO230" s="29">
        <f t="shared" ca="1" si="1200"/>
        <v>0</v>
      </c>
      <c r="EP230" s="29">
        <f t="shared" ca="1" si="1200"/>
        <v>0</v>
      </c>
      <c r="EQ230" s="29">
        <f t="shared" ca="1" si="1200"/>
        <v>0</v>
      </c>
      <c r="ER230" s="88">
        <f t="shared" ca="1" si="1163"/>
        <v>0</v>
      </c>
      <c r="ET230" s="9"/>
      <c r="EV230" s="29">
        <f t="shared" si="1201"/>
        <v>0</v>
      </c>
      <c r="EW230" s="29">
        <f t="shared" si="1201"/>
        <v>0</v>
      </c>
      <c r="EX230" s="29">
        <f t="shared" si="1201"/>
        <v>0</v>
      </c>
      <c r="EY230" s="29">
        <f t="shared" si="1201"/>
        <v>0</v>
      </c>
      <c r="EZ230" s="29">
        <f t="shared" si="1201"/>
        <v>0</v>
      </c>
      <c r="FA230" s="29">
        <f t="shared" si="1201"/>
        <v>0</v>
      </c>
      <c r="FB230" s="167">
        <f>SUM(EV230:FA230)</f>
        <v>0</v>
      </c>
      <c r="FC230" s="1"/>
      <c r="FD230" s="29"/>
      <c r="FE230" s="29"/>
      <c r="FF230" s="29"/>
      <c r="FG230" s="29"/>
      <c r="FH230" s="29"/>
      <c r="FI230" s="29"/>
      <c r="FJ230" s="48">
        <f>SUM(FD230:FI230)</f>
        <v>0</v>
      </c>
      <c r="FL230" s="29"/>
      <c r="FM230" s="29"/>
      <c r="FN230" s="29"/>
      <c r="FO230" s="29"/>
      <c r="FP230" s="29"/>
      <c r="FQ230" s="29"/>
      <c r="FR230" s="209">
        <f>SUM(FL230:FQ230)</f>
        <v>0</v>
      </c>
      <c r="FT230" s="29"/>
      <c r="FU230" s="29"/>
      <c r="FV230" s="29"/>
      <c r="FW230" s="29"/>
      <c r="FX230" s="29"/>
      <c r="FY230" s="29"/>
      <c r="FZ230" s="181">
        <f>SUM(FT230:FY230)</f>
        <v>0</v>
      </c>
      <c r="GB230" s="29"/>
      <c r="GC230" s="29"/>
      <c r="GD230" s="29"/>
      <c r="GE230" s="29"/>
      <c r="GF230" s="29"/>
      <c r="GG230" s="29"/>
      <c r="GH230" s="153">
        <f>SUM(GB230:GG230)</f>
        <v>0</v>
      </c>
      <c r="GJ230" s="29"/>
      <c r="GK230" s="29"/>
      <c r="GL230" s="29"/>
      <c r="GM230" s="29"/>
      <c r="GN230" s="29"/>
      <c r="GO230" s="29"/>
      <c r="GP230" s="195">
        <f>SUM(GJ230:GO230)</f>
        <v>0</v>
      </c>
      <c r="GR230" s="29"/>
      <c r="GS230" s="29"/>
      <c r="GT230" s="29"/>
      <c r="GU230" s="29"/>
      <c r="GV230" s="29"/>
      <c r="GW230" s="29"/>
      <c r="GX230" s="1630">
        <f>SUM(GR230:GW230)</f>
        <v>0</v>
      </c>
      <c r="GZ230" s="575">
        <f t="shared" si="1095"/>
        <v>0</v>
      </c>
      <c r="HA230" s="575">
        <f t="shared" si="1096"/>
        <v>0</v>
      </c>
      <c r="HB230" s="575">
        <f t="shared" si="1097"/>
        <v>0</v>
      </c>
      <c r="HC230" s="575">
        <f t="shared" si="1098"/>
        <v>0</v>
      </c>
      <c r="HD230" s="575">
        <f t="shared" si="1099"/>
        <v>0</v>
      </c>
      <c r="HE230" s="575">
        <f t="shared" si="1100"/>
        <v>0</v>
      </c>
      <c r="HF230" s="991">
        <f t="shared" si="1101"/>
        <v>0</v>
      </c>
      <c r="HG230" s="573">
        <f t="shared" ca="1" si="1102"/>
        <v>0</v>
      </c>
      <c r="HH230" s="257"/>
    </row>
    <row r="231" spans="1:216" ht="15" hidden="1" customHeight="1" thickBot="1" x14ac:dyDescent="0.3">
      <c r="A231" s="72"/>
      <c r="B231" s="1841">
        <f>'Calc - GRAD ASST'!C36</f>
        <v>0</v>
      </c>
      <c r="C231" s="420" t="s">
        <v>130</v>
      </c>
      <c r="D231" s="42">
        <f ca="1">'Calc - GRAD ASST'!$M$49</f>
        <v>0</v>
      </c>
      <c r="E231" s="42">
        <f ca="1">'Calc - GRAD ASST'!$M$51</f>
        <v>0</v>
      </c>
      <c r="F231" s="42">
        <f ca="1">'Calc - GRAD ASST'!$M$53</f>
        <v>0</v>
      </c>
      <c r="G231" s="42">
        <f ca="1">'Calc - GRAD ASST'!$M$55</f>
        <v>0</v>
      </c>
      <c r="H231" s="42">
        <f ca="1">'Calc - GRAD ASST'!$M$57</f>
        <v>0</v>
      </c>
      <c r="I231" s="42">
        <f ca="1">'Calc - GRAD ASST'!$M$59</f>
        <v>0</v>
      </c>
      <c r="J231" s="90">
        <f ca="1">SUM(D231:I231)</f>
        <v>0</v>
      </c>
      <c r="K231" s="9"/>
      <c r="L231" s="9"/>
      <c r="M231" s="9"/>
      <c r="N231" s="5"/>
      <c r="O231" s="5"/>
      <c r="P231" s="5"/>
      <c r="Q231" s="5"/>
      <c r="R231" s="5"/>
      <c r="S231" s="5"/>
      <c r="T231" s="167">
        <f>SUM(N231:S231)</f>
        <v>0</v>
      </c>
      <c r="U231" s="1"/>
      <c r="V231" s="5"/>
      <c r="W231" s="5"/>
      <c r="X231" s="5"/>
      <c r="Y231" s="5"/>
      <c r="Z231" s="5"/>
      <c r="AA231" s="5"/>
      <c r="AB231" s="48">
        <f>SUM(V231:AA231)</f>
        <v>0</v>
      </c>
      <c r="AD231" s="5"/>
      <c r="AE231" s="5"/>
      <c r="AF231" s="5"/>
      <c r="AG231" s="5"/>
      <c r="AH231" s="5"/>
      <c r="AI231" s="5"/>
      <c r="AJ231" s="209">
        <f>SUM(AD231:AI231)</f>
        <v>0</v>
      </c>
      <c r="AL231" s="5"/>
      <c r="AM231" s="5"/>
      <c r="AN231" s="5"/>
      <c r="AO231" s="5"/>
      <c r="AP231" s="5"/>
      <c r="AQ231" s="5"/>
      <c r="AR231" s="181">
        <f>SUM(AL231:AQ231)</f>
        <v>0</v>
      </c>
      <c r="AT231" s="5"/>
      <c r="AU231" s="5"/>
      <c r="AV231" s="5"/>
      <c r="AW231" s="5"/>
      <c r="AX231" s="5"/>
      <c r="AY231" s="5"/>
      <c r="AZ231" s="153">
        <f>SUM(AT231:AY231)</f>
        <v>0</v>
      </c>
      <c r="BB231" s="5"/>
      <c r="BC231" s="5"/>
      <c r="BD231" s="5"/>
      <c r="BE231" s="5"/>
      <c r="BF231" s="5"/>
      <c r="BG231" s="5"/>
      <c r="BH231" s="195">
        <f>SUM(BB231:BG231)</f>
        <v>0</v>
      </c>
      <c r="BJ231" s="5"/>
      <c r="BK231" s="5"/>
      <c r="BL231" s="5"/>
      <c r="BM231" s="5"/>
      <c r="BN231" s="5"/>
      <c r="BO231" s="5"/>
      <c r="BP231" s="1630">
        <f>SUM(BJ231:BO231)</f>
        <v>0</v>
      </c>
      <c r="BR231" s="575">
        <f t="shared" si="1087"/>
        <v>0</v>
      </c>
      <c r="BS231" s="575">
        <f t="shared" si="1088"/>
        <v>0</v>
      </c>
      <c r="BT231" s="575">
        <f t="shared" si="1089"/>
        <v>0</v>
      </c>
      <c r="BU231" s="575">
        <f t="shared" si="1090"/>
        <v>0</v>
      </c>
      <c r="BV231" s="575">
        <f t="shared" si="1091"/>
        <v>0</v>
      </c>
      <c r="BW231" s="575">
        <f t="shared" si="1092"/>
        <v>0</v>
      </c>
      <c r="BX231" s="991">
        <f t="shared" si="1093"/>
        <v>0</v>
      </c>
      <c r="BY231" s="573">
        <f t="shared" ca="1" si="1094"/>
        <v>0</v>
      </c>
      <c r="BZ231" s="257"/>
      <c r="CB231" s="1330">
        <f ca="1">D231</f>
        <v>0</v>
      </c>
      <c r="CC231" s="1201">
        <f ca="1">($E231-$CG231)/3</f>
        <v>0</v>
      </c>
      <c r="CD231" s="1202">
        <f ca="1">($E231-$CG231)/3</f>
        <v>0</v>
      </c>
      <c r="CE231" s="1202">
        <f ca="1">($E231-$CG231)/3</f>
        <v>0</v>
      </c>
      <c r="CF231" s="1202"/>
      <c r="CG231" s="1203">
        <f ca="1">OFFSET('Calc - GRAD ASST'!$K$20,1*29+2,0)</f>
        <v>0</v>
      </c>
      <c r="CH231" s="1251">
        <f ca="1">($F231-$CL231)/3</f>
        <v>0</v>
      </c>
      <c r="CI231" s="1205">
        <f ca="1">($F231-$CL231)/3</f>
        <v>0</v>
      </c>
      <c r="CJ231" s="1205">
        <f ca="1">($F231-$CL231)/3</f>
        <v>0</v>
      </c>
      <c r="CK231" s="1205"/>
      <c r="CL231" s="1206">
        <f ca="1">OFFSET('Calc - GRAD ASST'!$K$20,1*29+4,0)</f>
        <v>0</v>
      </c>
      <c r="CM231" s="1207">
        <f ca="1">$G231/3</f>
        <v>0</v>
      </c>
      <c r="CN231" s="1252">
        <f ca="1">$G231/3</f>
        <v>0</v>
      </c>
      <c r="CO231" s="1209">
        <f ca="1">$G231/3</f>
        <v>0</v>
      </c>
      <c r="CP231" s="1316">
        <f t="shared" ca="1" si="1152"/>
        <v>0</v>
      </c>
      <c r="CS231" s="575"/>
      <c r="CT231" s="5"/>
      <c r="CU231" s="1180"/>
      <c r="CV231" s="575"/>
      <c r="CW231" s="5"/>
      <c r="CX231" s="1180"/>
      <c r="CY231" s="575"/>
      <c r="CZ231" s="5"/>
      <c r="DA231" s="1180"/>
      <c r="DB231" s="575"/>
      <c r="DC231" s="5"/>
      <c r="DD231" s="1180"/>
      <c r="DE231" s="1181">
        <f>SUM(CS231:DD231)</f>
        <v>0</v>
      </c>
      <c r="DG231" s="575"/>
      <c r="DH231" s="5"/>
      <c r="DI231" s="1180"/>
      <c r="DJ231" s="575"/>
      <c r="DK231" s="5"/>
      <c r="DL231" s="1180"/>
      <c r="DM231" s="575"/>
      <c r="DN231" s="5"/>
      <c r="DO231" s="1180"/>
      <c r="DP231" s="575"/>
      <c r="DQ231" s="5"/>
      <c r="DR231" s="1180"/>
      <c r="DS231" s="1181">
        <f>SUM(DG231:DR231)</f>
        <v>0</v>
      </c>
      <c r="DU231" s="575"/>
      <c r="DV231" s="5"/>
      <c r="DW231" s="1180"/>
      <c r="DX231" s="575"/>
      <c r="DY231" s="5"/>
      <c r="DZ231" s="1180"/>
      <c r="EA231" s="575"/>
      <c r="EB231" s="5"/>
      <c r="EC231" s="1180"/>
      <c r="ED231" s="575"/>
      <c r="EE231" s="5"/>
      <c r="EF231" s="1180"/>
      <c r="EG231" s="1181">
        <f>SUM(DU231:EF231)</f>
        <v>0</v>
      </c>
      <c r="EI231" s="3456"/>
      <c r="EJ231" s="1841">
        <f>B231</f>
        <v>0</v>
      </c>
      <c r="EK231" s="420" t="s">
        <v>130</v>
      </c>
      <c r="EL231" s="42">
        <f t="shared" ca="1" si="1200"/>
        <v>0</v>
      </c>
      <c r="EM231" s="42">
        <f t="shared" ca="1" si="1200"/>
        <v>0</v>
      </c>
      <c r="EN231" s="42">
        <f t="shared" ca="1" si="1200"/>
        <v>0</v>
      </c>
      <c r="EO231" s="42">
        <f t="shared" ca="1" si="1200"/>
        <v>0</v>
      </c>
      <c r="EP231" s="42">
        <f t="shared" ca="1" si="1200"/>
        <v>0</v>
      </c>
      <c r="EQ231" s="42">
        <f t="shared" ca="1" si="1200"/>
        <v>0</v>
      </c>
      <c r="ER231" s="90">
        <f t="shared" ca="1" si="1163"/>
        <v>0</v>
      </c>
      <c r="ES231" s="9"/>
      <c r="ET231" s="9"/>
      <c r="EU231" s="9"/>
      <c r="EV231" s="5">
        <f t="shared" si="1201"/>
        <v>0</v>
      </c>
      <c r="EW231" s="5">
        <f t="shared" si="1201"/>
        <v>0</v>
      </c>
      <c r="EX231" s="5">
        <f t="shared" si="1201"/>
        <v>0</v>
      </c>
      <c r="EY231" s="5">
        <f t="shared" si="1201"/>
        <v>0</v>
      </c>
      <c r="EZ231" s="5">
        <f t="shared" si="1201"/>
        <v>0</v>
      </c>
      <c r="FA231" s="5">
        <f t="shared" si="1201"/>
        <v>0</v>
      </c>
      <c r="FB231" s="167">
        <f>SUM(EV231:FA231)</f>
        <v>0</v>
      </c>
      <c r="FC231" s="1"/>
      <c r="FD231" s="5"/>
      <c r="FE231" s="5"/>
      <c r="FF231" s="5"/>
      <c r="FG231" s="5"/>
      <c r="FH231" s="5"/>
      <c r="FI231" s="5"/>
      <c r="FJ231" s="48">
        <f>SUM(FD231:FI231)</f>
        <v>0</v>
      </c>
      <c r="FL231" s="5"/>
      <c r="FM231" s="5"/>
      <c r="FN231" s="5"/>
      <c r="FO231" s="5"/>
      <c r="FP231" s="5"/>
      <c r="FQ231" s="5"/>
      <c r="FR231" s="209">
        <f>SUM(FL231:FQ231)</f>
        <v>0</v>
      </c>
      <c r="FT231" s="5"/>
      <c r="FU231" s="5"/>
      <c r="FV231" s="5"/>
      <c r="FW231" s="5"/>
      <c r="FX231" s="5"/>
      <c r="FY231" s="5"/>
      <c r="FZ231" s="181">
        <f>SUM(FT231:FY231)</f>
        <v>0</v>
      </c>
      <c r="GB231" s="5"/>
      <c r="GC231" s="5"/>
      <c r="GD231" s="5"/>
      <c r="GE231" s="5"/>
      <c r="GF231" s="5"/>
      <c r="GG231" s="5"/>
      <c r="GH231" s="153">
        <f>SUM(GB231:GG231)</f>
        <v>0</v>
      </c>
      <c r="GJ231" s="5"/>
      <c r="GK231" s="5"/>
      <c r="GL231" s="5"/>
      <c r="GM231" s="5"/>
      <c r="GN231" s="5"/>
      <c r="GO231" s="5"/>
      <c r="GP231" s="195">
        <f>SUM(GJ231:GO231)</f>
        <v>0</v>
      </c>
      <c r="GR231" s="5"/>
      <c r="GS231" s="5"/>
      <c r="GT231" s="5"/>
      <c r="GU231" s="5"/>
      <c r="GV231" s="5"/>
      <c r="GW231" s="5"/>
      <c r="GX231" s="1630">
        <f>SUM(GR231:GW231)</f>
        <v>0</v>
      </c>
      <c r="GZ231" s="575">
        <f t="shared" si="1095"/>
        <v>0</v>
      </c>
      <c r="HA231" s="575">
        <f t="shared" si="1096"/>
        <v>0</v>
      </c>
      <c r="HB231" s="575">
        <f t="shared" si="1097"/>
        <v>0</v>
      </c>
      <c r="HC231" s="575">
        <f t="shared" si="1098"/>
        <v>0</v>
      </c>
      <c r="HD231" s="575">
        <f t="shared" si="1099"/>
        <v>0</v>
      </c>
      <c r="HE231" s="575">
        <f t="shared" si="1100"/>
        <v>0</v>
      </c>
      <c r="HF231" s="991">
        <f t="shared" si="1101"/>
        <v>0</v>
      </c>
      <c r="HG231" s="573">
        <f t="shared" ca="1" si="1102"/>
        <v>0</v>
      </c>
      <c r="HH231" s="257"/>
    </row>
    <row r="232" spans="1:216" ht="15" hidden="1" customHeight="1" thickBot="1" x14ac:dyDescent="0.3">
      <c r="A232" s="72"/>
      <c r="B232" s="1842"/>
      <c r="C232" s="1625" t="s">
        <v>268</v>
      </c>
      <c r="D232" s="1626">
        <f t="shared" ref="D232:J232" ca="1" si="1202">SUM(D229:D231)</f>
        <v>0</v>
      </c>
      <c r="E232" s="1626">
        <f t="shared" ca="1" si="1202"/>
        <v>0</v>
      </c>
      <c r="F232" s="1626">
        <f t="shared" ca="1" si="1202"/>
        <v>0</v>
      </c>
      <c r="G232" s="1626">
        <f t="shared" ca="1" si="1202"/>
        <v>0</v>
      </c>
      <c r="H232" s="1626">
        <f t="shared" ca="1" si="1202"/>
        <v>0</v>
      </c>
      <c r="I232" s="1626">
        <f t="shared" ca="1" si="1202"/>
        <v>0</v>
      </c>
      <c r="J232" s="1680">
        <f t="shared" ca="1" si="1202"/>
        <v>0</v>
      </c>
      <c r="K232" s="13">
        <f ca="1">SUM(D232:I232)</f>
        <v>0</v>
      </c>
      <c r="L232" s="9"/>
      <c r="M232" s="9"/>
      <c r="N232" s="1629">
        <f t="shared" ref="N232:T232" si="1203">SUM(N229:N231)</f>
        <v>0</v>
      </c>
      <c r="O232" s="1629">
        <f t="shared" si="1203"/>
        <v>0</v>
      </c>
      <c r="P232" s="1629">
        <f t="shared" si="1203"/>
        <v>0</v>
      </c>
      <c r="Q232" s="1629">
        <f t="shared" si="1203"/>
        <v>0</v>
      </c>
      <c r="R232" s="1629">
        <f t="shared" si="1203"/>
        <v>0</v>
      </c>
      <c r="S232" s="1629">
        <f t="shared" si="1203"/>
        <v>0</v>
      </c>
      <c r="T232" s="1628">
        <f t="shared" si="1203"/>
        <v>0</v>
      </c>
      <c r="U232" s="1"/>
      <c r="V232" s="1629">
        <f t="shared" ref="V232:AB232" si="1204">SUM(V229:V231)</f>
        <v>0</v>
      </c>
      <c r="W232" s="1629">
        <f t="shared" si="1204"/>
        <v>0</v>
      </c>
      <c r="X232" s="1629">
        <f t="shared" si="1204"/>
        <v>0</v>
      </c>
      <c r="Y232" s="1629">
        <f t="shared" si="1204"/>
        <v>0</v>
      </c>
      <c r="Z232" s="1629">
        <f t="shared" si="1204"/>
        <v>0</v>
      </c>
      <c r="AA232" s="1629">
        <f t="shared" si="1204"/>
        <v>0</v>
      </c>
      <c r="AB232" s="1628">
        <f t="shared" si="1204"/>
        <v>0</v>
      </c>
      <c r="AD232" s="1629">
        <f t="shared" ref="AD232:AJ232" si="1205">SUM(AD229:AD231)</f>
        <v>0</v>
      </c>
      <c r="AE232" s="1629">
        <f t="shared" si="1205"/>
        <v>0</v>
      </c>
      <c r="AF232" s="1629">
        <f t="shared" si="1205"/>
        <v>0</v>
      </c>
      <c r="AG232" s="1629">
        <f t="shared" si="1205"/>
        <v>0</v>
      </c>
      <c r="AH232" s="1629">
        <f t="shared" si="1205"/>
        <v>0</v>
      </c>
      <c r="AI232" s="1629">
        <f t="shared" si="1205"/>
        <v>0</v>
      </c>
      <c r="AJ232" s="1628">
        <f t="shared" si="1205"/>
        <v>0</v>
      </c>
      <c r="AL232" s="7">
        <f t="shared" ref="AL232:AR232" si="1206">SUM(AL229:AL231)</f>
        <v>0</v>
      </c>
      <c r="AM232" s="7">
        <f t="shared" si="1206"/>
        <v>0</v>
      </c>
      <c r="AN232" s="7">
        <f t="shared" si="1206"/>
        <v>0</v>
      </c>
      <c r="AO232" s="7">
        <f t="shared" si="1206"/>
        <v>0</v>
      </c>
      <c r="AP232" s="7">
        <f t="shared" si="1206"/>
        <v>0</v>
      </c>
      <c r="AQ232" s="7">
        <f t="shared" si="1206"/>
        <v>0</v>
      </c>
      <c r="AR232" s="12">
        <f t="shared" si="1206"/>
        <v>0</v>
      </c>
      <c r="AT232" s="7">
        <f t="shared" ref="AT232:AZ232" si="1207">SUM(AT229:AT231)</f>
        <v>0</v>
      </c>
      <c r="AU232" s="7">
        <f t="shared" si="1207"/>
        <v>0</v>
      </c>
      <c r="AV232" s="7">
        <f t="shared" si="1207"/>
        <v>0</v>
      </c>
      <c r="AW232" s="7">
        <f t="shared" si="1207"/>
        <v>0</v>
      </c>
      <c r="AX232" s="7">
        <f t="shared" si="1207"/>
        <v>0</v>
      </c>
      <c r="AY232" s="7">
        <f t="shared" si="1207"/>
        <v>0</v>
      </c>
      <c r="AZ232" s="12">
        <f t="shared" si="1207"/>
        <v>0</v>
      </c>
      <c r="BB232" s="7">
        <f t="shared" ref="BB232:BH232" si="1208">SUM(BB229:BB231)</f>
        <v>0</v>
      </c>
      <c r="BC232" s="7">
        <f t="shared" si="1208"/>
        <v>0</v>
      </c>
      <c r="BD232" s="7">
        <f t="shared" si="1208"/>
        <v>0</v>
      </c>
      <c r="BE232" s="7">
        <f t="shared" si="1208"/>
        <v>0</v>
      </c>
      <c r="BF232" s="7">
        <f t="shared" si="1208"/>
        <v>0</v>
      </c>
      <c r="BG232" s="7">
        <f t="shared" si="1208"/>
        <v>0</v>
      </c>
      <c r="BH232" s="12">
        <f t="shared" si="1208"/>
        <v>0</v>
      </c>
      <c r="BJ232" s="7">
        <f t="shared" ref="BJ232:BP232" si="1209">SUM(BJ229:BJ231)</f>
        <v>0</v>
      </c>
      <c r="BK232" s="7">
        <f t="shared" si="1209"/>
        <v>0</v>
      </c>
      <c r="BL232" s="7">
        <f t="shared" si="1209"/>
        <v>0</v>
      </c>
      <c r="BM232" s="7">
        <f t="shared" si="1209"/>
        <v>0</v>
      </c>
      <c r="BN232" s="7">
        <f t="shared" si="1209"/>
        <v>0</v>
      </c>
      <c r="BO232" s="7">
        <f t="shared" si="1209"/>
        <v>0</v>
      </c>
      <c r="BP232" s="12">
        <f t="shared" si="1209"/>
        <v>0</v>
      </c>
      <c r="BR232" s="583">
        <f t="shared" si="1087"/>
        <v>0</v>
      </c>
      <c r="BS232" s="583">
        <f t="shared" si="1088"/>
        <v>0</v>
      </c>
      <c r="BT232" s="583">
        <f t="shared" si="1089"/>
        <v>0</v>
      </c>
      <c r="BU232" s="583">
        <f t="shared" si="1090"/>
        <v>0</v>
      </c>
      <c r="BV232" s="583">
        <f t="shared" si="1091"/>
        <v>0</v>
      </c>
      <c r="BW232" s="583">
        <f t="shared" si="1092"/>
        <v>0</v>
      </c>
      <c r="BX232" s="583">
        <f t="shared" si="1093"/>
        <v>0</v>
      </c>
      <c r="BY232" s="584">
        <f t="shared" ca="1" si="1094"/>
        <v>0</v>
      </c>
      <c r="BZ232" s="257"/>
      <c r="CB232" s="1633">
        <f t="shared" ref="CB232:CO232" ca="1" si="1210">SUM(CB229:CB231)</f>
        <v>0</v>
      </c>
      <c r="CC232" s="1634">
        <f t="shared" ca="1" si="1210"/>
        <v>0</v>
      </c>
      <c r="CD232" s="1635">
        <f t="shared" ca="1" si="1210"/>
        <v>0</v>
      </c>
      <c r="CE232" s="1635">
        <f t="shared" ca="1" si="1210"/>
        <v>0</v>
      </c>
      <c r="CF232" s="1635">
        <f t="shared" si="1210"/>
        <v>0</v>
      </c>
      <c r="CG232" s="1636">
        <f t="shared" ca="1" si="1210"/>
        <v>0</v>
      </c>
      <c r="CH232" s="1634">
        <f t="shared" ca="1" si="1210"/>
        <v>0</v>
      </c>
      <c r="CI232" s="1635">
        <f t="shared" ca="1" si="1210"/>
        <v>0</v>
      </c>
      <c r="CJ232" s="1635">
        <f t="shared" ca="1" si="1210"/>
        <v>0</v>
      </c>
      <c r="CK232" s="1635">
        <f t="shared" si="1210"/>
        <v>0</v>
      </c>
      <c r="CL232" s="1637">
        <f t="shared" ca="1" si="1210"/>
        <v>0</v>
      </c>
      <c r="CM232" s="1634">
        <f t="shared" ca="1" si="1210"/>
        <v>0</v>
      </c>
      <c r="CN232" s="1635">
        <f t="shared" ca="1" si="1210"/>
        <v>0</v>
      </c>
      <c r="CO232" s="1636">
        <f t="shared" ca="1" si="1210"/>
        <v>0</v>
      </c>
      <c r="CP232" s="1351">
        <f t="shared" ca="1" si="1152"/>
        <v>0</v>
      </c>
      <c r="CS232" s="1231">
        <f t="shared" ref="CS232:DE232" si="1211">SUM(CS229:CS231)</f>
        <v>0</v>
      </c>
      <c r="CT232" s="7">
        <f t="shared" si="1211"/>
        <v>0</v>
      </c>
      <c r="CU232" s="573">
        <f t="shared" si="1211"/>
        <v>0</v>
      </c>
      <c r="CV232" s="1231">
        <f t="shared" si="1211"/>
        <v>0</v>
      </c>
      <c r="CW232" s="7">
        <f t="shared" si="1211"/>
        <v>0</v>
      </c>
      <c r="CX232" s="573">
        <f t="shared" si="1211"/>
        <v>0</v>
      </c>
      <c r="CY232" s="1231">
        <f t="shared" si="1211"/>
        <v>0</v>
      </c>
      <c r="CZ232" s="7">
        <f t="shared" si="1211"/>
        <v>0</v>
      </c>
      <c r="DA232" s="573">
        <f t="shared" si="1211"/>
        <v>0</v>
      </c>
      <c r="DB232" s="1231">
        <f t="shared" si="1211"/>
        <v>0</v>
      </c>
      <c r="DC232" s="7">
        <f t="shared" si="1211"/>
        <v>0</v>
      </c>
      <c r="DD232" s="573">
        <f t="shared" si="1211"/>
        <v>0</v>
      </c>
      <c r="DE232" s="1181">
        <f t="shared" si="1211"/>
        <v>0</v>
      </c>
      <c r="DG232" s="1231">
        <f t="shared" ref="DG232:DS232" si="1212">SUM(DG229:DG231)</f>
        <v>0</v>
      </c>
      <c r="DH232" s="7">
        <f t="shared" si="1212"/>
        <v>0</v>
      </c>
      <c r="DI232" s="573">
        <f t="shared" si="1212"/>
        <v>0</v>
      </c>
      <c r="DJ232" s="1231">
        <f t="shared" si="1212"/>
        <v>0</v>
      </c>
      <c r="DK232" s="7">
        <f t="shared" si="1212"/>
        <v>0</v>
      </c>
      <c r="DL232" s="573">
        <f t="shared" si="1212"/>
        <v>0</v>
      </c>
      <c r="DM232" s="1231">
        <f t="shared" si="1212"/>
        <v>0</v>
      </c>
      <c r="DN232" s="7">
        <f t="shared" si="1212"/>
        <v>0</v>
      </c>
      <c r="DO232" s="573">
        <f t="shared" si="1212"/>
        <v>0</v>
      </c>
      <c r="DP232" s="1231">
        <f t="shared" si="1212"/>
        <v>0</v>
      </c>
      <c r="DQ232" s="7">
        <f t="shared" si="1212"/>
        <v>0</v>
      </c>
      <c r="DR232" s="573">
        <f t="shared" si="1212"/>
        <v>0</v>
      </c>
      <c r="DS232" s="1181">
        <f t="shared" si="1212"/>
        <v>0</v>
      </c>
      <c r="DU232" s="1231">
        <f t="shared" ref="DU232:EG232" si="1213">SUM(DU229:DU231)</f>
        <v>0</v>
      </c>
      <c r="DV232" s="7">
        <f t="shared" si="1213"/>
        <v>0</v>
      </c>
      <c r="DW232" s="573">
        <f t="shared" si="1213"/>
        <v>0</v>
      </c>
      <c r="DX232" s="1231">
        <f t="shared" si="1213"/>
        <v>0</v>
      </c>
      <c r="DY232" s="7">
        <f t="shared" si="1213"/>
        <v>0</v>
      </c>
      <c r="DZ232" s="573">
        <f t="shared" si="1213"/>
        <v>0</v>
      </c>
      <c r="EA232" s="1231">
        <f t="shared" si="1213"/>
        <v>0</v>
      </c>
      <c r="EB232" s="7">
        <f t="shared" si="1213"/>
        <v>0</v>
      </c>
      <c r="EC232" s="573">
        <f t="shared" si="1213"/>
        <v>0</v>
      </c>
      <c r="ED232" s="1231">
        <f t="shared" si="1213"/>
        <v>0</v>
      </c>
      <c r="EE232" s="7">
        <f t="shared" si="1213"/>
        <v>0</v>
      </c>
      <c r="EF232" s="573">
        <f t="shared" si="1213"/>
        <v>0</v>
      </c>
      <c r="EG232" s="1181">
        <f t="shared" si="1213"/>
        <v>0</v>
      </c>
      <c r="EI232" s="3456"/>
      <c r="EJ232" s="1842"/>
      <c r="EK232" s="1625" t="s">
        <v>268</v>
      </c>
      <c r="EL232" s="1626">
        <f t="shared" ref="EL232:EQ232" ca="1" si="1214">SUM(EL229:EL231)</f>
        <v>0</v>
      </c>
      <c r="EM232" s="1626">
        <f t="shared" ca="1" si="1214"/>
        <v>0</v>
      </c>
      <c r="EN232" s="1626">
        <f t="shared" ca="1" si="1214"/>
        <v>0</v>
      </c>
      <c r="EO232" s="1626">
        <f t="shared" ca="1" si="1214"/>
        <v>0</v>
      </c>
      <c r="EP232" s="1626">
        <f t="shared" ca="1" si="1214"/>
        <v>0</v>
      </c>
      <c r="EQ232" s="1626">
        <f t="shared" ca="1" si="1214"/>
        <v>0</v>
      </c>
      <c r="ER232" s="1680">
        <f t="shared" ca="1" si="1163"/>
        <v>0</v>
      </c>
      <c r="ES232" s="13">
        <f ca="1">SUM(ER229:ER231)</f>
        <v>0</v>
      </c>
      <c r="ET232" s="9"/>
      <c r="EU232" s="9"/>
      <c r="EV232" s="1629">
        <f t="shared" ref="EV232:FB232" si="1215">SUM(EV229:EV231)</f>
        <v>0</v>
      </c>
      <c r="EW232" s="1629">
        <f t="shared" si="1215"/>
        <v>0</v>
      </c>
      <c r="EX232" s="1629">
        <f t="shared" si="1215"/>
        <v>0</v>
      </c>
      <c r="EY232" s="1629">
        <f t="shared" si="1215"/>
        <v>0</v>
      </c>
      <c r="EZ232" s="1629">
        <f t="shared" si="1215"/>
        <v>0</v>
      </c>
      <c r="FA232" s="1629">
        <f t="shared" si="1215"/>
        <v>0</v>
      </c>
      <c r="FB232" s="1628">
        <f t="shared" si="1215"/>
        <v>0</v>
      </c>
      <c r="FC232" s="1"/>
      <c r="FD232" s="1629">
        <f t="shared" ref="FD232:FJ232" si="1216">SUM(FD229:FD231)</f>
        <v>0</v>
      </c>
      <c r="FE232" s="1629">
        <f t="shared" si="1216"/>
        <v>0</v>
      </c>
      <c r="FF232" s="1629">
        <f t="shared" si="1216"/>
        <v>0</v>
      </c>
      <c r="FG232" s="1629">
        <f t="shared" si="1216"/>
        <v>0</v>
      </c>
      <c r="FH232" s="1629">
        <f t="shared" si="1216"/>
        <v>0</v>
      </c>
      <c r="FI232" s="1629">
        <f t="shared" si="1216"/>
        <v>0</v>
      </c>
      <c r="FJ232" s="1628">
        <f t="shared" si="1216"/>
        <v>0</v>
      </c>
      <c r="FL232" s="1629">
        <f t="shared" ref="FL232:FR232" si="1217">SUM(FL229:FL231)</f>
        <v>0</v>
      </c>
      <c r="FM232" s="1629">
        <f t="shared" si="1217"/>
        <v>0</v>
      </c>
      <c r="FN232" s="1629">
        <f t="shared" si="1217"/>
        <v>0</v>
      </c>
      <c r="FO232" s="1629">
        <f t="shared" si="1217"/>
        <v>0</v>
      </c>
      <c r="FP232" s="1629">
        <f t="shared" si="1217"/>
        <v>0</v>
      </c>
      <c r="FQ232" s="1629">
        <f t="shared" si="1217"/>
        <v>0</v>
      </c>
      <c r="FR232" s="1628">
        <f t="shared" si="1217"/>
        <v>0</v>
      </c>
      <c r="FT232" s="7">
        <f t="shared" ref="FT232:FZ232" si="1218">SUM(FT229:FT231)</f>
        <v>0</v>
      </c>
      <c r="FU232" s="7">
        <f t="shared" si="1218"/>
        <v>0</v>
      </c>
      <c r="FV232" s="7">
        <f t="shared" si="1218"/>
        <v>0</v>
      </c>
      <c r="FW232" s="7">
        <f t="shared" si="1218"/>
        <v>0</v>
      </c>
      <c r="FX232" s="7">
        <f t="shared" si="1218"/>
        <v>0</v>
      </c>
      <c r="FY232" s="7">
        <f t="shared" si="1218"/>
        <v>0</v>
      </c>
      <c r="FZ232" s="12">
        <f t="shared" si="1218"/>
        <v>0</v>
      </c>
      <c r="GB232" s="7">
        <f t="shared" ref="GB232:GH232" si="1219">SUM(GB229:GB231)</f>
        <v>0</v>
      </c>
      <c r="GC232" s="7">
        <f t="shared" si="1219"/>
        <v>0</v>
      </c>
      <c r="GD232" s="7">
        <f t="shared" si="1219"/>
        <v>0</v>
      </c>
      <c r="GE232" s="7">
        <f t="shared" si="1219"/>
        <v>0</v>
      </c>
      <c r="GF232" s="7">
        <f t="shared" si="1219"/>
        <v>0</v>
      </c>
      <c r="GG232" s="7">
        <f t="shared" si="1219"/>
        <v>0</v>
      </c>
      <c r="GH232" s="12">
        <f t="shared" si="1219"/>
        <v>0</v>
      </c>
      <c r="GJ232" s="7">
        <f t="shared" ref="GJ232:GP232" si="1220">SUM(GJ229:GJ231)</f>
        <v>0</v>
      </c>
      <c r="GK232" s="7">
        <f t="shared" si="1220"/>
        <v>0</v>
      </c>
      <c r="GL232" s="7">
        <f t="shared" si="1220"/>
        <v>0</v>
      </c>
      <c r="GM232" s="7">
        <f t="shared" si="1220"/>
        <v>0</v>
      </c>
      <c r="GN232" s="7">
        <f t="shared" si="1220"/>
        <v>0</v>
      </c>
      <c r="GO232" s="7">
        <f t="shared" si="1220"/>
        <v>0</v>
      </c>
      <c r="GP232" s="12">
        <f t="shared" si="1220"/>
        <v>0</v>
      </c>
      <c r="GR232" s="7">
        <f t="shared" ref="GR232:GX232" si="1221">SUM(GR229:GR231)</f>
        <v>0</v>
      </c>
      <c r="GS232" s="7">
        <f t="shared" si="1221"/>
        <v>0</v>
      </c>
      <c r="GT232" s="7">
        <f t="shared" si="1221"/>
        <v>0</v>
      </c>
      <c r="GU232" s="7">
        <f t="shared" si="1221"/>
        <v>0</v>
      </c>
      <c r="GV232" s="7">
        <f t="shared" si="1221"/>
        <v>0</v>
      </c>
      <c r="GW232" s="7">
        <f t="shared" si="1221"/>
        <v>0</v>
      </c>
      <c r="GX232" s="12">
        <f t="shared" si="1221"/>
        <v>0</v>
      </c>
      <c r="GZ232" s="583">
        <f t="shared" si="1095"/>
        <v>0</v>
      </c>
      <c r="HA232" s="583">
        <f t="shared" si="1096"/>
        <v>0</v>
      </c>
      <c r="HB232" s="583">
        <f t="shared" si="1097"/>
        <v>0</v>
      </c>
      <c r="HC232" s="583">
        <f t="shared" si="1098"/>
        <v>0</v>
      </c>
      <c r="HD232" s="583">
        <f t="shared" si="1099"/>
        <v>0</v>
      </c>
      <c r="HE232" s="583">
        <f t="shared" si="1100"/>
        <v>0</v>
      </c>
      <c r="HF232" s="583">
        <f t="shared" si="1101"/>
        <v>0</v>
      </c>
      <c r="HG232" s="584">
        <f t="shared" ca="1" si="1102"/>
        <v>0</v>
      </c>
      <c r="HH232" s="257"/>
    </row>
    <row r="233" spans="1:216" ht="15" hidden="1" customHeight="1" x14ac:dyDescent="0.25">
      <c r="A233" s="72"/>
      <c r="B233" s="3294" t="str">
        <f>'Calc - GRAD ASST'!A64</f>
        <v>GA #03 / Sponsor Funds</v>
      </c>
      <c r="C233" s="483" t="s">
        <v>57</v>
      </c>
      <c r="D233" s="86">
        <f ca="1">'Calc - GRAD ASST'!$J78</f>
        <v>0</v>
      </c>
      <c r="E233" s="86">
        <f ca="1">'Calc - GRAD ASST'!$J80</f>
        <v>0</v>
      </c>
      <c r="F233" s="86">
        <f ca="1">'Calc - GRAD ASST'!$J82</f>
        <v>0</v>
      </c>
      <c r="G233" s="86">
        <f ca="1">'Calc - GRAD ASST'!$J84</f>
        <v>0</v>
      </c>
      <c r="H233" s="86">
        <f ca="1">'Calc - GRAD ASST'!$J86</f>
        <v>0</v>
      </c>
      <c r="I233" s="86">
        <f ca="1">'Calc - GRAD ASST'!$J88</f>
        <v>0</v>
      </c>
      <c r="J233" s="87">
        <f ca="1">SUM(D233:I233)</f>
        <v>0</v>
      </c>
      <c r="K233" s="9"/>
      <c r="M233" s="9"/>
      <c r="N233" s="5"/>
      <c r="O233" s="5"/>
      <c r="P233" s="5"/>
      <c r="Q233" s="5"/>
      <c r="R233" s="5"/>
      <c r="S233" s="5"/>
      <c r="T233" s="167">
        <f>SUM(N233:S233)</f>
        <v>0</v>
      </c>
      <c r="U233" s="1"/>
      <c r="V233" s="5"/>
      <c r="W233" s="5"/>
      <c r="X233" s="5"/>
      <c r="Y233" s="5"/>
      <c r="Z233" s="5"/>
      <c r="AA233" s="5"/>
      <c r="AB233" s="48">
        <f>SUM(V233:AA233)</f>
        <v>0</v>
      </c>
      <c r="AD233" s="5"/>
      <c r="AE233" s="5"/>
      <c r="AF233" s="5"/>
      <c r="AG233" s="5"/>
      <c r="AH233" s="5"/>
      <c r="AI233" s="5"/>
      <c r="AJ233" s="209">
        <f>SUM(AD233:AI233)</f>
        <v>0</v>
      </c>
      <c r="AL233" s="5"/>
      <c r="AM233" s="5"/>
      <c r="AN233" s="5"/>
      <c r="AO233" s="5"/>
      <c r="AP233" s="5"/>
      <c r="AQ233" s="5"/>
      <c r="AR233" s="181">
        <f>SUM(AL233:AQ233)</f>
        <v>0</v>
      </c>
      <c r="AT233" s="5"/>
      <c r="AU233" s="5"/>
      <c r="AV233" s="5"/>
      <c r="AW233" s="5"/>
      <c r="AX233" s="5"/>
      <c r="AY233" s="5"/>
      <c r="AZ233" s="153">
        <f>SUM(AT233:AY233)</f>
        <v>0</v>
      </c>
      <c r="BB233" s="5"/>
      <c r="BC233" s="5"/>
      <c r="BD233" s="5"/>
      <c r="BE233" s="5"/>
      <c r="BF233" s="5"/>
      <c r="BG233" s="5"/>
      <c r="BH233" s="195">
        <f>SUM(BB233:BG233)</f>
        <v>0</v>
      </c>
      <c r="BJ233" s="5"/>
      <c r="BK233" s="5"/>
      <c r="BL233" s="5"/>
      <c r="BM233" s="5"/>
      <c r="BN233" s="5"/>
      <c r="BO233" s="5"/>
      <c r="BP233" s="1630">
        <f>SUM(BJ233:BO233)</f>
        <v>0</v>
      </c>
      <c r="BR233" s="575">
        <f t="shared" si="1087"/>
        <v>0</v>
      </c>
      <c r="BS233" s="575">
        <f t="shared" si="1088"/>
        <v>0</v>
      </c>
      <c r="BT233" s="575">
        <f t="shared" si="1089"/>
        <v>0</v>
      </c>
      <c r="BU233" s="575">
        <f t="shared" si="1090"/>
        <v>0</v>
      </c>
      <c r="BV233" s="575">
        <f t="shared" si="1091"/>
        <v>0</v>
      </c>
      <c r="BW233" s="575">
        <f t="shared" si="1092"/>
        <v>0</v>
      </c>
      <c r="BX233" s="991">
        <f t="shared" si="1093"/>
        <v>0</v>
      </c>
      <c r="BY233" s="573">
        <f t="shared" ca="1" si="1094"/>
        <v>0</v>
      </c>
      <c r="BZ233" s="257"/>
      <c r="CB233" s="1322">
        <f ca="1">D233</f>
        <v>0</v>
      </c>
      <c r="CC233" s="386">
        <f ca="1">$E233/3</f>
        <v>0</v>
      </c>
      <c r="CD233" s="360">
        <f ca="1">$E233/3</f>
        <v>0</v>
      </c>
      <c r="CE233" s="360">
        <f ca="1">$E233/3</f>
        <v>0</v>
      </c>
      <c r="CF233" s="360"/>
      <c r="CG233" s="1161"/>
      <c r="CH233" s="1241">
        <f ca="1">$F233/3</f>
        <v>0</v>
      </c>
      <c r="CI233" s="1163">
        <f ca="1">$F233/3</f>
        <v>0</v>
      </c>
      <c r="CJ233" s="1163">
        <f ca="1">$F233/3</f>
        <v>0</v>
      </c>
      <c r="CK233" s="1163"/>
      <c r="CL233" s="1164"/>
      <c r="CM233" s="1165">
        <f ca="1">$G233/3</f>
        <v>0</v>
      </c>
      <c r="CN233" s="1242">
        <f ca="1">$G233/3</f>
        <v>0</v>
      </c>
      <c r="CO233" s="1167">
        <f ca="1">$G233/3</f>
        <v>0</v>
      </c>
      <c r="CP233" s="1168">
        <f t="shared" ca="1" si="1152"/>
        <v>0</v>
      </c>
      <c r="CS233" s="575"/>
      <c r="CT233" s="5"/>
      <c r="CU233" s="1180"/>
      <c r="CV233" s="575"/>
      <c r="CW233" s="5"/>
      <c r="CX233" s="1180"/>
      <c r="CY233" s="575"/>
      <c r="CZ233" s="5"/>
      <c r="DA233" s="1180"/>
      <c r="DB233" s="575"/>
      <c r="DC233" s="5"/>
      <c r="DD233" s="1180"/>
      <c r="DE233" s="1181">
        <f>SUM(CS233:DD233)</f>
        <v>0</v>
      </c>
      <c r="DG233" s="575"/>
      <c r="DH233" s="5"/>
      <c r="DI233" s="1180"/>
      <c r="DJ233" s="575"/>
      <c r="DK233" s="5"/>
      <c r="DL233" s="1180"/>
      <c r="DM233" s="575"/>
      <c r="DN233" s="5"/>
      <c r="DO233" s="1180"/>
      <c r="DP233" s="575"/>
      <c r="DQ233" s="5"/>
      <c r="DR233" s="1180"/>
      <c r="DS233" s="1181">
        <f>SUM(DG233:DR233)</f>
        <v>0</v>
      </c>
      <c r="DU233" s="575"/>
      <c r="DV233" s="5"/>
      <c r="DW233" s="1180"/>
      <c r="DX233" s="575"/>
      <c r="DY233" s="5"/>
      <c r="DZ233" s="1180"/>
      <c r="EA233" s="575"/>
      <c r="EB233" s="5"/>
      <c r="EC233" s="1180"/>
      <c r="ED233" s="575"/>
      <c r="EE233" s="5"/>
      <c r="EF233" s="1180"/>
      <c r="EG233" s="1181">
        <f>SUM(DU233:EF233)</f>
        <v>0</v>
      </c>
      <c r="EI233" s="3456"/>
      <c r="EJ233" s="3294" t="str">
        <f>B233</f>
        <v>GA #03 / Sponsor Funds</v>
      </c>
      <c r="EK233" s="483" t="s">
        <v>57</v>
      </c>
      <c r="EL233" s="86">
        <f t="shared" ref="EL233:EQ235" ca="1" si="1222">ROUND(D233,0)</f>
        <v>0</v>
      </c>
      <c r="EM233" s="86">
        <f t="shared" ca="1" si="1222"/>
        <v>0</v>
      </c>
      <c r="EN233" s="86">
        <f t="shared" ca="1" si="1222"/>
        <v>0</v>
      </c>
      <c r="EO233" s="86">
        <f t="shared" ca="1" si="1222"/>
        <v>0</v>
      </c>
      <c r="EP233" s="86">
        <f t="shared" ca="1" si="1222"/>
        <v>0</v>
      </c>
      <c r="EQ233" s="86">
        <f t="shared" ca="1" si="1222"/>
        <v>0</v>
      </c>
      <c r="ER233" s="87">
        <f t="shared" ca="1" si="1163"/>
        <v>0</v>
      </c>
      <c r="ES233" s="9"/>
      <c r="EU233" s="9"/>
      <c r="EV233" s="5">
        <f t="shared" ref="EV233:FA235" si="1223">ROUND(N233,0)</f>
        <v>0</v>
      </c>
      <c r="EW233" s="5">
        <f t="shared" si="1223"/>
        <v>0</v>
      </c>
      <c r="EX233" s="5">
        <f t="shared" si="1223"/>
        <v>0</v>
      </c>
      <c r="EY233" s="5">
        <f t="shared" si="1223"/>
        <v>0</v>
      </c>
      <c r="EZ233" s="5">
        <f t="shared" si="1223"/>
        <v>0</v>
      </c>
      <c r="FA233" s="5">
        <f t="shared" si="1223"/>
        <v>0</v>
      </c>
      <c r="FB233" s="167">
        <f>SUM(EV233:FA233)</f>
        <v>0</v>
      </c>
      <c r="FC233" s="1"/>
      <c r="FD233" s="5"/>
      <c r="FE233" s="5"/>
      <c r="FF233" s="5"/>
      <c r="FG233" s="5"/>
      <c r="FH233" s="5"/>
      <c r="FI233" s="5"/>
      <c r="FJ233" s="48">
        <f>SUM(FD233:FI233)</f>
        <v>0</v>
      </c>
      <c r="FL233" s="5"/>
      <c r="FM233" s="5"/>
      <c r="FN233" s="5"/>
      <c r="FO233" s="5"/>
      <c r="FP233" s="5"/>
      <c r="FQ233" s="5"/>
      <c r="FR233" s="209">
        <f>SUM(FL233:FQ233)</f>
        <v>0</v>
      </c>
      <c r="FT233" s="5"/>
      <c r="FU233" s="5"/>
      <c r="FV233" s="5"/>
      <c r="FW233" s="5"/>
      <c r="FX233" s="5"/>
      <c r="FY233" s="5"/>
      <c r="FZ233" s="181">
        <f>SUM(FT233:FY233)</f>
        <v>0</v>
      </c>
      <c r="GB233" s="5"/>
      <c r="GC233" s="5"/>
      <c r="GD233" s="5"/>
      <c r="GE233" s="5"/>
      <c r="GF233" s="5"/>
      <c r="GG233" s="5"/>
      <c r="GH233" s="153">
        <f>SUM(GB233:GG233)</f>
        <v>0</v>
      </c>
      <c r="GJ233" s="5"/>
      <c r="GK233" s="5"/>
      <c r="GL233" s="5"/>
      <c r="GM233" s="5"/>
      <c r="GN233" s="5"/>
      <c r="GO233" s="5"/>
      <c r="GP233" s="195">
        <f>SUM(GJ233:GO233)</f>
        <v>0</v>
      </c>
      <c r="GR233" s="5"/>
      <c r="GS233" s="5"/>
      <c r="GT233" s="5"/>
      <c r="GU233" s="5"/>
      <c r="GV233" s="5"/>
      <c r="GW233" s="5"/>
      <c r="GX233" s="1630">
        <f>SUM(GR233:GW233)</f>
        <v>0</v>
      </c>
      <c r="GZ233" s="575">
        <f t="shared" si="1095"/>
        <v>0</v>
      </c>
      <c r="HA233" s="575">
        <f t="shared" si="1096"/>
        <v>0</v>
      </c>
      <c r="HB233" s="575">
        <f t="shared" si="1097"/>
        <v>0</v>
      </c>
      <c r="HC233" s="575">
        <f t="shared" si="1098"/>
        <v>0</v>
      </c>
      <c r="HD233" s="575">
        <f t="shared" si="1099"/>
        <v>0</v>
      </c>
      <c r="HE233" s="575">
        <f t="shared" si="1100"/>
        <v>0</v>
      </c>
      <c r="HF233" s="991">
        <f t="shared" si="1101"/>
        <v>0</v>
      </c>
      <c r="HG233" s="573">
        <f t="shared" ca="1" si="1102"/>
        <v>0</v>
      </c>
      <c r="HH233" s="257"/>
    </row>
    <row r="234" spans="1:216" ht="15" hidden="1" customHeight="1" x14ac:dyDescent="0.25">
      <c r="A234" s="72"/>
      <c r="B234" s="3295"/>
      <c r="C234" s="78" t="s">
        <v>96</v>
      </c>
      <c r="D234" s="29">
        <f ca="1">'Calc - GRAD ASST'!$E$78</f>
        <v>0</v>
      </c>
      <c r="E234" s="29">
        <f ca="1">'Calc - GRAD ASST'!$E$80</f>
        <v>0</v>
      </c>
      <c r="F234" s="29">
        <f ca="1">'Calc - GRAD ASST'!$E$82</f>
        <v>0</v>
      </c>
      <c r="G234" s="29">
        <f ca="1">'Calc - GRAD ASST'!$E$84</f>
        <v>0</v>
      </c>
      <c r="H234" s="29">
        <f ca="1">'Calc - GRAD ASST'!$E$86</f>
        <v>0</v>
      </c>
      <c r="I234" s="29">
        <f ca="1">'Calc - GRAD ASST'!$E$88</f>
        <v>0</v>
      </c>
      <c r="J234" s="88">
        <f ca="1">SUM(D234:I234)</f>
        <v>0</v>
      </c>
      <c r="L234" s="9"/>
      <c r="N234" s="29"/>
      <c r="O234" s="29"/>
      <c r="P234" s="29"/>
      <c r="Q234" s="29"/>
      <c r="R234" s="29"/>
      <c r="S234" s="29"/>
      <c r="T234" s="167">
        <f>SUM(N234:S234)</f>
        <v>0</v>
      </c>
      <c r="U234" s="1"/>
      <c r="V234" s="29"/>
      <c r="W234" s="29"/>
      <c r="X234" s="29"/>
      <c r="Y234" s="29"/>
      <c r="Z234" s="29"/>
      <c r="AA234" s="29"/>
      <c r="AB234" s="48">
        <f>SUM(V234:AA234)</f>
        <v>0</v>
      </c>
      <c r="AD234" s="29"/>
      <c r="AE234" s="29"/>
      <c r="AF234" s="29"/>
      <c r="AG234" s="29"/>
      <c r="AH234" s="29"/>
      <c r="AI234" s="29"/>
      <c r="AJ234" s="209">
        <f>SUM(AD234:AI234)</f>
        <v>0</v>
      </c>
      <c r="AL234" s="29"/>
      <c r="AM234" s="29"/>
      <c r="AN234" s="29"/>
      <c r="AO234" s="29"/>
      <c r="AP234" s="29"/>
      <c r="AQ234" s="29"/>
      <c r="AR234" s="181">
        <f>SUM(AL234:AQ234)</f>
        <v>0</v>
      </c>
      <c r="AT234" s="29"/>
      <c r="AU234" s="29"/>
      <c r="AV234" s="29"/>
      <c r="AW234" s="29"/>
      <c r="AX234" s="29"/>
      <c r="AY234" s="29"/>
      <c r="AZ234" s="153">
        <f>SUM(AT234:AY234)</f>
        <v>0</v>
      </c>
      <c r="BB234" s="29"/>
      <c r="BC234" s="29"/>
      <c r="BD234" s="29"/>
      <c r="BE234" s="29"/>
      <c r="BF234" s="29"/>
      <c r="BG234" s="29"/>
      <c r="BH234" s="195">
        <f>SUM(BB234:BG234)</f>
        <v>0</v>
      </c>
      <c r="BJ234" s="29"/>
      <c r="BK234" s="29"/>
      <c r="BL234" s="29"/>
      <c r="BM234" s="29"/>
      <c r="BN234" s="29"/>
      <c r="BO234" s="29"/>
      <c r="BP234" s="1630">
        <f>SUM(BJ234:BO234)</f>
        <v>0</v>
      </c>
      <c r="BR234" s="575">
        <f t="shared" si="1087"/>
        <v>0</v>
      </c>
      <c r="BS234" s="575">
        <f t="shared" si="1088"/>
        <v>0</v>
      </c>
      <c r="BT234" s="575">
        <f t="shared" si="1089"/>
        <v>0</v>
      </c>
      <c r="BU234" s="575">
        <f t="shared" si="1090"/>
        <v>0</v>
      </c>
      <c r="BV234" s="575">
        <f t="shared" si="1091"/>
        <v>0</v>
      </c>
      <c r="BW234" s="575">
        <f t="shared" si="1092"/>
        <v>0</v>
      </c>
      <c r="BX234" s="991">
        <f t="shared" si="1093"/>
        <v>0</v>
      </c>
      <c r="BY234" s="573">
        <f t="shared" ca="1" si="1094"/>
        <v>0</v>
      </c>
      <c r="BZ234" s="257"/>
      <c r="CB234" s="1350">
        <f ca="1">D234</f>
        <v>0</v>
      </c>
      <c r="CC234" s="1268"/>
      <c r="CD234" s="1269"/>
      <c r="CE234" s="1269"/>
      <c r="CF234" s="1269"/>
      <c r="CG234" s="1270">
        <f ca="1">E234</f>
        <v>0</v>
      </c>
      <c r="CH234" s="1271"/>
      <c r="CI234" s="1272"/>
      <c r="CJ234" s="1272"/>
      <c r="CK234" s="1272"/>
      <c r="CL234" s="1273">
        <f ca="1">F234</f>
        <v>0</v>
      </c>
      <c r="CM234" s="1274"/>
      <c r="CN234" s="1275"/>
      <c r="CO234" s="1276"/>
      <c r="CP234" s="1224">
        <f t="shared" ca="1" si="1152"/>
        <v>0</v>
      </c>
      <c r="CS234" s="575"/>
      <c r="CT234" s="5"/>
      <c r="CU234" s="1180"/>
      <c r="CV234" s="575"/>
      <c r="CW234" s="5"/>
      <c r="CX234" s="1180"/>
      <c r="CY234" s="575"/>
      <c r="CZ234" s="5"/>
      <c r="DA234" s="1180"/>
      <c r="DB234" s="575"/>
      <c r="DC234" s="5"/>
      <c r="DD234" s="1180"/>
      <c r="DE234" s="1181">
        <f>SUM(CS234:DD234)</f>
        <v>0</v>
      </c>
      <c r="DG234" s="575"/>
      <c r="DH234" s="5"/>
      <c r="DI234" s="1180"/>
      <c r="DJ234" s="575"/>
      <c r="DK234" s="5"/>
      <c r="DL234" s="1180"/>
      <c r="DM234" s="575"/>
      <c r="DN234" s="5"/>
      <c r="DO234" s="1180"/>
      <c r="DP234" s="575"/>
      <c r="DQ234" s="5"/>
      <c r="DR234" s="1180"/>
      <c r="DS234" s="1181">
        <f>SUM(DG234:DR234)</f>
        <v>0</v>
      </c>
      <c r="DU234" s="575"/>
      <c r="DV234" s="5"/>
      <c r="DW234" s="1180"/>
      <c r="DX234" s="575"/>
      <c r="DY234" s="5"/>
      <c r="DZ234" s="1180"/>
      <c r="EA234" s="575"/>
      <c r="EB234" s="5"/>
      <c r="EC234" s="1180"/>
      <c r="ED234" s="575"/>
      <c r="EE234" s="5"/>
      <c r="EF234" s="1180"/>
      <c r="EG234" s="1181">
        <f>SUM(DU234:EF234)</f>
        <v>0</v>
      </c>
      <c r="EI234" s="3456"/>
      <c r="EJ234" s="3295"/>
      <c r="EK234" s="78" t="s">
        <v>96</v>
      </c>
      <c r="EL234" s="29">
        <f t="shared" ca="1" si="1222"/>
        <v>0</v>
      </c>
      <c r="EM234" s="29">
        <f t="shared" ca="1" si="1222"/>
        <v>0</v>
      </c>
      <c r="EN234" s="29">
        <f t="shared" ca="1" si="1222"/>
        <v>0</v>
      </c>
      <c r="EO234" s="29">
        <f t="shared" ca="1" si="1222"/>
        <v>0</v>
      </c>
      <c r="EP234" s="29">
        <f t="shared" ca="1" si="1222"/>
        <v>0</v>
      </c>
      <c r="EQ234" s="29">
        <f t="shared" ca="1" si="1222"/>
        <v>0</v>
      </c>
      <c r="ER234" s="88">
        <f t="shared" ca="1" si="1163"/>
        <v>0</v>
      </c>
      <c r="ET234" s="9"/>
      <c r="EV234" s="29">
        <f t="shared" si="1223"/>
        <v>0</v>
      </c>
      <c r="EW234" s="29">
        <f t="shared" si="1223"/>
        <v>0</v>
      </c>
      <c r="EX234" s="29">
        <f t="shared" si="1223"/>
        <v>0</v>
      </c>
      <c r="EY234" s="29">
        <f t="shared" si="1223"/>
        <v>0</v>
      </c>
      <c r="EZ234" s="29">
        <f t="shared" si="1223"/>
        <v>0</v>
      </c>
      <c r="FA234" s="29">
        <f t="shared" si="1223"/>
        <v>0</v>
      </c>
      <c r="FB234" s="167">
        <f>SUM(EV234:FA234)</f>
        <v>0</v>
      </c>
      <c r="FC234" s="1"/>
      <c r="FD234" s="29"/>
      <c r="FE234" s="29"/>
      <c r="FF234" s="29"/>
      <c r="FG234" s="29"/>
      <c r="FH234" s="29"/>
      <c r="FI234" s="29"/>
      <c r="FJ234" s="48">
        <f>SUM(FD234:FI234)</f>
        <v>0</v>
      </c>
      <c r="FL234" s="29"/>
      <c r="FM234" s="29"/>
      <c r="FN234" s="29"/>
      <c r="FO234" s="29"/>
      <c r="FP234" s="29"/>
      <c r="FQ234" s="29"/>
      <c r="FR234" s="209">
        <f>SUM(FL234:FQ234)</f>
        <v>0</v>
      </c>
      <c r="FT234" s="29"/>
      <c r="FU234" s="29"/>
      <c r="FV234" s="29"/>
      <c r="FW234" s="29"/>
      <c r="FX234" s="29"/>
      <c r="FY234" s="29"/>
      <c r="FZ234" s="181">
        <f>SUM(FT234:FY234)</f>
        <v>0</v>
      </c>
      <c r="GB234" s="29"/>
      <c r="GC234" s="29"/>
      <c r="GD234" s="29"/>
      <c r="GE234" s="29"/>
      <c r="GF234" s="29"/>
      <c r="GG234" s="29"/>
      <c r="GH234" s="153">
        <f>SUM(GB234:GG234)</f>
        <v>0</v>
      </c>
      <c r="GJ234" s="29"/>
      <c r="GK234" s="29"/>
      <c r="GL234" s="29"/>
      <c r="GM234" s="29"/>
      <c r="GN234" s="29"/>
      <c r="GO234" s="29"/>
      <c r="GP234" s="195">
        <f>SUM(GJ234:GO234)</f>
        <v>0</v>
      </c>
      <c r="GR234" s="29"/>
      <c r="GS234" s="29"/>
      <c r="GT234" s="29"/>
      <c r="GU234" s="29"/>
      <c r="GV234" s="29"/>
      <c r="GW234" s="29"/>
      <c r="GX234" s="1630">
        <f>SUM(GR234:GW234)</f>
        <v>0</v>
      </c>
      <c r="GZ234" s="575">
        <f t="shared" si="1095"/>
        <v>0</v>
      </c>
      <c r="HA234" s="575">
        <f t="shared" si="1096"/>
        <v>0</v>
      </c>
      <c r="HB234" s="575">
        <f t="shared" si="1097"/>
        <v>0</v>
      </c>
      <c r="HC234" s="575">
        <f t="shared" si="1098"/>
        <v>0</v>
      </c>
      <c r="HD234" s="575">
        <f t="shared" si="1099"/>
        <v>0</v>
      </c>
      <c r="HE234" s="575">
        <f t="shared" si="1100"/>
        <v>0</v>
      </c>
      <c r="HF234" s="991">
        <f t="shared" si="1101"/>
        <v>0</v>
      </c>
      <c r="HG234" s="573">
        <f t="shared" ca="1" si="1102"/>
        <v>0</v>
      </c>
      <c r="HH234" s="257"/>
    </row>
    <row r="235" spans="1:216" ht="15" hidden="1" customHeight="1" thickBot="1" x14ac:dyDescent="0.3">
      <c r="A235" s="72"/>
      <c r="B235" s="1843">
        <f>'Calc - GRAD ASST'!C65</f>
        <v>0</v>
      </c>
      <c r="C235" s="420" t="s">
        <v>130</v>
      </c>
      <c r="D235" s="42">
        <f ca="1">'Calc - GRAD ASST'!$M$78</f>
        <v>0</v>
      </c>
      <c r="E235" s="42">
        <f ca="1">'Calc - GRAD ASST'!$M$80</f>
        <v>0</v>
      </c>
      <c r="F235" s="42">
        <f ca="1">'Calc - GRAD ASST'!$M$82</f>
        <v>0</v>
      </c>
      <c r="G235" s="42">
        <f ca="1">'Calc - GRAD ASST'!$M$84</f>
        <v>0</v>
      </c>
      <c r="H235" s="42">
        <f ca="1">'Calc - GRAD ASST'!$M$86</f>
        <v>0</v>
      </c>
      <c r="I235" s="42">
        <f ca="1">'Calc - GRAD ASST'!$M$88</f>
        <v>0</v>
      </c>
      <c r="J235" s="90">
        <f ca="1">SUM(D235:I235)</f>
        <v>0</v>
      </c>
      <c r="K235" s="9"/>
      <c r="L235" s="9"/>
      <c r="M235" s="9"/>
      <c r="N235" s="5"/>
      <c r="O235" s="5"/>
      <c r="P235" s="5"/>
      <c r="Q235" s="5"/>
      <c r="R235" s="5"/>
      <c r="S235" s="5"/>
      <c r="T235" s="167">
        <f>SUM(N235:S235)</f>
        <v>0</v>
      </c>
      <c r="U235" s="1"/>
      <c r="V235" s="5"/>
      <c r="W235" s="5"/>
      <c r="X235" s="5"/>
      <c r="Y235" s="5"/>
      <c r="Z235" s="5"/>
      <c r="AA235" s="5"/>
      <c r="AB235" s="48">
        <f>SUM(V235:AA235)</f>
        <v>0</v>
      </c>
      <c r="AD235" s="5"/>
      <c r="AE235" s="5"/>
      <c r="AF235" s="5"/>
      <c r="AG235" s="5"/>
      <c r="AH235" s="5"/>
      <c r="AI235" s="5"/>
      <c r="AJ235" s="209">
        <f>SUM(AD235:AI235)</f>
        <v>0</v>
      </c>
      <c r="AL235" s="5"/>
      <c r="AM235" s="5"/>
      <c r="AN235" s="5"/>
      <c r="AO235" s="5"/>
      <c r="AP235" s="5"/>
      <c r="AQ235" s="5"/>
      <c r="AR235" s="181">
        <f>SUM(AL235:AQ235)</f>
        <v>0</v>
      </c>
      <c r="AT235" s="5"/>
      <c r="AU235" s="5"/>
      <c r="AV235" s="5"/>
      <c r="AW235" s="5"/>
      <c r="AX235" s="5"/>
      <c r="AY235" s="5"/>
      <c r="AZ235" s="153">
        <f>SUM(AT235:AY235)</f>
        <v>0</v>
      </c>
      <c r="BB235" s="5"/>
      <c r="BC235" s="5"/>
      <c r="BD235" s="5"/>
      <c r="BE235" s="5"/>
      <c r="BF235" s="5"/>
      <c r="BG235" s="5"/>
      <c r="BH235" s="195">
        <f>SUM(BB235:BG235)</f>
        <v>0</v>
      </c>
      <c r="BJ235" s="5"/>
      <c r="BK235" s="5"/>
      <c r="BL235" s="5"/>
      <c r="BM235" s="5"/>
      <c r="BN235" s="5"/>
      <c r="BO235" s="5"/>
      <c r="BP235" s="1630">
        <f>SUM(BJ235:BO235)</f>
        <v>0</v>
      </c>
      <c r="BR235" s="575">
        <f t="shared" si="1087"/>
        <v>0</v>
      </c>
      <c r="BS235" s="575">
        <f t="shared" si="1088"/>
        <v>0</v>
      </c>
      <c r="BT235" s="575">
        <f t="shared" si="1089"/>
        <v>0</v>
      </c>
      <c r="BU235" s="575">
        <f t="shared" si="1090"/>
        <v>0</v>
      </c>
      <c r="BV235" s="575">
        <f t="shared" si="1091"/>
        <v>0</v>
      </c>
      <c r="BW235" s="575">
        <f t="shared" si="1092"/>
        <v>0</v>
      </c>
      <c r="BX235" s="991">
        <f t="shared" si="1093"/>
        <v>0</v>
      </c>
      <c r="BY235" s="573">
        <f t="shared" ca="1" si="1094"/>
        <v>0</v>
      </c>
      <c r="BZ235" s="257"/>
      <c r="CB235" s="1330">
        <f ca="1">D235</f>
        <v>0</v>
      </c>
      <c r="CC235" s="1201">
        <f ca="1">($E235-$CG235)/3</f>
        <v>0</v>
      </c>
      <c r="CD235" s="1202">
        <f ca="1">($E235-$CG235)/3</f>
        <v>0</v>
      </c>
      <c r="CE235" s="1202">
        <f ca="1">($E235-$CG235)/3</f>
        <v>0</v>
      </c>
      <c r="CF235" s="1202"/>
      <c r="CG235" s="1203">
        <f ca="1">OFFSET('Calc - GRAD ASST'!$K$20,2*29+2,0)</f>
        <v>0</v>
      </c>
      <c r="CH235" s="1251">
        <f ca="1">($F235-$CL235)/3</f>
        <v>0</v>
      </c>
      <c r="CI235" s="1205">
        <f ca="1">($F235-$CL235)/3</f>
        <v>0</v>
      </c>
      <c r="CJ235" s="1205">
        <f ca="1">($F235-$CL235)/3</f>
        <v>0</v>
      </c>
      <c r="CK235" s="1205"/>
      <c r="CL235" s="1206">
        <f ca="1">OFFSET('Calc - GRAD ASST'!$K$20,2*29+4,0)</f>
        <v>0</v>
      </c>
      <c r="CM235" s="1207">
        <f ca="1">$G235/3</f>
        <v>0</v>
      </c>
      <c r="CN235" s="1252">
        <f ca="1">$G235/3</f>
        <v>0</v>
      </c>
      <c r="CO235" s="1209">
        <f ca="1">$G235/3</f>
        <v>0</v>
      </c>
      <c r="CP235" s="1316">
        <f t="shared" ca="1" si="1152"/>
        <v>0</v>
      </c>
      <c r="CS235" s="575"/>
      <c r="CT235" s="5"/>
      <c r="CU235" s="1180"/>
      <c r="CV235" s="575"/>
      <c r="CW235" s="5"/>
      <c r="CX235" s="1180"/>
      <c r="CY235" s="575"/>
      <c r="CZ235" s="5"/>
      <c r="DA235" s="1180"/>
      <c r="DB235" s="575"/>
      <c r="DC235" s="5"/>
      <c r="DD235" s="1180"/>
      <c r="DE235" s="1181">
        <f>SUM(CS235:DD235)</f>
        <v>0</v>
      </c>
      <c r="DG235" s="575"/>
      <c r="DH235" s="5"/>
      <c r="DI235" s="1180"/>
      <c r="DJ235" s="575"/>
      <c r="DK235" s="5"/>
      <c r="DL235" s="1180"/>
      <c r="DM235" s="575"/>
      <c r="DN235" s="5"/>
      <c r="DO235" s="1180"/>
      <c r="DP235" s="575"/>
      <c r="DQ235" s="5"/>
      <c r="DR235" s="1180"/>
      <c r="DS235" s="1181">
        <f>SUM(DG235:DR235)</f>
        <v>0</v>
      </c>
      <c r="DU235" s="575"/>
      <c r="DV235" s="5"/>
      <c r="DW235" s="1180"/>
      <c r="DX235" s="575"/>
      <c r="DY235" s="5"/>
      <c r="DZ235" s="1180"/>
      <c r="EA235" s="575"/>
      <c r="EB235" s="5"/>
      <c r="EC235" s="1180"/>
      <c r="ED235" s="575"/>
      <c r="EE235" s="5"/>
      <c r="EF235" s="1180"/>
      <c r="EG235" s="1181">
        <f>SUM(DU235:EF235)</f>
        <v>0</v>
      </c>
      <c r="EI235" s="3456"/>
      <c r="EJ235" s="1843">
        <f>B235</f>
        <v>0</v>
      </c>
      <c r="EK235" s="420" t="s">
        <v>130</v>
      </c>
      <c r="EL235" s="42">
        <f t="shared" ca="1" si="1222"/>
        <v>0</v>
      </c>
      <c r="EM235" s="42">
        <f t="shared" ca="1" si="1222"/>
        <v>0</v>
      </c>
      <c r="EN235" s="42">
        <f t="shared" ca="1" si="1222"/>
        <v>0</v>
      </c>
      <c r="EO235" s="42">
        <f t="shared" ca="1" si="1222"/>
        <v>0</v>
      </c>
      <c r="EP235" s="42">
        <f t="shared" ca="1" si="1222"/>
        <v>0</v>
      </c>
      <c r="EQ235" s="42">
        <f t="shared" ca="1" si="1222"/>
        <v>0</v>
      </c>
      <c r="ER235" s="90">
        <f t="shared" ca="1" si="1163"/>
        <v>0</v>
      </c>
      <c r="ES235" s="9"/>
      <c r="ET235" s="9"/>
      <c r="EU235" s="9"/>
      <c r="EV235" s="5">
        <f t="shared" si="1223"/>
        <v>0</v>
      </c>
      <c r="EW235" s="5">
        <f t="shared" si="1223"/>
        <v>0</v>
      </c>
      <c r="EX235" s="5">
        <f t="shared" si="1223"/>
        <v>0</v>
      </c>
      <c r="EY235" s="5">
        <f t="shared" si="1223"/>
        <v>0</v>
      </c>
      <c r="EZ235" s="5">
        <f t="shared" si="1223"/>
        <v>0</v>
      </c>
      <c r="FA235" s="5">
        <f t="shared" si="1223"/>
        <v>0</v>
      </c>
      <c r="FB235" s="167">
        <f>SUM(EV235:FA235)</f>
        <v>0</v>
      </c>
      <c r="FC235" s="1"/>
      <c r="FD235" s="5"/>
      <c r="FE235" s="5"/>
      <c r="FF235" s="5"/>
      <c r="FG235" s="5"/>
      <c r="FH235" s="5"/>
      <c r="FI235" s="5"/>
      <c r="FJ235" s="48">
        <f>SUM(FD235:FI235)</f>
        <v>0</v>
      </c>
      <c r="FL235" s="5"/>
      <c r="FM235" s="5"/>
      <c r="FN235" s="5"/>
      <c r="FO235" s="5"/>
      <c r="FP235" s="5"/>
      <c r="FQ235" s="5"/>
      <c r="FR235" s="209">
        <f>SUM(FL235:FQ235)</f>
        <v>0</v>
      </c>
      <c r="FT235" s="5"/>
      <c r="FU235" s="5"/>
      <c r="FV235" s="5"/>
      <c r="FW235" s="5"/>
      <c r="FX235" s="5"/>
      <c r="FY235" s="5"/>
      <c r="FZ235" s="181">
        <f>SUM(FT235:FY235)</f>
        <v>0</v>
      </c>
      <c r="GB235" s="5"/>
      <c r="GC235" s="5"/>
      <c r="GD235" s="5"/>
      <c r="GE235" s="5"/>
      <c r="GF235" s="5"/>
      <c r="GG235" s="5"/>
      <c r="GH235" s="153">
        <f>SUM(GB235:GG235)</f>
        <v>0</v>
      </c>
      <c r="GJ235" s="5"/>
      <c r="GK235" s="5"/>
      <c r="GL235" s="5"/>
      <c r="GM235" s="5"/>
      <c r="GN235" s="5"/>
      <c r="GO235" s="5"/>
      <c r="GP235" s="195">
        <f>SUM(GJ235:GO235)</f>
        <v>0</v>
      </c>
      <c r="GR235" s="5"/>
      <c r="GS235" s="5"/>
      <c r="GT235" s="5"/>
      <c r="GU235" s="5"/>
      <c r="GV235" s="5"/>
      <c r="GW235" s="5"/>
      <c r="GX235" s="1630">
        <f>SUM(GR235:GW235)</f>
        <v>0</v>
      </c>
      <c r="GZ235" s="575">
        <f t="shared" si="1095"/>
        <v>0</v>
      </c>
      <c r="HA235" s="575">
        <f t="shared" si="1096"/>
        <v>0</v>
      </c>
      <c r="HB235" s="575">
        <f t="shared" si="1097"/>
        <v>0</v>
      </c>
      <c r="HC235" s="575">
        <f t="shared" si="1098"/>
        <v>0</v>
      </c>
      <c r="HD235" s="575">
        <f t="shared" si="1099"/>
        <v>0</v>
      </c>
      <c r="HE235" s="575">
        <f t="shared" si="1100"/>
        <v>0</v>
      </c>
      <c r="HF235" s="991">
        <f t="shared" si="1101"/>
        <v>0</v>
      </c>
      <c r="HG235" s="573">
        <f t="shared" ca="1" si="1102"/>
        <v>0</v>
      </c>
      <c r="HH235" s="257"/>
    </row>
    <row r="236" spans="1:216" ht="15" hidden="1" customHeight="1" thickBot="1" x14ac:dyDescent="0.3">
      <c r="A236" s="72"/>
      <c r="B236" s="1844"/>
      <c r="C236" s="1681" t="s">
        <v>269</v>
      </c>
      <c r="D236" s="1342">
        <f t="shared" ref="D236:J236" ca="1" si="1224">SUM(D233:D235)</f>
        <v>0</v>
      </c>
      <c r="E236" s="1342">
        <f t="shared" ca="1" si="1224"/>
        <v>0</v>
      </c>
      <c r="F236" s="1342">
        <f t="shared" ca="1" si="1224"/>
        <v>0</v>
      </c>
      <c r="G236" s="1342">
        <f t="shared" ca="1" si="1224"/>
        <v>0</v>
      </c>
      <c r="H236" s="1342">
        <f t="shared" ca="1" si="1224"/>
        <v>0</v>
      </c>
      <c r="I236" s="1342">
        <f t="shared" ca="1" si="1224"/>
        <v>0</v>
      </c>
      <c r="J236" s="1343">
        <f t="shared" ca="1" si="1224"/>
        <v>0</v>
      </c>
      <c r="K236" s="13">
        <f ca="1">SUM(D236:I236)</f>
        <v>0</v>
      </c>
      <c r="L236" s="9"/>
      <c r="M236" s="9"/>
      <c r="N236" s="1629">
        <f t="shared" ref="N236:T236" si="1225">SUM(N233:N235)</f>
        <v>0</v>
      </c>
      <c r="O236" s="1629">
        <f t="shared" si="1225"/>
        <v>0</v>
      </c>
      <c r="P236" s="1629">
        <f t="shared" si="1225"/>
        <v>0</v>
      </c>
      <c r="Q236" s="1629">
        <f t="shared" si="1225"/>
        <v>0</v>
      </c>
      <c r="R236" s="1629">
        <f t="shared" si="1225"/>
        <v>0</v>
      </c>
      <c r="S236" s="1629">
        <f t="shared" si="1225"/>
        <v>0</v>
      </c>
      <c r="T236" s="1628">
        <f t="shared" si="1225"/>
        <v>0</v>
      </c>
      <c r="U236" s="1"/>
      <c r="V236" s="1629">
        <f t="shared" ref="V236:AB236" si="1226">SUM(V233:V235)</f>
        <v>0</v>
      </c>
      <c r="W236" s="1629">
        <f t="shared" si="1226"/>
        <v>0</v>
      </c>
      <c r="X236" s="1629">
        <f t="shared" si="1226"/>
        <v>0</v>
      </c>
      <c r="Y236" s="1629">
        <f t="shared" si="1226"/>
        <v>0</v>
      </c>
      <c r="Z236" s="1629">
        <f t="shared" si="1226"/>
        <v>0</v>
      </c>
      <c r="AA236" s="1629">
        <f t="shared" si="1226"/>
        <v>0</v>
      </c>
      <c r="AB236" s="1628">
        <f t="shared" si="1226"/>
        <v>0</v>
      </c>
      <c r="AD236" s="1629">
        <f t="shared" ref="AD236:AJ236" si="1227">SUM(AD233:AD235)</f>
        <v>0</v>
      </c>
      <c r="AE236" s="1629">
        <f t="shared" si="1227"/>
        <v>0</v>
      </c>
      <c r="AF236" s="1629">
        <f t="shared" si="1227"/>
        <v>0</v>
      </c>
      <c r="AG236" s="1629">
        <f t="shared" si="1227"/>
        <v>0</v>
      </c>
      <c r="AH236" s="1629">
        <f t="shared" si="1227"/>
        <v>0</v>
      </c>
      <c r="AI236" s="1629">
        <f t="shared" si="1227"/>
        <v>0</v>
      </c>
      <c r="AJ236" s="1628">
        <f t="shared" si="1227"/>
        <v>0</v>
      </c>
      <c r="AL236" s="7">
        <f t="shared" ref="AL236:AR236" si="1228">SUM(AL233:AL235)</f>
        <v>0</v>
      </c>
      <c r="AM236" s="7">
        <f t="shared" si="1228"/>
        <v>0</v>
      </c>
      <c r="AN236" s="7">
        <f t="shared" si="1228"/>
        <v>0</v>
      </c>
      <c r="AO236" s="7">
        <f t="shared" si="1228"/>
        <v>0</v>
      </c>
      <c r="AP236" s="7">
        <f t="shared" si="1228"/>
        <v>0</v>
      </c>
      <c r="AQ236" s="7">
        <f t="shared" si="1228"/>
        <v>0</v>
      </c>
      <c r="AR236" s="12">
        <f t="shared" si="1228"/>
        <v>0</v>
      </c>
      <c r="AT236" s="7">
        <f t="shared" ref="AT236:AZ236" si="1229">SUM(AT233:AT235)</f>
        <v>0</v>
      </c>
      <c r="AU236" s="7">
        <f t="shared" si="1229"/>
        <v>0</v>
      </c>
      <c r="AV236" s="7">
        <f t="shared" si="1229"/>
        <v>0</v>
      </c>
      <c r="AW236" s="7">
        <f t="shared" si="1229"/>
        <v>0</v>
      </c>
      <c r="AX236" s="7">
        <f t="shared" si="1229"/>
        <v>0</v>
      </c>
      <c r="AY236" s="7">
        <f t="shared" si="1229"/>
        <v>0</v>
      </c>
      <c r="AZ236" s="12">
        <f t="shared" si="1229"/>
        <v>0</v>
      </c>
      <c r="BB236" s="7">
        <f t="shared" ref="BB236:BH236" si="1230">SUM(BB233:BB235)</f>
        <v>0</v>
      </c>
      <c r="BC236" s="7">
        <f t="shared" si="1230"/>
        <v>0</v>
      </c>
      <c r="BD236" s="7">
        <f t="shared" si="1230"/>
        <v>0</v>
      </c>
      <c r="BE236" s="7">
        <f t="shared" si="1230"/>
        <v>0</v>
      </c>
      <c r="BF236" s="7">
        <f t="shared" si="1230"/>
        <v>0</v>
      </c>
      <c r="BG236" s="7">
        <f t="shared" si="1230"/>
        <v>0</v>
      </c>
      <c r="BH236" s="12">
        <f t="shared" si="1230"/>
        <v>0</v>
      </c>
      <c r="BJ236" s="7">
        <f t="shared" ref="BJ236:BP236" si="1231">SUM(BJ233:BJ235)</f>
        <v>0</v>
      </c>
      <c r="BK236" s="7">
        <f t="shared" si="1231"/>
        <v>0</v>
      </c>
      <c r="BL236" s="7">
        <f t="shared" si="1231"/>
        <v>0</v>
      </c>
      <c r="BM236" s="7">
        <f t="shared" si="1231"/>
        <v>0</v>
      </c>
      <c r="BN236" s="7">
        <f t="shared" si="1231"/>
        <v>0</v>
      </c>
      <c r="BO236" s="7">
        <f t="shared" si="1231"/>
        <v>0</v>
      </c>
      <c r="BP236" s="12">
        <f t="shared" si="1231"/>
        <v>0</v>
      </c>
      <c r="BR236" s="585">
        <f t="shared" si="1087"/>
        <v>0</v>
      </c>
      <c r="BS236" s="585">
        <f t="shared" si="1088"/>
        <v>0</v>
      </c>
      <c r="BT236" s="585">
        <f t="shared" si="1089"/>
        <v>0</v>
      </c>
      <c r="BU236" s="585">
        <f t="shared" si="1090"/>
        <v>0</v>
      </c>
      <c r="BV236" s="585">
        <f t="shared" si="1091"/>
        <v>0</v>
      </c>
      <c r="BW236" s="585">
        <f t="shared" si="1092"/>
        <v>0</v>
      </c>
      <c r="BX236" s="585">
        <f t="shared" si="1093"/>
        <v>0</v>
      </c>
      <c r="BY236" s="586">
        <f t="shared" ca="1" si="1094"/>
        <v>0</v>
      </c>
      <c r="BZ236" s="257"/>
      <c r="CB236" s="1633">
        <f t="shared" ref="CB236:CO236" ca="1" si="1232">SUM(CB233:CB235)</f>
        <v>0</v>
      </c>
      <c r="CC236" s="1634">
        <f t="shared" ca="1" si="1232"/>
        <v>0</v>
      </c>
      <c r="CD236" s="1635">
        <f t="shared" ca="1" si="1232"/>
        <v>0</v>
      </c>
      <c r="CE236" s="1635">
        <f t="shared" ca="1" si="1232"/>
        <v>0</v>
      </c>
      <c r="CF236" s="1635">
        <f t="shared" si="1232"/>
        <v>0</v>
      </c>
      <c r="CG236" s="1636">
        <f t="shared" ca="1" si="1232"/>
        <v>0</v>
      </c>
      <c r="CH236" s="1634">
        <f t="shared" ca="1" si="1232"/>
        <v>0</v>
      </c>
      <c r="CI236" s="1635">
        <f t="shared" ca="1" si="1232"/>
        <v>0</v>
      </c>
      <c r="CJ236" s="1635">
        <f t="shared" ca="1" si="1232"/>
        <v>0</v>
      </c>
      <c r="CK236" s="1635">
        <f t="shared" si="1232"/>
        <v>0</v>
      </c>
      <c r="CL236" s="1637">
        <f t="shared" ca="1" si="1232"/>
        <v>0</v>
      </c>
      <c r="CM236" s="1634">
        <f t="shared" ca="1" si="1232"/>
        <v>0</v>
      </c>
      <c r="CN236" s="1635">
        <f t="shared" ca="1" si="1232"/>
        <v>0</v>
      </c>
      <c r="CO236" s="1636">
        <f t="shared" ca="1" si="1232"/>
        <v>0</v>
      </c>
      <c r="CP236" s="1351">
        <f t="shared" ca="1" si="1152"/>
        <v>0</v>
      </c>
      <c r="CS236" s="1231">
        <f t="shared" ref="CS236:DE236" si="1233">SUM(CS233:CS235)</f>
        <v>0</v>
      </c>
      <c r="CT236" s="7">
        <f t="shared" si="1233"/>
        <v>0</v>
      </c>
      <c r="CU236" s="573">
        <f t="shared" si="1233"/>
        <v>0</v>
      </c>
      <c r="CV236" s="1231">
        <f t="shared" si="1233"/>
        <v>0</v>
      </c>
      <c r="CW236" s="7">
        <f t="shared" si="1233"/>
        <v>0</v>
      </c>
      <c r="CX236" s="573">
        <f t="shared" si="1233"/>
        <v>0</v>
      </c>
      <c r="CY236" s="1231">
        <f t="shared" si="1233"/>
        <v>0</v>
      </c>
      <c r="CZ236" s="7">
        <f t="shared" si="1233"/>
        <v>0</v>
      </c>
      <c r="DA236" s="573">
        <f t="shared" si="1233"/>
        <v>0</v>
      </c>
      <c r="DB236" s="1231">
        <f t="shared" si="1233"/>
        <v>0</v>
      </c>
      <c r="DC236" s="7">
        <f t="shared" si="1233"/>
        <v>0</v>
      </c>
      <c r="DD236" s="573">
        <f t="shared" si="1233"/>
        <v>0</v>
      </c>
      <c r="DE236" s="1181">
        <f t="shared" si="1233"/>
        <v>0</v>
      </c>
      <c r="DG236" s="1231">
        <f t="shared" ref="DG236:DS236" si="1234">SUM(DG233:DG235)</f>
        <v>0</v>
      </c>
      <c r="DH236" s="7">
        <f t="shared" si="1234"/>
        <v>0</v>
      </c>
      <c r="DI236" s="573">
        <f t="shared" si="1234"/>
        <v>0</v>
      </c>
      <c r="DJ236" s="1231">
        <f t="shared" si="1234"/>
        <v>0</v>
      </c>
      <c r="DK236" s="7">
        <f t="shared" si="1234"/>
        <v>0</v>
      </c>
      <c r="DL236" s="573">
        <f t="shared" si="1234"/>
        <v>0</v>
      </c>
      <c r="DM236" s="1231">
        <f t="shared" si="1234"/>
        <v>0</v>
      </c>
      <c r="DN236" s="7">
        <f t="shared" si="1234"/>
        <v>0</v>
      </c>
      <c r="DO236" s="573">
        <f t="shared" si="1234"/>
        <v>0</v>
      </c>
      <c r="DP236" s="1231">
        <f t="shared" si="1234"/>
        <v>0</v>
      </c>
      <c r="DQ236" s="7">
        <f t="shared" si="1234"/>
        <v>0</v>
      </c>
      <c r="DR236" s="573">
        <f t="shared" si="1234"/>
        <v>0</v>
      </c>
      <c r="DS236" s="1181">
        <f t="shared" si="1234"/>
        <v>0</v>
      </c>
      <c r="DU236" s="1231">
        <f t="shared" ref="DU236:EG236" si="1235">SUM(DU233:DU235)</f>
        <v>0</v>
      </c>
      <c r="DV236" s="7">
        <f t="shared" si="1235"/>
        <v>0</v>
      </c>
      <c r="DW236" s="573">
        <f t="shared" si="1235"/>
        <v>0</v>
      </c>
      <c r="DX236" s="1231">
        <f t="shared" si="1235"/>
        <v>0</v>
      </c>
      <c r="DY236" s="7">
        <f t="shared" si="1235"/>
        <v>0</v>
      </c>
      <c r="DZ236" s="573">
        <f t="shared" si="1235"/>
        <v>0</v>
      </c>
      <c r="EA236" s="1231">
        <f t="shared" si="1235"/>
        <v>0</v>
      </c>
      <c r="EB236" s="7">
        <f t="shared" si="1235"/>
        <v>0</v>
      </c>
      <c r="EC236" s="573">
        <f t="shared" si="1235"/>
        <v>0</v>
      </c>
      <c r="ED236" s="1231">
        <f t="shared" si="1235"/>
        <v>0</v>
      </c>
      <c r="EE236" s="7">
        <f t="shared" si="1235"/>
        <v>0</v>
      </c>
      <c r="EF236" s="573">
        <f t="shared" si="1235"/>
        <v>0</v>
      </c>
      <c r="EG236" s="1181">
        <f t="shared" si="1235"/>
        <v>0</v>
      </c>
      <c r="EI236" s="3456"/>
      <c r="EJ236" s="1844"/>
      <c r="EK236" s="1681" t="s">
        <v>269</v>
      </c>
      <c r="EL236" s="1342">
        <f t="shared" ref="EL236:EQ236" ca="1" si="1236">SUM(EL233:EL235)</f>
        <v>0</v>
      </c>
      <c r="EM236" s="1342">
        <f t="shared" ca="1" si="1236"/>
        <v>0</v>
      </c>
      <c r="EN236" s="1342">
        <f t="shared" ca="1" si="1236"/>
        <v>0</v>
      </c>
      <c r="EO236" s="1342">
        <f t="shared" ca="1" si="1236"/>
        <v>0</v>
      </c>
      <c r="EP236" s="1342">
        <f t="shared" ca="1" si="1236"/>
        <v>0</v>
      </c>
      <c r="EQ236" s="1342">
        <f t="shared" ca="1" si="1236"/>
        <v>0</v>
      </c>
      <c r="ER236" s="1343">
        <f t="shared" ca="1" si="1163"/>
        <v>0</v>
      </c>
      <c r="ES236" s="13">
        <f ca="1">SUM(ER233:ER235)</f>
        <v>0</v>
      </c>
      <c r="ET236" s="9"/>
      <c r="EU236" s="9"/>
      <c r="EV236" s="1629">
        <f t="shared" ref="EV236:FB236" si="1237">SUM(EV233:EV235)</f>
        <v>0</v>
      </c>
      <c r="EW236" s="1629">
        <f t="shared" si="1237"/>
        <v>0</v>
      </c>
      <c r="EX236" s="1629">
        <f t="shared" si="1237"/>
        <v>0</v>
      </c>
      <c r="EY236" s="1629">
        <f t="shared" si="1237"/>
        <v>0</v>
      </c>
      <c r="EZ236" s="1629">
        <f t="shared" si="1237"/>
        <v>0</v>
      </c>
      <c r="FA236" s="1629">
        <f t="shared" si="1237"/>
        <v>0</v>
      </c>
      <c r="FB236" s="1628">
        <f t="shared" si="1237"/>
        <v>0</v>
      </c>
      <c r="FC236" s="1"/>
      <c r="FD236" s="1629">
        <f t="shared" ref="FD236:FJ236" si="1238">SUM(FD233:FD235)</f>
        <v>0</v>
      </c>
      <c r="FE236" s="1629">
        <f t="shared" si="1238"/>
        <v>0</v>
      </c>
      <c r="FF236" s="1629">
        <f t="shared" si="1238"/>
        <v>0</v>
      </c>
      <c r="FG236" s="1629">
        <f t="shared" si="1238"/>
        <v>0</v>
      </c>
      <c r="FH236" s="1629">
        <f t="shared" si="1238"/>
        <v>0</v>
      </c>
      <c r="FI236" s="1629">
        <f t="shared" si="1238"/>
        <v>0</v>
      </c>
      <c r="FJ236" s="1628">
        <f t="shared" si="1238"/>
        <v>0</v>
      </c>
      <c r="FL236" s="1629">
        <f t="shared" ref="FL236:FR236" si="1239">SUM(FL233:FL235)</f>
        <v>0</v>
      </c>
      <c r="FM236" s="1629">
        <f t="shared" si="1239"/>
        <v>0</v>
      </c>
      <c r="FN236" s="1629">
        <f t="shared" si="1239"/>
        <v>0</v>
      </c>
      <c r="FO236" s="1629">
        <f t="shared" si="1239"/>
        <v>0</v>
      </c>
      <c r="FP236" s="1629">
        <f t="shared" si="1239"/>
        <v>0</v>
      </c>
      <c r="FQ236" s="1629">
        <f t="shared" si="1239"/>
        <v>0</v>
      </c>
      <c r="FR236" s="1628">
        <f t="shared" si="1239"/>
        <v>0</v>
      </c>
      <c r="FT236" s="7">
        <f t="shared" ref="FT236:FZ236" si="1240">SUM(FT233:FT235)</f>
        <v>0</v>
      </c>
      <c r="FU236" s="7">
        <f t="shared" si="1240"/>
        <v>0</v>
      </c>
      <c r="FV236" s="7">
        <f t="shared" si="1240"/>
        <v>0</v>
      </c>
      <c r="FW236" s="7">
        <f t="shared" si="1240"/>
        <v>0</v>
      </c>
      <c r="FX236" s="7">
        <f t="shared" si="1240"/>
        <v>0</v>
      </c>
      <c r="FY236" s="7">
        <f t="shared" si="1240"/>
        <v>0</v>
      </c>
      <c r="FZ236" s="12">
        <f t="shared" si="1240"/>
        <v>0</v>
      </c>
      <c r="GB236" s="7">
        <f t="shared" ref="GB236:GH236" si="1241">SUM(GB233:GB235)</f>
        <v>0</v>
      </c>
      <c r="GC236" s="7">
        <f t="shared" si="1241"/>
        <v>0</v>
      </c>
      <c r="GD236" s="7">
        <f t="shared" si="1241"/>
        <v>0</v>
      </c>
      <c r="GE236" s="7">
        <f t="shared" si="1241"/>
        <v>0</v>
      </c>
      <c r="GF236" s="7">
        <f t="shared" si="1241"/>
        <v>0</v>
      </c>
      <c r="GG236" s="7">
        <f t="shared" si="1241"/>
        <v>0</v>
      </c>
      <c r="GH236" s="12">
        <f t="shared" si="1241"/>
        <v>0</v>
      </c>
      <c r="GJ236" s="7">
        <f t="shared" ref="GJ236:GP236" si="1242">SUM(GJ233:GJ235)</f>
        <v>0</v>
      </c>
      <c r="GK236" s="7">
        <f t="shared" si="1242"/>
        <v>0</v>
      </c>
      <c r="GL236" s="7">
        <f t="shared" si="1242"/>
        <v>0</v>
      </c>
      <c r="GM236" s="7">
        <f t="shared" si="1242"/>
        <v>0</v>
      </c>
      <c r="GN236" s="7">
        <f t="shared" si="1242"/>
        <v>0</v>
      </c>
      <c r="GO236" s="7">
        <f t="shared" si="1242"/>
        <v>0</v>
      </c>
      <c r="GP236" s="12">
        <f t="shared" si="1242"/>
        <v>0</v>
      </c>
      <c r="GR236" s="7">
        <f t="shared" ref="GR236:GX236" si="1243">SUM(GR233:GR235)</f>
        <v>0</v>
      </c>
      <c r="GS236" s="7">
        <f t="shared" si="1243"/>
        <v>0</v>
      </c>
      <c r="GT236" s="7">
        <f t="shared" si="1243"/>
        <v>0</v>
      </c>
      <c r="GU236" s="7">
        <f t="shared" si="1243"/>
        <v>0</v>
      </c>
      <c r="GV236" s="7">
        <f t="shared" si="1243"/>
        <v>0</v>
      </c>
      <c r="GW236" s="7">
        <f t="shared" si="1243"/>
        <v>0</v>
      </c>
      <c r="GX236" s="12">
        <f t="shared" si="1243"/>
        <v>0</v>
      </c>
      <c r="GZ236" s="585">
        <f t="shared" si="1095"/>
        <v>0</v>
      </c>
      <c r="HA236" s="585">
        <f t="shared" si="1096"/>
        <v>0</v>
      </c>
      <c r="HB236" s="585">
        <f t="shared" si="1097"/>
        <v>0</v>
      </c>
      <c r="HC236" s="585">
        <f t="shared" si="1098"/>
        <v>0</v>
      </c>
      <c r="HD236" s="585">
        <f t="shared" si="1099"/>
        <v>0</v>
      </c>
      <c r="HE236" s="585">
        <f t="shared" si="1100"/>
        <v>0</v>
      </c>
      <c r="HF236" s="585">
        <f t="shared" si="1101"/>
        <v>0</v>
      </c>
      <c r="HG236" s="586">
        <f t="shared" ca="1" si="1102"/>
        <v>0</v>
      </c>
      <c r="HH236" s="257"/>
    </row>
    <row r="237" spans="1:216" ht="15" hidden="1" customHeight="1" x14ac:dyDescent="0.25">
      <c r="A237" s="72"/>
      <c r="B237" s="3292" t="str">
        <f>'Calc - GRAD ASST'!A93</f>
        <v>GA #04 / Sponsor Funds</v>
      </c>
      <c r="C237" s="483" t="s">
        <v>57</v>
      </c>
      <c r="D237" s="86">
        <f ca="1">'Calc - GRAD ASST'!$J107</f>
        <v>0</v>
      </c>
      <c r="E237" s="86">
        <f ca="1">'Calc - GRAD ASST'!$J109</f>
        <v>0</v>
      </c>
      <c r="F237" s="86">
        <f ca="1">'Calc - GRAD ASST'!$J111</f>
        <v>0</v>
      </c>
      <c r="G237" s="86">
        <f ca="1">'Calc - GRAD ASST'!$J113</f>
        <v>0</v>
      </c>
      <c r="H237" s="86">
        <f ca="1">'Calc - GRAD ASST'!$J115</f>
        <v>0</v>
      </c>
      <c r="I237" s="86">
        <f ca="1">'Calc - GRAD ASST'!$J117</f>
        <v>0</v>
      </c>
      <c r="J237" s="87">
        <f ca="1">SUM(D237:I237)</f>
        <v>0</v>
      </c>
      <c r="K237" s="9"/>
      <c r="M237" s="9"/>
      <c r="N237" s="5"/>
      <c r="O237" s="5"/>
      <c r="P237" s="5"/>
      <c r="Q237" s="5"/>
      <c r="R237" s="5"/>
      <c r="S237" s="5"/>
      <c r="T237" s="167">
        <f>SUM(N237:S237)</f>
        <v>0</v>
      </c>
      <c r="U237" s="1"/>
      <c r="V237" s="5"/>
      <c r="W237" s="5"/>
      <c r="X237" s="5"/>
      <c r="Y237" s="5"/>
      <c r="Z237" s="5"/>
      <c r="AA237" s="5"/>
      <c r="AB237" s="48">
        <f>SUM(V237:AA237)</f>
        <v>0</v>
      </c>
      <c r="AD237" s="5"/>
      <c r="AE237" s="5"/>
      <c r="AF237" s="5"/>
      <c r="AG237" s="5"/>
      <c r="AH237" s="5"/>
      <c r="AI237" s="5"/>
      <c r="AJ237" s="209">
        <f>SUM(AD237:AI237)</f>
        <v>0</v>
      </c>
      <c r="AL237" s="5"/>
      <c r="AM237" s="5"/>
      <c r="AN237" s="5"/>
      <c r="AO237" s="5"/>
      <c r="AP237" s="5"/>
      <c r="AQ237" s="5"/>
      <c r="AR237" s="181">
        <f>SUM(AL237:AQ237)</f>
        <v>0</v>
      </c>
      <c r="AT237" s="5"/>
      <c r="AU237" s="5"/>
      <c r="AV237" s="5"/>
      <c r="AW237" s="5"/>
      <c r="AX237" s="5"/>
      <c r="AY237" s="5"/>
      <c r="AZ237" s="153">
        <f>SUM(AT237:AY237)</f>
        <v>0</v>
      </c>
      <c r="BB237" s="5"/>
      <c r="BC237" s="5"/>
      <c r="BD237" s="5"/>
      <c r="BE237" s="5"/>
      <c r="BF237" s="5"/>
      <c r="BG237" s="5"/>
      <c r="BH237" s="195">
        <f>SUM(BB237:BG237)</f>
        <v>0</v>
      </c>
      <c r="BJ237" s="5"/>
      <c r="BK237" s="5"/>
      <c r="BL237" s="5"/>
      <c r="BM237" s="5"/>
      <c r="BN237" s="5"/>
      <c r="BO237" s="5"/>
      <c r="BP237" s="1630">
        <f>SUM(BJ237:BO237)</f>
        <v>0</v>
      </c>
      <c r="BR237" s="575">
        <f t="shared" si="1087"/>
        <v>0</v>
      </c>
      <c r="BS237" s="575">
        <f t="shared" si="1088"/>
        <v>0</v>
      </c>
      <c r="BT237" s="575">
        <f t="shared" si="1089"/>
        <v>0</v>
      </c>
      <c r="BU237" s="575">
        <f t="shared" si="1090"/>
        <v>0</v>
      </c>
      <c r="BV237" s="575">
        <f t="shared" si="1091"/>
        <v>0</v>
      </c>
      <c r="BW237" s="575">
        <f t="shared" si="1092"/>
        <v>0</v>
      </c>
      <c r="BX237" s="991">
        <f t="shared" si="1093"/>
        <v>0</v>
      </c>
      <c r="BY237" s="573">
        <f t="shared" ca="1" si="1094"/>
        <v>0</v>
      </c>
      <c r="BZ237" s="257"/>
      <c r="CB237" s="1322">
        <f ca="1">D237</f>
        <v>0</v>
      </c>
      <c r="CC237" s="386">
        <f ca="1">$E237/3</f>
        <v>0</v>
      </c>
      <c r="CD237" s="360">
        <f ca="1">$E237/3</f>
        <v>0</v>
      </c>
      <c r="CE237" s="360">
        <f ca="1">$E237/3</f>
        <v>0</v>
      </c>
      <c r="CF237" s="360"/>
      <c r="CG237" s="1161"/>
      <c r="CH237" s="1241">
        <f ca="1">$F237/3</f>
        <v>0</v>
      </c>
      <c r="CI237" s="1163">
        <f ca="1">$F237/3</f>
        <v>0</v>
      </c>
      <c r="CJ237" s="1163">
        <f ca="1">$F237/3</f>
        <v>0</v>
      </c>
      <c r="CK237" s="1163"/>
      <c r="CL237" s="1164"/>
      <c r="CM237" s="1165">
        <f ca="1">$G237/3</f>
        <v>0</v>
      </c>
      <c r="CN237" s="1242">
        <f ca="1">$G237/3</f>
        <v>0</v>
      </c>
      <c r="CO237" s="1167">
        <f ca="1">$G237/3</f>
        <v>0</v>
      </c>
      <c r="CP237" s="1168">
        <f t="shared" ca="1" si="1152"/>
        <v>0</v>
      </c>
      <c r="CS237" s="575"/>
      <c r="CT237" s="5"/>
      <c r="CU237" s="1180"/>
      <c r="CV237" s="575"/>
      <c r="CW237" s="5"/>
      <c r="CX237" s="1180"/>
      <c r="CY237" s="575"/>
      <c r="CZ237" s="5"/>
      <c r="DA237" s="1180"/>
      <c r="DB237" s="575"/>
      <c r="DC237" s="5"/>
      <c r="DD237" s="1180"/>
      <c r="DE237" s="1181">
        <f>SUM(CS237:DD237)</f>
        <v>0</v>
      </c>
      <c r="DG237" s="575"/>
      <c r="DH237" s="5"/>
      <c r="DI237" s="1180"/>
      <c r="DJ237" s="575"/>
      <c r="DK237" s="5"/>
      <c r="DL237" s="1180"/>
      <c r="DM237" s="575"/>
      <c r="DN237" s="5"/>
      <c r="DO237" s="1180"/>
      <c r="DP237" s="575"/>
      <c r="DQ237" s="5"/>
      <c r="DR237" s="1180"/>
      <c r="DS237" s="1181">
        <f>SUM(DG237:DR237)</f>
        <v>0</v>
      </c>
      <c r="DU237" s="575"/>
      <c r="DV237" s="5"/>
      <c r="DW237" s="1180"/>
      <c r="DX237" s="575"/>
      <c r="DY237" s="5"/>
      <c r="DZ237" s="1180"/>
      <c r="EA237" s="575"/>
      <c r="EB237" s="5"/>
      <c r="EC237" s="1180"/>
      <c r="ED237" s="575"/>
      <c r="EE237" s="5"/>
      <c r="EF237" s="1180"/>
      <c r="EG237" s="1181">
        <f>SUM(DU237:EF237)</f>
        <v>0</v>
      </c>
      <c r="EI237" s="3456"/>
      <c r="EJ237" s="3292" t="str">
        <f>B237</f>
        <v>GA #04 / Sponsor Funds</v>
      </c>
      <c r="EK237" s="483" t="s">
        <v>57</v>
      </c>
      <c r="EL237" s="86">
        <f t="shared" ref="EL237:EQ239" ca="1" si="1244">ROUND(D237,0)</f>
        <v>0</v>
      </c>
      <c r="EM237" s="86">
        <f t="shared" ca="1" si="1244"/>
        <v>0</v>
      </c>
      <c r="EN237" s="86">
        <f t="shared" ca="1" si="1244"/>
        <v>0</v>
      </c>
      <c r="EO237" s="86">
        <f t="shared" ca="1" si="1244"/>
        <v>0</v>
      </c>
      <c r="EP237" s="86">
        <f t="shared" ca="1" si="1244"/>
        <v>0</v>
      </c>
      <c r="EQ237" s="86">
        <f t="shared" ca="1" si="1244"/>
        <v>0</v>
      </c>
      <c r="ER237" s="87">
        <f t="shared" ca="1" si="1163"/>
        <v>0</v>
      </c>
      <c r="ES237" s="9"/>
      <c r="EU237" s="9"/>
      <c r="EV237" s="5">
        <f t="shared" ref="EV237:FA239" si="1245">ROUND(N237,0)</f>
        <v>0</v>
      </c>
      <c r="EW237" s="5">
        <f t="shared" si="1245"/>
        <v>0</v>
      </c>
      <c r="EX237" s="5">
        <f t="shared" si="1245"/>
        <v>0</v>
      </c>
      <c r="EY237" s="5">
        <f t="shared" si="1245"/>
        <v>0</v>
      </c>
      <c r="EZ237" s="5">
        <f t="shared" si="1245"/>
        <v>0</v>
      </c>
      <c r="FA237" s="5">
        <f t="shared" si="1245"/>
        <v>0</v>
      </c>
      <c r="FB237" s="167">
        <f>SUM(EV237:FA237)</f>
        <v>0</v>
      </c>
      <c r="FC237" s="1"/>
      <c r="FD237" s="5"/>
      <c r="FE237" s="5"/>
      <c r="FF237" s="5"/>
      <c r="FG237" s="5"/>
      <c r="FH237" s="5"/>
      <c r="FI237" s="5"/>
      <c r="FJ237" s="48">
        <f>SUM(FD237:FI237)</f>
        <v>0</v>
      </c>
      <c r="FL237" s="5"/>
      <c r="FM237" s="5"/>
      <c r="FN237" s="5"/>
      <c r="FO237" s="5"/>
      <c r="FP237" s="5"/>
      <c r="FQ237" s="5"/>
      <c r="FR237" s="209">
        <f>SUM(FL237:FQ237)</f>
        <v>0</v>
      </c>
      <c r="FT237" s="5"/>
      <c r="FU237" s="5"/>
      <c r="FV237" s="5"/>
      <c r="FW237" s="5"/>
      <c r="FX237" s="5"/>
      <c r="FY237" s="5"/>
      <c r="FZ237" s="181">
        <f>SUM(FT237:FY237)</f>
        <v>0</v>
      </c>
      <c r="GB237" s="5"/>
      <c r="GC237" s="5"/>
      <c r="GD237" s="5"/>
      <c r="GE237" s="5"/>
      <c r="GF237" s="5"/>
      <c r="GG237" s="5"/>
      <c r="GH237" s="153">
        <f>SUM(GB237:GG237)</f>
        <v>0</v>
      </c>
      <c r="GJ237" s="5"/>
      <c r="GK237" s="5"/>
      <c r="GL237" s="5"/>
      <c r="GM237" s="5"/>
      <c r="GN237" s="5"/>
      <c r="GO237" s="5"/>
      <c r="GP237" s="195">
        <f>SUM(GJ237:GO237)</f>
        <v>0</v>
      </c>
      <c r="GR237" s="5"/>
      <c r="GS237" s="5"/>
      <c r="GT237" s="5"/>
      <c r="GU237" s="5"/>
      <c r="GV237" s="5"/>
      <c r="GW237" s="5"/>
      <c r="GX237" s="1630">
        <f>SUM(GR237:GW237)</f>
        <v>0</v>
      </c>
      <c r="GZ237" s="575">
        <f t="shared" si="1095"/>
        <v>0</v>
      </c>
      <c r="HA237" s="575">
        <f t="shared" si="1096"/>
        <v>0</v>
      </c>
      <c r="HB237" s="575">
        <f t="shared" si="1097"/>
        <v>0</v>
      </c>
      <c r="HC237" s="575">
        <f t="shared" si="1098"/>
        <v>0</v>
      </c>
      <c r="HD237" s="575">
        <f t="shared" si="1099"/>
        <v>0</v>
      </c>
      <c r="HE237" s="575">
        <f t="shared" si="1100"/>
        <v>0</v>
      </c>
      <c r="HF237" s="991">
        <f t="shared" si="1101"/>
        <v>0</v>
      </c>
      <c r="HG237" s="573">
        <f t="shared" ca="1" si="1102"/>
        <v>0</v>
      </c>
      <c r="HH237" s="257"/>
    </row>
    <row r="238" spans="1:216" ht="15" hidden="1" customHeight="1" x14ac:dyDescent="0.25">
      <c r="A238" s="72"/>
      <c r="B238" s="3293"/>
      <c r="C238" s="78" t="s">
        <v>96</v>
      </c>
      <c r="D238" s="29">
        <f ca="1">'Calc - GRAD ASST'!$E$107</f>
        <v>0</v>
      </c>
      <c r="E238" s="29">
        <f ca="1">'Calc - GRAD ASST'!$E$109</f>
        <v>0</v>
      </c>
      <c r="F238" s="29">
        <f ca="1">'Calc - GRAD ASST'!$E$111</f>
        <v>0</v>
      </c>
      <c r="G238" s="29">
        <f ca="1">'Calc - GRAD ASST'!$E$113</f>
        <v>0</v>
      </c>
      <c r="H238" s="29">
        <f ca="1">'Calc - GRAD ASST'!$E$115</f>
        <v>0</v>
      </c>
      <c r="I238" s="29">
        <f ca="1">'Calc - GRAD ASST'!$E$117</f>
        <v>0</v>
      </c>
      <c r="J238" s="88">
        <f ca="1">SUM(D238:I238)</f>
        <v>0</v>
      </c>
      <c r="L238" s="9"/>
      <c r="N238" s="29"/>
      <c r="O238" s="29"/>
      <c r="P238" s="29"/>
      <c r="Q238" s="29"/>
      <c r="R238" s="29"/>
      <c r="S238" s="29"/>
      <c r="T238" s="167">
        <f>SUM(N238:S238)</f>
        <v>0</v>
      </c>
      <c r="U238" s="1"/>
      <c r="V238" s="29"/>
      <c r="W238" s="29"/>
      <c r="X238" s="29"/>
      <c r="Y238" s="29"/>
      <c r="Z238" s="29"/>
      <c r="AA238" s="29"/>
      <c r="AB238" s="48">
        <f>SUM(V238:AA238)</f>
        <v>0</v>
      </c>
      <c r="AD238" s="29"/>
      <c r="AE238" s="29"/>
      <c r="AF238" s="29"/>
      <c r="AG238" s="29"/>
      <c r="AH238" s="29"/>
      <c r="AI238" s="29"/>
      <c r="AJ238" s="209">
        <f>SUM(AD238:AI238)</f>
        <v>0</v>
      </c>
      <c r="AL238" s="29"/>
      <c r="AM238" s="29"/>
      <c r="AN238" s="29"/>
      <c r="AO238" s="29"/>
      <c r="AP238" s="29"/>
      <c r="AQ238" s="29"/>
      <c r="AR238" s="181">
        <f>SUM(AL238:AQ238)</f>
        <v>0</v>
      </c>
      <c r="AT238" s="29"/>
      <c r="AU238" s="29"/>
      <c r="AV238" s="29"/>
      <c r="AW238" s="29"/>
      <c r="AX238" s="29"/>
      <c r="AY238" s="29"/>
      <c r="AZ238" s="153">
        <f>SUM(AT238:AY238)</f>
        <v>0</v>
      </c>
      <c r="BB238" s="29"/>
      <c r="BC238" s="29"/>
      <c r="BD238" s="29"/>
      <c r="BE238" s="29"/>
      <c r="BF238" s="29"/>
      <c r="BG238" s="29"/>
      <c r="BH238" s="195">
        <f>SUM(BB238:BG238)</f>
        <v>0</v>
      </c>
      <c r="BJ238" s="29"/>
      <c r="BK238" s="29"/>
      <c r="BL238" s="29"/>
      <c r="BM238" s="29"/>
      <c r="BN238" s="29"/>
      <c r="BO238" s="29"/>
      <c r="BP238" s="1630">
        <f>SUM(BJ238:BO238)</f>
        <v>0</v>
      </c>
      <c r="BR238" s="575">
        <f t="shared" si="1087"/>
        <v>0</v>
      </c>
      <c r="BS238" s="575">
        <f t="shared" si="1088"/>
        <v>0</v>
      </c>
      <c r="BT238" s="575">
        <f t="shared" si="1089"/>
        <v>0</v>
      </c>
      <c r="BU238" s="575">
        <f t="shared" si="1090"/>
        <v>0</v>
      </c>
      <c r="BV238" s="575">
        <f t="shared" si="1091"/>
        <v>0</v>
      </c>
      <c r="BW238" s="575">
        <f t="shared" si="1092"/>
        <v>0</v>
      </c>
      <c r="BX238" s="991">
        <f t="shared" si="1093"/>
        <v>0</v>
      </c>
      <c r="BY238" s="573">
        <f t="shared" ca="1" si="1094"/>
        <v>0</v>
      </c>
      <c r="BZ238" s="257"/>
      <c r="CB238" s="1350">
        <f ca="1">D238</f>
        <v>0</v>
      </c>
      <c r="CC238" s="1268"/>
      <c r="CD238" s="1269"/>
      <c r="CE238" s="1269"/>
      <c r="CF238" s="1269"/>
      <c r="CG238" s="1270">
        <f ca="1">E238</f>
        <v>0</v>
      </c>
      <c r="CH238" s="1271"/>
      <c r="CI238" s="1272"/>
      <c r="CJ238" s="1272"/>
      <c r="CK238" s="1272"/>
      <c r="CL238" s="1273">
        <f ca="1">F238</f>
        <v>0</v>
      </c>
      <c r="CM238" s="1274"/>
      <c r="CN238" s="1275"/>
      <c r="CO238" s="1276"/>
      <c r="CP238" s="1224">
        <f t="shared" ca="1" si="1152"/>
        <v>0</v>
      </c>
      <c r="CS238" s="575"/>
      <c r="CT238" s="5"/>
      <c r="CU238" s="1180"/>
      <c r="CV238" s="575"/>
      <c r="CW238" s="5"/>
      <c r="CX238" s="1180"/>
      <c r="CY238" s="575"/>
      <c r="CZ238" s="5"/>
      <c r="DA238" s="1180"/>
      <c r="DB238" s="575"/>
      <c r="DC238" s="5"/>
      <c r="DD238" s="1180"/>
      <c r="DE238" s="1181">
        <f>SUM(CS238:DD238)</f>
        <v>0</v>
      </c>
      <c r="DG238" s="575"/>
      <c r="DH238" s="5"/>
      <c r="DI238" s="1180"/>
      <c r="DJ238" s="575"/>
      <c r="DK238" s="5"/>
      <c r="DL238" s="1180"/>
      <c r="DM238" s="575"/>
      <c r="DN238" s="5"/>
      <c r="DO238" s="1180"/>
      <c r="DP238" s="575"/>
      <c r="DQ238" s="5"/>
      <c r="DR238" s="1180"/>
      <c r="DS238" s="1181">
        <f>SUM(DG238:DR238)</f>
        <v>0</v>
      </c>
      <c r="DU238" s="575"/>
      <c r="DV238" s="5"/>
      <c r="DW238" s="1180"/>
      <c r="DX238" s="575"/>
      <c r="DY238" s="5"/>
      <c r="DZ238" s="1180"/>
      <c r="EA238" s="575"/>
      <c r="EB238" s="5"/>
      <c r="EC238" s="1180"/>
      <c r="ED238" s="575"/>
      <c r="EE238" s="5"/>
      <c r="EF238" s="1180"/>
      <c r="EG238" s="1181">
        <f>SUM(DU238:EF238)</f>
        <v>0</v>
      </c>
      <c r="EI238" s="3456"/>
      <c r="EJ238" s="3293"/>
      <c r="EK238" s="78" t="s">
        <v>96</v>
      </c>
      <c r="EL238" s="29">
        <f t="shared" ca="1" si="1244"/>
        <v>0</v>
      </c>
      <c r="EM238" s="29">
        <f t="shared" ca="1" si="1244"/>
        <v>0</v>
      </c>
      <c r="EN238" s="29">
        <f t="shared" ca="1" si="1244"/>
        <v>0</v>
      </c>
      <c r="EO238" s="29">
        <f t="shared" ca="1" si="1244"/>
        <v>0</v>
      </c>
      <c r="EP238" s="29">
        <f t="shared" ca="1" si="1244"/>
        <v>0</v>
      </c>
      <c r="EQ238" s="29">
        <f t="shared" ca="1" si="1244"/>
        <v>0</v>
      </c>
      <c r="ER238" s="88">
        <f t="shared" ca="1" si="1163"/>
        <v>0</v>
      </c>
      <c r="ET238" s="9"/>
      <c r="EV238" s="29">
        <f t="shared" si="1245"/>
        <v>0</v>
      </c>
      <c r="EW238" s="29">
        <f t="shared" si="1245"/>
        <v>0</v>
      </c>
      <c r="EX238" s="29">
        <f t="shared" si="1245"/>
        <v>0</v>
      </c>
      <c r="EY238" s="29">
        <f t="shared" si="1245"/>
        <v>0</v>
      </c>
      <c r="EZ238" s="29">
        <f t="shared" si="1245"/>
        <v>0</v>
      </c>
      <c r="FA238" s="29">
        <f t="shared" si="1245"/>
        <v>0</v>
      </c>
      <c r="FB238" s="167">
        <f>SUM(EV238:FA238)</f>
        <v>0</v>
      </c>
      <c r="FC238" s="1"/>
      <c r="FD238" s="29"/>
      <c r="FE238" s="29"/>
      <c r="FF238" s="29"/>
      <c r="FG238" s="29"/>
      <c r="FH238" s="29"/>
      <c r="FI238" s="29"/>
      <c r="FJ238" s="48">
        <f>SUM(FD238:FI238)</f>
        <v>0</v>
      </c>
      <c r="FL238" s="29"/>
      <c r="FM238" s="29"/>
      <c r="FN238" s="29"/>
      <c r="FO238" s="29"/>
      <c r="FP238" s="29"/>
      <c r="FQ238" s="29"/>
      <c r="FR238" s="209">
        <f>SUM(FL238:FQ238)</f>
        <v>0</v>
      </c>
      <c r="FT238" s="29"/>
      <c r="FU238" s="29"/>
      <c r="FV238" s="29"/>
      <c r="FW238" s="29"/>
      <c r="FX238" s="29"/>
      <c r="FY238" s="29"/>
      <c r="FZ238" s="181">
        <f>SUM(FT238:FY238)</f>
        <v>0</v>
      </c>
      <c r="GB238" s="29"/>
      <c r="GC238" s="29"/>
      <c r="GD238" s="29"/>
      <c r="GE238" s="29"/>
      <c r="GF238" s="29"/>
      <c r="GG238" s="29"/>
      <c r="GH238" s="153">
        <f>SUM(GB238:GG238)</f>
        <v>0</v>
      </c>
      <c r="GJ238" s="29"/>
      <c r="GK238" s="29"/>
      <c r="GL238" s="29"/>
      <c r="GM238" s="29"/>
      <c r="GN238" s="29"/>
      <c r="GO238" s="29"/>
      <c r="GP238" s="195">
        <f>SUM(GJ238:GO238)</f>
        <v>0</v>
      </c>
      <c r="GR238" s="29"/>
      <c r="GS238" s="29"/>
      <c r="GT238" s="29"/>
      <c r="GU238" s="29"/>
      <c r="GV238" s="29"/>
      <c r="GW238" s="29"/>
      <c r="GX238" s="1630">
        <f>SUM(GR238:GW238)</f>
        <v>0</v>
      </c>
      <c r="GZ238" s="575">
        <f t="shared" si="1095"/>
        <v>0</v>
      </c>
      <c r="HA238" s="575">
        <f t="shared" si="1096"/>
        <v>0</v>
      </c>
      <c r="HB238" s="575">
        <f t="shared" si="1097"/>
        <v>0</v>
      </c>
      <c r="HC238" s="575">
        <f t="shared" si="1098"/>
        <v>0</v>
      </c>
      <c r="HD238" s="575">
        <f t="shared" si="1099"/>
        <v>0</v>
      </c>
      <c r="HE238" s="575">
        <f t="shared" si="1100"/>
        <v>0</v>
      </c>
      <c r="HF238" s="991">
        <f t="shared" si="1101"/>
        <v>0</v>
      </c>
      <c r="HG238" s="573">
        <f t="shared" ca="1" si="1102"/>
        <v>0</v>
      </c>
      <c r="HH238" s="257"/>
    </row>
    <row r="239" spans="1:216" ht="15" hidden="1" customHeight="1" thickBot="1" x14ac:dyDescent="0.3">
      <c r="A239" s="72"/>
      <c r="B239" s="1845">
        <f>'Calc - GRAD ASST'!C94</f>
        <v>0</v>
      </c>
      <c r="C239" s="420" t="s">
        <v>130</v>
      </c>
      <c r="D239" s="42">
        <f ca="1">'Calc - GRAD ASST'!$M$107</f>
        <v>0</v>
      </c>
      <c r="E239" s="42">
        <f ca="1">'Calc - GRAD ASST'!$M$109</f>
        <v>0</v>
      </c>
      <c r="F239" s="42">
        <f ca="1">'Calc - GRAD ASST'!$M$111</f>
        <v>0</v>
      </c>
      <c r="G239" s="42">
        <f ca="1">'Calc - GRAD ASST'!$M$113</f>
        <v>0</v>
      </c>
      <c r="H239" s="42">
        <f ca="1">'Calc - GRAD ASST'!$M$115</f>
        <v>0</v>
      </c>
      <c r="I239" s="42">
        <f ca="1">'Calc - GRAD ASST'!$M$117</f>
        <v>0</v>
      </c>
      <c r="J239" s="90">
        <f ca="1">SUM(D239:I239)</f>
        <v>0</v>
      </c>
      <c r="K239" s="9"/>
      <c r="L239" s="9"/>
      <c r="M239" s="9"/>
      <c r="N239" s="5"/>
      <c r="O239" s="5"/>
      <c r="P239" s="5"/>
      <c r="Q239" s="5"/>
      <c r="R239" s="5"/>
      <c r="S239" s="5"/>
      <c r="T239" s="167">
        <f>SUM(N239:S239)</f>
        <v>0</v>
      </c>
      <c r="U239" s="1"/>
      <c r="V239" s="5"/>
      <c r="W239" s="5"/>
      <c r="X239" s="5"/>
      <c r="Y239" s="5"/>
      <c r="Z239" s="5"/>
      <c r="AA239" s="5"/>
      <c r="AB239" s="48">
        <f>SUM(V239:AA239)</f>
        <v>0</v>
      </c>
      <c r="AD239" s="5"/>
      <c r="AE239" s="5"/>
      <c r="AF239" s="5"/>
      <c r="AG239" s="5"/>
      <c r="AH239" s="5"/>
      <c r="AI239" s="5"/>
      <c r="AJ239" s="209">
        <f>SUM(AD239:AI239)</f>
        <v>0</v>
      </c>
      <c r="AL239" s="5"/>
      <c r="AM239" s="5"/>
      <c r="AN239" s="5"/>
      <c r="AO239" s="5"/>
      <c r="AP239" s="5"/>
      <c r="AQ239" s="5"/>
      <c r="AR239" s="181">
        <f>SUM(AL239:AQ239)</f>
        <v>0</v>
      </c>
      <c r="AT239" s="5"/>
      <c r="AU239" s="5"/>
      <c r="AV239" s="5"/>
      <c r="AW239" s="5"/>
      <c r="AX239" s="5"/>
      <c r="AY239" s="5"/>
      <c r="AZ239" s="153">
        <f>SUM(AT239:AY239)</f>
        <v>0</v>
      </c>
      <c r="BB239" s="5"/>
      <c r="BC239" s="5"/>
      <c r="BD239" s="5"/>
      <c r="BE239" s="5"/>
      <c r="BF239" s="5"/>
      <c r="BG239" s="5"/>
      <c r="BH239" s="195">
        <f>SUM(BB239:BG239)</f>
        <v>0</v>
      </c>
      <c r="BJ239" s="5"/>
      <c r="BK239" s="5"/>
      <c r="BL239" s="5"/>
      <c r="BM239" s="5"/>
      <c r="BN239" s="5"/>
      <c r="BO239" s="5"/>
      <c r="BP239" s="1630">
        <f>SUM(BJ239:BO239)</f>
        <v>0</v>
      </c>
      <c r="BR239" s="575">
        <f t="shared" si="1087"/>
        <v>0</v>
      </c>
      <c r="BS239" s="575">
        <f t="shared" si="1088"/>
        <v>0</v>
      </c>
      <c r="BT239" s="575">
        <f t="shared" si="1089"/>
        <v>0</v>
      </c>
      <c r="BU239" s="575">
        <f t="shared" si="1090"/>
        <v>0</v>
      </c>
      <c r="BV239" s="575">
        <f t="shared" si="1091"/>
        <v>0</v>
      </c>
      <c r="BW239" s="575">
        <f t="shared" si="1092"/>
        <v>0</v>
      </c>
      <c r="BX239" s="991">
        <f t="shared" si="1093"/>
        <v>0</v>
      </c>
      <c r="BY239" s="573">
        <f t="shared" ca="1" si="1094"/>
        <v>0</v>
      </c>
      <c r="BZ239" s="257"/>
      <c r="CB239" s="1330">
        <f ca="1">D239</f>
        <v>0</v>
      </c>
      <c r="CC239" s="1201">
        <f ca="1">($E239-$CG239)/3</f>
        <v>0</v>
      </c>
      <c r="CD239" s="1202">
        <f ca="1">($E239-$CG239)/3</f>
        <v>0</v>
      </c>
      <c r="CE239" s="1202">
        <f ca="1">($E239-$CG239)/3</f>
        <v>0</v>
      </c>
      <c r="CF239" s="1202"/>
      <c r="CG239" s="1203">
        <f ca="1">OFFSET('Calc - GRAD ASST'!$K$20,3*29+2,0)</f>
        <v>0</v>
      </c>
      <c r="CH239" s="1251">
        <f ca="1">($F239-$CL239)/3</f>
        <v>0</v>
      </c>
      <c r="CI239" s="1205">
        <f ca="1">($F239-$CL239)/3</f>
        <v>0</v>
      </c>
      <c r="CJ239" s="1205">
        <f ca="1">($F239-$CL239)/3</f>
        <v>0</v>
      </c>
      <c r="CK239" s="1205"/>
      <c r="CL239" s="1206">
        <f ca="1">OFFSET('Calc - GRAD ASST'!$K$20,3*29+4,0)</f>
        <v>0</v>
      </c>
      <c r="CM239" s="1207">
        <f ca="1">$G239/3</f>
        <v>0</v>
      </c>
      <c r="CN239" s="1252">
        <f ca="1">$G239/3</f>
        <v>0</v>
      </c>
      <c r="CO239" s="1209">
        <f ca="1">$G239/3</f>
        <v>0</v>
      </c>
      <c r="CP239" s="1316">
        <f t="shared" ca="1" si="1152"/>
        <v>0</v>
      </c>
      <c r="CS239" s="575"/>
      <c r="CT239" s="5"/>
      <c r="CU239" s="1180"/>
      <c r="CV239" s="575"/>
      <c r="CW239" s="5"/>
      <c r="CX239" s="1180"/>
      <c r="CY239" s="575"/>
      <c r="CZ239" s="5"/>
      <c r="DA239" s="1180"/>
      <c r="DB239" s="575"/>
      <c r="DC239" s="5"/>
      <c r="DD239" s="1180"/>
      <c r="DE239" s="1181">
        <f>SUM(CS239:DD239)</f>
        <v>0</v>
      </c>
      <c r="DG239" s="575"/>
      <c r="DH239" s="5"/>
      <c r="DI239" s="1180"/>
      <c r="DJ239" s="575"/>
      <c r="DK239" s="5"/>
      <c r="DL239" s="1180"/>
      <c r="DM239" s="575"/>
      <c r="DN239" s="5"/>
      <c r="DO239" s="1180"/>
      <c r="DP239" s="575"/>
      <c r="DQ239" s="5"/>
      <c r="DR239" s="1180"/>
      <c r="DS239" s="1181">
        <f>SUM(DG239:DR239)</f>
        <v>0</v>
      </c>
      <c r="DU239" s="575"/>
      <c r="DV239" s="5"/>
      <c r="DW239" s="1180"/>
      <c r="DX239" s="575"/>
      <c r="DY239" s="5"/>
      <c r="DZ239" s="1180"/>
      <c r="EA239" s="575"/>
      <c r="EB239" s="5"/>
      <c r="EC239" s="1180"/>
      <c r="ED239" s="575"/>
      <c r="EE239" s="5"/>
      <c r="EF239" s="1180"/>
      <c r="EG239" s="1181">
        <f>SUM(DU239:EF239)</f>
        <v>0</v>
      </c>
      <c r="EI239" s="3456"/>
      <c r="EJ239" s="1845">
        <f>B239</f>
        <v>0</v>
      </c>
      <c r="EK239" s="420" t="s">
        <v>130</v>
      </c>
      <c r="EL239" s="42">
        <f t="shared" ca="1" si="1244"/>
        <v>0</v>
      </c>
      <c r="EM239" s="42">
        <f t="shared" ca="1" si="1244"/>
        <v>0</v>
      </c>
      <c r="EN239" s="42">
        <f t="shared" ca="1" si="1244"/>
        <v>0</v>
      </c>
      <c r="EO239" s="42">
        <f t="shared" ca="1" si="1244"/>
        <v>0</v>
      </c>
      <c r="EP239" s="42">
        <f t="shared" ca="1" si="1244"/>
        <v>0</v>
      </c>
      <c r="EQ239" s="42">
        <f t="shared" ca="1" si="1244"/>
        <v>0</v>
      </c>
      <c r="ER239" s="90">
        <f t="shared" ca="1" si="1163"/>
        <v>0</v>
      </c>
      <c r="ES239" s="9"/>
      <c r="ET239" s="9"/>
      <c r="EU239" s="9"/>
      <c r="EV239" s="5">
        <f t="shared" si="1245"/>
        <v>0</v>
      </c>
      <c r="EW239" s="5">
        <f t="shared" si="1245"/>
        <v>0</v>
      </c>
      <c r="EX239" s="5">
        <f t="shared" si="1245"/>
        <v>0</v>
      </c>
      <c r="EY239" s="5">
        <f t="shared" si="1245"/>
        <v>0</v>
      </c>
      <c r="EZ239" s="5">
        <f t="shared" si="1245"/>
        <v>0</v>
      </c>
      <c r="FA239" s="5">
        <f t="shared" si="1245"/>
        <v>0</v>
      </c>
      <c r="FB239" s="167">
        <f>SUM(EV239:FA239)</f>
        <v>0</v>
      </c>
      <c r="FC239" s="1"/>
      <c r="FD239" s="5"/>
      <c r="FE239" s="5"/>
      <c r="FF239" s="5"/>
      <c r="FG239" s="5"/>
      <c r="FH239" s="5"/>
      <c r="FI239" s="5"/>
      <c r="FJ239" s="48">
        <f>SUM(FD239:FI239)</f>
        <v>0</v>
      </c>
      <c r="FL239" s="5"/>
      <c r="FM239" s="5"/>
      <c r="FN239" s="5"/>
      <c r="FO239" s="5"/>
      <c r="FP239" s="5"/>
      <c r="FQ239" s="5"/>
      <c r="FR239" s="209">
        <f>SUM(FL239:FQ239)</f>
        <v>0</v>
      </c>
      <c r="FT239" s="5"/>
      <c r="FU239" s="5"/>
      <c r="FV239" s="5"/>
      <c r="FW239" s="5"/>
      <c r="FX239" s="5"/>
      <c r="FY239" s="5"/>
      <c r="FZ239" s="181">
        <f>SUM(FT239:FY239)</f>
        <v>0</v>
      </c>
      <c r="GB239" s="5"/>
      <c r="GC239" s="5"/>
      <c r="GD239" s="5"/>
      <c r="GE239" s="5"/>
      <c r="GF239" s="5"/>
      <c r="GG239" s="5"/>
      <c r="GH239" s="153">
        <f>SUM(GB239:GG239)</f>
        <v>0</v>
      </c>
      <c r="GJ239" s="5"/>
      <c r="GK239" s="5"/>
      <c r="GL239" s="5"/>
      <c r="GM239" s="5"/>
      <c r="GN239" s="5"/>
      <c r="GO239" s="5"/>
      <c r="GP239" s="195">
        <f>SUM(GJ239:GO239)</f>
        <v>0</v>
      </c>
      <c r="GR239" s="5"/>
      <c r="GS239" s="5"/>
      <c r="GT239" s="5"/>
      <c r="GU239" s="5"/>
      <c r="GV239" s="5"/>
      <c r="GW239" s="5"/>
      <c r="GX239" s="1630">
        <f>SUM(GR239:GW239)</f>
        <v>0</v>
      </c>
      <c r="GZ239" s="575">
        <f t="shared" si="1095"/>
        <v>0</v>
      </c>
      <c r="HA239" s="575">
        <f t="shared" si="1096"/>
        <v>0</v>
      </c>
      <c r="HB239" s="575">
        <f t="shared" si="1097"/>
        <v>0</v>
      </c>
      <c r="HC239" s="575">
        <f t="shared" si="1098"/>
        <v>0</v>
      </c>
      <c r="HD239" s="575">
        <f t="shared" si="1099"/>
        <v>0</v>
      </c>
      <c r="HE239" s="575">
        <f t="shared" si="1100"/>
        <v>0</v>
      </c>
      <c r="HF239" s="991">
        <f t="shared" si="1101"/>
        <v>0</v>
      </c>
      <c r="HG239" s="573">
        <f t="shared" ca="1" si="1102"/>
        <v>0</v>
      </c>
      <c r="HH239" s="257"/>
    </row>
    <row r="240" spans="1:216" ht="15" hidden="1" customHeight="1" thickBot="1" x14ac:dyDescent="0.3">
      <c r="A240" s="72"/>
      <c r="B240" s="1846"/>
      <c r="C240" s="1682" t="s">
        <v>270</v>
      </c>
      <c r="D240" s="1337">
        <f t="shared" ref="D240:J240" ca="1" si="1246">SUM(D237:D239)</f>
        <v>0</v>
      </c>
      <c r="E240" s="1337">
        <f t="shared" ca="1" si="1246"/>
        <v>0</v>
      </c>
      <c r="F240" s="1337">
        <f t="shared" ca="1" si="1246"/>
        <v>0</v>
      </c>
      <c r="G240" s="1337">
        <f t="shared" ca="1" si="1246"/>
        <v>0</v>
      </c>
      <c r="H240" s="1337">
        <f t="shared" ca="1" si="1246"/>
        <v>0</v>
      </c>
      <c r="I240" s="1337">
        <f t="shared" ca="1" si="1246"/>
        <v>0</v>
      </c>
      <c r="J240" s="1338">
        <f t="shared" ca="1" si="1246"/>
        <v>0</v>
      </c>
      <c r="K240" s="13">
        <f ca="1">SUM(D240:I240)</f>
        <v>0</v>
      </c>
      <c r="L240" s="9"/>
      <c r="M240" s="9"/>
      <c r="N240" s="1629">
        <f t="shared" ref="N240:T240" si="1247">SUM(N237:N239)</f>
        <v>0</v>
      </c>
      <c r="O240" s="1629">
        <f t="shared" si="1247"/>
        <v>0</v>
      </c>
      <c r="P240" s="1629">
        <f t="shared" si="1247"/>
        <v>0</v>
      </c>
      <c r="Q240" s="1629">
        <f t="shared" si="1247"/>
        <v>0</v>
      </c>
      <c r="R240" s="1629">
        <f t="shared" si="1247"/>
        <v>0</v>
      </c>
      <c r="S240" s="1629">
        <f t="shared" si="1247"/>
        <v>0</v>
      </c>
      <c r="T240" s="1628">
        <f t="shared" si="1247"/>
        <v>0</v>
      </c>
      <c r="U240" s="1"/>
      <c r="V240" s="1629">
        <f t="shared" ref="V240:AB240" si="1248">SUM(V237:V239)</f>
        <v>0</v>
      </c>
      <c r="W240" s="1629">
        <f t="shared" si="1248"/>
        <v>0</v>
      </c>
      <c r="X240" s="1629">
        <f t="shared" si="1248"/>
        <v>0</v>
      </c>
      <c r="Y240" s="1629">
        <f t="shared" si="1248"/>
        <v>0</v>
      </c>
      <c r="Z240" s="1629">
        <f t="shared" si="1248"/>
        <v>0</v>
      </c>
      <c r="AA240" s="1629">
        <f t="shared" si="1248"/>
        <v>0</v>
      </c>
      <c r="AB240" s="1628">
        <f t="shared" si="1248"/>
        <v>0</v>
      </c>
      <c r="AD240" s="1629">
        <f t="shared" ref="AD240:AJ240" si="1249">SUM(AD237:AD239)</f>
        <v>0</v>
      </c>
      <c r="AE240" s="1629">
        <f t="shared" si="1249"/>
        <v>0</v>
      </c>
      <c r="AF240" s="1629">
        <f t="shared" si="1249"/>
        <v>0</v>
      </c>
      <c r="AG240" s="1629">
        <f t="shared" si="1249"/>
        <v>0</v>
      </c>
      <c r="AH240" s="1629">
        <f t="shared" si="1249"/>
        <v>0</v>
      </c>
      <c r="AI240" s="1629">
        <f t="shared" si="1249"/>
        <v>0</v>
      </c>
      <c r="AJ240" s="1628">
        <f t="shared" si="1249"/>
        <v>0</v>
      </c>
      <c r="AL240" s="7">
        <f t="shared" ref="AL240:AR240" si="1250">SUM(AL237:AL239)</f>
        <v>0</v>
      </c>
      <c r="AM240" s="7">
        <f t="shared" si="1250"/>
        <v>0</v>
      </c>
      <c r="AN240" s="7">
        <f t="shared" si="1250"/>
        <v>0</v>
      </c>
      <c r="AO240" s="7">
        <f t="shared" si="1250"/>
        <v>0</v>
      </c>
      <c r="AP240" s="7">
        <f t="shared" si="1250"/>
        <v>0</v>
      </c>
      <c r="AQ240" s="7">
        <f t="shared" si="1250"/>
        <v>0</v>
      </c>
      <c r="AR240" s="12">
        <f t="shared" si="1250"/>
        <v>0</v>
      </c>
      <c r="AT240" s="7">
        <f t="shared" ref="AT240:AZ240" si="1251">SUM(AT237:AT239)</f>
        <v>0</v>
      </c>
      <c r="AU240" s="7">
        <f t="shared" si="1251"/>
        <v>0</v>
      </c>
      <c r="AV240" s="7">
        <f t="shared" si="1251"/>
        <v>0</v>
      </c>
      <c r="AW240" s="7">
        <f t="shared" si="1251"/>
        <v>0</v>
      </c>
      <c r="AX240" s="7">
        <f t="shared" si="1251"/>
        <v>0</v>
      </c>
      <c r="AY240" s="7">
        <f t="shared" si="1251"/>
        <v>0</v>
      </c>
      <c r="AZ240" s="12">
        <f t="shared" si="1251"/>
        <v>0</v>
      </c>
      <c r="BB240" s="7">
        <f t="shared" ref="BB240:BH240" si="1252">SUM(BB237:BB239)</f>
        <v>0</v>
      </c>
      <c r="BC240" s="7">
        <f t="shared" si="1252"/>
        <v>0</v>
      </c>
      <c r="BD240" s="7">
        <f t="shared" si="1252"/>
        <v>0</v>
      </c>
      <c r="BE240" s="7">
        <f t="shared" si="1252"/>
        <v>0</v>
      </c>
      <c r="BF240" s="7">
        <f t="shared" si="1252"/>
        <v>0</v>
      </c>
      <c r="BG240" s="7">
        <f t="shared" si="1252"/>
        <v>0</v>
      </c>
      <c r="BH240" s="12">
        <f t="shared" si="1252"/>
        <v>0</v>
      </c>
      <c r="BJ240" s="7">
        <f t="shared" ref="BJ240:BP240" si="1253">SUM(BJ237:BJ239)</f>
        <v>0</v>
      </c>
      <c r="BK240" s="7">
        <f t="shared" si="1253"/>
        <v>0</v>
      </c>
      <c r="BL240" s="7">
        <f t="shared" si="1253"/>
        <v>0</v>
      </c>
      <c r="BM240" s="7">
        <f t="shared" si="1253"/>
        <v>0</v>
      </c>
      <c r="BN240" s="7">
        <f t="shared" si="1253"/>
        <v>0</v>
      </c>
      <c r="BO240" s="7">
        <f t="shared" si="1253"/>
        <v>0</v>
      </c>
      <c r="BP240" s="12">
        <f t="shared" si="1253"/>
        <v>0</v>
      </c>
      <c r="BR240" s="587">
        <f t="shared" si="1087"/>
        <v>0</v>
      </c>
      <c r="BS240" s="587">
        <f t="shared" si="1088"/>
        <v>0</v>
      </c>
      <c r="BT240" s="587">
        <f t="shared" si="1089"/>
        <v>0</v>
      </c>
      <c r="BU240" s="587">
        <f t="shared" si="1090"/>
        <v>0</v>
      </c>
      <c r="BV240" s="587">
        <f t="shared" si="1091"/>
        <v>0</v>
      </c>
      <c r="BW240" s="587">
        <f t="shared" si="1092"/>
        <v>0</v>
      </c>
      <c r="BX240" s="587">
        <f t="shared" si="1093"/>
        <v>0</v>
      </c>
      <c r="BY240" s="588">
        <f t="shared" ca="1" si="1094"/>
        <v>0</v>
      </c>
      <c r="BZ240" s="257"/>
      <c r="CB240" s="1633">
        <f t="shared" ref="CB240:CO240" ca="1" si="1254">SUM(CB237:CB239)</f>
        <v>0</v>
      </c>
      <c r="CC240" s="1634">
        <f t="shared" ca="1" si="1254"/>
        <v>0</v>
      </c>
      <c r="CD240" s="1635">
        <f t="shared" ca="1" si="1254"/>
        <v>0</v>
      </c>
      <c r="CE240" s="1635">
        <f t="shared" ca="1" si="1254"/>
        <v>0</v>
      </c>
      <c r="CF240" s="1635">
        <f t="shared" si="1254"/>
        <v>0</v>
      </c>
      <c r="CG240" s="1636">
        <f t="shared" ca="1" si="1254"/>
        <v>0</v>
      </c>
      <c r="CH240" s="1634">
        <f t="shared" ca="1" si="1254"/>
        <v>0</v>
      </c>
      <c r="CI240" s="1635">
        <f t="shared" ca="1" si="1254"/>
        <v>0</v>
      </c>
      <c r="CJ240" s="1635">
        <f t="shared" ca="1" si="1254"/>
        <v>0</v>
      </c>
      <c r="CK240" s="1635">
        <f t="shared" si="1254"/>
        <v>0</v>
      </c>
      <c r="CL240" s="1637">
        <f t="shared" ca="1" si="1254"/>
        <v>0</v>
      </c>
      <c r="CM240" s="1634">
        <f t="shared" ca="1" si="1254"/>
        <v>0</v>
      </c>
      <c r="CN240" s="1635">
        <f t="shared" ca="1" si="1254"/>
        <v>0</v>
      </c>
      <c r="CO240" s="1636">
        <f t="shared" ca="1" si="1254"/>
        <v>0</v>
      </c>
      <c r="CP240" s="1351">
        <f t="shared" ca="1" si="1152"/>
        <v>0</v>
      </c>
      <c r="CS240" s="1231">
        <f t="shared" ref="CS240:DE240" si="1255">SUM(CS237:CS239)</f>
        <v>0</v>
      </c>
      <c r="CT240" s="7">
        <f t="shared" si="1255"/>
        <v>0</v>
      </c>
      <c r="CU240" s="573">
        <f t="shared" si="1255"/>
        <v>0</v>
      </c>
      <c r="CV240" s="1231">
        <f t="shared" si="1255"/>
        <v>0</v>
      </c>
      <c r="CW240" s="7">
        <f t="shared" si="1255"/>
        <v>0</v>
      </c>
      <c r="CX240" s="573">
        <f t="shared" si="1255"/>
        <v>0</v>
      </c>
      <c r="CY240" s="1231">
        <f t="shared" si="1255"/>
        <v>0</v>
      </c>
      <c r="CZ240" s="7">
        <f t="shared" si="1255"/>
        <v>0</v>
      </c>
      <c r="DA240" s="573">
        <f t="shared" si="1255"/>
        <v>0</v>
      </c>
      <c r="DB240" s="1231">
        <f t="shared" si="1255"/>
        <v>0</v>
      </c>
      <c r="DC240" s="7">
        <f t="shared" si="1255"/>
        <v>0</v>
      </c>
      <c r="DD240" s="573">
        <f t="shared" si="1255"/>
        <v>0</v>
      </c>
      <c r="DE240" s="1181">
        <f t="shared" si="1255"/>
        <v>0</v>
      </c>
      <c r="DG240" s="1231">
        <f t="shared" ref="DG240:DS240" si="1256">SUM(DG237:DG239)</f>
        <v>0</v>
      </c>
      <c r="DH240" s="7">
        <f t="shared" si="1256"/>
        <v>0</v>
      </c>
      <c r="DI240" s="573">
        <f t="shared" si="1256"/>
        <v>0</v>
      </c>
      <c r="DJ240" s="1231">
        <f t="shared" si="1256"/>
        <v>0</v>
      </c>
      <c r="DK240" s="7">
        <f t="shared" si="1256"/>
        <v>0</v>
      </c>
      <c r="DL240" s="573">
        <f t="shared" si="1256"/>
        <v>0</v>
      </c>
      <c r="DM240" s="1231">
        <f t="shared" si="1256"/>
        <v>0</v>
      </c>
      <c r="DN240" s="7">
        <f t="shared" si="1256"/>
        <v>0</v>
      </c>
      <c r="DO240" s="573">
        <f t="shared" si="1256"/>
        <v>0</v>
      </c>
      <c r="DP240" s="1231">
        <f t="shared" si="1256"/>
        <v>0</v>
      </c>
      <c r="DQ240" s="7">
        <f t="shared" si="1256"/>
        <v>0</v>
      </c>
      <c r="DR240" s="573">
        <f t="shared" si="1256"/>
        <v>0</v>
      </c>
      <c r="DS240" s="1181">
        <f t="shared" si="1256"/>
        <v>0</v>
      </c>
      <c r="DU240" s="1231">
        <f t="shared" ref="DU240:EG240" si="1257">SUM(DU237:DU239)</f>
        <v>0</v>
      </c>
      <c r="DV240" s="7">
        <f t="shared" si="1257"/>
        <v>0</v>
      </c>
      <c r="DW240" s="573">
        <f t="shared" si="1257"/>
        <v>0</v>
      </c>
      <c r="DX240" s="1231">
        <f t="shared" si="1257"/>
        <v>0</v>
      </c>
      <c r="DY240" s="7">
        <f t="shared" si="1257"/>
        <v>0</v>
      </c>
      <c r="DZ240" s="573">
        <f t="shared" si="1257"/>
        <v>0</v>
      </c>
      <c r="EA240" s="1231">
        <f t="shared" si="1257"/>
        <v>0</v>
      </c>
      <c r="EB240" s="7">
        <f t="shared" si="1257"/>
        <v>0</v>
      </c>
      <c r="EC240" s="573">
        <f t="shared" si="1257"/>
        <v>0</v>
      </c>
      <c r="ED240" s="1231">
        <f t="shared" si="1257"/>
        <v>0</v>
      </c>
      <c r="EE240" s="7">
        <f t="shared" si="1257"/>
        <v>0</v>
      </c>
      <c r="EF240" s="573">
        <f t="shared" si="1257"/>
        <v>0</v>
      </c>
      <c r="EG240" s="1181">
        <f t="shared" si="1257"/>
        <v>0</v>
      </c>
      <c r="EI240" s="3456"/>
      <c r="EJ240" s="1846"/>
      <c r="EK240" s="1682" t="s">
        <v>270</v>
      </c>
      <c r="EL240" s="1337">
        <f t="shared" ref="EL240:EQ240" ca="1" si="1258">SUM(EL237:EL239)</f>
        <v>0</v>
      </c>
      <c r="EM240" s="1337">
        <f t="shared" ca="1" si="1258"/>
        <v>0</v>
      </c>
      <c r="EN240" s="1337">
        <f t="shared" ca="1" si="1258"/>
        <v>0</v>
      </c>
      <c r="EO240" s="1337">
        <f t="shared" ca="1" si="1258"/>
        <v>0</v>
      </c>
      <c r="EP240" s="1337">
        <f t="shared" ca="1" si="1258"/>
        <v>0</v>
      </c>
      <c r="EQ240" s="1337">
        <f t="shared" ca="1" si="1258"/>
        <v>0</v>
      </c>
      <c r="ER240" s="1338">
        <f t="shared" ca="1" si="1163"/>
        <v>0</v>
      </c>
      <c r="ES240" s="13">
        <f ca="1">SUM(ER237:ER239)</f>
        <v>0</v>
      </c>
      <c r="ET240" s="9"/>
      <c r="EU240" s="9"/>
      <c r="EV240" s="1629">
        <f t="shared" ref="EV240:FB240" si="1259">SUM(EV237:EV239)</f>
        <v>0</v>
      </c>
      <c r="EW240" s="1629">
        <f t="shared" si="1259"/>
        <v>0</v>
      </c>
      <c r="EX240" s="1629">
        <f t="shared" si="1259"/>
        <v>0</v>
      </c>
      <c r="EY240" s="1629">
        <f t="shared" si="1259"/>
        <v>0</v>
      </c>
      <c r="EZ240" s="1629">
        <f t="shared" si="1259"/>
        <v>0</v>
      </c>
      <c r="FA240" s="1629">
        <f t="shared" si="1259"/>
        <v>0</v>
      </c>
      <c r="FB240" s="1628">
        <f t="shared" si="1259"/>
        <v>0</v>
      </c>
      <c r="FC240" s="1"/>
      <c r="FD240" s="1629">
        <f t="shared" ref="FD240:FJ240" si="1260">SUM(FD237:FD239)</f>
        <v>0</v>
      </c>
      <c r="FE240" s="1629">
        <f t="shared" si="1260"/>
        <v>0</v>
      </c>
      <c r="FF240" s="1629">
        <f t="shared" si="1260"/>
        <v>0</v>
      </c>
      <c r="FG240" s="1629">
        <f t="shared" si="1260"/>
        <v>0</v>
      </c>
      <c r="FH240" s="1629">
        <f t="shared" si="1260"/>
        <v>0</v>
      </c>
      <c r="FI240" s="1629">
        <f t="shared" si="1260"/>
        <v>0</v>
      </c>
      <c r="FJ240" s="1628">
        <f t="shared" si="1260"/>
        <v>0</v>
      </c>
      <c r="FL240" s="1629">
        <f t="shared" ref="FL240:FR240" si="1261">SUM(FL237:FL239)</f>
        <v>0</v>
      </c>
      <c r="FM240" s="1629">
        <f t="shared" si="1261"/>
        <v>0</v>
      </c>
      <c r="FN240" s="1629">
        <f t="shared" si="1261"/>
        <v>0</v>
      </c>
      <c r="FO240" s="1629">
        <f t="shared" si="1261"/>
        <v>0</v>
      </c>
      <c r="FP240" s="1629">
        <f t="shared" si="1261"/>
        <v>0</v>
      </c>
      <c r="FQ240" s="1629">
        <f t="shared" si="1261"/>
        <v>0</v>
      </c>
      <c r="FR240" s="1628">
        <f t="shared" si="1261"/>
        <v>0</v>
      </c>
      <c r="FT240" s="7">
        <f t="shared" ref="FT240:FZ240" si="1262">SUM(FT237:FT239)</f>
        <v>0</v>
      </c>
      <c r="FU240" s="7">
        <f t="shared" si="1262"/>
        <v>0</v>
      </c>
      <c r="FV240" s="7">
        <f t="shared" si="1262"/>
        <v>0</v>
      </c>
      <c r="FW240" s="7">
        <f t="shared" si="1262"/>
        <v>0</v>
      </c>
      <c r="FX240" s="7">
        <f t="shared" si="1262"/>
        <v>0</v>
      </c>
      <c r="FY240" s="7">
        <f t="shared" si="1262"/>
        <v>0</v>
      </c>
      <c r="FZ240" s="12">
        <f t="shared" si="1262"/>
        <v>0</v>
      </c>
      <c r="GB240" s="7">
        <f t="shared" ref="GB240:GH240" si="1263">SUM(GB237:GB239)</f>
        <v>0</v>
      </c>
      <c r="GC240" s="7">
        <f t="shared" si="1263"/>
        <v>0</v>
      </c>
      <c r="GD240" s="7">
        <f t="shared" si="1263"/>
        <v>0</v>
      </c>
      <c r="GE240" s="7">
        <f t="shared" si="1263"/>
        <v>0</v>
      </c>
      <c r="GF240" s="7">
        <f t="shared" si="1263"/>
        <v>0</v>
      </c>
      <c r="GG240" s="7">
        <f t="shared" si="1263"/>
        <v>0</v>
      </c>
      <c r="GH240" s="12">
        <f t="shared" si="1263"/>
        <v>0</v>
      </c>
      <c r="GJ240" s="7">
        <f t="shared" ref="GJ240:GP240" si="1264">SUM(GJ237:GJ239)</f>
        <v>0</v>
      </c>
      <c r="GK240" s="7">
        <f t="shared" si="1264"/>
        <v>0</v>
      </c>
      <c r="GL240" s="7">
        <f t="shared" si="1264"/>
        <v>0</v>
      </c>
      <c r="GM240" s="7">
        <f t="shared" si="1264"/>
        <v>0</v>
      </c>
      <c r="GN240" s="7">
        <f t="shared" si="1264"/>
        <v>0</v>
      </c>
      <c r="GO240" s="7">
        <f t="shared" si="1264"/>
        <v>0</v>
      </c>
      <c r="GP240" s="12">
        <f t="shared" si="1264"/>
        <v>0</v>
      </c>
      <c r="GR240" s="7">
        <f t="shared" ref="GR240:GX240" si="1265">SUM(GR237:GR239)</f>
        <v>0</v>
      </c>
      <c r="GS240" s="7">
        <f t="shared" si="1265"/>
        <v>0</v>
      </c>
      <c r="GT240" s="7">
        <f t="shared" si="1265"/>
        <v>0</v>
      </c>
      <c r="GU240" s="7">
        <f t="shared" si="1265"/>
        <v>0</v>
      </c>
      <c r="GV240" s="7">
        <f t="shared" si="1265"/>
        <v>0</v>
      </c>
      <c r="GW240" s="7">
        <f t="shared" si="1265"/>
        <v>0</v>
      </c>
      <c r="GX240" s="12">
        <f t="shared" si="1265"/>
        <v>0</v>
      </c>
      <c r="GZ240" s="587">
        <f t="shared" si="1095"/>
        <v>0</v>
      </c>
      <c r="HA240" s="587">
        <f t="shared" si="1096"/>
        <v>0</v>
      </c>
      <c r="HB240" s="587">
        <f t="shared" si="1097"/>
        <v>0</v>
      </c>
      <c r="HC240" s="587">
        <f t="shared" si="1098"/>
        <v>0</v>
      </c>
      <c r="HD240" s="587">
        <f t="shared" si="1099"/>
        <v>0</v>
      </c>
      <c r="HE240" s="587">
        <f t="shared" si="1100"/>
        <v>0</v>
      </c>
      <c r="HF240" s="587">
        <f t="shared" si="1101"/>
        <v>0</v>
      </c>
      <c r="HG240" s="588">
        <f t="shared" ca="1" si="1102"/>
        <v>0</v>
      </c>
      <c r="HH240" s="257"/>
    </row>
    <row r="241" spans="1:216" ht="15" hidden="1" customHeight="1" x14ac:dyDescent="0.25">
      <c r="A241" s="72"/>
      <c r="B241" s="3288" t="str">
        <f>'Calc - GRAD ASST'!A122</f>
        <v>GA #05 / Sponsor Funds</v>
      </c>
      <c r="C241" s="483" t="s">
        <v>57</v>
      </c>
      <c r="D241" s="86">
        <f ca="1">'Calc - GRAD ASST'!$J136</f>
        <v>0</v>
      </c>
      <c r="E241" s="86">
        <f ca="1">'Calc - GRAD ASST'!$J138</f>
        <v>0</v>
      </c>
      <c r="F241" s="86">
        <f ca="1">'Calc - GRAD ASST'!$J140</f>
        <v>0</v>
      </c>
      <c r="G241" s="86">
        <f ca="1">'Calc - GRAD ASST'!$J142</f>
        <v>0</v>
      </c>
      <c r="H241" s="86">
        <f ca="1">'Calc - GRAD ASST'!$J144</f>
        <v>0</v>
      </c>
      <c r="I241" s="86">
        <f ca="1">'Calc - GRAD ASST'!$J146</f>
        <v>0</v>
      </c>
      <c r="J241" s="87">
        <f ca="1">SUM(D241:I241)</f>
        <v>0</v>
      </c>
      <c r="K241" s="9"/>
      <c r="M241" s="9"/>
      <c r="N241" s="5"/>
      <c r="O241" s="5"/>
      <c r="P241" s="5"/>
      <c r="Q241" s="5"/>
      <c r="R241" s="5"/>
      <c r="S241" s="5"/>
      <c r="T241" s="167">
        <f>SUM(N241:S241)</f>
        <v>0</v>
      </c>
      <c r="U241" s="1"/>
      <c r="V241" s="5"/>
      <c r="W241" s="5"/>
      <c r="X241" s="5"/>
      <c r="Y241" s="5"/>
      <c r="Z241" s="5"/>
      <c r="AA241" s="5"/>
      <c r="AB241" s="48">
        <f>SUM(V241:AA241)</f>
        <v>0</v>
      </c>
      <c r="AD241" s="5"/>
      <c r="AE241" s="5"/>
      <c r="AF241" s="5"/>
      <c r="AG241" s="5"/>
      <c r="AH241" s="5"/>
      <c r="AI241" s="5"/>
      <c r="AJ241" s="209">
        <f>SUM(AD241:AI241)</f>
        <v>0</v>
      </c>
      <c r="AL241" s="5"/>
      <c r="AM241" s="5"/>
      <c r="AN241" s="5"/>
      <c r="AO241" s="5"/>
      <c r="AP241" s="5"/>
      <c r="AQ241" s="5"/>
      <c r="AR241" s="181">
        <f>SUM(AL241:AQ241)</f>
        <v>0</v>
      </c>
      <c r="AT241" s="5"/>
      <c r="AU241" s="5"/>
      <c r="AV241" s="5"/>
      <c r="AW241" s="5"/>
      <c r="AX241" s="5"/>
      <c r="AY241" s="5"/>
      <c r="AZ241" s="153">
        <f>SUM(AT241:AY241)</f>
        <v>0</v>
      </c>
      <c r="BB241" s="5"/>
      <c r="BC241" s="5"/>
      <c r="BD241" s="5"/>
      <c r="BE241" s="5"/>
      <c r="BF241" s="5"/>
      <c r="BG241" s="5"/>
      <c r="BH241" s="195">
        <f>SUM(BB241:BG241)</f>
        <v>0</v>
      </c>
      <c r="BJ241" s="5"/>
      <c r="BK241" s="5"/>
      <c r="BL241" s="5"/>
      <c r="BM241" s="5"/>
      <c r="BN241" s="5"/>
      <c r="BO241" s="5"/>
      <c r="BP241" s="1630">
        <f>SUM(BJ241:BO241)</f>
        <v>0</v>
      </c>
      <c r="BR241" s="575">
        <f t="shared" si="1087"/>
        <v>0</v>
      </c>
      <c r="BS241" s="575">
        <f t="shared" si="1088"/>
        <v>0</v>
      </c>
      <c r="BT241" s="575">
        <f t="shared" si="1089"/>
        <v>0</v>
      </c>
      <c r="BU241" s="575">
        <f t="shared" si="1090"/>
        <v>0</v>
      </c>
      <c r="BV241" s="575">
        <f t="shared" si="1091"/>
        <v>0</v>
      </c>
      <c r="BW241" s="575">
        <f t="shared" si="1092"/>
        <v>0</v>
      </c>
      <c r="BX241" s="991">
        <f t="shared" si="1093"/>
        <v>0</v>
      </c>
      <c r="BY241" s="573">
        <f t="shared" ca="1" si="1094"/>
        <v>0</v>
      </c>
      <c r="BZ241" s="257"/>
      <c r="CB241" s="1322">
        <f ca="1">D241</f>
        <v>0</v>
      </c>
      <c r="CC241" s="386">
        <f ca="1">$E241/3</f>
        <v>0</v>
      </c>
      <c r="CD241" s="360">
        <f ca="1">$E241/3</f>
        <v>0</v>
      </c>
      <c r="CE241" s="360">
        <f ca="1">$E241/3</f>
        <v>0</v>
      </c>
      <c r="CF241" s="360"/>
      <c r="CG241" s="1161"/>
      <c r="CH241" s="1241">
        <f ca="1">$F241/3</f>
        <v>0</v>
      </c>
      <c r="CI241" s="1163">
        <f ca="1">$F241/3</f>
        <v>0</v>
      </c>
      <c r="CJ241" s="1163">
        <f ca="1">$F241/3</f>
        <v>0</v>
      </c>
      <c r="CK241" s="1163"/>
      <c r="CL241" s="1164"/>
      <c r="CM241" s="1165">
        <f ca="1">$G241/3</f>
        <v>0</v>
      </c>
      <c r="CN241" s="1242">
        <f ca="1">$G241/3</f>
        <v>0</v>
      </c>
      <c r="CO241" s="1167">
        <f ca="1">$G241/3</f>
        <v>0</v>
      </c>
      <c r="CP241" s="1168">
        <f t="shared" ca="1" si="1152"/>
        <v>0</v>
      </c>
      <c r="CS241" s="575"/>
      <c r="CT241" s="5"/>
      <c r="CU241" s="1180"/>
      <c r="CV241" s="575"/>
      <c r="CW241" s="5"/>
      <c r="CX241" s="1180"/>
      <c r="CY241" s="575"/>
      <c r="CZ241" s="5"/>
      <c r="DA241" s="1180"/>
      <c r="DB241" s="575"/>
      <c r="DC241" s="5"/>
      <c r="DD241" s="1180"/>
      <c r="DE241" s="1181">
        <f>SUM(CS241:DD241)</f>
        <v>0</v>
      </c>
      <c r="DG241" s="575"/>
      <c r="DH241" s="5"/>
      <c r="DI241" s="1180"/>
      <c r="DJ241" s="575"/>
      <c r="DK241" s="5"/>
      <c r="DL241" s="1180"/>
      <c r="DM241" s="575"/>
      <c r="DN241" s="5"/>
      <c r="DO241" s="1180"/>
      <c r="DP241" s="575"/>
      <c r="DQ241" s="5"/>
      <c r="DR241" s="1180"/>
      <c r="DS241" s="1181">
        <f>SUM(DG241:DR241)</f>
        <v>0</v>
      </c>
      <c r="DU241" s="575"/>
      <c r="DV241" s="5"/>
      <c r="DW241" s="1180"/>
      <c r="DX241" s="575"/>
      <c r="DY241" s="5"/>
      <c r="DZ241" s="1180"/>
      <c r="EA241" s="575"/>
      <c r="EB241" s="5"/>
      <c r="EC241" s="1180"/>
      <c r="ED241" s="575"/>
      <c r="EE241" s="5"/>
      <c r="EF241" s="1180"/>
      <c r="EG241" s="1181">
        <f>SUM(DU241:EF241)</f>
        <v>0</v>
      </c>
      <c r="EI241" s="3456"/>
      <c r="EJ241" s="3288" t="str">
        <f>B241</f>
        <v>GA #05 / Sponsor Funds</v>
      </c>
      <c r="EK241" s="483" t="s">
        <v>57</v>
      </c>
      <c r="EL241" s="86">
        <f t="shared" ref="EL241:EQ243" ca="1" si="1266">ROUND(D241,0)</f>
        <v>0</v>
      </c>
      <c r="EM241" s="86">
        <f t="shared" ca="1" si="1266"/>
        <v>0</v>
      </c>
      <c r="EN241" s="86">
        <f t="shared" ca="1" si="1266"/>
        <v>0</v>
      </c>
      <c r="EO241" s="86">
        <f t="shared" ca="1" si="1266"/>
        <v>0</v>
      </c>
      <c r="EP241" s="86">
        <f t="shared" ca="1" si="1266"/>
        <v>0</v>
      </c>
      <c r="EQ241" s="86">
        <f t="shared" ca="1" si="1266"/>
        <v>0</v>
      </c>
      <c r="ER241" s="87">
        <f t="shared" ca="1" si="1163"/>
        <v>0</v>
      </c>
      <c r="ES241" s="9"/>
      <c r="EU241" s="9"/>
      <c r="EV241" s="5">
        <f t="shared" ref="EV241:FA243" si="1267">ROUND(N241,0)</f>
        <v>0</v>
      </c>
      <c r="EW241" s="5">
        <f t="shared" si="1267"/>
        <v>0</v>
      </c>
      <c r="EX241" s="5">
        <f t="shared" si="1267"/>
        <v>0</v>
      </c>
      <c r="EY241" s="5">
        <f t="shared" si="1267"/>
        <v>0</v>
      </c>
      <c r="EZ241" s="5">
        <f t="shared" si="1267"/>
        <v>0</v>
      </c>
      <c r="FA241" s="5">
        <f t="shared" si="1267"/>
        <v>0</v>
      </c>
      <c r="FB241" s="167">
        <f>SUM(EV241:FA241)</f>
        <v>0</v>
      </c>
      <c r="FC241" s="1"/>
      <c r="FD241" s="5"/>
      <c r="FE241" s="5"/>
      <c r="FF241" s="5"/>
      <c r="FG241" s="5"/>
      <c r="FH241" s="5"/>
      <c r="FI241" s="5"/>
      <c r="FJ241" s="48">
        <f>SUM(FD241:FI241)</f>
        <v>0</v>
      </c>
      <c r="FL241" s="5"/>
      <c r="FM241" s="5"/>
      <c r="FN241" s="5"/>
      <c r="FO241" s="5"/>
      <c r="FP241" s="5"/>
      <c r="FQ241" s="5"/>
      <c r="FR241" s="209">
        <f>SUM(FL241:FQ241)</f>
        <v>0</v>
      </c>
      <c r="FT241" s="5"/>
      <c r="FU241" s="5"/>
      <c r="FV241" s="5"/>
      <c r="FW241" s="5"/>
      <c r="FX241" s="5"/>
      <c r="FY241" s="5"/>
      <c r="FZ241" s="181">
        <f>SUM(FT241:FY241)</f>
        <v>0</v>
      </c>
      <c r="GB241" s="5"/>
      <c r="GC241" s="5"/>
      <c r="GD241" s="5"/>
      <c r="GE241" s="5"/>
      <c r="GF241" s="5"/>
      <c r="GG241" s="5"/>
      <c r="GH241" s="153">
        <f>SUM(GB241:GG241)</f>
        <v>0</v>
      </c>
      <c r="GJ241" s="5"/>
      <c r="GK241" s="5"/>
      <c r="GL241" s="5"/>
      <c r="GM241" s="5"/>
      <c r="GN241" s="5"/>
      <c r="GO241" s="5"/>
      <c r="GP241" s="195">
        <f>SUM(GJ241:GO241)</f>
        <v>0</v>
      </c>
      <c r="GR241" s="5"/>
      <c r="GS241" s="5"/>
      <c r="GT241" s="5"/>
      <c r="GU241" s="5"/>
      <c r="GV241" s="5"/>
      <c r="GW241" s="5"/>
      <c r="GX241" s="1630">
        <f>SUM(GR241:GW241)</f>
        <v>0</v>
      </c>
      <c r="GZ241" s="575">
        <f t="shared" si="1095"/>
        <v>0</v>
      </c>
      <c r="HA241" s="575">
        <f t="shared" si="1096"/>
        <v>0</v>
      </c>
      <c r="HB241" s="575">
        <f t="shared" si="1097"/>
        <v>0</v>
      </c>
      <c r="HC241" s="575">
        <f t="shared" si="1098"/>
        <v>0</v>
      </c>
      <c r="HD241" s="575">
        <f t="shared" si="1099"/>
        <v>0</v>
      </c>
      <c r="HE241" s="575">
        <f t="shared" si="1100"/>
        <v>0</v>
      </c>
      <c r="HF241" s="991">
        <f t="shared" si="1101"/>
        <v>0</v>
      </c>
      <c r="HG241" s="573">
        <f t="shared" ca="1" si="1102"/>
        <v>0</v>
      </c>
      <c r="HH241" s="257"/>
    </row>
    <row r="242" spans="1:216" ht="15" hidden="1" customHeight="1" x14ac:dyDescent="0.25">
      <c r="A242" s="72"/>
      <c r="B242" s="3289"/>
      <c r="C242" s="78" t="s">
        <v>96</v>
      </c>
      <c r="D242" s="29">
        <f ca="1">'Calc - GRAD ASST'!$E$136</f>
        <v>0</v>
      </c>
      <c r="E242" s="29">
        <f ca="1">'Calc - GRAD ASST'!$E$138</f>
        <v>0</v>
      </c>
      <c r="F242" s="29">
        <f ca="1">'Calc - GRAD ASST'!$E$140</f>
        <v>0</v>
      </c>
      <c r="G242" s="29">
        <f ca="1">'Calc - GRAD ASST'!$E$142</f>
        <v>0</v>
      </c>
      <c r="H242" s="29">
        <f ca="1">'Calc - GRAD ASST'!$E$144</f>
        <v>0</v>
      </c>
      <c r="I242" s="29">
        <f ca="1">'Calc - GRAD ASST'!$E$146</f>
        <v>0</v>
      </c>
      <c r="J242" s="88">
        <f ca="1">SUM(D242:I242)</f>
        <v>0</v>
      </c>
      <c r="L242" s="9"/>
      <c r="M242" s="9"/>
      <c r="N242" s="29"/>
      <c r="O242" s="29"/>
      <c r="P242" s="29"/>
      <c r="Q242" s="29"/>
      <c r="R242" s="29"/>
      <c r="S242" s="29"/>
      <c r="T242" s="167">
        <f>SUM(N242:S242)</f>
        <v>0</v>
      </c>
      <c r="U242" s="1"/>
      <c r="V242" s="29"/>
      <c r="W242" s="29"/>
      <c r="X242" s="29"/>
      <c r="Y242" s="29"/>
      <c r="Z242" s="29"/>
      <c r="AA242" s="29"/>
      <c r="AB242" s="48">
        <f>SUM(V242:AA242)</f>
        <v>0</v>
      </c>
      <c r="AD242" s="29"/>
      <c r="AE242" s="29"/>
      <c r="AF242" s="29"/>
      <c r="AG242" s="29"/>
      <c r="AH242" s="29"/>
      <c r="AI242" s="29"/>
      <c r="AJ242" s="209">
        <f>SUM(AD242:AI242)</f>
        <v>0</v>
      </c>
      <c r="AL242" s="29"/>
      <c r="AM242" s="29"/>
      <c r="AN242" s="29"/>
      <c r="AO242" s="29"/>
      <c r="AP242" s="29"/>
      <c r="AQ242" s="29"/>
      <c r="AR242" s="181">
        <f>SUM(AL242:AQ242)</f>
        <v>0</v>
      </c>
      <c r="AT242" s="29"/>
      <c r="AU242" s="29"/>
      <c r="AV242" s="29"/>
      <c r="AW242" s="29"/>
      <c r="AX242" s="29"/>
      <c r="AY242" s="29"/>
      <c r="AZ242" s="153">
        <f>SUM(AT242:AY242)</f>
        <v>0</v>
      </c>
      <c r="BB242" s="29"/>
      <c r="BC242" s="29"/>
      <c r="BD242" s="29"/>
      <c r="BE242" s="29"/>
      <c r="BF242" s="29"/>
      <c r="BG242" s="29"/>
      <c r="BH242" s="195">
        <f>SUM(BB242:BG242)</f>
        <v>0</v>
      </c>
      <c r="BJ242" s="29"/>
      <c r="BK242" s="29"/>
      <c r="BL242" s="29"/>
      <c r="BM242" s="29"/>
      <c r="BN242" s="29"/>
      <c r="BO242" s="29"/>
      <c r="BP242" s="1630">
        <f>SUM(BJ242:BO242)</f>
        <v>0</v>
      </c>
      <c r="BR242" s="575">
        <f t="shared" si="1087"/>
        <v>0</v>
      </c>
      <c r="BS242" s="575">
        <f t="shared" si="1088"/>
        <v>0</v>
      </c>
      <c r="BT242" s="575">
        <f t="shared" si="1089"/>
        <v>0</v>
      </c>
      <c r="BU242" s="575">
        <f t="shared" si="1090"/>
        <v>0</v>
      </c>
      <c r="BV242" s="575">
        <f t="shared" si="1091"/>
        <v>0</v>
      </c>
      <c r="BW242" s="575">
        <f t="shared" si="1092"/>
        <v>0</v>
      </c>
      <c r="BX242" s="991">
        <f t="shared" si="1093"/>
        <v>0</v>
      </c>
      <c r="BY242" s="573">
        <f t="shared" ca="1" si="1094"/>
        <v>0</v>
      </c>
      <c r="BZ242" s="257"/>
      <c r="CB242" s="1350">
        <f ca="1">D242</f>
        <v>0</v>
      </c>
      <c r="CC242" s="1268"/>
      <c r="CD242" s="1269"/>
      <c r="CE242" s="1269"/>
      <c r="CF242" s="1269"/>
      <c r="CG242" s="1270">
        <f ca="1">E242</f>
        <v>0</v>
      </c>
      <c r="CH242" s="1271"/>
      <c r="CI242" s="1272"/>
      <c r="CJ242" s="1272"/>
      <c r="CK242" s="1272"/>
      <c r="CL242" s="1273">
        <f ca="1">F242</f>
        <v>0</v>
      </c>
      <c r="CM242" s="1274"/>
      <c r="CN242" s="1275"/>
      <c r="CO242" s="1276"/>
      <c r="CP242" s="1224">
        <f t="shared" ca="1" si="1152"/>
        <v>0</v>
      </c>
      <c r="CS242" s="575"/>
      <c r="CT242" s="5"/>
      <c r="CU242" s="1180"/>
      <c r="CV242" s="575"/>
      <c r="CW242" s="5"/>
      <c r="CX242" s="1180"/>
      <c r="CY242" s="575"/>
      <c r="CZ242" s="5"/>
      <c r="DA242" s="1180"/>
      <c r="DB242" s="575"/>
      <c r="DC242" s="5"/>
      <c r="DD242" s="1180"/>
      <c r="DE242" s="1181">
        <f>SUM(CS242:DD242)</f>
        <v>0</v>
      </c>
      <c r="DG242" s="575"/>
      <c r="DH242" s="5"/>
      <c r="DI242" s="1180"/>
      <c r="DJ242" s="575"/>
      <c r="DK242" s="5"/>
      <c r="DL242" s="1180"/>
      <c r="DM242" s="575"/>
      <c r="DN242" s="5"/>
      <c r="DO242" s="1180"/>
      <c r="DP242" s="575"/>
      <c r="DQ242" s="5"/>
      <c r="DR242" s="1180"/>
      <c r="DS242" s="1181">
        <f>SUM(DG242:DR242)</f>
        <v>0</v>
      </c>
      <c r="DU242" s="575"/>
      <c r="DV242" s="5"/>
      <c r="DW242" s="1180"/>
      <c r="DX242" s="575"/>
      <c r="DY242" s="5"/>
      <c r="DZ242" s="1180"/>
      <c r="EA242" s="575"/>
      <c r="EB242" s="5"/>
      <c r="EC242" s="1180"/>
      <c r="ED242" s="575"/>
      <c r="EE242" s="5"/>
      <c r="EF242" s="1180"/>
      <c r="EG242" s="1181">
        <f>SUM(DU242:EF242)</f>
        <v>0</v>
      </c>
      <c r="EI242" s="3456"/>
      <c r="EJ242" s="3289"/>
      <c r="EK242" s="78" t="s">
        <v>96</v>
      </c>
      <c r="EL242" s="29">
        <f t="shared" ca="1" si="1266"/>
        <v>0</v>
      </c>
      <c r="EM242" s="29">
        <f t="shared" ca="1" si="1266"/>
        <v>0</v>
      </c>
      <c r="EN242" s="29">
        <f t="shared" ca="1" si="1266"/>
        <v>0</v>
      </c>
      <c r="EO242" s="29">
        <f t="shared" ca="1" si="1266"/>
        <v>0</v>
      </c>
      <c r="EP242" s="29">
        <f t="shared" ca="1" si="1266"/>
        <v>0</v>
      </c>
      <c r="EQ242" s="29">
        <f t="shared" ca="1" si="1266"/>
        <v>0</v>
      </c>
      <c r="ER242" s="88">
        <f t="shared" ca="1" si="1163"/>
        <v>0</v>
      </c>
      <c r="ET242" s="9"/>
      <c r="EU242" s="9"/>
      <c r="EV242" s="29">
        <f t="shared" si="1267"/>
        <v>0</v>
      </c>
      <c r="EW242" s="29">
        <f t="shared" si="1267"/>
        <v>0</v>
      </c>
      <c r="EX242" s="29">
        <f t="shared" si="1267"/>
        <v>0</v>
      </c>
      <c r="EY242" s="29">
        <f t="shared" si="1267"/>
        <v>0</v>
      </c>
      <c r="EZ242" s="29">
        <f t="shared" si="1267"/>
        <v>0</v>
      </c>
      <c r="FA242" s="29">
        <f t="shared" si="1267"/>
        <v>0</v>
      </c>
      <c r="FB242" s="167">
        <f>SUM(EV242:FA242)</f>
        <v>0</v>
      </c>
      <c r="FC242" s="1"/>
      <c r="FD242" s="29"/>
      <c r="FE242" s="29"/>
      <c r="FF242" s="29"/>
      <c r="FG242" s="29"/>
      <c r="FH242" s="29"/>
      <c r="FI242" s="29"/>
      <c r="FJ242" s="48">
        <f>SUM(FD242:FI242)</f>
        <v>0</v>
      </c>
      <c r="FL242" s="29"/>
      <c r="FM242" s="29"/>
      <c r="FN242" s="29"/>
      <c r="FO242" s="29"/>
      <c r="FP242" s="29"/>
      <c r="FQ242" s="29"/>
      <c r="FR242" s="209">
        <f>SUM(FL242:FQ242)</f>
        <v>0</v>
      </c>
      <c r="FT242" s="29"/>
      <c r="FU242" s="29"/>
      <c r="FV242" s="29"/>
      <c r="FW242" s="29"/>
      <c r="FX242" s="29"/>
      <c r="FY242" s="29"/>
      <c r="FZ242" s="181">
        <f>SUM(FT242:FY242)</f>
        <v>0</v>
      </c>
      <c r="GB242" s="29"/>
      <c r="GC242" s="29"/>
      <c r="GD242" s="29"/>
      <c r="GE242" s="29"/>
      <c r="GF242" s="29"/>
      <c r="GG242" s="29"/>
      <c r="GH242" s="153">
        <f>SUM(GB242:GG242)</f>
        <v>0</v>
      </c>
      <c r="GJ242" s="29"/>
      <c r="GK242" s="29"/>
      <c r="GL242" s="29"/>
      <c r="GM242" s="29"/>
      <c r="GN242" s="29"/>
      <c r="GO242" s="29"/>
      <c r="GP242" s="195">
        <f>SUM(GJ242:GO242)</f>
        <v>0</v>
      </c>
      <c r="GR242" s="29"/>
      <c r="GS242" s="29"/>
      <c r="GT242" s="29"/>
      <c r="GU242" s="29"/>
      <c r="GV242" s="29"/>
      <c r="GW242" s="29"/>
      <c r="GX242" s="1630">
        <f>SUM(GR242:GW242)</f>
        <v>0</v>
      </c>
      <c r="GZ242" s="575">
        <f t="shared" si="1095"/>
        <v>0</v>
      </c>
      <c r="HA242" s="575">
        <f t="shared" si="1096"/>
        <v>0</v>
      </c>
      <c r="HB242" s="575">
        <f t="shared" si="1097"/>
        <v>0</v>
      </c>
      <c r="HC242" s="575">
        <f t="shared" si="1098"/>
        <v>0</v>
      </c>
      <c r="HD242" s="575">
        <f t="shared" si="1099"/>
        <v>0</v>
      </c>
      <c r="HE242" s="575">
        <f t="shared" si="1100"/>
        <v>0</v>
      </c>
      <c r="HF242" s="991">
        <f t="shared" si="1101"/>
        <v>0</v>
      </c>
      <c r="HG242" s="573">
        <f t="shared" ca="1" si="1102"/>
        <v>0</v>
      </c>
      <c r="HH242" s="257"/>
    </row>
    <row r="243" spans="1:216" ht="15" hidden="1" customHeight="1" thickBot="1" x14ac:dyDescent="0.3">
      <c r="A243" s="72"/>
      <c r="B243" s="1847">
        <f>'Calc - GRAD ASST'!C123</f>
        <v>0</v>
      </c>
      <c r="C243" s="420" t="s">
        <v>130</v>
      </c>
      <c r="D243" s="42">
        <f ca="1">'Calc - GRAD ASST'!$M$136</f>
        <v>0</v>
      </c>
      <c r="E243" s="42">
        <f ca="1">'Calc - GRAD ASST'!$M$138</f>
        <v>0</v>
      </c>
      <c r="F243" s="42">
        <f ca="1">'Calc - GRAD ASST'!$M$140</f>
        <v>0</v>
      </c>
      <c r="G243" s="42">
        <f ca="1">'Calc - GRAD ASST'!$M$142</f>
        <v>0</v>
      </c>
      <c r="H243" s="42">
        <f ca="1">'Calc - GRAD ASST'!$M$144</f>
        <v>0</v>
      </c>
      <c r="I243" s="42">
        <f ca="1">'Calc - GRAD ASST'!$M$146</f>
        <v>0</v>
      </c>
      <c r="J243" s="90">
        <f ca="1">SUM(D243:I243)</f>
        <v>0</v>
      </c>
      <c r="K243" s="9"/>
      <c r="L243" s="9"/>
      <c r="M243" s="9"/>
      <c r="N243" s="5"/>
      <c r="O243" s="5"/>
      <c r="P243" s="5"/>
      <c r="Q243" s="5"/>
      <c r="R243" s="5"/>
      <c r="S243" s="5"/>
      <c r="T243" s="167">
        <f>SUM(N243:S243)</f>
        <v>0</v>
      </c>
      <c r="U243" s="1"/>
      <c r="V243" s="5"/>
      <c r="W243" s="5"/>
      <c r="X243" s="5"/>
      <c r="Y243" s="5"/>
      <c r="Z243" s="5"/>
      <c r="AA243" s="5"/>
      <c r="AB243" s="48">
        <f>SUM(V243:AA243)</f>
        <v>0</v>
      </c>
      <c r="AD243" s="5"/>
      <c r="AE243" s="5"/>
      <c r="AF243" s="5"/>
      <c r="AG243" s="5"/>
      <c r="AH243" s="5"/>
      <c r="AI243" s="5"/>
      <c r="AJ243" s="209">
        <f>SUM(AD243:AI243)</f>
        <v>0</v>
      </c>
      <c r="AL243" s="5"/>
      <c r="AM243" s="5"/>
      <c r="AN243" s="5"/>
      <c r="AO243" s="5"/>
      <c r="AP243" s="5"/>
      <c r="AQ243" s="5"/>
      <c r="AR243" s="181">
        <f>SUM(AL243:AQ243)</f>
        <v>0</v>
      </c>
      <c r="AT243" s="5"/>
      <c r="AU243" s="5"/>
      <c r="AV243" s="5"/>
      <c r="AW243" s="5"/>
      <c r="AX243" s="5"/>
      <c r="AY243" s="5"/>
      <c r="AZ243" s="153">
        <f>SUM(AT243:AY243)</f>
        <v>0</v>
      </c>
      <c r="BB243" s="5"/>
      <c r="BC243" s="5"/>
      <c r="BD243" s="5"/>
      <c r="BE243" s="5"/>
      <c r="BF243" s="5"/>
      <c r="BG243" s="5"/>
      <c r="BH243" s="195">
        <f>SUM(BB243:BG243)</f>
        <v>0</v>
      </c>
      <c r="BJ243" s="5"/>
      <c r="BK243" s="5"/>
      <c r="BL243" s="5"/>
      <c r="BM243" s="5"/>
      <c r="BN243" s="5"/>
      <c r="BO243" s="5"/>
      <c r="BP243" s="1630">
        <f>SUM(BJ243:BO243)</f>
        <v>0</v>
      </c>
      <c r="BR243" s="575">
        <f t="shared" si="1087"/>
        <v>0</v>
      </c>
      <c r="BS243" s="575">
        <f t="shared" si="1088"/>
        <v>0</v>
      </c>
      <c r="BT243" s="575">
        <f t="shared" si="1089"/>
        <v>0</v>
      </c>
      <c r="BU243" s="575">
        <f t="shared" si="1090"/>
        <v>0</v>
      </c>
      <c r="BV243" s="575">
        <f t="shared" si="1091"/>
        <v>0</v>
      </c>
      <c r="BW243" s="575">
        <f t="shared" si="1092"/>
        <v>0</v>
      </c>
      <c r="BX243" s="991">
        <f t="shared" si="1093"/>
        <v>0</v>
      </c>
      <c r="BY243" s="573">
        <f t="shared" ca="1" si="1094"/>
        <v>0</v>
      </c>
      <c r="BZ243" s="257"/>
      <c r="CB243" s="1330">
        <f ca="1">D243</f>
        <v>0</v>
      </c>
      <c r="CC243" s="1201">
        <f ca="1">($E243-$CG243)/3</f>
        <v>0</v>
      </c>
      <c r="CD243" s="1202">
        <f ca="1">($E243-$CG243)/3</f>
        <v>0</v>
      </c>
      <c r="CE243" s="1202">
        <f ca="1">($E243-$CG243)/3</f>
        <v>0</v>
      </c>
      <c r="CF243" s="1202"/>
      <c r="CG243" s="1203">
        <f ca="1">OFFSET('Calc - GRAD ASST'!$K$20,4*29+2,0)</f>
        <v>0</v>
      </c>
      <c r="CH243" s="1251">
        <f ca="1">($F243-$CL243)/3</f>
        <v>0</v>
      </c>
      <c r="CI243" s="1205">
        <f ca="1">($F243-$CL243)/3</f>
        <v>0</v>
      </c>
      <c r="CJ243" s="1205">
        <f ca="1">($F243-$CL243)/3</f>
        <v>0</v>
      </c>
      <c r="CK243" s="1205"/>
      <c r="CL243" s="1206">
        <f ca="1">OFFSET('Calc - GRAD ASST'!$K$20,4*29+4,0)</f>
        <v>0</v>
      </c>
      <c r="CM243" s="1207">
        <f ca="1">$G243/3</f>
        <v>0</v>
      </c>
      <c r="CN243" s="1252">
        <f ca="1">$G243/3</f>
        <v>0</v>
      </c>
      <c r="CO243" s="1209">
        <f ca="1">$G243/3</f>
        <v>0</v>
      </c>
      <c r="CP243" s="1316">
        <f t="shared" ca="1" si="1152"/>
        <v>0</v>
      </c>
      <c r="CS243" s="575"/>
      <c r="CT243" s="5"/>
      <c r="CU243" s="1180"/>
      <c r="CV243" s="575"/>
      <c r="CW243" s="5"/>
      <c r="CX243" s="1180"/>
      <c r="CY243" s="575"/>
      <c r="CZ243" s="5"/>
      <c r="DA243" s="1180"/>
      <c r="DB243" s="575"/>
      <c r="DC243" s="5"/>
      <c r="DD243" s="1180"/>
      <c r="DE243" s="1181">
        <f>SUM(CS243:DD243)</f>
        <v>0</v>
      </c>
      <c r="DG243" s="575"/>
      <c r="DH243" s="5"/>
      <c r="DI243" s="1180"/>
      <c r="DJ243" s="575"/>
      <c r="DK243" s="5"/>
      <c r="DL243" s="1180"/>
      <c r="DM243" s="575"/>
      <c r="DN243" s="5"/>
      <c r="DO243" s="1180"/>
      <c r="DP243" s="575"/>
      <c r="DQ243" s="5"/>
      <c r="DR243" s="1180"/>
      <c r="DS243" s="1181">
        <f>SUM(DG243:DR243)</f>
        <v>0</v>
      </c>
      <c r="DU243" s="575"/>
      <c r="DV243" s="5"/>
      <c r="DW243" s="1180"/>
      <c r="DX243" s="575"/>
      <c r="DY243" s="5"/>
      <c r="DZ243" s="1180"/>
      <c r="EA243" s="575"/>
      <c r="EB243" s="5"/>
      <c r="EC243" s="1180"/>
      <c r="ED243" s="575"/>
      <c r="EE243" s="5"/>
      <c r="EF243" s="1180"/>
      <c r="EG243" s="1181">
        <f>SUM(DU243:EF243)</f>
        <v>0</v>
      </c>
      <c r="EI243" s="3456"/>
      <c r="EJ243" s="1847">
        <f>B243</f>
        <v>0</v>
      </c>
      <c r="EK243" s="420" t="s">
        <v>130</v>
      </c>
      <c r="EL243" s="42">
        <f t="shared" ca="1" si="1266"/>
        <v>0</v>
      </c>
      <c r="EM243" s="42">
        <f t="shared" ca="1" si="1266"/>
        <v>0</v>
      </c>
      <c r="EN243" s="42">
        <f t="shared" ca="1" si="1266"/>
        <v>0</v>
      </c>
      <c r="EO243" s="42">
        <f t="shared" ca="1" si="1266"/>
        <v>0</v>
      </c>
      <c r="EP243" s="42">
        <f t="shared" ca="1" si="1266"/>
        <v>0</v>
      </c>
      <c r="EQ243" s="42">
        <f t="shared" ca="1" si="1266"/>
        <v>0</v>
      </c>
      <c r="ER243" s="90">
        <f t="shared" ca="1" si="1163"/>
        <v>0</v>
      </c>
      <c r="ES243" s="9"/>
      <c r="ET243" s="9"/>
      <c r="EU243" s="9"/>
      <c r="EV243" s="5">
        <f t="shared" si="1267"/>
        <v>0</v>
      </c>
      <c r="EW243" s="5">
        <f t="shared" si="1267"/>
        <v>0</v>
      </c>
      <c r="EX243" s="5">
        <f t="shared" si="1267"/>
        <v>0</v>
      </c>
      <c r="EY243" s="5">
        <f t="shared" si="1267"/>
        <v>0</v>
      </c>
      <c r="EZ243" s="5">
        <f t="shared" si="1267"/>
        <v>0</v>
      </c>
      <c r="FA243" s="5">
        <f t="shared" si="1267"/>
        <v>0</v>
      </c>
      <c r="FB243" s="167">
        <f>SUM(EV243:FA243)</f>
        <v>0</v>
      </c>
      <c r="FC243" s="1"/>
      <c r="FD243" s="5"/>
      <c r="FE243" s="5"/>
      <c r="FF243" s="5"/>
      <c r="FG243" s="5"/>
      <c r="FH243" s="5"/>
      <c r="FI243" s="5"/>
      <c r="FJ243" s="48">
        <f>SUM(FD243:FI243)</f>
        <v>0</v>
      </c>
      <c r="FL243" s="5"/>
      <c r="FM243" s="5"/>
      <c r="FN243" s="5"/>
      <c r="FO243" s="5"/>
      <c r="FP243" s="5"/>
      <c r="FQ243" s="5"/>
      <c r="FR243" s="209">
        <f>SUM(FL243:FQ243)</f>
        <v>0</v>
      </c>
      <c r="FT243" s="5"/>
      <c r="FU243" s="5"/>
      <c r="FV243" s="5"/>
      <c r="FW243" s="5"/>
      <c r="FX243" s="5"/>
      <c r="FY243" s="5"/>
      <c r="FZ243" s="181">
        <f>SUM(FT243:FY243)</f>
        <v>0</v>
      </c>
      <c r="GB243" s="5"/>
      <c r="GC243" s="5"/>
      <c r="GD243" s="5"/>
      <c r="GE243" s="5"/>
      <c r="GF243" s="5"/>
      <c r="GG243" s="5"/>
      <c r="GH243" s="153">
        <f>SUM(GB243:GG243)</f>
        <v>0</v>
      </c>
      <c r="GJ243" s="5"/>
      <c r="GK243" s="5"/>
      <c r="GL243" s="5"/>
      <c r="GM243" s="5"/>
      <c r="GN243" s="5"/>
      <c r="GO243" s="5"/>
      <c r="GP243" s="195">
        <f>SUM(GJ243:GO243)</f>
        <v>0</v>
      </c>
      <c r="GR243" s="5"/>
      <c r="GS243" s="5"/>
      <c r="GT243" s="5"/>
      <c r="GU243" s="5"/>
      <c r="GV243" s="5"/>
      <c r="GW243" s="5"/>
      <c r="GX243" s="1630">
        <f>SUM(GR243:GW243)</f>
        <v>0</v>
      </c>
      <c r="GZ243" s="575">
        <f t="shared" si="1095"/>
        <v>0</v>
      </c>
      <c r="HA243" s="575">
        <f t="shared" si="1096"/>
        <v>0</v>
      </c>
      <c r="HB243" s="575">
        <f t="shared" si="1097"/>
        <v>0</v>
      </c>
      <c r="HC243" s="575">
        <f t="shared" si="1098"/>
        <v>0</v>
      </c>
      <c r="HD243" s="575">
        <f t="shared" si="1099"/>
        <v>0</v>
      </c>
      <c r="HE243" s="575">
        <f t="shared" si="1100"/>
        <v>0</v>
      </c>
      <c r="HF243" s="991">
        <f t="shared" si="1101"/>
        <v>0</v>
      </c>
      <c r="HG243" s="573">
        <f t="shared" ca="1" si="1102"/>
        <v>0</v>
      </c>
      <c r="HH243" s="257"/>
    </row>
    <row r="244" spans="1:216" ht="15" hidden="1" customHeight="1" thickBot="1" x14ac:dyDescent="0.3">
      <c r="A244" s="480"/>
      <c r="B244" s="1848"/>
      <c r="C244" s="487" t="s">
        <v>271</v>
      </c>
      <c r="D244" s="488">
        <f t="shared" ref="D244:J244" ca="1" si="1268">SUM(D241:D243)</f>
        <v>0</v>
      </c>
      <c r="E244" s="488">
        <f t="shared" ca="1" si="1268"/>
        <v>0</v>
      </c>
      <c r="F244" s="488">
        <f t="shared" ca="1" si="1268"/>
        <v>0</v>
      </c>
      <c r="G244" s="488">
        <f t="shared" ca="1" si="1268"/>
        <v>0</v>
      </c>
      <c r="H244" s="488">
        <f t="shared" ca="1" si="1268"/>
        <v>0</v>
      </c>
      <c r="I244" s="488">
        <f t="shared" ca="1" si="1268"/>
        <v>0</v>
      </c>
      <c r="J244" s="489">
        <f t="shared" ca="1" si="1268"/>
        <v>0</v>
      </c>
      <c r="K244" s="13">
        <f ca="1">SUM(D244:I244)</f>
        <v>0</v>
      </c>
      <c r="L244" s="13"/>
      <c r="M244" s="9"/>
      <c r="N244" s="1629">
        <f t="shared" ref="N244:T244" si="1269">SUM(N241:N243)</f>
        <v>0</v>
      </c>
      <c r="O244" s="1629">
        <f t="shared" si="1269"/>
        <v>0</v>
      </c>
      <c r="P244" s="1629">
        <f t="shared" si="1269"/>
        <v>0</v>
      </c>
      <c r="Q244" s="1629">
        <f t="shared" si="1269"/>
        <v>0</v>
      </c>
      <c r="R244" s="1629">
        <f t="shared" si="1269"/>
        <v>0</v>
      </c>
      <c r="S244" s="1629">
        <f t="shared" si="1269"/>
        <v>0</v>
      </c>
      <c r="T244" s="1628">
        <f t="shared" si="1269"/>
        <v>0</v>
      </c>
      <c r="U244" s="1"/>
      <c r="V244" s="1629">
        <f t="shared" ref="V244:AB244" si="1270">SUM(V241:V243)</f>
        <v>0</v>
      </c>
      <c r="W244" s="1629">
        <f t="shared" si="1270"/>
        <v>0</v>
      </c>
      <c r="X244" s="1629">
        <f t="shared" si="1270"/>
        <v>0</v>
      </c>
      <c r="Y244" s="1629">
        <f t="shared" si="1270"/>
        <v>0</v>
      </c>
      <c r="Z244" s="1629">
        <f t="shared" si="1270"/>
        <v>0</v>
      </c>
      <c r="AA244" s="1629">
        <f t="shared" si="1270"/>
        <v>0</v>
      </c>
      <c r="AB244" s="1628">
        <f t="shared" si="1270"/>
        <v>0</v>
      </c>
      <c r="AD244" s="1629">
        <f t="shared" ref="AD244:AJ244" si="1271">SUM(AD241:AD243)</f>
        <v>0</v>
      </c>
      <c r="AE244" s="1629">
        <f t="shared" si="1271"/>
        <v>0</v>
      </c>
      <c r="AF244" s="1629">
        <f t="shared" si="1271"/>
        <v>0</v>
      </c>
      <c r="AG244" s="1629">
        <f t="shared" si="1271"/>
        <v>0</v>
      </c>
      <c r="AH244" s="1629">
        <f t="shared" si="1271"/>
        <v>0</v>
      </c>
      <c r="AI244" s="1629">
        <f t="shared" si="1271"/>
        <v>0</v>
      </c>
      <c r="AJ244" s="1628">
        <f t="shared" si="1271"/>
        <v>0</v>
      </c>
      <c r="AL244" s="7">
        <f t="shared" ref="AL244:AR244" si="1272">SUM(AL241:AL243)</f>
        <v>0</v>
      </c>
      <c r="AM244" s="7">
        <f t="shared" si="1272"/>
        <v>0</v>
      </c>
      <c r="AN244" s="7">
        <f t="shared" si="1272"/>
        <v>0</v>
      </c>
      <c r="AO244" s="7">
        <f t="shared" si="1272"/>
        <v>0</v>
      </c>
      <c r="AP244" s="7">
        <f t="shared" si="1272"/>
        <v>0</v>
      </c>
      <c r="AQ244" s="7">
        <f t="shared" si="1272"/>
        <v>0</v>
      </c>
      <c r="AR244" s="12">
        <f t="shared" si="1272"/>
        <v>0</v>
      </c>
      <c r="AT244" s="7">
        <f t="shared" ref="AT244:AZ244" si="1273">SUM(AT241:AT243)</f>
        <v>0</v>
      </c>
      <c r="AU244" s="7">
        <f t="shared" si="1273"/>
        <v>0</v>
      </c>
      <c r="AV244" s="7">
        <f t="shared" si="1273"/>
        <v>0</v>
      </c>
      <c r="AW244" s="7">
        <f t="shared" si="1273"/>
        <v>0</v>
      </c>
      <c r="AX244" s="7">
        <f t="shared" si="1273"/>
        <v>0</v>
      </c>
      <c r="AY244" s="7">
        <f t="shared" si="1273"/>
        <v>0</v>
      </c>
      <c r="AZ244" s="12">
        <f t="shared" si="1273"/>
        <v>0</v>
      </c>
      <c r="BB244" s="7">
        <f t="shared" ref="BB244:BH244" si="1274">SUM(BB241:BB243)</f>
        <v>0</v>
      </c>
      <c r="BC244" s="7">
        <f t="shared" si="1274"/>
        <v>0</v>
      </c>
      <c r="BD244" s="7">
        <f t="shared" si="1274"/>
        <v>0</v>
      </c>
      <c r="BE244" s="7">
        <f t="shared" si="1274"/>
        <v>0</v>
      </c>
      <c r="BF244" s="7">
        <f t="shared" si="1274"/>
        <v>0</v>
      </c>
      <c r="BG244" s="7">
        <f t="shared" si="1274"/>
        <v>0</v>
      </c>
      <c r="BH244" s="12">
        <f t="shared" si="1274"/>
        <v>0</v>
      </c>
      <c r="BJ244" s="7">
        <f t="shared" ref="BJ244:BP244" si="1275">SUM(BJ241:BJ243)</f>
        <v>0</v>
      </c>
      <c r="BK244" s="7">
        <f t="shared" si="1275"/>
        <v>0</v>
      </c>
      <c r="BL244" s="7">
        <f t="shared" si="1275"/>
        <v>0</v>
      </c>
      <c r="BM244" s="7">
        <f t="shared" si="1275"/>
        <v>0</v>
      </c>
      <c r="BN244" s="7">
        <f t="shared" si="1275"/>
        <v>0</v>
      </c>
      <c r="BO244" s="7">
        <f t="shared" si="1275"/>
        <v>0</v>
      </c>
      <c r="BP244" s="12">
        <f t="shared" si="1275"/>
        <v>0</v>
      </c>
      <c r="BR244" s="589">
        <f t="shared" ref="BR244:BR275" si="1276">SUM(N244,V244,AD244,AL244,AT244,BB244)</f>
        <v>0</v>
      </c>
      <c r="BS244" s="589">
        <f t="shared" ref="BS244:BS275" si="1277">SUM(O244,W244,AE244,AM244,AU244,BC244)</f>
        <v>0</v>
      </c>
      <c r="BT244" s="589">
        <f t="shared" ref="BT244:BT275" si="1278">SUM(P244,X244,AF244,AN244,AV244,BD244)</f>
        <v>0</v>
      </c>
      <c r="BU244" s="589">
        <f t="shared" ref="BU244:BU275" si="1279">SUM(Q244,Y244,AG244,AO244,AW244,BE244)</f>
        <v>0</v>
      </c>
      <c r="BV244" s="589">
        <f t="shared" ref="BV244:BV275" si="1280">SUM(R244,Z244,AH244,AP244,AX244,BF244)</f>
        <v>0</v>
      </c>
      <c r="BW244" s="589">
        <f t="shared" ref="BW244:BW275" si="1281">SUM(S244,AA244,AI244,AQ244,AY244,BG244)</f>
        <v>0</v>
      </c>
      <c r="BX244" s="589">
        <f t="shared" ref="BX244:BX275" si="1282">SUM(BR244:BW244)</f>
        <v>0</v>
      </c>
      <c r="BY244" s="590">
        <f t="shared" ref="BY244:BY275" ca="1" si="1283">SUM(J244+BX244)</f>
        <v>0</v>
      </c>
      <c r="BZ244" s="257"/>
      <c r="CB244" s="1633">
        <f t="shared" ref="CB244:CO244" ca="1" si="1284">SUM(CB241:CB243)</f>
        <v>0</v>
      </c>
      <c r="CC244" s="1634">
        <f t="shared" ca="1" si="1284"/>
        <v>0</v>
      </c>
      <c r="CD244" s="1635">
        <f t="shared" ca="1" si="1284"/>
        <v>0</v>
      </c>
      <c r="CE244" s="1635">
        <f t="shared" ca="1" si="1284"/>
        <v>0</v>
      </c>
      <c r="CF244" s="1635">
        <f t="shared" si="1284"/>
        <v>0</v>
      </c>
      <c r="CG244" s="1636">
        <f t="shared" ca="1" si="1284"/>
        <v>0</v>
      </c>
      <c r="CH244" s="1634">
        <f t="shared" ca="1" si="1284"/>
        <v>0</v>
      </c>
      <c r="CI244" s="1635">
        <f t="shared" ca="1" si="1284"/>
        <v>0</v>
      </c>
      <c r="CJ244" s="1635">
        <f t="shared" ca="1" si="1284"/>
        <v>0</v>
      </c>
      <c r="CK244" s="1635">
        <f t="shared" si="1284"/>
        <v>0</v>
      </c>
      <c r="CL244" s="1637">
        <f t="shared" ca="1" si="1284"/>
        <v>0</v>
      </c>
      <c r="CM244" s="1634">
        <f t="shared" ca="1" si="1284"/>
        <v>0</v>
      </c>
      <c r="CN244" s="1635">
        <f t="shared" ca="1" si="1284"/>
        <v>0</v>
      </c>
      <c r="CO244" s="1636">
        <f t="shared" ca="1" si="1284"/>
        <v>0</v>
      </c>
      <c r="CP244" s="1316">
        <f t="shared" ca="1" si="1152"/>
        <v>0</v>
      </c>
      <c r="CS244" s="1231">
        <f t="shared" ref="CS244:DE244" si="1285">SUM(CS241:CS243)</f>
        <v>0</v>
      </c>
      <c r="CT244" s="7">
        <f t="shared" si="1285"/>
        <v>0</v>
      </c>
      <c r="CU244" s="573">
        <f t="shared" si="1285"/>
        <v>0</v>
      </c>
      <c r="CV244" s="1231">
        <f t="shared" si="1285"/>
        <v>0</v>
      </c>
      <c r="CW244" s="7">
        <f t="shared" si="1285"/>
        <v>0</v>
      </c>
      <c r="CX244" s="573">
        <f t="shared" si="1285"/>
        <v>0</v>
      </c>
      <c r="CY244" s="1231">
        <f t="shared" si="1285"/>
        <v>0</v>
      </c>
      <c r="CZ244" s="7">
        <f t="shared" si="1285"/>
        <v>0</v>
      </c>
      <c r="DA244" s="573">
        <f t="shared" si="1285"/>
        <v>0</v>
      </c>
      <c r="DB244" s="1231">
        <f t="shared" si="1285"/>
        <v>0</v>
      </c>
      <c r="DC244" s="7">
        <f t="shared" si="1285"/>
        <v>0</v>
      </c>
      <c r="DD244" s="573">
        <f t="shared" si="1285"/>
        <v>0</v>
      </c>
      <c r="DE244" s="1181">
        <f t="shared" si="1285"/>
        <v>0</v>
      </c>
      <c r="DG244" s="1231">
        <f t="shared" ref="DG244:DS244" si="1286">SUM(DG241:DG243)</f>
        <v>0</v>
      </c>
      <c r="DH244" s="7">
        <f t="shared" si="1286"/>
        <v>0</v>
      </c>
      <c r="DI244" s="573">
        <f t="shared" si="1286"/>
        <v>0</v>
      </c>
      <c r="DJ244" s="1231">
        <f t="shared" si="1286"/>
        <v>0</v>
      </c>
      <c r="DK244" s="7">
        <f t="shared" si="1286"/>
        <v>0</v>
      </c>
      <c r="DL244" s="573">
        <f t="shared" si="1286"/>
        <v>0</v>
      </c>
      <c r="DM244" s="1231">
        <f t="shared" si="1286"/>
        <v>0</v>
      </c>
      <c r="DN244" s="7">
        <f t="shared" si="1286"/>
        <v>0</v>
      </c>
      <c r="DO244" s="573">
        <f t="shared" si="1286"/>
        <v>0</v>
      </c>
      <c r="DP244" s="1231">
        <f t="shared" si="1286"/>
        <v>0</v>
      </c>
      <c r="DQ244" s="7">
        <f t="shared" si="1286"/>
        <v>0</v>
      </c>
      <c r="DR244" s="573">
        <f t="shared" si="1286"/>
        <v>0</v>
      </c>
      <c r="DS244" s="1181">
        <f t="shared" si="1286"/>
        <v>0</v>
      </c>
      <c r="DU244" s="1231">
        <f t="shared" ref="DU244:EG244" si="1287">SUM(DU241:DU243)</f>
        <v>0</v>
      </c>
      <c r="DV244" s="7">
        <f t="shared" si="1287"/>
        <v>0</v>
      </c>
      <c r="DW244" s="573">
        <f t="shared" si="1287"/>
        <v>0</v>
      </c>
      <c r="DX244" s="1231">
        <f t="shared" si="1287"/>
        <v>0</v>
      </c>
      <c r="DY244" s="7">
        <f t="shared" si="1287"/>
        <v>0</v>
      </c>
      <c r="DZ244" s="573">
        <f t="shared" si="1287"/>
        <v>0</v>
      </c>
      <c r="EA244" s="1231">
        <f t="shared" si="1287"/>
        <v>0</v>
      </c>
      <c r="EB244" s="7">
        <f t="shared" si="1287"/>
        <v>0</v>
      </c>
      <c r="EC244" s="573">
        <f t="shared" si="1287"/>
        <v>0</v>
      </c>
      <c r="ED244" s="1231">
        <f t="shared" si="1287"/>
        <v>0</v>
      </c>
      <c r="EE244" s="7">
        <f t="shared" si="1287"/>
        <v>0</v>
      </c>
      <c r="EF244" s="573">
        <f t="shared" si="1287"/>
        <v>0</v>
      </c>
      <c r="EG244" s="1181">
        <f t="shared" si="1287"/>
        <v>0</v>
      </c>
      <c r="EI244" s="480"/>
      <c r="EJ244" s="1848"/>
      <c r="EK244" s="487" t="s">
        <v>271</v>
      </c>
      <c r="EL244" s="488">
        <f t="shared" ref="EL244:EQ244" ca="1" si="1288">SUM(EL241:EL243)</f>
        <v>0</v>
      </c>
      <c r="EM244" s="488">
        <f t="shared" ca="1" si="1288"/>
        <v>0</v>
      </c>
      <c r="EN244" s="488">
        <f t="shared" ca="1" si="1288"/>
        <v>0</v>
      </c>
      <c r="EO244" s="488">
        <f t="shared" ca="1" si="1288"/>
        <v>0</v>
      </c>
      <c r="EP244" s="488">
        <f t="shared" ca="1" si="1288"/>
        <v>0</v>
      </c>
      <c r="EQ244" s="488">
        <f t="shared" ca="1" si="1288"/>
        <v>0</v>
      </c>
      <c r="ER244" s="489">
        <f t="shared" ca="1" si="1163"/>
        <v>0</v>
      </c>
      <c r="ES244" s="13">
        <f ca="1">SUM(ER241:ER243)</f>
        <v>0</v>
      </c>
      <c r="ET244" s="13"/>
      <c r="EU244" s="9"/>
      <c r="EV244" s="1629">
        <f t="shared" ref="EV244:FB244" si="1289">SUM(EV241:EV243)</f>
        <v>0</v>
      </c>
      <c r="EW244" s="1629">
        <f t="shared" si="1289"/>
        <v>0</v>
      </c>
      <c r="EX244" s="1629">
        <f t="shared" si="1289"/>
        <v>0</v>
      </c>
      <c r="EY244" s="1629">
        <f t="shared" si="1289"/>
        <v>0</v>
      </c>
      <c r="EZ244" s="1629">
        <f t="shared" si="1289"/>
        <v>0</v>
      </c>
      <c r="FA244" s="1629">
        <f t="shared" si="1289"/>
        <v>0</v>
      </c>
      <c r="FB244" s="1628">
        <f t="shared" si="1289"/>
        <v>0</v>
      </c>
      <c r="FC244" s="1"/>
      <c r="FD244" s="1629">
        <f t="shared" ref="FD244:FJ244" si="1290">SUM(FD241:FD243)</f>
        <v>0</v>
      </c>
      <c r="FE244" s="1629">
        <f t="shared" si="1290"/>
        <v>0</v>
      </c>
      <c r="FF244" s="1629">
        <f t="shared" si="1290"/>
        <v>0</v>
      </c>
      <c r="FG244" s="1629">
        <f t="shared" si="1290"/>
        <v>0</v>
      </c>
      <c r="FH244" s="1629">
        <f t="shared" si="1290"/>
        <v>0</v>
      </c>
      <c r="FI244" s="1629">
        <f t="shared" si="1290"/>
        <v>0</v>
      </c>
      <c r="FJ244" s="1628">
        <f t="shared" si="1290"/>
        <v>0</v>
      </c>
      <c r="FL244" s="1629">
        <f t="shared" ref="FL244:FR244" si="1291">SUM(FL241:FL243)</f>
        <v>0</v>
      </c>
      <c r="FM244" s="1629">
        <f t="shared" si="1291"/>
        <v>0</v>
      </c>
      <c r="FN244" s="1629">
        <f t="shared" si="1291"/>
        <v>0</v>
      </c>
      <c r="FO244" s="1629">
        <f t="shared" si="1291"/>
        <v>0</v>
      </c>
      <c r="FP244" s="1629">
        <f t="shared" si="1291"/>
        <v>0</v>
      </c>
      <c r="FQ244" s="1629">
        <f t="shared" si="1291"/>
        <v>0</v>
      </c>
      <c r="FR244" s="1628">
        <f t="shared" si="1291"/>
        <v>0</v>
      </c>
      <c r="FT244" s="7">
        <f t="shared" ref="FT244:FZ244" si="1292">SUM(FT241:FT243)</f>
        <v>0</v>
      </c>
      <c r="FU244" s="7">
        <f t="shared" si="1292"/>
        <v>0</v>
      </c>
      <c r="FV244" s="7">
        <f t="shared" si="1292"/>
        <v>0</v>
      </c>
      <c r="FW244" s="7">
        <f t="shared" si="1292"/>
        <v>0</v>
      </c>
      <c r="FX244" s="7">
        <f t="shared" si="1292"/>
        <v>0</v>
      </c>
      <c r="FY244" s="7">
        <f t="shared" si="1292"/>
        <v>0</v>
      </c>
      <c r="FZ244" s="12">
        <f t="shared" si="1292"/>
        <v>0</v>
      </c>
      <c r="GB244" s="7">
        <f t="shared" ref="GB244:GH244" si="1293">SUM(GB241:GB243)</f>
        <v>0</v>
      </c>
      <c r="GC244" s="7">
        <f t="shared" si="1293"/>
        <v>0</v>
      </c>
      <c r="GD244" s="7">
        <f t="shared" si="1293"/>
        <v>0</v>
      </c>
      <c r="GE244" s="7">
        <f t="shared" si="1293"/>
        <v>0</v>
      </c>
      <c r="GF244" s="7">
        <f t="shared" si="1293"/>
        <v>0</v>
      </c>
      <c r="GG244" s="7">
        <f t="shared" si="1293"/>
        <v>0</v>
      </c>
      <c r="GH244" s="12">
        <f t="shared" si="1293"/>
        <v>0</v>
      </c>
      <c r="GJ244" s="7">
        <f t="shared" ref="GJ244:GP244" si="1294">SUM(GJ241:GJ243)</f>
        <v>0</v>
      </c>
      <c r="GK244" s="7">
        <f t="shared" si="1294"/>
        <v>0</v>
      </c>
      <c r="GL244" s="7">
        <f t="shared" si="1294"/>
        <v>0</v>
      </c>
      <c r="GM244" s="7">
        <f t="shared" si="1294"/>
        <v>0</v>
      </c>
      <c r="GN244" s="7">
        <f t="shared" si="1294"/>
        <v>0</v>
      </c>
      <c r="GO244" s="7">
        <f t="shared" si="1294"/>
        <v>0</v>
      </c>
      <c r="GP244" s="12">
        <f t="shared" si="1294"/>
        <v>0</v>
      </c>
      <c r="GR244" s="7">
        <f t="shared" ref="GR244:GX244" si="1295">SUM(GR241:GR243)</f>
        <v>0</v>
      </c>
      <c r="GS244" s="7">
        <f t="shared" si="1295"/>
        <v>0</v>
      </c>
      <c r="GT244" s="7">
        <f t="shared" si="1295"/>
        <v>0</v>
      </c>
      <c r="GU244" s="7">
        <f t="shared" si="1295"/>
        <v>0</v>
      </c>
      <c r="GV244" s="7">
        <f t="shared" si="1295"/>
        <v>0</v>
      </c>
      <c r="GW244" s="7">
        <f t="shared" si="1295"/>
        <v>0</v>
      </c>
      <c r="GX244" s="12">
        <f t="shared" si="1295"/>
        <v>0</v>
      </c>
      <c r="GZ244" s="589">
        <f t="shared" ref="GZ244:GZ275" si="1296">SUM(EV244,FD244,FL244,FT244,GB244,GJ244)</f>
        <v>0</v>
      </c>
      <c r="HA244" s="589">
        <f t="shared" ref="HA244:HA275" si="1297">SUM(EW244,FE244,FM244,FU244,GC244,GK244)</f>
        <v>0</v>
      </c>
      <c r="HB244" s="589">
        <f t="shared" ref="HB244:HB275" si="1298">SUM(EX244,FF244,FN244,FV244,GD244,GL244)</f>
        <v>0</v>
      </c>
      <c r="HC244" s="589">
        <f t="shared" ref="HC244:HC275" si="1299">SUM(EY244,FG244,FO244,FW244,GE244,GM244)</f>
        <v>0</v>
      </c>
      <c r="HD244" s="589">
        <f t="shared" ref="HD244:HD275" si="1300">SUM(EZ244,FH244,FP244,FX244,GF244,GN244)</f>
        <v>0</v>
      </c>
      <c r="HE244" s="589">
        <f t="shared" ref="HE244:HE275" si="1301">SUM(FA244,FI244,FQ244,FY244,GG244,GO244)</f>
        <v>0</v>
      </c>
      <c r="HF244" s="589">
        <f t="shared" ref="HF244:HF275" si="1302">SUM(GZ244:HE244)</f>
        <v>0</v>
      </c>
      <c r="HG244" s="590">
        <f t="shared" ref="HG244:HG275" ca="1" si="1303">SUM(ER244+HF244)</f>
        <v>0</v>
      </c>
      <c r="HH244" s="257"/>
    </row>
    <row r="245" spans="1:216" ht="15" hidden="1" customHeight="1" x14ac:dyDescent="0.25">
      <c r="A245" s="480"/>
      <c r="B245" s="3302" t="str">
        <f>'Calc - GRAD ASST'!A151</f>
        <v>GA #06 / Sponsor Funds</v>
      </c>
      <c r="C245" s="483" t="s">
        <v>57</v>
      </c>
      <c r="D245" s="86">
        <f ca="1">'Calc - GRAD ASST'!$J165</f>
        <v>0</v>
      </c>
      <c r="E245" s="86">
        <f ca="1">'Calc - GRAD ASST'!$J167</f>
        <v>0</v>
      </c>
      <c r="F245" s="86">
        <f ca="1">'Calc - GRAD ASST'!$J169</f>
        <v>0</v>
      </c>
      <c r="G245" s="86">
        <f ca="1">'Calc - GRAD ASST'!$J171</f>
        <v>0</v>
      </c>
      <c r="H245" s="86">
        <f ca="1">'Calc - GRAD ASST'!$J173</f>
        <v>0</v>
      </c>
      <c r="I245" s="86">
        <f ca="1">'Calc - GRAD ASST'!$J175</f>
        <v>0</v>
      </c>
      <c r="J245" s="87">
        <f ca="1">SUM(D245:I245)</f>
        <v>0</v>
      </c>
      <c r="K245" s="9"/>
      <c r="M245" s="9"/>
      <c r="N245" s="5"/>
      <c r="O245" s="5"/>
      <c r="P245" s="5"/>
      <c r="Q245" s="5"/>
      <c r="R245" s="5"/>
      <c r="S245" s="5"/>
      <c r="T245" s="167">
        <f>SUM(N245:S245)</f>
        <v>0</v>
      </c>
      <c r="U245" s="1"/>
      <c r="V245" s="5"/>
      <c r="W245" s="5"/>
      <c r="X245" s="5"/>
      <c r="Y245" s="5"/>
      <c r="Z245" s="5"/>
      <c r="AA245" s="5"/>
      <c r="AB245" s="48">
        <f>SUM(V245:AA245)</f>
        <v>0</v>
      </c>
      <c r="AD245" s="5"/>
      <c r="AE245" s="5"/>
      <c r="AF245" s="5"/>
      <c r="AG245" s="5"/>
      <c r="AH245" s="5"/>
      <c r="AI245" s="5"/>
      <c r="AJ245" s="209">
        <f>SUM(AD245:AI245)</f>
        <v>0</v>
      </c>
      <c r="AL245" s="5"/>
      <c r="AM245" s="5"/>
      <c r="AN245" s="5"/>
      <c r="AO245" s="5"/>
      <c r="AP245" s="5"/>
      <c r="AQ245" s="5"/>
      <c r="AR245" s="181">
        <f>SUM(AL245:AQ245)</f>
        <v>0</v>
      </c>
      <c r="AT245" s="5"/>
      <c r="AU245" s="5"/>
      <c r="AV245" s="5"/>
      <c r="AW245" s="5"/>
      <c r="AX245" s="5"/>
      <c r="AY245" s="5"/>
      <c r="AZ245" s="153">
        <f>SUM(AT245:AY245)</f>
        <v>0</v>
      </c>
      <c r="BB245" s="5"/>
      <c r="BC245" s="5"/>
      <c r="BD245" s="5"/>
      <c r="BE245" s="5"/>
      <c r="BF245" s="5"/>
      <c r="BG245" s="5"/>
      <c r="BH245" s="195">
        <f>SUM(BB245:BG245)</f>
        <v>0</v>
      </c>
      <c r="BJ245" s="5"/>
      <c r="BK245" s="5"/>
      <c r="BL245" s="5"/>
      <c r="BM245" s="5"/>
      <c r="BN245" s="5"/>
      <c r="BO245" s="5"/>
      <c r="BP245" s="1630">
        <f>SUM(BJ245:BO245)</f>
        <v>0</v>
      </c>
      <c r="BR245" s="575">
        <f t="shared" si="1276"/>
        <v>0</v>
      </c>
      <c r="BS245" s="575">
        <f t="shared" si="1277"/>
        <v>0</v>
      </c>
      <c r="BT245" s="575">
        <f t="shared" si="1278"/>
        <v>0</v>
      </c>
      <c r="BU245" s="575">
        <f t="shared" si="1279"/>
        <v>0</v>
      </c>
      <c r="BV245" s="575">
        <f t="shared" si="1280"/>
        <v>0</v>
      </c>
      <c r="BW245" s="575">
        <f t="shared" si="1281"/>
        <v>0</v>
      </c>
      <c r="BX245" s="991">
        <f t="shared" si="1282"/>
        <v>0</v>
      </c>
      <c r="BY245" s="573">
        <f t="shared" ca="1" si="1283"/>
        <v>0</v>
      </c>
      <c r="BZ245" s="257"/>
      <c r="CB245" s="1322">
        <f ca="1">D245</f>
        <v>0</v>
      </c>
      <c r="CC245" s="386">
        <f ca="1">$E245/3</f>
        <v>0</v>
      </c>
      <c r="CD245" s="360">
        <f ca="1">$E245/3</f>
        <v>0</v>
      </c>
      <c r="CE245" s="360">
        <f ca="1">$E245/3</f>
        <v>0</v>
      </c>
      <c r="CF245" s="360"/>
      <c r="CG245" s="1161"/>
      <c r="CH245" s="1241">
        <f ca="1">$F245/3</f>
        <v>0</v>
      </c>
      <c r="CI245" s="1163">
        <f ca="1">$F245/3</f>
        <v>0</v>
      </c>
      <c r="CJ245" s="1163">
        <f ca="1">$F245/3</f>
        <v>0</v>
      </c>
      <c r="CK245" s="1163"/>
      <c r="CL245" s="1164"/>
      <c r="CM245" s="1165">
        <f ca="1">$G245/3</f>
        <v>0</v>
      </c>
      <c r="CN245" s="1242">
        <f ca="1">$G245/3</f>
        <v>0</v>
      </c>
      <c r="CO245" s="1167">
        <f ca="1">$G245/3</f>
        <v>0</v>
      </c>
      <c r="CP245" s="1168">
        <f t="shared" ca="1" si="1152"/>
        <v>0</v>
      </c>
      <c r="CS245" s="575"/>
      <c r="CT245" s="5"/>
      <c r="CU245" s="1180"/>
      <c r="CV245" s="575"/>
      <c r="CW245" s="5"/>
      <c r="CX245" s="1180"/>
      <c r="CY245" s="575"/>
      <c r="CZ245" s="5"/>
      <c r="DA245" s="1180"/>
      <c r="DB245" s="575"/>
      <c r="DC245" s="5"/>
      <c r="DD245" s="1180"/>
      <c r="DE245" s="1181">
        <f>SUM(CS245:DD245)</f>
        <v>0</v>
      </c>
      <c r="DG245" s="575"/>
      <c r="DH245" s="5"/>
      <c r="DI245" s="1180"/>
      <c r="DJ245" s="575"/>
      <c r="DK245" s="5"/>
      <c r="DL245" s="1180"/>
      <c r="DM245" s="575"/>
      <c r="DN245" s="5"/>
      <c r="DO245" s="1180"/>
      <c r="DP245" s="575"/>
      <c r="DQ245" s="5"/>
      <c r="DR245" s="1180"/>
      <c r="DS245" s="1181">
        <f>SUM(DG245:DR245)</f>
        <v>0</v>
      </c>
      <c r="DU245" s="575"/>
      <c r="DV245" s="5"/>
      <c r="DW245" s="1180"/>
      <c r="DX245" s="575"/>
      <c r="DY245" s="5"/>
      <c r="DZ245" s="1180"/>
      <c r="EA245" s="575"/>
      <c r="EB245" s="5"/>
      <c r="EC245" s="1180"/>
      <c r="ED245" s="575"/>
      <c r="EE245" s="5"/>
      <c r="EF245" s="1180"/>
      <c r="EG245" s="1181">
        <f>SUM(DU245:EF245)</f>
        <v>0</v>
      </c>
      <c r="EI245" s="480"/>
      <c r="EJ245" s="3302" t="str">
        <f>B245</f>
        <v>GA #06 / Sponsor Funds</v>
      </c>
      <c r="EK245" s="483" t="s">
        <v>57</v>
      </c>
      <c r="EL245" s="86">
        <f t="shared" ref="EL245:EQ247" ca="1" si="1304">ROUND(D245,0)</f>
        <v>0</v>
      </c>
      <c r="EM245" s="86">
        <f t="shared" ca="1" si="1304"/>
        <v>0</v>
      </c>
      <c r="EN245" s="86">
        <f t="shared" ca="1" si="1304"/>
        <v>0</v>
      </c>
      <c r="EO245" s="86">
        <f t="shared" ca="1" si="1304"/>
        <v>0</v>
      </c>
      <c r="EP245" s="86">
        <f t="shared" ca="1" si="1304"/>
        <v>0</v>
      </c>
      <c r="EQ245" s="86">
        <f t="shared" ca="1" si="1304"/>
        <v>0</v>
      </c>
      <c r="ER245" s="87">
        <f t="shared" ca="1" si="1163"/>
        <v>0</v>
      </c>
      <c r="ES245" s="9"/>
      <c r="EU245" s="9"/>
      <c r="EV245" s="5">
        <f t="shared" ref="EV245:FA247" si="1305">ROUND(N245,0)</f>
        <v>0</v>
      </c>
      <c r="EW245" s="5">
        <f t="shared" si="1305"/>
        <v>0</v>
      </c>
      <c r="EX245" s="5">
        <f t="shared" si="1305"/>
        <v>0</v>
      </c>
      <c r="EY245" s="5">
        <f t="shared" si="1305"/>
        <v>0</v>
      </c>
      <c r="EZ245" s="5">
        <f t="shared" si="1305"/>
        <v>0</v>
      </c>
      <c r="FA245" s="5">
        <f t="shared" si="1305"/>
        <v>0</v>
      </c>
      <c r="FB245" s="167">
        <f>SUM(EV245:FA245)</f>
        <v>0</v>
      </c>
      <c r="FC245" s="1"/>
      <c r="FD245" s="5"/>
      <c r="FE245" s="5"/>
      <c r="FF245" s="5"/>
      <c r="FG245" s="5"/>
      <c r="FH245" s="5"/>
      <c r="FI245" s="5"/>
      <c r="FJ245" s="48">
        <f>SUM(FD245:FI245)</f>
        <v>0</v>
      </c>
      <c r="FL245" s="5"/>
      <c r="FM245" s="5"/>
      <c r="FN245" s="5"/>
      <c r="FO245" s="5"/>
      <c r="FP245" s="5"/>
      <c r="FQ245" s="5"/>
      <c r="FR245" s="209">
        <f>SUM(FL245:FQ245)</f>
        <v>0</v>
      </c>
      <c r="FT245" s="5"/>
      <c r="FU245" s="5"/>
      <c r="FV245" s="5"/>
      <c r="FW245" s="5"/>
      <c r="FX245" s="5"/>
      <c r="FY245" s="5"/>
      <c r="FZ245" s="181">
        <f>SUM(FT245:FY245)</f>
        <v>0</v>
      </c>
      <c r="GB245" s="5"/>
      <c r="GC245" s="5"/>
      <c r="GD245" s="5"/>
      <c r="GE245" s="5"/>
      <c r="GF245" s="5"/>
      <c r="GG245" s="5"/>
      <c r="GH245" s="153">
        <f>SUM(GB245:GG245)</f>
        <v>0</v>
      </c>
      <c r="GJ245" s="5"/>
      <c r="GK245" s="5"/>
      <c r="GL245" s="5"/>
      <c r="GM245" s="5"/>
      <c r="GN245" s="5"/>
      <c r="GO245" s="5"/>
      <c r="GP245" s="195">
        <f>SUM(GJ245:GO245)</f>
        <v>0</v>
      </c>
      <c r="GR245" s="5"/>
      <c r="GS245" s="5"/>
      <c r="GT245" s="5"/>
      <c r="GU245" s="5"/>
      <c r="GV245" s="5"/>
      <c r="GW245" s="5"/>
      <c r="GX245" s="1630">
        <f>SUM(GR245:GW245)</f>
        <v>0</v>
      </c>
      <c r="GZ245" s="575">
        <f t="shared" si="1296"/>
        <v>0</v>
      </c>
      <c r="HA245" s="575">
        <f t="shared" si="1297"/>
        <v>0</v>
      </c>
      <c r="HB245" s="575">
        <f t="shared" si="1298"/>
        <v>0</v>
      </c>
      <c r="HC245" s="575">
        <f t="shared" si="1299"/>
        <v>0</v>
      </c>
      <c r="HD245" s="575">
        <f t="shared" si="1300"/>
        <v>0</v>
      </c>
      <c r="HE245" s="575">
        <f t="shared" si="1301"/>
        <v>0</v>
      </c>
      <c r="HF245" s="991">
        <f t="shared" si="1302"/>
        <v>0</v>
      </c>
      <c r="HG245" s="573">
        <f t="shared" ca="1" si="1303"/>
        <v>0</v>
      </c>
      <c r="HH245" s="257"/>
    </row>
    <row r="246" spans="1:216" ht="15" hidden="1" customHeight="1" x14ac:dyDescent="0.25">
      <c r="A246" s="480"/>
      <c r="B246" s="3303"/>
      <c r="C246" s="78" t="s">
        <v>96</v>
      </c>
      <c r="D246" s="29">
        <f ca="1">'Calc - GRAD ASST'!$E$165</f>
        <v>0</v>
      </c>
      <c r="E246" s="29">
        <f ca="1">'Calc - GRAD ASST'!$E$167</f>
        <v>0</v>
      </c>
      <c r="F246" s="29">
        <f ca="1">'Calc - GRAD ASST'!$E$169</f>
        <v>0</v>
      </c>
      <c r="G246" s="29">
        <f ca="1">'Calc - GRAD ASST'!$E$171</f>
        <v>0</v>
      </c>
      <c r="H246" s="29">
        <f ca="1">'Calc - GRAD ASST'!$E$173</f>
        <v>0</v>
      </c>
      <c r="I246" s="29">
        <f ca="1">'Calc - GRAD ASST'!$E$175</f>
        <v>0</v>
      </c>
      <c r="J246" s="88">
        <f ca="1">SUM(D246:I246)</f>
        <v>0</v>
      </c>
      <c r="L246" s="9"/>
      <c r="M246" s="9"/>
      <c r="N246" s="29"/>
      <c r="O246" s="29"/>
      <c r="P246" s="29"/>
      <c r="Q246" s="29"/>
      <c r="R246" s="29"/>
      <c r="S246" s="29"/>
      <c r="T246" s="167">
        <f>SUM(N246:S246)</f>
        <v>0</v>
      </c>
      <c r="U246" s="1"/>
      <c r="V246" s="29"/>
      <c r="W246" s="29"/>
      <c r="X246" s="29"/>
      <c r="Y246" s="29"/>
      <c r="Z246" s="29"/>
      <c r="AA246" s="29"/>
      <c r="AB246" s="48">
        <f>SUM(V246:AA246)</f>
        <v>0</v>
      </c>
      <c r="AD246" s="29"/>
      <c r="AE246" s="29"/>
      <c r="AF246" s="29"/>
      <c r="AG246" s="29"/>
      <c r="AH246" s="29"/>
      <c r="AI246" s="29"/>
      <c r="AJ246" s="209">
        <f>SUM(AD246:AI246)</f>
        <v>0</v>
      </c>
      <c r="AL246" s="29"/>
      <c r="AM246" s="29"/>
      <c r="AN246" s="29"/>
      <c r="AO246" s="29"/>
      <c r="AP246" s="29"/>
      <c r="AQ246" s="29"/>
      <c r="AR246" s="181">
        <f>SUM(AL246:AQ246)</f>
        <v>0</v>
      </c>
      <c r="AT246" s="29"/>
      <c r="AU246" s="29"/>
      <c r="AV246" s="29"/>
      <c r="AW246" s="29"/>
      <c r="AX246" s="29"/>
      <c r="AY246" s="29"/>
      <c r="AZ246" s="153">
        <f>SUM(AT246:AY246)</f>
        <v>0</v>
      </c>
      <c r="BB246" s="29"/>
      <c r="BC246" s="29"/>
      <c r="BD246" s="29"/>
      <c r="BE246" s="29"/>
      <c r="BF246" s="29"/>
      <c r="BG246" s="29"/>
      <c r="BH246" s="195">
        <f>SUM(BB246:BG246)</f>
        <v>0</v>
      </c>
      <c r="BJ246" s="29"/>
      <c r="BK246" s="29"/>
      <c r="BL246" s="29"/>
      <c r="BM246" s="29"/>
      <c r="BN246" s="29"/>
      <c r="BO246" s="29"/>
      <c r="BP246" s="1630">
        <f>SUM(BJ246:BO246)</f>
        <v>0</v>
      </c>
      <c r="BR246" s="575">
        <f t="shared" si="1276"/>
        <v>0</v>
      </c>
      <c r="BS246" s="575">
        <f t="shared" si="1277"/>
        <v>0</v>
      </c>
      <c r="BT246" s="575">
        <f t="shared" si="1278"/>
        <v>0</v>
      </c>
      <c r="BU246" s="575">
        <f t="shared" si="1279"/>
        <v>0</v>
      </c>
      <c r="BV246" s="575">
        <f t="shared" si="1280"/>
        <v>0</v>
      </c>
      <c r="BW246" s="575">
        <f t="shared" si="1281"/>
        <v>0</v>
      </c>
      <c r="BX246" s="991">
        <f t="shared" si="1282"/>
        <v>0</v>
      </c>
      <c r="BY246" s="573">
        <f t="shared" ca="1" si="1283"/>
        <v>0</v>
      </c>
      <c r="BZ246" s="257"/>
      <c r="CB246" s="1350">
        <f ca="1">D246</f>
        <v>0</v>
      </c>
      <c r="CC246" s="1268"/>
      <c r="CD246" s="1269"/>
      <c r="CE246" s="1269"/>
      <c r="CF246" s="1269"/>
      <c r="CG246" s="1270">
        <f ca="1">E246</f>
        <v>0</v>
      </c>
      <c r="CH246" s="1271"/>
      <c r="CI246" s="1272"/>
      <c r="CJ246" s="1272"/>
      <c r="CK246" s="1272"/>
      <c r="CL246" s="1273">
        <f ca="1">F246</f>
        <v>0</v>
      </c>
      <c r="CM246" s="1274"/>
      <c r="CN246" s="1275"/>
      <c r="CO246" s="1276"/>
      <c r="CP246" s="1224">
        <f t="shared" ca="1" si="1152"/>
        <v>0</v>
      </c>
      <c r="CS246" s="575"/>
      <c r="CT246" s="5"/>
      <c r="CU246" s="1180"/>
      <c r="CV246" s="575"/>
      <c r="CW246" s="5"/>
      <c r="CX246" s="1180"/>
      <c r="CY246" s="575"/>
      <c r="CZ246" s="5"/>
      <c r="DA246" s="1180"/>
      <c r="DB246" s="575"/>
      <c r="DC246" s="5"/>
      <c r="DD246" s="1180"/>
      <c r="DE246" s="1181">
        <f>SUM(CS246:DD246)</f>
        <v>0</v>
      </c>
      <c r="DG246" s="575"/>
      <c r="DH246" s="5"/>
      <c r="DI246" s="1180"/>
      <c r="DJ246" s="575"/>
      <c r="DK246" s="5"/>
      <c r="DL246" s="1180"/>
      <c r="DM246" s="575"/>
      <c r="DN246" s="5"/>
      <c r="DO246" s="1180"/>
      <c r="DP246" s="575"/>
      <c r="DQ246" s="5"/>
      <c r="DR246" s="1180"/>
      <c r="DS246" s="1181">
        <f>SUM(DG246:DR246)</f>
        <v>0</v>
      </c>
      <c r="DU246" s="575"/>
      <c r="DV246" s="5"/>
      <c r="DW246" s="1180"/>
      <c r="DX246" s="575"/>
      <c r="DY246" s="5"/>
      <c r="DZ246" s="1180"/>
      <c r="EA246" s="575"/>
      <c r="EB246" s="5"/>
      <c r="EC246" s="1180"/>
      <c r="ED246" s="575"/>
      <c r="EE246" s="5"/>
      <c r="EF246" s="1180"/>
      <c r="EG246" s="1181">
        <f>SUM(DU246:EF246)</f>
        <v>0</v>
      </c>
      <c r="EI246" s="480"/>
      <c r="EJ246" s="3303"/>
      <c r="EK246" s="78" t="s">
        <v>96</v>
      </c>
      <c r="EL246" s="29">
        <f t="shared" ca="1" si="1304"/>
        <v>0</v>
      </c>
      <c r="EM246" s="29">
        <f t="shared" ca="1" si="1304"/>
        <v>0</v>
      </c>
      <c r="EN246" s="29">
        <f t="shared" ca="1" si="1304"/>
        <v>0</v>
      </c>
      <c r="EO246" s="29">
        <f t="shared" ca="1" si="1304"/>
        <v>0</v>
      </c>
      <c r="EP246" s="29">
        <f t="shared" ca="1" si="1304"/>
        <v>0</v>
      </c>
      <c r="EQ246" s="29">
        <f t="shared" ca="1" si="1304"/>
        <v>0</v>
      </c>
      <c r="ER246" s="88">
        <f t="shared" ca="1" si="1163"/>
        <v>0</v>
      </c>
      <c r="ET246" s="9"/>
      <c r="EU246" s="9"/>
      <c r="EV246" s="29">
        <f t="shared" si="1305"/>
        <v>0</v>
      </c>
      <c r="EW246" s="29">
        <f t="shared" si="1305"/>
        <v>0</v>
      </c>
      <c r="EX246" s="29">
        <f t="shared" si="1305"/>
        <v>0</v>
      </c>
      <c r="EY246" s="29">
        <f t="shared" si="1305"/>
        <v>0</v>
      </c>
      <c r="EZ246" s="29">
        <f t="shared" si="1305"/>
        <v>0</v>
      </c>
      <c r="FA246" s="29">
        <f t="shared" si="1305"/>
        <v>0</v>
      </c>
      <c r="FB246" s="167">
        <f>SUM(EV246:FA246)</f>
        <v>0</v>
      </c>
      <c r="FC246" s="1"/>
      <c r="FD246" s="29"/>
      <c r="FE246" s="29"/>
      <c r="FF246" s="29"/>
      <c r="FG246" s="29"/>
      <c r="FH246" s="29"/>
      <c r="FI246" s="29"/>
      <c r="FJ246" s="48">
        <f>SUM(FD246:FI246)</f>
        <v>0</v>
      </c>
      <c r="FL246" s="29"/>
      <c r="FM246" s="29"/>
      <c r="FN246" s="29"/>
      <c r="FO246" s="29"/>
      <c r="FP246" s="29"/>
      <c r="FQ246" s="29"/>
      <c r="FR246" s="209">
        <f>SUM(FL246:FQ246)</f>
        <v>0</v>
      </c>
      <c r="FT246" s="29"/>
      <c r="FU246" s="29"/>
      <c r="FV246" s="29"/>
      <c r="FW246" s="29"/>
      <c r="FX246" s="29"/>
      <c r="FY246" s="29"/>
      <c r="FZ246" s="181">
        <f>SUM(FT246:FY246)</f>
        <v>0</v>
      </c>
      <c r="GB246" s="29"/>
      <c r="GC246" s="29"/>
      <c r="GD246" s="29"/>
      <c r="GE246" s="29"/>
      <c r="GF246" s="29"/>
      <c r="GG246" s="29"/>
      <c r="GH246" s="153">
        <f>SUM(GB246:GG246)</f>
        <v>0</v>
      </c>
      <c r="GJ246" s="29"/>
      <c r="GK246" s="29"/>
      <c r="GL246" s="29"/>
      <c r="GM246" s="29"/>
      <c r="GN246" s="29"/>
      <c r="GO246" s="29"/>
      <c r="GP246" s="195">
        <f>SUM(GJ246:GO246)</f>
        <v>0</v>
      </c>
      <c r="GR246" s="29"/>
      <c r="GS246" s="29"/>
      <c r="GT246" s="29"/>
      <c r="GU246" s="29"/>
      <c r="GV246" s="29"/>
      <c r="GW246" s="29"/>
      <c r="GX246" s="1630">
        <f>SUM(GR246:GW246)</f>
        <v>0</v>
      </c>
      <c r="GZ246" s="575">
        <f t="shared" si="1296"/>
        <v>0</v>
      </c>
      <c r="HA246" s="575">
        <f t="shared" si="1297"/>
        <v>0</v>
      </c>
      <c r="HB246" s="575">
        <f t="shared" si="1298"/>
        <v>0</v>
      </c>
      <c r="HC246" s="575">
        <f t="shared" si="1299"/>
        <v>0</v>
      </c>
      <c r="HD246" s="575">
        <f t="shared" si="1300"/>
        <v>0</v>
      </c>
      <c r="HE246" s="575">
        <f t="shared" si="1301"/>
        <v>0</v>
      </c>
      <c r="HF246" s="991">
        <f t="shared" si="1302"/>
        <v>0</v>
      </c>
      <c r="HG246" s="573">
        <f t="shared" ca="1" si="1303"/>
        <v>0</v>
      </c>
      <c r="HH246" s="257"/>
    </row>
    <row r="247" spans="1:216" ht="15" hidden="1" customHeight="1" thickBot="1" x14ac:dyDescent="0.3">
      <c r="A247" s="480"/>
      <c r="B247" s="1849">
        <f>'Calc - GRAD ASST'!C152</f>
        <v>0</v>
      </c>
      <c r="C247" s="420" t="s">
        <v>130</v>
      </c>
      <c r="D247" s="42">
        <f ca="1">'Calc - GRAD ASST'!$M$165</f>
        <v>0</v>
      </c>
      <c r="E247" s="42">
        <f ca="1">'Calc - GRAD ASST'!$M$167</f>
        <v>0</v>
      </c>
      <c r="F247" s="42">
        <f ca="1">'Calc - GRAD ASST'!$M$169</f>
        <v>0</v>
      </c>
      <c r="G247" s="42">
        <f ca="1">'Calc - GRAD ASST'!$M$171</f>
        <v>0</v>
      </c>
      <c r="H247" s="42">
        <f ca="1">'Calc - GRAD ASST'!$M$173</f>
        <v>0</v>
      </c>
      <c r="I247" s="42">
        <f ca="1">'Calc - GRAD ASST'!$M$175</f>
        <v>0</v>
      </c>
      <c r="J247" s="90">
        <f ca="1">SUM(D247:I247)</f>
        <v>0</v>
      </c>
      <c r="K247" s="9"/>
      <c r="L247" s="9"/>
      <c r="M247" s="9"/>
      <c r="N247" s="5"/>
      <c r="O247" s="5"/>
      <c r="P247" s="5"/>
      <c r="Q247" s="5"/>
      <c r="R247" s="5"/>
      <c r="S247" s="5"/>
      <c r="T247" s="167">
        <f>SUM(N247:S247)</f>
        <v>0</v>
      </c>
      <c r="U247" s="1"/>
      <c r="V247" s="5"/>
      <c r="W247" s="5"/>
      <c r="X247" s="5"/>
      <c r="Y247" s="5"/>
      <c r="Z247" s="5"/>
      <c r="AA247" s="5"/>
      <c r="AB247" s="48">
        <f>SUM(V247:AA247)</f>
        <v>0</v>
      </c>
      <c r="AD247" s="5"/>
      <c r="AE247" s="5"/>
      <c r="AF247" s="5"/>
      <c r="AG247" s="5"/>
      <c r="AH247" s="5"/>
      <c r="AI247" s="5"/>
      <c r="AJ247" s="209">
        <f>SUM(AD247:AI247)</f>
        <v>0</v>
      </c>
      <c r="AL247" s="5"/>
      <c r="AM247" s="5"/>
      <c r="AN247" s="5"/>
      <c r="AO247" s="5"/>
      <c r="AP247" s="5"/>
      <c r="AQ247" s="5"/>
      <c r="AR247" s="181">
        <f>SUM(AL247:AQ247)</f>
        <v>0</v>
      </c>
      <c r="AT247" s="5"/>
      <c r="AU247" s="5"/>
      <c r="AV247" s="5"/>
      <c r="AW247" s="5"/>
      <c r="AX247" s="5"/>
      <c r="AY247" s="5"/>
      <c r="AZ247" s="153">
        <f>SUM(AT247:AY247)</f>
        <v>0</v>
      </c>
      <c r="BB247" s="5"/>
      <c r="BC247" s="5"/>
      <c r="BD247" s="5"/>
      <c r="BE247" s="5"/>
      <c r="BF247" s="5"/>
      <c r="BG247" s="5"/>
      <c r="BH247" s="195">
        <f>SUM(BB247:BG247)</f>
        <v>0</v>
      </c>
      <c r="BJ247" s="5"/>
      <c r="BK247" s="5"/>
      <c r="BL247" s="5"/>
      <c r="BM247" s="5"/>
      <c r="BN247" s="5"/>
      <c r="BO247" s="5"/>
      <c r="BP247" s="1630">
        <f>SUM(BJ247:BO247)</f>
        <v>0</v>
      </c>
      <c r="BR247" s="575">
        <f t="shared" si="1276"/>
        <v>0</v>
      </c>
      <c r="BS247" s="575">
        <f t="shared" si="1277"/>
        <v>0</v>
      </c>
      <c r="BT247" s="575">
        <f t="shared" si="1278"/>
        <v>0</v>
      </c>
      <c r="BU247" s="575">
        <f t="shared" si="1279"/>
        <v>0</v>
      </c>
      <c r="BV247" s="575">
        <f t="shared" si="1280"/>
        <v>0</v>
      </c>
      <c r="BW247" s="575">
        <f t="shared" si="1281"/>
        <v>0</v>
      </c>
      <c r="BX247" s="991">
        <f t="shared" si="1282"/>
        <v>0</v>
      </c>
      <c r="BY247" s="573">
        <f t="shared" ca="1" si="1283"/>
        <v>0</v>
      </c>
      <c r="BZ247" s="257"/>
      <c r="CB247" s="1330">
        <f ca="1">D247</f>
        <v>0</v>
      </c>
      <c r="CC247" s="1201">
        <f ca="1">($E247-$CG247)/3</f>
        <v>0</v>
      </c>
      <c r="CD247" s="1202">
        <f ca="1">($E247-$CG247)/3</f>
        <v>0</v>
      </c>
      <c r="CE247" s="1202">
        <f ca="1">($E247-$CG247)/3</f>
        <v>0</v>
      </c>
      <c r="CF247" s="1202"/>
      <c r="CG247" s="1203">
        <f ca="1">OFFSET('Calc - GRAD ASST'!$K$20,5*29+2,0)</f>
        <v>0</v>
      </c>
      <c r="CH247" s="1251">
        <f ca="1">($F247-$CL247)/3</f>
        <v>0</v>
      </c>
      <c r="CI247" s="1205">
        <f ca="1">($F247-$CL247)/3</f>
        <v>0</v>
      </c>
      <c r="CJ247" s="1205">
        <f ca="1">($F247-$CL247)/3</f>
        <v>0</v>
      </c>
      <c r="CK247" s="1205"/>
      <c r="CL247" s="1206">
        <f ca="1">OFFSET('Calc - GRAD ASST'!$K$20,5*29+4,0)</f>
        <v>0</v>
      </c>
      <c r="CM247" s="1207">
        <f ca="1">$G247/3</f>
        <v>0</v>
      </c>
      <c r="CN247" s="1252">
        <f ca="1">$G247/3</f>
        <v>0</v>
      </c>
      <c r="CO247" s="1209">
        <f ca="1">$G247/3</f>
        <v>0</v>
      </c>
      <c r="CP247" s="1316">
        <f t="shared" ref="CP247:CP278" ca="1" si="1306">SUM(CB247:CO247)</f>
        <v>0</v>
      </c>
      <c r="CS247" s="575"/>
      <c r="CT247" s="5"/>
      <c r="CU247" s="1180"/>
      <c r="CV247" s="575"/>
      <c r="CW247" s="5"/>
      <c r="CX247" s="1180"/>
      <c r="CY247" s="575"/>
      <c r="CZ247" s="5"/>
      <c r="DA247" s="1180"/>
      <c r="DB247" s="575"/>
      <c r="DC247" s="5"/>
      <c r="DD247" s="1180"/>
      <c r="DE247" s="1181">
        <f>SUM(CS247:DD247)</f>
        <v>0</v>
      </c>
      <c r="DG247" s="575"/>
      <c r="DH247" s="5"/>
      <c r="DI247" s="1180"/>
      <c r="DJ247" s="575"/>
      <c r="DK247" s="5"/>
      <c r="DL247" s="1180"/>
      <c r="DM247" s="575"/>
      <c r="DN247" s="5"/>
      <c r="DO247" s="1180"/>
      <c r="DP247" s="575"/>
      <c r="DQ247" s="5"/>
      <c r="DR247" s="1180"/>
      <c r="DS247" s="1181">
        <f>SUM(DG247:DR247)</f>
        <v>0</v>
      </c>
      <c r="DU247" s="575"/>
      <c r="DV247" s="5"/>
      <c r="DW247" s="1180"/>
      <c r="DX247" s="575"/>
      <c r="DY247" s="5"/>
      <c r="DZ247" s="1180"/>
      <c r="EA247" s="575"/>
      <c r="EB247" s="5"/>
      <c r="EC247" s="1180"/>
      <c r="ED247" s="575"/>
      <c r="EE247" s="5"/>
      <c r="EF247" s="1180"/>
      <c r="EG247" s="1181">
        <f>SUM(DU247:EF247)</f>
        <v>0</v>
      </c>
      <c r="EI247" s="480"/>
      <c r="EJ247" s="1849">
        <f>B247</f>
        <v>0</v>
      </c>
      <c r="EK247" s="420" t="s">
        <v>130</v>
      </c>
      <c r="EL247" s="42">
        <f t="shared" ca="1" si="1304"/>
        <v>0</v>
      </c>
      <c r="EM247" s="42">
        <f t="shared" ca="1" si="1304"/>
        <v>0</v>
      </c>
      <c r="EN247" s="42">
        <f t="shared" ca="1" si="1304"/>
        <v>0</v>
      </c>
      <c r="EO247" s="42">
        <f t="shared" ca="1" si="1304"/>
        <v>0</v>
      </c>
      <c r="EP247" s="42">
        <f t="shared" ca="1" si="1304"/>
        <v>0</v>
      </c>
      <c r="EQ247" s="42">
        <f t="shared" ca="1" si="1304"/>
        <v>0</v>
      </c>
      <c r="ER247" s="90">
        <f t="shared" ref="ER247:ER278" ca="1" si="1307">SUM(EL247:EQ247)</f>
        <v>0</v>
      </c>
      <c r="ES247" s="9"/>
      <c r="ET247" s="9"/>
      <c r="EU247" s="9"/>
      <c r="EV247" s="5">
        <f t="shared" si="1305"/>
        <v>0</v>
      </c>
      <c r="EW247" s="5">
        <f t="shared" si="1305"/>
        <v>0</v>
      </c>
      <c r="EX247" s="5">
        <f t="shared" si="1305"/>
        <v>0</v>
      </c>
      <c r="EY247" s="5">
        <f t="shared" si="1305"/>
        <v>0</v>
      </c>
      <c r="EZ247" s="5">
        <f t="shared" si="1305"/>
        <v>0</v>
      </c>
      <c r="FA247" s="5">
        <f t="shared" si="1305"/>
        <v>0</v>
      </c>
      <c r="FB247" s="167">
        <f>SUM(EV247:FA247)</f>
        <v>0</v>
      </c>
      <c r="FC247" s="1"/>
      <c r="FD247" s="5"/>
      <c r="FE247" s="5"/>
      <c r="FF247" s="5"/>
      <c r="FG247" s="5"/>
      <c r="FH247" s="5"/>
      <c r="FI247" s="5"/>
      <c r="FJ247" s="48">
        <f>SUM(FD247:FI247)</f>
        <v>0</v>
      </c>
      <c r="FL247" s="5"/>
      <c r="FM247" s="5"/>
      <c r="FN247" s="5"/>
      <c r="FO247" s="5"/>
      <c r="FP247" s="5"/>
      <c r="FQ247" s="5"/>
      <c r="FR247" s="209">
        <f>SUM(FL247:FQ247)</f>
        <v>0</v>
      </c>
      <c r="FT247" s="5"/>
      <c r="FU247" s="5"/>
      <c r="FV247" s="5"/>
      <c r="FW247" s="5"/>
      <c r="FX247" s="5"/>
      <c r="FY247" s="5"/>
      <c r="FZ247" s="181">
        <f>SUM(FT247:FY247)</f>
        <v>0</v>
      </c>
      <c r="GB247" s="5"/>
      <c r="GC247" s="5"/>
      <c r="GD247" s="5"/>
      <c r="GE247" s="5"/>
      <c r="GF247" s="5"/>
      <c r="GG247" s="5"/>
      <c r="GH247" s="153">
        <f>SUM(GB247:GG247)</f>
        <v>0</v>
      </c>
      <c r="GJ247" s="5"/>
      <c r="GK247" s="5"/>
      <c r="GL247" s="5"/>
      <c r="GM247" s="5"/>
      <c r="GN247" s="5"/>
      <c r="GO247" s="5"/>
      <c r="GP247" s="195">
        <f>SUM(GJ247:GO247)</f>
        <v>0</v>
      </c>
      <c r="GR247" s="5"/>
      <c r="GS247" s="5"/>
      <c r="GT247" s="5"/>
      <c r="GU247" s="5"/>
      <c r="GV247" s="5"/>
      <c r="GW247" s="5"/>
      <c r="GX247" s="1630">
        <f>SUM(GR247:GW247)</f>
        <v>0</v>
      </c>
      <c r="GZ247" s="575">
        <f t="shared" si="1296"/>
        <v>0</v>
      </c>
      <c r="HA247" s="575">
        <f t="shared" si="1297"/>
        <v>0</v>
      </c>
      <c r="HB247" s="575">
        <f t="shared" si="1298"/>
        <v>0</v>
      </c>
      <c r="HC247" s="575">
        <f t="shared" si="1299"/>
        <v>0</v>
      </c>
      <c r="HD247" s="575">
        <f t="shared" si="1300"/>
        <v>0</v>
      </c>
      <c r="HE247" s="575">
        <f t="shared" si="1301"/>
        <v>0</v>
      </c>
      <c r="HF247" s="991">
        <f t="shared" si="1302"/>
        <v>0</v>
      </c>
      <c r="HG247" s="573">
        <f t="shared" ca="1" si="1303"/>
        <v>0</v>
      </c>
      <c r="HH247" s="257"/>
    </row>
    <row r="248" spans="1:216" ht="15" hidden="1" customHeight="1" thickBot="1" x14ac:dyDescent="0.3">
      <c r="A248" s="480"/>
      <c r="B248" s="1850"/>
      <c r="C248" s="1610" t="s">
        <v>499</v>
      </c>
      <c r="D248" s="377">
        <f t="shared" ref="D248:J248" ca="1" si="1308">SUM(D245:D247)</f>
        <v>0</v>
      </c>
      <c r="E248" s="377">
        <f t="shared" ca="1" si="1308"/>
        <v>0</v>
      </c>
      <c r="F248" s="377">
        <f t="shared" ca="1" si="1308"/>
        <v>0</v>
      </c>
      <c r="G248" s="377">
        <f t="shared" ca="1" si="1308"/>
        <v>0</v>
      </c>
      <c r="H248" s="377">
        <f t="shared" ca="1" si="1308"/>
        <v>0</v>
      </c>
      <c r="I248" s="377">
        <f t="shared" ca="1" si="1308"/>
        <v>0</v>
      </c>
      <c r="J248" s="394">
        <f t="shared" ca="1" si="1308"/>
        <v>0</v>
      </c>
      <c r="K248" s="13">
        <f ca="1">SUM(D248:I248)</f>
        <v>0</v>
      </c>
      <c r="L248" s="13"/>
      <c r="M248" s="9"/>
      <c r="N248" s="1629">
        <f t="shared" ref="N248:T248" si="1309">SUM(N245:N247)</f>
        <v>0</v>
      </c>
      <c r="O248" s="1629">
        <f t="shared" si="1309"/>
        <v>0</v>
      </c>
      <c r="P248" s="1629">
        <f t="shared" si="1309"/>
        <v>0</v>
      </c>
      <c r="Q248" s="1629">
        <f t="shared" si="1309"/>
        <v>0</v>
      </c>
      <c r="R248" s="1629">
        <f t="shared" si="1309"/>
        <v>0</v>
      </c>
      <c r="S248" s="1629">
        <f t="shared" si="1309"/>
        <v>0</v>
      </c>
      <c r="T248" s="1628">
        <f t="shared" si="1309"/>
        <v>0</v>
      </c>
      <c r="U248" s="1"/>
      <c r="V248" s="1629">
        <f t="shared" ref="V248:AB248" si="1310">SUM(V245:V247)</f>
        <v>0</v>
      </c>
      <c r="W248" s="1629">
        <f t="shared" si="1310"/>
        <v>0</v>
      </c>
      <c r="X248" s="1629">
        <f t="shared" si="1310"/>
        <v>0</v>
      </c>
      <c r="Y248" s="1629">
        <f t="shared" si="1310"/>
        <v>0</v>
      </c>
      <c r="Z248" s="1629">
        <f t="shared" si="1310"/>
        <v>0</v>
      </c>
      <c r="AA248" s="1629">
        <f t="shared" si="1310"/>
        <v>0</v>
      </c>
      <c r="AB248" s="1628">
        <f t="shared" si="1310"/>
        <v>0</v>
      </c>
      <c r="AD248" s="1629">
        <f t="shared" ref="AD248:AJ248" si="1311">SUM(AD245:AD247)</f>
        <v>0</v>
      </c>
      <c r="AE248" s="1629">
        <f t="shared" si="1311"/>
        <v>0</v>
      </c>
      <c r="AF248" s="1629">
        <f t="shared" si="1311"/>
        <v>0</v>
      </c>
      <c r="AG248" s="1629">
        <f t="shared" si="1311"/>
        <v>0</v>
      </c>
      <c r="AH248" s="1629">
        <f t="shared" si="1311"/>
        <v>0</v>
      </c>
      <c r="AI248" s="1629">
        <f t="shared" si="1311"/>
        <v>0</v>
      </c>
      <c r="AJ248" s="1628">
        <f t="shared" si="1311"/>
        <v>0</v>
      </c>
      <c r="AL248" s="7">
        <f t="shared" ref="AL248:AR248" si="1312">SUM(AL245:AL247)</f>
        <v>0</v>
      </c>
      <c r="AM248" s="7">
        <f t="shared" si="1312"/>
        <v>0</v>
      </c>
      <c r="AN248" s="7">
        <f t="shared" si="1312"/>
        <v>0</v>
      </c>
      <c r="AO248" s="7">
        <f t="shared" si="1312"/>
        <v>0</v>
      </c>
      <c r="AP248" s="7">
        <f t="shared" si="1312"/>
        <v>0</v>
      </c>
      <c r="AQ248" s="7">
        <f t="shared" si="1312"/>
        <v>0</v>
      </c>
      <c r="AR248" s="12">
        <f t="shared" si="1312"/>
        <v>0</v>
      </c>
      <c r="AT248" s="7">
        <f t="shared" ref="AT248:AZ248" si="1313">SUM(AT245:AT247)</f>
        <v>0</v>
      </c>
      <c r="AU248" s="7">
        <f t="shared" si="1313"/>
        <v>0</v>
      </c>
      <c r="AV248" s="7">
        <f t="shared" si="1313"/>
        <v>0</v>
      </c>
      <c r="AW248" s="7">
        <f t="shared" si="1313"/>
        <v>0</v>
      </c>
      <c r="AX248" s="7">
        <f t="shared" si="1313"/>
        <v>0</v>
      </c>
      <c r="AY248" s="7">
        <f t="shared" si="1313"/>
        <v>0</v>
      </c>
      <c r="AZ248" s="12">
        <f t="shared" si="1313"/>
        <v>0</v>
      </c>
      <c r="BB248" s="7">
        <f t="shared" ref="BB248:BH248" si="1314">SUM(BB245:BB247)</f>
        <v>0</v>
      </c>
      <c r="BC248" s="7">
        <f t="shared" si="1314"/>
        <v>0</v>
      </c>
      <c r="BD248" s="7">
        <f t="shared" si="1314"/>
        <v>0</v>
      </c>
      <c r="BE248" s="7">
        <f t="shared" si="1314"/>
        <v>0</v>
      </c>
      <c r="BF248" s="7">
        <f t="shared" si="1314"/>
        <v>0</v>
      </c>
      <c r="BG248" s="7">
        <f t="shared" si="1314"/>
        <v>0</v>
      </c>
      <c r="BH248" s="12">
        <f t="shared" si="1314"/>
        <v>0</v>
      </c>
      <c r="BJ248" s="7">
        <f t="shared" ref="BJ248:BP248" si="1315">SUM(BJ245:BJ247)</f>
        <v>0</v>
      </c>
      <c r="BK248" s="7">
        <f t="shared" si="1315"/>
        <v>0</v>
      </c>
      <c r="BL248" s="7">
        <f t="shared" si="1315"/>
        <v>0</v>
      </c>
      <c r="BM248" s="7">
        <f t="shared" si="1315"/>
        <v>0</v>
      </c>
      <c r="BN248" s="7">
        <f t="shared" si="1315"/>
        <v>0</v>
      </c>
      <c r="BO248" s="7">
        <f t="shared" si="1315"/>
        <v>0</v>
      </c>
      <c r="BP248" s="12">
        <f t="shared" si="1315"/>
        <v>0</v>
      </c>
      <c r="BR248" s="589">
        <f t="shared" si="1276"/>
        <v>0</v>
      </c>
      <c r="BS248" s="589">
        <f t="shared" si="1277"/>
        <v>0</v>
      </c>
      <c r="BT248" s="589">
        <f t="shared" si="1278"/>
        <v>0</v>
      </c>
      <c r="BU248" s="589">
        <f t="shared" si="1279"/>
        <v>0</v>
      </c>
      <c r="BV248" s="589">
        <f t="shared" si="1280"/>
        <v>0</v>
      </c>
      <c r="BW248" s="589">
        <f t="shared" si="1281"/>
        <v>0</v>
      </c>
      <c r="BX248" s="589">
        <f t="shared" si="1282"/>
        <v>0</v>
      </c>
      <c r="BY248" s="590">
        <f t="shared" ca="1" si="1283"/>
        <v>0</v>
      </c>
      <c r="BZ248" s="257"/>
      <c r="CB248" s="1633">
        <f t="shared" ref="CB248:CO248" ca="1" si="1316">SUM(CB245:CB247)</f>
        <v>0</v>
      </c>
      <c r="CC248" s="1634">
        <f t="shared" ca="1" si="1316"/>
        <v>0</v>
      </c>
      <c r="CD248" s="1635">
        <f t="shared" ca="1" si="1316"/>
        <v>0</v>
      </c>
      <c r="CE248" s="1635">
        <f t="shared" ca="1" si="1316"/>
        <v>0</v>
      </c>
      <c r="CF248" s="1635">
        <f t="shared" si="1316"/>
        <v>0</v>
      </c>
      <c r="CG248" s="1636">
        <f t="shared" ca="1" si="1316"/>
        <v>0</v>
      </c>
      <c r="CH248" s="1634">
        <f t="shared" ca="1" si="1316"/>
        <v>0</v>
      </c>
      <c r="CI248" s="1635">
        <f t="shared" ca="1" si="1316"/>
        <v>0</v>
      </c>
      <c r="CJ248" s="1635">
        <f t="shared" ca="1" si="1316"/>
        <v>0</v>
      </c>
      <c r="CK248" s="1635">
        <f t="shared" si="1316"/>
        <v>0</v>
      </c>
      <c r="CL248" s="1637">
        <f t="shared" ca="1" si="1316"/>
        <v>0</v>
      </c>
      <c r="CM248" s="1634">
        <f t="shared" ca="1" si="1316"/>
        <v>0</v>
      </c>
      <c r="CN248" s="1635">
        <f t="shared" ca="1" si="1316"/>
        <v>0</v>
      </c>
      <c r="CO248" s="1636">
        <f t="shared" ca="1" si="1316"/>
        <v>0</v>
      </c>
      <c r="CP248" s="1351">
        <f t="shared" ca="1" si="1306"/>
        <v>0</v>
      </c>
      <c r="CS248" s="1231">
        <f t="shared" ref="CS248:DE248" si="1317">SUM(CS245:CS247)</f>
        <v>0</v>
      </c>
      <c r="CT248" s="7">
        <f t="shared" si="1317"/>
        <v>0</v>
      </c>
      <c r="CU248" s="573">
        <f t="shared" si="1317"/>
        <v>0</v>
      </c>
      <c r="CV248" s="1231">
        <f t="shared" si="1317"/>
        <v>0</v>
      </c>
      <c r="CW248" s="7">
        <f t="shared" si="1317"/>
        <v>0</v>
      </c>
      <c r="CX248" s="573">
        <f t="shared" si="1317"/>
        <v>0</v>
      </c>
      <c r="CY248" s="1231">
        <f t="shared" si="1317"/>
        <v>0</v>
      </c>
      <c r="CZ248" s="7">
        <f t="shared" si="1317"/>
        <v>0</v>
      </c>
      <c r="DA248" s="573">
        <f t="shared" si="1317"/>
        <v>0</v>
      </c>
      <c r="DB248" s="1231">
        <f t="shared" si="1317"/>
        <v>0</v>
      </c>
      <c r="DC248" s="7">
        <f t="shared" si="1317"/>
        <v>0</v>
      </c>
      <c r="DD248" s="573">
        <f t="shared" si="1317"/>
        <v>0</v>
      </c>
      <c r="DE248" s="1181">
        <f t="shared" si="1317"/>
        <v>0</v>
      </c>
      <c r="DG248" s="1231">
        <f t="shared" ref="DG248:DS248" si="1318">SUM(DG245:DG247)</f>
        <v>0</v>
      </c>
      <c r="DH248" s="7">
        <f t="shared" si="1318"/>
        <v>0</v>
      </c>
      <c r="DI248" s="573">
        <f t="shared" si="1318"/>
        <v>0</v>
      </c>
      <c r="DJ248" s="1231">
        <f t="shared" si="1318"/>
        <v>0</v>
      </c>
      <c r="DK248" s="7">
        <f t="shared" si="1318"/>
        <v>0</v>
      </c>
      <c r="DL248" s="573">
        <f t="shared" si="1318"/>
        <v>0</v>
      </c>
      <c r="DM248" s="1231">
        <f t="shared" si="1318"/>
        <v>0</v>
      </c>
      <c r="DN248" s="7">
        <f t="shared" si="1318"/>
        <v>0</v>
      </c>
      <c r="DO248" s="573">
        <f t="shared" si="1318"/>
        <v>0</v>
      </c>
      <c r="DP248" s="1231">
        <f t="shared" si="1318"/>
        <v>0</v>
      </c>
      <c r="DQ248" s="7">
        <f t="shared" si="1318"/>
        <v>0</v>
      </c>
      <c r="DR248" s="573">
        <f t="shared" si="1318"/>
        <v>0</v>
      </c>
      <c r="DS248" s="1181">
        <f t="shared" si="1318"/>
        <v>0</v>
      </c>
      <c r="DU248" s="1231">
        <f t="shared" ref="DU248:EG248" si="1319">SUM(DU245:DU247)</f>
        <v>0</v>
      </c>
      <c r="DV248" s="7">
        <f t="shared" si="1319"/>
        <v>0</v>
      </c>
      <c r="DW248" s="573">
        <f t="shared" si="1319"/>
        <v>0</v>
      </c>
      <c r="DX248" s="1231">
        <f t="shared" si="1319"/>
        <v>0</v>
      </c>
      <c r="DY248" s="7">
        <f t="shared" si="1319"/>
        <v>0</v>
      </c>
      <c r="DZ248" s="573">
        <f t="shared" si="1319"/>
        <v>0</v>
      </c>
      <c r="EA248" s="1231">
        <f t="shared" si="1319"/>
        <v>0</v>
      </c>
      <c r="EB248" s="7">
        <f t="shared" si="1319"/>
        <v>0</v>
      </c>
      <c r="EC248" s="573">
        <f t="shared" si="1319"/>
        <v>0</v>
      </c>
      <c r="ED248" s="1231">
        <f t="shared" si="1319"/>
        <v>0</v>
      </c>
      <c r="EE248" s="7">
        <f t="shared" si="1319"/>
        <v>0</v>
      </c>
      <c r="EF248" s="573">
        <f t="shared" si="1319"/>
        <v>0</v>
      </c>
      <c r="EG248" s="1181">
        <f t="shared" si="1319"/>
        <v>0</v>
      </c>
      <c r="EI248" s="480"/>
      <c r="EJ248" s="1850"/>
      <c r="EK248" s="1610" t="s">
        <v>499</v>
      </c>
      <c r="EL248" s="377">
        <f t="shared" ref="EL248:EQ248" ca="1" si="1320">SUM(EL245:EL247)</f>
        <v>0</v>
      </c>
      <c r="EM248" s="377">
        <f t="shared" ca="1" si="1320"/>
        <v>0</v>
      </c>
      <c r="EN248" s="377">
        <f t="shared" ca="1" si="1320"/>
        <v>0</v>
      </c>
      <c r="EO248" s="377">
        <f t="shared" ca="1" si="1320"/>
        <v>0</v>
      </c>
      <c r="EP248" s="377">
        <f t="shared" ca="1" si="1320"/>
        <v>0</v>
      </c>
      <c r="EQ248" s="377">
        <f t="shared" ca="1" si="1320"/>
        <v>0</v>
      </c>
      <c r="ER248" s="394">
        <f t="shared" ca="1" si="1307"/>
        <v>0</v>
      </c>
      <c r="ES248" s="13">
        <f ca="1">SUM(ER245:ER247)</f>
        <v>0</v>
      </c>
      <c r="ET248" s="13"/>
      <c r="EU248" s="9"/>
      <c r="EV248" s="1629">
        <f t="shared" ref="EV248:FB248" si="1321">SUM(EV245:EV247)</f>
        <v>0</v>
      </c>
      <c r="EW248" s="1629">
        <f t="shared" si="1321"/>
        <v>0</v>
      </c>
      <c r="EX248" s="1629">
        <f t="shared" si="1321"/>
        <v>0</v>
      </c>
      <c r="EY248" s="1629">
        <f t="shared" si="1321"/>
        <v>0</v>
      </c>
      <c r="EZ248" s="1629">
        <f t="shared" si="1321"/>
        <v>0</v>
      </c>
      <c r="FA248" s="1629">
        <f t="shared" si="1321"/>
        <v>0</v>
      </c>
      <c r="FB248" s="1628">
        <f t="shared" si="1321"/>
        <v>0</v>
      </c>
      <c r="FC248" s="1"/>
      <c r="FD248" s="1629">
        <f t="shared" ref="FD248:FJ248" si="1322">SUM(FD245:FD247)</f>
        <v>0</v>
      </c>
      <c r="FE248" s="1629">
        <f t="shared" si="1322"/>
        <v>0</v>
      </c>
      <c r="FF248" s="1629">
        <f t="shared" si="1322"/>
        <v>0</v>
      </c>
      <c r="FG248" s="1629">
        <f t="shared" si="1322"/>
        <v>0</v>
      </c>
      <c r="FH248" s="1629">
        <f t="shared" si="1322"/>
        <v>0</v>
      </c>
      <c r="FI248" s="1629">
        <f t="shared" si="1322"/>
        <v>0</v>
      </c>
      <c r="FJ248" s="1628">
        <f t="shared" si="1322"/>
        <v>0</v>
      </c>
      <c r="FL248" s="1629">
        <f t="shared" ref="FL248:FR248" si="1323">SUM(FL245:FL247)</f>
        <v>0</v>
      </c>
      <c r="FM248" s="1629">
        <f t="shared" si="1323"/>
        <v>0</v>
      </c>
      <c r="FN248" s="1629">
        <f t="shared" si="1323"/>
        <v>0</v>
      </c>
      <c r="FO248" s="1629">
        <f t="shared" si="1323"/>
        <v>0</v>
      </c>
      <c r="FP248" s="1629">
        <f t="shared" si="1323"/>
        <v>0</v>
      </c>
      <c r="FQ248" s="1629">
        <f t="shared" si="1323"/>
        <v>0</v>
      </c>
      <c r="FR248" s="1628">
        <f t="shared" si="1323"/>
        <v>0</v>
      </c>
      <c r="FT248" s="7">
        <f t="shared" ref="FT248:FZ248" si="1324">SUM(FT245:FT247)</f>
        <v>0</v>
      </c>
      <c r="FU248" s="7">
        <f t="shared" si="1324"/>
        <v>0</v>
      </c>
      <c r="FV248" s="7">
        <f t="shared" si="1324"/>
        <v>0</v>
      </c>
      <c r="FW248" s="7">
        <f t="shared" si="1324"/>
        <v>0</v>
      </c>
      <c r="FX248" s="7">
        <f t="shared" si="1324"/>
        <v>0</v>
      </c>
      <c r="FY248" s="7">
        <f t="shared" si="1324"/>
        <v>0</v>
      </c>
      <c r="FZ248" s="12">
        <f t="shared" si="1324"/>
        <v>0</v>
      </c>
      <c r="GB248" s="7">
        <f t="shared" ref="GB248:GH248" si="1325">SUM(GB245:GB247)</f>
        <v>0</v>
      </c>
      <c r="GC248" s="7">
        <f t="shared" si="1325"/>
        <v>0</v>
      </c>
      <c r="GD248" s="7">
        <f t="shared" si="1325"/>
        <v>0</v>
      </c>
      <c r="GE248" s="7">
        <f t="shared" si="1325"/>
        <v>0</v>
      </c>
      <c r="GF248" s="7">
        <f t="shared" si="1325"/>
        <v>0</v>
      </c>
      <c r="GG248" s="7">
        <f t="shared" si="1325"/>
        <v>0</v>
      </c>
      <c r="GH248" s="12">
        <f t="shared" si="1325"/>
        <v>0</v>
      </c>
      <c r="GJ248" s="7">
        <f t="shared" ref="GJ248:GP248" si="1326">SUM(GJ245:GJ247)</f>
        <v>0</v>
      </c>
      <c r="GK248" s="7">
        <f t="shared" si="1326"/>
        <v>0</v>
      </c>
      <c r="GL248" s="7">
        <f t="shared" si="1326"/>
        <v>0</v>
      </c>
      <c r="GM248" s="7">
        <f t="shared" si="1326"/>
        <v>0</v>
      </c>
      <c r="GN248" s="7">
        <f t="shared" si="1326"/>
        <v>0</v>
      </c>
      <c r="GO248" s="7">
        <f t="shared" si="1326"/>
        <v>0</v>
      </c>
      <c r="GP248" s="12">
        <f t="shared" si="1326"/>
        <v>0</v>
      </c>
      <c r="GR248" s="7">
        <f t="shared" ref="GR248:GX248" si="1327">SUM(GR245:GR247)</f>
        <v>0</v>
      </c>
      <c r="GS248" s="7">
        <f t="shared" si="1327"/>
        <v>0</v>
      </c>
      <c r="GT248" s="7">
        <f t="shared" si="1327"/>
        <v>0</v>
      </c>
      <c r="GU248" s="7">
        <f t="shared" si="1327"/>
        <v>0</v>
      </c>
      <c r="GV248" s="7">
        <f t="shared" si="1327"/>
        <v>0</v>
      </c>
      <c r="GW248" s="7">
        <f t="shared" si="1327"/>
        <v>0</v>
      </c>
      <c r="GX248" s="12">
        <f t="shared" si="1327"/>
        <v>0</v>
      </c>
      <c r="GZ248" s="589">
        <f t="shared" si="1296"/>
        <v>0</v>
      </c>
      <c r="HA248" s="589">
        <f t="shared" si="1297"/>
        <v>0</v>
      </c>
      <c r="HB248" s="589">
        <f t="shared" si="1298"/>
        <v>0</v>
      </c>
      <c r="HC248" s="589">
        <f t="shared" si="1299"/>
        <v>0</v>
      </c>
      <c r="HD248" s="589">
        <f t="shared" si="1300"/>
        <v>0</v>
      </c>
      <c r="HE248" s="589">
        <f t="shared" si="1301"/>
        <v>0</v>
      </c>
      <c r="HF248" s="589">
        <f t="shared" si="1302"/>
        <v>0</v>
      </c>
      <c r="HG248" s="590">
        <f t="shared" ca="1" si="1303"/>
        <v>0</v>
      </c>
      <c r="HH248" s="257"/>
    </row>
    <row r="249" spans="1:216" ht="15" hidden="1" customHeight="1" x14ac:dyDescent="0.25">
      <c r="A249" s="480"/>
      <c r="B249" s="3304" t="str">
        <f>'Calc - GRAD ASST'!A180</f>
        <v>GA #07 / Sponsor Funds</v>
      </c>
      <c r="C249" s="483" t="s">
        <v>57</v>
      </c>
      <c r="D249" s="86">
        <f ca="1">'Calc - GRAD ASST'!$J$194</f>
        <v>0</v>
      </c>
      <c r="E249" s="86">
        <f ca="1">'Calc - GRAD ASST'!$J$196</f>
        <v>0</v>
      </c>
      <c r="F249" s="86">
        <f ca="1">'Calc - GRAD ASST'!$J$198</f>
        <v>0</v>
      </c>
      <c r="G249" s="86">
        <f ca="1">'Calc - GRAD ASST'!$J$200</f>
        <v>0</v>
      </c>
      <c r="H249" s="86">
        <f ca="1">'Calc - GRAD ASST'!$J$202</f>
        <v>0</v>
      </c>
      <c r="I249" s="86">
        <f ca="1">'Calc - GRAD ASST'!$J$204</f>
        <v>0</v>
      </c>
      <c r="J249" s="87">
        <f ca="1">SUM(D249:I249)</f>
        <v>0</v>
      </c>
      <c r="K249" s="9"/>
      <c r="M249" s="9"/>
      <c r="N249" s="5"/>
      <c r="O249" s="5"/>
      <c r="P249" s="5"/>
      <c r="Q249" s="5"/>
      <c r="R249" s="5"/>
      <c r="S249" s="5"/>
      <c r="T249" s="167">
        <f>SUM(N249:S249)</f>
        <v>0</v>
      </c>
      <c r="U249" s="1"/>
      <c r="V249" s="5"/>
      <c r="W249" s="5"/>
      <c r="X249" s="5"/>
      <c r="Y249" s="5"/>
      <c r="Z249" s="5"/>
      <c r="AA249" s="5"/>
      <c r="AB249" s="48">
        <f>SUM(V249:AA249)</f>
        <v>0</v>
      </c>
      <c r="AD249" s="5"/>
      <c r="AE249" s="5"/>
      <c r="AF249" s="5"/>
      <c r="AG249" s="5"/>
      <c r="AH249" s="5"/>
      <c r="AI249" s="5"/>
      <c r="AJ249" s="209">
        <f>SUM(AD249:AI249)</f>
        <v>0</v>
      </c>
      <c r="AL249" s="5"/>
      <c r="AM249" s="5"/>
      <c r="AN249" s="5"/>
      <c r="AO249" s="5"/>
      <c r="AP249" s="5"/>
      <c r="AQ249" s="5"/>
      <c r="AR249" s="181">
        <f>SUM(AL249:AQ249)</f>
        <v>0</v>
      </c>
      <c r="AT249" s="5"/>
      <c r="AU249" s="5"/>
      <c r="AV249" s="5"/>
      <c r="AW249" s="5"/>
      <c r="AX249" s="5"/>
      <c r="AY249" s="5"/>
      <c r="AZ249" s="153">
        <f>SUM(AT249:AY249)</f>
        <v>0</v>
      </c>
      <c r="BB249" s="5"/>
      <c r="BC249" s="5"/>
      <c r="BD249" s="5"/>
      <c r="BE249" s="5"/>
      <c r="BF249" s="5"/>
      <c r="BG249" s="5"/>
      <c r="BH249" s="195">
        <f>SUM(BB249:BG249)</f>
        <v>0</v>
      </c>
      <c r="BJ249" s="5"/>
      <c r="BK249" s="5"/>
      <c r="BL249" s="5"/>
      <c r="BM249" s="5"/>
      <c r="BN249" s="5"/>
      <c r="BO249" s="5"/>
      <c r="BP249" s="1630">
        <f>SUM(BJ249:BO249)</f>
        <v>0</v>
      </c>
      <c r="BR249" s="575">
        <f t="shared" si="1276"/>
        <v>0</v>
      </c>
      <c r="BS249" s="575">
        <f t="shared" si="1277"/>
        <v>0</v>
      </c>
      <c r="BT249" s="575">
        <f t="shared" si="1278"/>
        <v>0</v>
      </c>
      <c r="BU249" s="575">
        <f t="shared" si="1279"/>
        <v>0</v>
      </c>
      <c r="BV249" s="575">
        <f t="shared" si="1280"/>
        <v>0</v>
      </c>
      <c r="BW249" s="575">
        <f t="shared" si="1281"/>
        <v>0</v>
      </c>
      <c r="BX249" s="991">
        <f t="shared" si="1282"/>
        <v>0</v>
      </c>
      <c r="BY249" s="573">
        <f t="shared" ca="1" si="1283"/>
        <v>0</v>
      </c>
      <c r="BZ249" s="257"/>
      <c r="CB249" s="1322">
        <f ca="1">D249</f>
        <v>0</v>
      </c>
      <c r="CC249" s="386">
        <f ca="1">$E249/3</f>
        <v>0</v>
      </c>
      <c r="CD249" s="360">
        <f ca="1">$E249/3</f>
        <v>0</v>
      </c>
      <c r="CE249" s="360">
        <f ca="1">$E249/3</f>
        <v>0</v>
      </c>
      <c r="CF249" s="360"/>
      <c r="CG249" s="1161"/>
      <c r="CH249" s="1241">
        <f ca="1">$F249/3</f>
        <v>0</v>
      </c>
      <c r="CI249" s="1163">
        <f ca="1">$F249/3</f>
        <v>0</v>
      </c>
      <c r="CJ249" s="1163">
        <f ca="1">$F249/3</f>
        <v>0</v>
      </c>
      <c r="CK249" s="1163"/>
      <c r="CL249" s="1164"/>
      <c r="CM249" s="1165">
        <f ca="1">$G249/3</f>
        <v>0</v>
      </c>
      <c r="CN249" s="1242">
        <f ca="1">$G249/3</f>
        <v>0</v>
      </c>
      <c r="CO249" s="1167">
        <f ca="1">$G249/3</f>
        <v>0</v>
      </c>
      <c r="CP249" s="1168">
        <f t="shared" ca="1" si="1306"/>
        <v>0</v>
      </c>
      <c r="CS249" s="575"/>
      <c r="CT249" s="5"/>
      <c r="CU249" s="1180"/>
      <c r="CV249" s="575"/>
      <c r="CW249" s="5"/>
      <c r="CX249" s="1180"/>
      <c r="CY249" s="575"/>
      <c r="CZ249" s="5"/>
      <c r="DA249" s="1180"/>
      <c r="DB249" s="575"/>
      <c r="DC249" s="5"/>
      <c r="DD249" s="1180"/>
      <c r="DE249" s="1181">
        <f>SUM(CS249:DD249)</f>
        <v>0</v>
      </c>
      <c r="DG249" s="575"/>
      <c r="DH249" s="5"/>
      <c r="DI249" s="1180"/>
      <c r="DJ249" s="575"/>
      <c r="DK249" s="5"/>
      <c r="DL249" s="1180"/>
      <c r="DM249" s="575"/>
      <c r="DN249" s="5"/>
      <c r="DO249" s="1180"/>
      <c r="DP249" s="575"/>
      <c r="DQ249" s="5"/>
      <c r="DR249" s="1180"/>
      <c r="DS249" s="1181">
        <f>SUM(DG249:DR249)</f>
        <v>0</v>
      </c>
      <c r="DU249" s="575"/>
      <c r="DV249" s="5"/>
      <c r="DW249" s="1180"/>
      <c r="DX249" s="575"/>
      <c r="DY249" s="5"/>
      <c r="DZ249" s="1180"/>
      <c r="EA249" s="575"/>
      <c r="EB249" s="5"/>
      <c r="EC249" s="1180"/>
      <c r="ED249" s="575"/>
      <c r="EE249" s="5"/>
      <c r="EF249" s="1180"/>
      <c r="EG249" s="1181">
        <f>SUM(DU249:EF249)</f>
        <v>0</v>
      </c>
      <c r="EI249" s="480"/>
      <c r="EJ249" s="3304" t="str">
        <f>B249</f>
        <v>GA #07 / Sponsor Funds</v>
      </c>
      <c r="EK249" s="483" t="s">
        <v>57</v>
      </c>
      <c r="EL249" s="86">
        <f t="shared" ref="EL249:EQ251" ca="1" si="1328">ROUND(D249,0)</f>
        <v>0</v>
      </c>
      <c r="EM249" s="86">
        <f t="shared" ca="1" si="1328"/>
        <v>0</v>
      </c>
      <c r="EN249" s="86">
        <f t="shared" ca="1" si="1328"/>
        <v>0</v>
      </c>
      <c r="EO249" s="86">
        <f t="shared" ca="1" si="1328"/>
        <v>0</v>
      </c>
      <c r="EP249" s="86">
        <f t="shared" ca="1" si="1328"/>
        <v>0</v>
      </c>
      <c r="EQ249" s="86">
        <f t="shared" ca="1" si="1328"/>
        <v>0</v>
      </c>
      <c r="ER249" s="87">
        <f t="shared" ca="1" si="1307"/>
        <v>0</v>
      </c>
      <c r="ES249" s="9"/>
      <c r="EU249" s="9"/>
      <c r="EV249" s="5">
        <f t="shared" ref="EV249:FA251" si="1329">ROUND(N249,0)</f>
        <v>0</v>
      </c>
      <c r="EW249" s="5">
        <f t="shared" si="1329"/>
        <v>0</v>
      </c>
      <c r="EX249" s="5">
        <f t="shared" si="1329"/>
        <v>0</v>
      </c>
      <c r="EY249" s="5">
        <f t="shared" si="1329"/>
        <v>0</v>
      </c>
      <c r="EZ249" s="5">
        <f t="shared" si="1329"/>
        <v>0</v>
      </c>
      <c r="FA249" s="5">
        <f t="shared" si="1329"/>
        <v>0</v>
      </c>
      <c r="FB249" s="167">
        <f>SUM(EV249:FA249)</f>
        <v>0</v>
      </c>
      <c r="FC249" s="1"/>
      <c r="FD249" s="5"/>
      <c r="FE249" s="5"/>
      <c r="FF249" s="5"/>
      <c r="FG249" s="5"/>
      <c r="FH249" s="5"/>
      <c r="FI249" s="5"/>
      <c r="FJ249" s="48">
        <f>SUM(FD249:FI249)</f>
        <v>0</v>
      </c>
      <c r="FL249" s="5"/>
      <c r="FM249" s="5"/>
      <c r="FN249" s="5"/>
      <c r="FO249" s="5"/>
      <c r="FP249" s="5"/>
      <c r="FQ249" s="5"/>
      <c r="FR249" s="209">
        <f>SUM(FL249:FQ249)</f>
        <v>0</v>
      </c>
      <c r="FT249" s="5"/>
      <c r="FU249" s="5"/>
      <c r="FV249" s="5"/>
      <c r="FW249" s="5"/>
      <c r="FX249" s="5"/>
      <c r="FY249" s="5"/>
      <c r="FZ249" s="181">
        <f>SUM(FT249:FY249)</f>
        <v>0</v>
      </c>
      <c r="GB249" s="5"/>
      <c r="GC249" s="5"/>
      <c r="GD249" s="5"/>
      <c r="GE249" s="5"/>
      <c r="GF249" s="5"/>
      <c r="GG249" s="5"/>
      <c r="GH249" s="153">
        <f>SUM(GB249:GG249)</f>
        <v>0</v>
      </c>
      <c r="GJ249" s="5"/>
      <c r="GK249" s="5"/>
      <c r="GL249" s="5"/>
      <c r="GM249" s="5"/>
      <c r="GN249" s="5"/>
      <c r="GO249" s="5"/>
      <c r="GP249" s="195">
        <f>SUM(GJ249:GO249)</f>
        <v>0</v>
      </c>
      <c r="GR249" s="5"/>
      <c r="GS249" s="5"/>
      <c r="GT249" s="5"/>
      <c r="GU249" s="5"/>
      <c r="GV249" s="5"/>
      <c r="GW249" s="5"/>
      <c r="GX249" s="1630">
        <f>SUM(GR249:GW249)</f>
        <v>0</v>
      </c>
      <c r="GZ249" s="575">
        <f t="shared" si="1296"/>
        <v>0</v>
      </c>
      <c r="HA249" s="575">
        <f t="shared" si="1297"/>
        <v>0</v>
      </c>
      <c r="HB249" s="575">
        <f t="shared" si="1298"/>
        <v>0</v>
      </c>
      <c r="HC249" s="575">
        <f t="shared" si="1299"/>
        <v>0</v>
      </c>
      <c r="HD249" s="575">
        <f t="shared" si="1300"/>
        <v>0</v>
      </c>
      <c r="HE249" s="575">
        <f t="shared" si="1301"/>
        <v>0</v>
      </c>
      <c r="HF249" s="991">
        <f t="shared" si="1302"/>
        <v>0</v>
      </c>
      <c r="HG249" s="573">
        <f t="shared" ca="1" si="1303"/>
        <v>0</v>
      </c>
      <c r="HH249" s="257"/>
    </row>
    <row r="250" spans="1:216" ht="15" hidden="1" customHeight="1" x14ac:dyDescent="0.25">
      <c r="A250" s="480"/>
      <c r="B250" s="3305"/>
      <c r="C250" s="78" t="s">
        <v>96</v>
      </c>
      <c r="D250" s="29">
        <f ca="1">'Calc - GRAD ASST'!$E$194</f>
        <v>0</v>
      </c>
      <c r="E250" s="29">
        <f ca="1">'Calc - GRAD ASST'!$E$196</f>
        <v>0</v>
      </c>
      <c r="F250" s="29">
        <f ca="1">'Calc - GRAD ASST'!$E$198</f>
        <v>0</v>
      </c>
      <c r="G250" s="29">
        <f ca="1">'Calc - GRAD ASST'!$E$200</f>
        <v>0</v>
      </c>
      <c r="H250" s="29">
        <f ca="1">'Calc - GRAD ASST'!$E$202</f>
        <v>0</v>
      </c>
      <c r="I250" s="29">
        <f ca="1">'Calc - GRAD ASST'!$E$204</f>
        <v>0</v>
      </c>
      <c r="J250" s="88">
        <f ca="1">SUM(D250:I250)</f>
        <v>0</v>
      </c>
      <c r="L250" s="9"/>
      <c r="M250" s="9"/>
      <c r="N250" s="29"/>
      <c r="O250" s="29"/>
      <c r="P250" s="29"/>
      <c r="Q250" s="29"/>
      <c r="R250" s="29"/>
      <c r="S250" s="29"/>
      <c r="T250" s="167">
        <f>SUM(N250:S250)</f>
        <v>0</v>
      </c>
      <c r="U250" s="1"/>
      <c r="V250" s="29"/>
      <c r="W250" s="29"/>
      <c r="X250" s="29"/>
      <c r="Y250" s="29"/>
      <c r="Z250" s="29"/>
      <c r="AA250" s="29"/>
      <c r="AB250" s="48">
        <f>SUM(V250:AA250)</f>
        <v>0</v>
      </c>
      <c r="AD250" s="29"/>
      <c r="AE250" s="29"/>
      <c r="AF250" s="29"/>
      <c r="AG250" s="29"/>
      <c r="AH250" s="29"/>
      <c r="AI250" s="29"/>
      <c r="AJ250" s="209">
        <f>SUM(AD250:AI250)</f>
        <v>0</v>
      </c>
      <c r="AL250" s="29"/>
      <c r="AM250" s="29"/>
      <c r="AN250" s="29"/>
      <c r="AO250" s="29"/>
      <c r="AP250" s="29"/>
      <c r="AQ250" s="29"/>
      <c r="AR250" s="181">
        <f>SUM(AL250:AQ250)</f>
        <v>0</v>
      </c>
      <c r="AT250" s="29"/>
      <c r="AU250" s="29"/>
      <c r="AV250" s="29"/>
      <c r="AW250" s="29"/>
      <c r="AX250" s="29"/>
      <c r="AY250" s="29"/>
      <c r="AZ250" s="153">
        <f>SUM(AT250:AY250)</f>
        <v>0</v>
      </c>
      <c r="BB250" s="29"/>
      <c r="BC250" s="29"/>
      <c r="BD250" s="29"/>
      <c r="BE250" s="29"/>
      <c r="BF250" s="29"/>
      <c r="BG250" s="29"/>
      <c r="BH250" s="195">
        <f>SUM(BB250:BG250)</f>
        <v>0</v>
      </c>
      <c r="BJ250" s="29"/>
      <c r="BK250" s="29"/>
      <c r="BL250" s="29"/>
      <c r="BM250" s="29"/>
      <c r="BN250" s="29"/>
      <c r="BO250" s="29"/>
      <c r="BP250" s="1630">
        <f>SUM(BJ250:BO250)</f>
        <v>0</v>
      </c>
      <c r="BR250" s="575">
        <f t="shared" si="1276"/>
        <v>0</v>
      </c>
      <c r="BS250" s="575">
        <f t="shared" si="1277"/>
        <v>0</v>
      </c>
      <c r="BT250" s="575">
        <f t="shared" si="1278"/>
        <v>0</v>
      </c>
      <c r="BU250" s="575">
        <f t="shared" si="1279"/>
        <v>0</v>
      </c>
      <c r="BV250" s="575">
        <f t="shared" si="1280"/>
        <v>0</v>
      </c>
      <c r="BW250" s="575">
        <f t="shared" si="1281"/>
        <v>0</v>
      </c>
      <c r="BX250" s="991">
        <f t="shared" si="1282"/>
        <v>0</v>
      </c>
      <c r="BY250" s="573">
        <f t="shared" ca="1" si="1283"/>
        <v>0</v>
      </c>
      <c r="BZ250" s="257"/>
      <c r="CB250" s="1350">
        <f ca="1">D250</f>
        <v>0</v>
      </c>
      <c r="CC250" s="1268"/>
      <c r="CD250" s="1269"/>
      <c r="CE250" s="1269"/>
      <c r="CF250" s="1269"/>
      <c r="CG250" s="1270">
        <f ca="1">E250</f>
        <v>0</v>
      </c>
      <c r="CH250" s="1271"/>
      <c r="CI250" s="1272"/>
      <c r="CJ250" s="1272"/>
      <c r="CK250" s="1272"/>
      <c r="CL250" s="1273">
        <f ca="1">F250</f>
        <v>0</v>
      </c>
      <c r="CM250" s="1274"/>
      <c r="CN250" s="1275"/>
      <c r="CO250" s="1276"/>
      <c r="CP250" s="1224">
        <f t="shared" ca="1" si="1306"/>
        <v>0</v>
      </c>
      <c r="CS250" s="575"/>
      <c r="CT250" s="5"/>
      <c r="CU250" s="1180"/>
      <c r="CV250" s="575"/>
      <c r="CW250" s="5"/>
      <c r="CX250" s="1180"/>
      <c r="CY250" s="575"/>
      <c r="CZ250" s="5"/>
      <c r="DA250" s="1180"/>
      <c r="DB250" s="575"/>
      <c r="DC250" s="5"/>
      <c r="DD250" s="1180"/>
      <c r="DE250" s="1181">
        <f>SUM(CS250:DD250)</f>
        <v>0</v>
      </c>
      <c r="DG250" s="575"/>
      <c r="DH250" s="5"/>
      <c r="DI250" s="1180"/>
      <c r="DJ250" s="575"/>
      <c r="DK250" s="5"/>
      <c r="DL250" s="1180"/>
      <c r="DM250" s="575"/>
      <c r="DN250" s="5"/>
      <c r="DO250" s="1180"/>
      <c r="DP250" s="575"/>
      <c r="DQ250" s="5"/>
      <c r="DR250" s="1180"/>
      <c r="DS250" s="1181">
        <f>SUM(DG250:DR250)</f>
        <v>0</v>
      </c>
      <c r="DU250" s="575"/>
      <c r="DV250" s="5"/>
      <c r="DW250" s="1180"/>
      <c r="DX250" s="575"/>
      <c r="DY250" s="5"/>
      <c r="DZ250" s="1180"/>
      <c r="EA250" s="575"/>
      <c r="EB250" s="5"/>
      <c r="EC250" s="1180"/>
      <c r="ED250" s="575"/>
      <c r="EE250" s="5"/>
      <c r="EF250" s="1180"/>
      <c r="EG250" s="1181">
        <f>SUM(DU250:EF250)</f>
        <v>0</v>
      </c>
      <c r="EI250" s="480"/>
      <c r="EJ250" s="3305"/>
      <c r="EK250" s="78" t="s">
        <v>96</v>
      </c>
      <c r="EL250" s="29">
        <f t="shared" ca="1" si="1328"/>
        <v>0</v>
      </c>
      <c r="EM250" s="29">
        <f t="shared" ca="1" si="1328"/>
        <v>0</v>
      </c>
      <c r="EN250" s="29">
        <f t="shared" ca="1" si="1328"/>
        <v>0</v>
      </c>
      <c r="EO250" s="29">
        <f t="shared" ca="1" si="1328"/>
        <v>0</v>
      </c>
      <c r="EP250" s="29">
        <f t="shared" ca="1" si="1328"/>
        <v>0</v>
      </c>
      <c r="EQ250" s="29">
        <f t="shared" ca="1" si="1328"/>
        <v>0</v>
      </c>
      <c r="ER250" s="88">
        <f t="shared" ca="1" si="1307"/>
        <v>0</v>
      </c>
      <c r="ET250" s="9"/>
      <c r="EU250" s="9"/>
      <c r="EV250" s="29">
        <f t="shared" si="1329"/>
        <v>0</v>
      </c>
      <c r="EW250" s="29">
        <f t="shared" si="1329"/>
        <v>0</v>
      </c>
      <c r="EX250" s="29">
        <f t="shared" si="1329"/>
        <v>0</v>
      </c>
      <c r="EY250" s="29">
        <f t="shared" si="1329"/>
        <v>0</v>
      </c>
      <c r="EZ250" s="29">
        <f t="shared" si="1329"/>
        <v>0</v>
      </c>
      <c r="FA250" s="29">
        <f t="shared" si="1329"/>
        <v>0</v>
      </c>
      <c r="FB250" s="167">
        <f>SUM(EV250:FA250)</f>
        <v>0</v>
      </c>
      <c r="FC250" s="1"/>
      <c r="FD250" s="29"/>
      <c r="FE250" s="29"/>
      <c r="FF250" s="29"/>
      <c r="FG250" s="29"/>
      <c r="FH250" s="29"/>
      <c r="FI250" s="29"/>
      <c r="FJ250" s="48">
        <f>SUM(FD250:FI250)</f>
        <v>0</v>
      </c>
      <c r="FL250" s="29"/>
      <c r="FM250" s="29"/>
      <c r="FN250" s="29"/>
      <c r="FO250" s="29"/>
      <c r="FP250" s="29"/>
      <c r="FQ250" s="29"/>
      <c r="FR250" s="209">
        <f>SUM(FL250:FQ250)</f>
        <v>0</v>
      </c>
      <c r="FT250" s="29"/>
      <c r="FU250" s="29"/>
      <c r="FV250" s="29"/>
      <c r="FW250" s="29"/>
      <c r="FX250" s="29"/>
      <c r="FY250" s="29"/>
      <c r="FZ250" s="181">
        <f>SUM(FT250:FY250)</f>
        <v>0</v>
      </c>
      <c r="GB250" s="29"/>
      <c r="GC250" s="29"/>
      <c r="GD250" s="29"/>
      <c r="GE250" s="29"/>
      <c r="GF250" s="29"/>
      <c r="GG250" s="29"/>
      <c r="GH250" s="153">
        <f>SUM(GB250:GG250)</f>
        <v>0</v>
      </c>
      <c r="GJ250" s="29"/>
      <c r="GK250" s="29"/>
      <c r="GL250" s="29"/>
      <c r="GM250" s="29"/>
      <c r="GN250" s="29"/>
      <c r="GO250" s="29"/>
      <c r="GP250" s="195">
        <f>SUM(GJ250:GO250)</f>
        <v>0</v>
      </c>
      <c r="GR250" s="29"/>
      <c r="GS250" s="29"/>
      <c r="GT250" s="29"/>
      <c r="GU250" s="29"/>
      <c r="GV250" s="29"/>
      <c r="GW250" s="29"/>
      <c r="GX250" s="1630">
        <f>SUM(GR250:GW250)</f>
        <v>0</v>
      </c>
      <c r="GZ250" s="575">
        <f t="shared" si="1296"/>
        <v>0</v>
      </c>
      <c r="HA250" s="575">
        <f t="shared" si="1297"/>
        <v>0</v>
      </c>
      <c r="HB250" s="575">
        <f t="shared" si="1298"/>
        <v>0</v>
      </c>
      <c r="HC250" s="575">
        <f t="shared" si="1299"/>
        <v>0</v>
      </c>
      <c r="HD250" s="575">
        <f t="shared" si="1300"/>
        <v>0</v>
      </c>
      <c r="HE250" s="575">
        <f t="shared" si="1301"/>
        <v>0</v>
      </c>
      <c r="HF250" s="991">
        <f t="shared" si="1302"/>
        <v>0</v>
      </c>
      <c r="HG250" s="573">
        <f t="shared" ca="1" si="1303"/>
        <v>0</v>
      </c>
      <c r="HH250" s="257"/>
    </row>
    <row r="251" spans="1:216" ht="15" hidden="1" customHeight="1" thickBot="1" x14ac:dyDescent="0.3">
      <c r="A251" s="480"/>
      <c r="B251" s="1851">
        <f>'Calc - GRAD ASST'!C181</f>
        <v>0</v>
      </c>
      <c r="C251" s="420" t="s">
        <v>130</v>
      </c>
      <c r="D251" s="42">
        <f ca="1">'Calc - GRAD ASST'!$M$194</f>
        <v>0</v>
      </c>
      <c r="E251" s="42">
        <f ca="1">'Calc - GRAD ASST'!$M$196</f>
        <v>0</v>
      </c>
      <c r="F251" s="42">
        <f ca="1">'Calc - GRAD ASST'!$M$198</f>
        <v>0</v>
      </c>
      <c r="G251" s="42">
        <f ca="1">'Calc - GRAD ASST'!$M$200</f>
        <v>0</v>
      </c>
      <c r="H251" s="42">
        <f ca="1">'Calc - GRAD ASST'!$M$202</f>
        <v>0</v>
      </c>
      <c r="I251" s="42">
        <f ca="1">'Calc - GRAD ASST'!$M$204</f>
        <v>0</v>
      </c>
      <c r="J251" s="90">
        <f ca="1">SUM(D251:I251)</f>
        <v>0</v>
      </c>
      <c r="K251" s="9"/>
      <c r="L251" s="9"/>
      <c r="M251" s="9"/>
      <c r="N251" s="5"/>
      <c r="O251" s="5"/>
      <c r="P251" s="5"/>
      <c r="Q251" s="5"/>
      <c r="R251" s="5"/>
      <c r="S251" s="5"/>
      <c r="T251" s="167">
        <f>SUM(N251:S251)</f>
        <v>0</v>
      </c>
      <c r="U251" s="1"/>
      <c r="V251" s="5"/>
      <c r="W251" s="5"/>
      <c r="X251" s="5"/>
      <c r="Y251" s="5"/>
      <c r="Z251" s="5"/>
      <c r="AA251" s="5"/>
      <c r="AB251" s="48">
        <f>SUM(V251:AA251)</f>
        <v>0</v>
      </c>
      <c r="AD251" s="5"/>
      <c r="AE251" s="5"/>
      <c r="AF251" s="5"/>
      <c r="AG251" s="5"/>
      <c r="AH251" s="5"/>
      <c r="AI251" s="5"/>
      <c r="AJ251" s="209">
        <f>SUM(AD251:AI251)</f>
        <v>0</v>
      </c>
      <c r="AL251" s="5"/>
      <c r="AM251" s="5"/>
      <c r="AN251" s="5"/>
      <c r="AO251" s="5"/>
      <c r="AP251" s="5"/>
      <c r="AQ251" s="5"/>
      <c r="AR251" s="181">
        <f>SUM(AL251:AQ251)</f>
        <v>0</v>
      </c>
      <c r="AT251" s="5"/>
      <c r="AU251" s="5"/>
      <c r="AV251" s="5"/>
      <c r="AW251" s="5"/>
      <c r="AX251" s="5"/>
      <c r="AY251" s="5"/>
      <c r="AZ251" s="153">
        <f>SUM(AT251:AY251)</f>
        <v>0</v>
      </c>
      <c r="BB251" s="5"/>
      <c r="BC251" s="5"/>
      <c r="BD251" s="5"/>
      <c r="BE251" s="5"/>
      <c r="BF251" s="5"/>
      <c r="BG251" s="5"/>
      <c r="BH251" s="195">
        <f>SUM(BB251:BG251)</f>
        <v>0</v>
      </c>
      <c r="BJ251" s="5"/>
      <c r="BK251" s="5"/>
      <c r="BL251" s="5"/>
      <c r="BM251" s="5"/>
      <c r="BN251" s="5"/>
      <c r="BO251" s="5"/>
      <c r="BP251" s="1630">
        <f>SUM(BJ251:BO251)</f>
        <v>0</v>
      </c>
      <c r="BR251" s="575">
        <f t="shared" si="1276"/>
        <v>0</v>
      </c>
      <c r="BS251" s="575">
        <f t="shared" si="1277"/>
        <v>0</v>
      </c>
      <c r="BT251" s="575">
        <f t="shared" si="1278"/>
        <v>0</v>
      </c>
      <c r="BU251" s="575">
        <f t="shared" si="1279"/>
        <v>0</v>
      </c>
      <c r="BV251" s="575">
        <f t="shared" si="1280"/>
        <v>0</v>
      </c>
      <c r="BW251" s="575">
        <f t="shared" si="1281"/>
        <v>0</v>
      </c>
      <c r="BX251" s="991">
        <f t="shared" si="1282"/>
        <v>0</v>
      </c>
      <c r="BY251" s="573">
        <f t="shared" ca="1" si="1283"/>
        <v>0</v>
      </c>
      <c r="BZ251" s="257"/>
      <c r="CB251" s="1330">
        <f ca="1">D251</f>
        <v>0</v>
      </c>
      <c r="CC251" s="1201">
        <f ca="1">($E251-$CG251)/3</f>
        <v>0</v>
      </c>
      <c r="CD251" s="1202">
        <f ca="1">($E251-$CG251)/3</f>
        <v>0</v>
      </c>
      <c r="CE251" s="1202">
        <f ca="1">($E251-$CG251)/3</f>
        <v>0</v>
      </c>
      <c r="CF251" s="1202"/>
      <c r="CG251" s="1203">
        <f ca="1">OFFSET('Calc - GRAD ASST'!$K$20,6*29+2,0)</f>
        <v>0</v>
      </c>
      <c r="CH251" s="1251">
        <f ca="1">($F251-$CL251)/3</f>
        <v>0</v>
      </c>
      <c r="CI251" s="1205">
        <f ca="1">($F251-$CL251)/3</f>
        <v>0</v>
      </c>
      <c r="CJ251" s="1205">
        <f ca="1">($F251-$CL251)/3</f>
        <v>0</v>
      </c>
      <c r="CK251" s="1205"/>
      <c r="CL251" s="1206">
        <f ca="1">OFFSET('Calc - GRAD ASST'!$K$20,6*29+4,0)</f>
        <v>0</v>
      </c>
      <c r="CM251" s="1207">
        <f ca="1">$G251/3</f>
        <v>0</v>
      </c>
      <c r="CN251" s="1252">
        <f ca="1">$G251/3</f>
        <v>0</v>
      </c>
      <c r="CO251" s="1209">
        <f ca="1">$G251/3</f>
        <v>0</v>
      </c>
      <c r="CP251" s="1316">
        <f t="shared" ca="1" si="1306"/>
        <v>0</v>
      </c>
      <c r="CS251" s="575"/>
      <c r="CT251" s="5"/>
      <c r="CU251" s="1180"/>
      <c r="CV251" s="575"/>
      <c r="CW251" s="5"/>
      <c r="CX251" s="1180"/>
      <c r="CY251" s="575"/>
      <c r="CZ251" s="5"/>
      <c r="DA251" s="1180"/>
      <c r="DB251" s="575"/>
      <c r="DC251" s="5"/>
      <c r="DD251" s="1180"/>
      <c r="DE251" s="1181">
        <f>SUM(CS251:DD251)</f>
        <v>0</v>
      </c>
      <c r="DG251" s="575"/>
      <c r="DH251" s="5"/>
      <c r="DI251" s="1180"/>
      <c r="DJ251" s="575"/>
      <c r="DK251" s="5"/>
      <c r="DL251" s="1180"/>
      <c r="DM251" s="575"/>
      <c r="DN251" s="5"/>
      <c r="DO251" s="1180"/>
      <c r="DP251" s="575"/>
      <c r="DQ251" s="5"/>
      <c r="DR251" s="1180"/>
      <c r="DS251" s="1181">
        <f>SUM(DG251:DR251)</f>
        <v>0</v>
      </c>
      <c r="DU251" s="575"/>
      <c r="DV251" s="5"/>
      <c r="DW251" s="1180"/>
      <c r="DX251" s="575"/>
      <c r="DY251" s="5"/>
      <c r="DZ251" s="1180"/>
      <c r="EA251" s="575"/>
      <c r="EB251" s="5"/>
      <c r="EC251" s="1180"/>
      <c r="ED251" s="575"/>
      <c r="EE251" s="5"/>
      <c r="EF251" s="1180"/>
      <c r="EG251" s="1181">
        <f>SUM(DU251:EF251)</f>
        <v>0</v>
      </c>
      <c r="EI251" s="480"/>
      <c r="EJ251" s="1851">
        <f>B251</f>
        <v>0</v>
      </c>
      <c r="EK251" s="420" t="s">
        <v>130</v>
      </c>
      <c r="EL251" s="42">
        <f t="shared" ca="1" si="1328"/>
        <v>0</v>
      </c>
      <c r="EM251" s="42">
        <f t="shared" ca="1" si="1328"/>
        <v>0</v>
      </c>
      <c r="EN251" s="42">
        <f t="shared" ca="1" si="1328"/>
        <v>0</v>
      </c>
      <c r="EO251" s="42">
        <f t="shared" ca="1" si="1328"/>
        <v>0</v>
      </c>
      <c r="EP251" s="42">
        <f t="shared" ca="1" si="1328"/>
        <v>0</v>
      </c>
      <c r="EQ251" s="42">
        <f t="shared" ca="1" si="1328"/>
        <v>0</v>
      </c>
      <c r="ER251" s="90">
        <f t="shared" ca="1" si="1307"/>
        <v>0</v>
      </c>
      <c r="ES251" s="9"/>
      <c r="ET251" s="9"/>
      <c r="EU251" s="9"/>
      <c r="EV251" s="5">
        <f t="shared" si="1329"/>
        <v>0</v>
      </c>
      <c r="EW251" s="5">
        <f t="shared" si="1329"/>
        <v>0</v>
      </c>
      <c r="EX251" s="5">
        <f t="shared" si="1329"/>
        <v>0</v>
      </c>
      <c r="EY251" s="5">
        <f t="shared" si="1329"/>
        <v>0</v>
      </c>
      <c r="EZ251" s="5">
        <f t="shared" si="1329"/>
        <v>0</v>
      </c>
      <c r="FA251" s="5">
        <f t="shared" si="1329"/>
        <v>0</v>
      </c>
      <c r="FB251" s="167">
        <f>SUM(EV251:FA251)</f>
        <v>0</v>
      </c>
      <c r="FC251" s="1"/>
      <c r="FD251" s="5"/>
      <c r="FE251" s="5"/>
      <c r="FF251" s="5"/>
      <c r="FG251" s="5"/>
      <c r="FH251" s="5"/>
      <c r="FI251" s="5"/>
      <c r="FJ251" s="48">
        <f>SUM(FD251:FI251)</f>
        <v>0</v>
      </c>
      <c r="FL251" s="5"/>
      <c r="FM251" s="5"/>
      <c r="FN251" s="5"/>
      <c r="FO251" s="5"/>
      <c r="FP251" s="5"/>
      <c r="FQ251" s="5"/>
      <c r="FR251" s="209">
        <f>SUM(FL251:FQ251)</f>
        <v>0</v>
      </c>
      <c r="FT251" s="5"/>
      <c r="FU251" s="5"/>
      <c r="FV251" s="5"/>
      <c r="FW251" s="5"/>
      <c r="FX251" s="5"/>
      <c r="FY251" s="5"/>
      <c r="FZ251" s="181">
        <f>SUM(FT251:FY251)</f>
        <v>0</v>
      </c>
      <c r="GB251" s="5"/>
      <c r="GC251" s="5"/>
      <c r="GD251" s="5"/>
      <c r="GE251" s="5"/>
      <c r="GF251" s="5"/>
      <c r="GG251" s="5"/>
      <c r="GH251" s="153">
        <f>SUM(GB251:GG251)</f>
        <v>0</v>
      </c>
      <c r="GJ251" s="5"/>
      <c r="GK251" s="5"/>
      <c r="GL251" s="5"/>
      <c r="GM251" s="5"/>
      <c r="GN251" s="5"/>
      <c r="GO251" s="5"/>
      <c r="GP251" s="195">
        <f>SUM(GJ251:GO251)</f>
        <v>0</v>
      </c>
      <c r="GR251" s="5"/>
      <c r="GS251" s="5"/>
      <c r="GT251" s="5"/>
      <c r="GU251" s="5"/>
      <c r="GV251" s="5"/>
      <c r="GW251" s="5"/>
      <c r="GX251" s="1630">
        <f>SUM(GR251:GW251)</f>
        <v>0</v>
      </c>
      <c r="GZ251" s="575">
        <f t="shared" si="1296"/>
        <v>0</v>
      </c>
      <c r="HA251" s="575">
        <f t="shared" si="1297"/>
        <v>0</v>
      </c>
      <c r="HB251" s="575">
        <f t="shared" si="1298"/>
        <v>0</v>
      </c>
      <c r="HC251" s="575">
        <f t="shared" si="1299"/>
        <v>0</v>
      </c>
      <c r="HD251" s="575">
        <f t="shared" si="1300"/>
        <v>0</v>
      </c>
      <c r="HE251" s="575">
        <f t="shared" si="1301"/>
        <v>0</v>
      </c>
      <c r="HF251" s="991">
        <f t="shared" si="1302"/>
        <v>0</v>
      </c>
      <c r="HG251" s="573">
        <f t="shared" ca="1" si="1303"/>
        <v>0</v>
      </c>
      <c r="HH251" s="257"/>
    </row>
    <row r="252" spans="1:216" ht="15" hidden="1" customHeight="1" thickBot="1" x14ac:dyDescent="0.3">
      <c r="A252" s="480"/>
      <c r="B252" s="1852"/>
      <c r="C252" s="328" t="s">
        <v>500</v>
      </c>
      <c r="D252" s="1037">
        <f t="shared" ref="D252:J252" ca="1" si="1330">SUM(D249:D251)</f>
        <v>0</v>
      </c>
      <c r="E252" s="1037">
        <f t="shared" ca="1" si="1330"/>
        <v>0</v>
      </c>
      <c r="F252" s="1037">
        <f t="shared" ca="1" si="1330"/>
        <v>0</v>
      </c>
      <c r="G252" s="1037">
        <f t="shared" ca="1" si="1330"/>
        <v>0</v>
      </c>
      <c r="H252" s="1037">
        <f t="shared" ca="1" si="1330"/>
        <v>0</v>
      </c>
      <c r="I252" s="1037">
        <f t="shared" ca="1" si="1330"/>
        <v>0</v>
      </c>
      <c r="J252" s="1609">
        <f t="shared" ca="1" si="1330"/>
        <v>0</v>
      </c>
      <c r="K252" s="13">
        <f ca="1">SUM(D252:I252)</f>
        <v>0</v>
      </c>
      <c r="L252" s="13"/>
      <c r="M252" s="9"/>
      <c r="N252" s="1629">
        <f t="shared" ref="N252:T252" si="1331">SUM(N249:N251)</f>
        <v>0</v>
      </c>
      <c r="O252" s="1629">
        <f t="shared" si="1331"/>
        <v>0</v>
      </c>
      <c r="P252" s="1629">
        <f t="shared" si="1331"/>
        <v>0</v>
      </c>
      <c r="Q252" s="1629">
        <f t="shared" si="1331"/>
        <v>0</v>
      </c>
      <c r="R252" s="1629">
        <f t="shared" si="1331"/>
        <v>0</v>
      </c>
      <c r="S252" s="1629">
        <f t="shared" si="1331"/>
        <v>0</v>
      </c>
      <c r="T252" s="1628">
        <f t="shared" si="1331"/>
        <v>0</v>
      </c>
      <c r="U252" s="1"/>
      <c r="V252" s="1629">
        <f t="shared" ref="V252:AB252" si="1332">SUM(V249:V251)</f>
        <v>0</v>
      </c>
      <c r="W252" s="1629">
        <f t="shared" si="1332"/>
        <v>0</v>
      </c>
      <c r="X252" s="1629">
        <f t="shared" si="1332"/>
        <v>0</v>
      </c>
      <c r="Y252" s="1629">
        <f t="shared" si="1332"/>
        <v>0</v>
      </c>
      <c r="Z252" s="1629">
        <f t="shared" si="1332"/>
        <v>0</v>
      </c>
      <c r="AA252" s="1629">
        <f t="shared" si="1332"/>
        <v>0</v>
      </c>
      <c r="AB252" s="1628">
        <f t="shared" si="1332"/>
        <v>0</v>
      </c>
      <c r="AD252" s="1629">
        <f t="shared" ref="AD252:AJ252" si="1333">SUM(AD249:AD251)</f>
        <v>0</v>
      </c>
      <c r="AE252" s="1629">
        <f t="shared" si="1333"/>
        <v>0</v>
      </c>
      <c r="AF252" s="1629">
        <f t="shared" si="1333"/>
        <v>0</v>
      </c>
      <c r="AG252" s="1629">
        <f t="shared" si="1333"/>
        <v>0</v>
      </c>
      <c r="AH252" s="1629">
        <f t="shared" si="1333"/>
        <v>0</v>
      </c>
      <c r="AI252" s="1629">
        <f t="shared" si="1333"/>
        <v>0</v>
      </c>
      <c r="AJ252" s="1628">
        <f t="shared" si="1333"/>
        <v>0</v>
      </c>
      <c r="AL252" s="7">
        <f t="shared" ref="AL252:AR252" si="1334">SUM(AL249:AL251)</f>
        <v>0</v>
      </c>
      <c r="AM252" s="7">
        <f t="shared" si="1334"/>
        <v>0</v>
      </c>
      <c r="AN252" s="7">
        <f t="shared" si="1334"/>
        <v>0</v>
      </c>
      <c r="AO252" s="7">
        <f t="shared" si="1334"/>
        <v>0</v>
      </c>
      <c r="AP252" s="7">
        <f t="shared" si="1334"/>
        <v>0</v>
      </c>
      <c r="AQ252" s="7">
        <f t="shared" si="1334"/>
        <v>0</v>
      </c>
      <c r="AR252" s="12">
        <f t="shared" si="1334"/>
        <v>0</v>
      </c>
      <c r="AT252" s="7">
        <f t="shared" ref="AT252:AZ252" si="1335">SUM(AT249:AT251)</f>
        <v>0</v>
      </c>
      <c r="AU252" s="7">
        <f t="shared" si="1335"/>
        <v>0</v>
      </c>
      <c r="AV252" s="7">
        <f t="shared" si="1335"/>
        <v>0</v>
      </c>
      <c r="AW252" s="7">
        <f t="shared" si="1335"/>
        <v>0</v>
      </c>
      <c r="AX252" s="7">
        <f t="shared" si="1335"/>
        <v>0</v>
      </c>
      <c r="AY252" s="7">
        <f t="shared" si="1335"/>
        <v>0</v>
      </c>
      <c r="AZ252" s="12">
        <f t="shared" si="1335"/>
        <v>0</v>
      </c>
      <c r="BB252" s="7">
        <f t="shared" ref="BB252:BH252" si="1336">SUM(BB249:BB251)</f>
        <v>0</v>
      </c>
      <c r="BC252" s="7">
        <f t="shared" si="1336"/>
        <v>0</v>
      </c>
      <c r="BD252" s="7">
        <f t="shared" si="1336"/>
        <v>0</v>
      </c>
      <c r="BE252" s="7">
        <f t="shared" si="1336"/>
        <v>0</v>
      </c>
      <c r="BF252" s="7">
        <f t="shared" si="1336"/>
        <v>0</v>
      </c>
      <c r="BG252" s="7">
        <f t="shared" si="1336"/>
        <v>0</v>
      </c>
      <c r="BH252" s="12">
        <f t="shared" si="1336"/>
        <v>0</v>
      </c>
      <c r="BJ252" s="7">
        <f t="shared" ref="BJ252:BP252" si="1337">SUM(BJ249:BJ251)</f>
        <v>0</v>
      </c>
      <c r="BK252" s="7">
        <f t="shared" si="1337"/>
        <v>0</v>
      </c>
      <c r="BL252" s="7">
        <f t="shared" si="1337"/>
        <v>0</v>
      </c>
      <c r="BM252" s="7">
        <f t="shared" si="1337"/>
        <v>0</v>
      </c>
      <c r="BN252" s="7">
        <f t="shared" si="1337"/>
        <v>0</v>
      </c>
      <c r="BO252" s="7">
        <f t="shared" si="1337"/>
        <v>0</v>
      </c>
      <c r="BP252" s="12">
        <f t="shared" si="1337"/>
        <v>0</v>
      </c>
      <c r="BR252" s="589">
        <f t="shared" si="1276"/>
        <v>0</v>
      </c>
      <c r="BS252" s="589">
        <f t="shared" si="1277"/>
        <v>0</v>
      </c>
      <c r="BT252" s="589">
        <f t="shared" si="1278"/>
        <v>0</v>
      </c>
      <c r="BU252" s="589">
        <f t="shared" si="1279"/>
        <v>0</v>
      </c>
      <c r="BV252" s="589">
        <f t="shared" si="1280"/>
        <v>0</v>
      </c>
      <c r="BW252" s="589">
        <f t="shared" si="1281"/>
        <v>0</v>
      </c>
      <c r="BX252" s="589">
        <f t="shared" si="1282"/>
        <v>0</v>
      </c>
      <c r="BY252" s="590">
        <f t="shared" ca="1" si="1283"/>
        <v>0</v>
      </c>
      <c r="BZ252" s="257"/>
      <c r="CB252" s="1633">
        <f t="shared" ref="CB252:CO252" ca="1" si="1338">SUM(CB249:CB251)</f>
        <v>0</v>
      </c>
      <c r="CC252" s="1634">
        <f t="shared" ca="1" si="1338"/>
        <v>0</v>
      </c>
      <c r="CD252" s="1635">
        <f t="shared" ca="1" si="1338"/>
        <v>0</v>
      </c>
      <c r="CE252" s="1635">
        <f t="shared" ca="1" si="1338"/>
        <v>0</v>
      </c>
      <c r="CF252" s="1635">
        <f t="shared" si="1338"/>
        <v>0</v>
      </c>
      <c r="CG252" s="1636">
        <f t="shared" ca="1" si="1338"/>
        <v>0</v>
      </c>
      <c r="CH252" s="1634">
        <f t="shared" ca="1" si="1338"/>
        <v>0</v>
      </c>
      <c r="CI252" s="1635">
        <f t="shared" ca="1" si="1338"/>
        <v>0</v>
      </c>
      <c r="CJ252" s="1635">
        <f t="shared" ca="1" si="1338"/>
        <v>0</v>
      </c>
      <c r="CK252" s="1635">
        <f t="shared" si="1338"/>
        <v>0</v>
      </c>
      <c r="CL252" s="1637">
        <f t="shared" ca="1" si="1338"/>
        <v>0</v>
      </c>
      <c r="CM252" s="1634">
        <f t="shared" ca="1" si="1338"/>
        <v>0</v>
      </c>
      <c r="CN252" s="1635">
        <f t="shared" ca="1" si="1338"/>
        <v>0</v>
      </c>
      <c r="CO252" s="1636">
        <f t="shared" ca="1" si="1338"/>
        <v>0</v>
      </c>
      <c r="CP252" s="1351">
        <f t="shared" ca="1" si="1306"/>
        <v>0</v>
      </c>
      <c r="CS252" s="1231">
        <f t="shared" ref="CS252:DE252" si="1339">SUM(CS249:CS251)</f>
        <v>0</v>
      </c>
      <c r="CT252" s="7">
        <f t="shared" si="1339"/>
        <v>0</v>
      </c>
      <c r="CU252" s="573">
        <f t="shared" si="1339"/>
        <v>0</v>
      </c>
      <c r="CV252" s="1231">
        <f t="shared" si="1339"/>
        <v>0</v>
      </c>
      <c r="CW252" s="7">
        <f t="shared" si="1339"/>
        <v>0</v>
      </c>
      <c r="CX252" s="573">
        <f t="shared" si="1339"/>
        <v>0</v>
      </c>
      <c r="CY252" s="1231">
        <f t="shared" si="1339"/>
        <v>0</v>
      </c>
      <c r="CZ252" s="7">
        <f t="shared" si="1339"/>
        <v>0</v>
      </c>
      <c r="DA252" s="573">
        <f t="shared" si="1339"/>
        <v>0</v>
      </c>
      <c r="DB252" s="1231">
        <f t="shared" si="1339"/>
        <v>0</v>
      </c>
      <c r="DC252" s="7">
        <f t="shared" si="1339"/>
        <v>0</v>
      </c>
      <c r="DD252" s="573">
        <f t="shared" si="1339"/>
        <v>0</v>
      </c>
      <c r="DE252" s="1181">
        <f t="shared" si="1339"/>
        <v>0</v>
      </c>
      <c r="DG252" s="1231">
        <f t="shared" ref="DG252:DS252" si="1340">SUM(DG249:DG251)</f>
        <v>0</v>
      </c>
      <c r="DH252" s="7">
        <f t="shared" si="1340"/>
        <v>0</v>
      </c>
      <c r="DI252" s="573">
        <f t="shared" si="1340"/>
        <v>0</v>
      </c>
      <c r="DJ252" s="1231">
        <f t="shared" si="1340"/>
        <v>0</v>
      </c>
      <c r="DK252" s="7">
        <f t="shared" si="1340"/>
        <v>0</v>
      </c>
      <c r="DL252" s="573">
        <f t="shared" si="1340"/>
        <v>0</v>
      </c>
      <c r="DM252" s="1231">
        <f t="shared" si="1340"/>
        <v>0</v>
      </c>
      <c r="DN252" s="7">
        <f t="shared" si="1340"/>
        <v>0</v>
      </c>
      <c r="DO252" s="573">
        <f t="shared" si="1340"/>
        <v>0</v>
      </c>
      <c r="DP252" s="1231">
        <f t="shared" si="1340"/>
        <v>0</v>
      </c>
      <c r="DQ252" s="7">
        <f t="shared" si="1340"/>
        <v>0</v>
      </c>
      <c r="DR252" s="573">
        <f t="shared" si="1340"/>
        <v>0</v>
      </c>
      <c r="DS252" s="1181">
        <f t="shared" si="1340"/>
        <v>0</v>
      </c>
      <c r="DU252" s="1231">
        <f t="shared" ref="DU252:EG252" si="1341">SUM(DU249:DU251)</f>
        <v>0</v>
      </c>
      <c r="DV252" s="7">
        <f t="shared" si="1341"/>
        <v>0</v>
      </c>
      <c r="DW252" s="573">
        <f t="shared" si="1341"/>
        <v>0</v>
      </c>
      <c r="DX252" s="1231">
        <f t="shared" si="1341"/>
        <v>0</v>
      </c>
      <c r="DY252" s="7">
        <f t="shared" si="1341"/>
        <v>0</v>
      </c>
      <c r="DZ252" s="573">
        <f t="shared" si="1341"/>
        <v>0</v>
      </c>
      <c r="EA252" s="1231">
        <f t="shared" si="1341"/>
        <v>0</v>
      </c>
      <c r="EB252" s="7">
        <f t="shared" si="1341"/>
        <v>0</v>
      </c>
      <c r="EC252" s="573">
        <f t="shared" si="1341"/>
        <v>0</v>
      </c>
      <c r="ED252" s="1231">
        <f t="shared" si="1341"/>
        <v>0</v>
      </c>
      <c r="EE252" s="7">
        <f t="shared" si="1341"/>
        <v>0</v>
      </c>
      <c r="EF252" s="573">
        <f t="shared" si="1341"/>
        <v>0</v>
      </c>
      <c r="EG252" s="1181">
        <f t="shared" si="1341"/>
        <v>0</v>
      </c>
      <c r="EI252" s="480"/>
      <c r="EJ252" s="1852"/>
      <c r="EK252" s="328" t="s">
        <v>500</v>
      </c>
      <c r="EL252" s="1037">
        <f t="shared" ref="EL252:EQ252" ca="1" si="1342">SUM(EL249:EL251)</f>
        <v>0</v>
      </c>
      <c r="EM252" s="1037">
        <f t="shared" ca="1" si="1342"/>
        <v>0</v>
      </c>
      <c r="EN252" s="1037">
        <f t="shared" ca="1" si="1342"/>
        <v>0</v>
      </c>
      <c r="EO252" s="1037">
        <f t="shared" ca="1" si="1342"/>
        <v>0</v>
      </c>
      <c r="EP252" s="1037">
        <f t="shared" ca="1" si="1342"/>
        <v>0</v>
      </c>
      <c r="EQ252" s="1037">
        <f t="shared" ca="1" si="1342"/>
        <v>0</v>
      </c>
      <c r="ER252" s="1609">
        <f t="shared" ca="1" si="1307"/>
        <v>0</v>
      </c>
      <c r="ES252" s="13">
        <f ca="1">SUM(ER249:ER251)</f>
        <v>0</v>
      </c>
      <c r="ET252" s="13"/>
      <c r="EU252" s="9"/>
      <c r="EV252" s="1629">
        <f t="shared" ref="EV252:FB252" si="1343">SUM(EV249:EV251)</f>
        <v>0</v>
      </c>
      <c r="EW252" s="1629">
        <f t="shared" si="1343"/>
        <v>0</v>
      </c>
      <c r="EX252" s="1629">
        <f t="shared" si="1343"/>
        <v>0</v>
      </c>
      <c r="EY252" s="1629">
        <f t="shared" si="1343"/>
        <v>0</v>
      </c>
      <c r="EZ252" s="1629">
        <f t="shared" si="1343"/>
        <v>0</v>
      </c>
      <c r="FA252" s="1629">
        <f t="shared" si="1343"/>
        <v>0</v>
      </c>
      <c r="FB252" s="1628">
        <f t="shared" si="1343"/>
        <v>0</v>
      </c>
      <c r="FC252" s="1"/>
      <c r="FD252" s="1629">
        <f t="shared" ref="FD252:FJ252" si="1344">SUM(FD249:FD251)</f>
        <v>0</v>
      </c>
      <c r="FE252" s="1629">
        <f t="shared" si="1344"/>
        <v>0</v>
      </c>
      <c r="FF252" s="1629">
        <f t="shared" si="1344"/>
        <v>0</v>
      </c>
      <c r="FG252" s="1629">
        <f t="shared" si="1344"/>
        <v>0</v>
      </c>
      <c r="FH252" s="1629">
        <f t="shared" si="1344"/>
        <v>0</v>
      </c>
      <c r="FI252" s="1629">
        <f t="shared" si="1344"/>
        <v>0</v>
      </c>
      <c r="FJ252" s="1628">
        <f t="shared" si="1344"/>
        <v>0</v>
      </c>
      <c r="FL252" s="1629">
        <f t="shared" ref="FL252:FR252" si="1345">SUM(FL249:FL251)</f>
        <v>0</v>
      </c>
      <c r="FM252" s="1629">
        <f t="shared" si="1345"/>
        <v>0</v>
      </c>
      <c r="FN252" s="1629">
        <f t="shared" si="1345"/>
        <v>0</v>
      </c>
      <c r="FO252" s="1629">
        <f t="shared" si="1345"/>
        <v>0</v>
      </c>
      <c r="FP252" s="1629">
        <f t="shared" si="1345"/>
        <v>0</v>
      </c>
      <c r="FQ252" s="1629">
        <f t="shared" si="1345"/>
        <v>0</v>
      </c>
      <c r="FR252" s="1628">
        <f t="shared" si="1345"/>
        <v>0</v>
      </c>
      <c r="FT252" s="7">
        <f t="shared" ref="FT252:FZ252" si="1346">SUM(FT249:FT251)</f>
        <v>0</v>
      </c>
      <c r="FU252" s="7">
        <f t="shared" si="1346"/>
        <v>0</v>
      </c>
      <c r="FV252" s="7">
        <f t="shared" si="1346"/>
        <v>0</v>
      </c>
      <c r="FW252" s="7">
        <f t="shared" si="1346"/>
        <v>0</v>
      </c>
      <c r="FX252" s="7">
        <f t="shared" si="1346"/>
        <v>0</v>
      </c>
      <c r="FY252" s="7">
        <f t="shared" si="1346"/>
        <v>0</v>
      </c>
      <c r="FZ252" s="12">
        <f t="shared" si="1346"/>
        <v>0</v>
      </c>
      <c r="GB252" s="7">
        <f t="shared" ref="GB252:GH252" si="1347">SUM(GB249:GB251)</f>
        <v>0</v>
      </c>
      <c r="GC252" s="7">
        <f t="shared" si="1347"/>
        <v>0</v>
      </c>
      <c r="GD252" s="7">
        <f t="shared" si="1347"/>
        <v>0</v>
      </c>
      <c r="GE252" s="7">
        <f t="shared" si="1347"/>
        <v>0</v>
      </c>
      <c r="GF252" s="7">
        <f t="shared" si="1347"/>
        <v>0</v>
      </c>
      <c r="GG252" s="7">
        <f t="shared" si="1347"/>
        <v>0</v>
      </c>
      <c r="GH252" s="12">
        <f t="shared" si="1347"/>
        <v>0</v>
      </c>
      <c r="GJ252" s="7">
        <f t="shared" ref="GJ252:GP252" si="1348">SUM(GJ249:GJ251)</f>
        <v>0</v>
      </c>
      <c r="GK252" s="7">
        <f t="shared" si="1348"/>
        <v>0</v>
      </c>
      <c r="GL252" s="7">
        <f t="shared" si="1348"/>
        <v>0</v>
      </c>
      <c r="GM252" s="7">
        <f t="shared" si="1348"/>
        <v>0</v>
      </c>
      <c r="GN252" s="7">
        <f t="shared" si="1348"/>
        <v>0</v>
      </c>
      <c r="GO252" s="7">
        <f t="shared" si="1348"/>
        <v>0</v>
      </c>
      <c r="GP252" s="12">
        <f t="shared" si="1348"/>
        <v>0</v>
      </c>
      <c r="GR252" s="7">
        <f t="shared" ref="GR252:GX252" si="1349">SUM(GR249:GR251)</f>
        <v>0</v>
      </c>
      <c r="GS252" s="7">
        <f t="shared" si="1349"/>
        <v>0</v>
      </c>
      <c r="GT252" s="7">
        <f t="shared" si="1349"/>
        <v>0</v>
      </c>
      <c r="GU252" s="7">
        <f t="shared" si="1349"/>
        <v>0</v>
      </c>
      <c r="GV252" s="7">
        <f t="shared" si="1349"/>
        <v>0</v>
      </c>
      <c r="GW252" s="7">
        <f t="shared" si="1349"/>
        <v>0</v>
      </c>
      <c r="GX252" s="12">
        <f t="shared" si="1349"/>
        <v>0</v>
      </c>
      <c r="GZ252" s="589">
        <f t="shared" si="1296"/>
        <v>0</v>
      </c>
      <c r="HA252" s="589">
        <f t="shared" si="1297"/>
        <v>0</v>
      </c>
      <c r="HB252" s="589">
        <f t="shared" si="1298"/>
        <v>0</v>
      </c>
      <c r="HC252" s="589">
        <f t="shared" si="1299"/>
        <v>0</v>
      </c>
      <c r="HD252" s="589">
        <f t="shared" si="1300"/>
        <v>0</v>
      </c>
      <c r="HE252" s="589">
        <f t="shared" si="1301"/>
        <v>0</v>
      </c>
      <c r="HF252" s="589">
        <f t="shared" si="1302"/>
        <v>0</v>
      </c>
      <c r="HG252" s="590">
        <f t="shared" ca="1" si="1303"/>
        <v>0</v>
      </c>
      <c r="HH252" s="257"/>
    </row>
    <row r="253" spans="1:216" ht="15" hidden="1" customHeight="1" x14ac:dyDescent="0.25">
      <c r="A253" s="480"/>
      <c r="B253" s="3306" t="str">
        <f>'Calc - GRAD ASST'!A209</f>
        <v>GA #08 / Sponsor Funds</v>
      </c>
      <c r="C253" s="483" t="s">
        <v>57</v>
      </c>
      <c r="D253" s="86">
        <f ca="1">'Calc - GRAD ASST'!$J$223</f>
        <v>0</v>
      </c>
      <c r="E253" s="86">
        <f ca="1">'Calc - GRAD ASST'!$J$225</f>
        <v>0</v>
      </c>
      <c r="F253" s="86">
        <f ca="1">'Calc - GRAD ASST'!$J$227</f>
        <v>0</v>
      </c>
      <c r="G253" s="86">
        <f ca="1">'Calc - GRAD ASST'!$J$229</f>
        <v>0</v>
      </c>
      <c r="H253" s="86">
        <f ca="1">'Calc - GRAD ASST'!$J$231</f>
        <v>0</v>
      </c>
      <c r="I253" s="86">
        <f ca="1">'Calc - GRAD ASST'!$J$233</f>
        <v>0</v>
      </c>
      <c r="J253" s="87">
        <f ca="1">SUM(D253:I253)</f>
        <v>0</v>
      </c>
      <c r="K253" s="9"/>
      <c r="M253" s="9"/>
      <c r="N253" s="5"/>
      <c r="O253" s="5"/>
      <c r="P253" s="5"/>
      <c r="Q253" s="5"/>
      <c r="R253" s="5"/>
      <c r="S253" s="5"/>
      <c r="T253" s="167">
        <f>SUM(N253:S253)</f>
        <v>0</v>
      </c>
      <c r="U253" s="1"/>
      <c r="V253" s="5"/>
      <c r="W253" s="5"/>
      <c r="X253" s="5"/>
      <c r="Y253" s="5"/>
      <c r="Z253" s="5"/>
      <c r="AA253" s="5"/>
      <c r="AB253" s="48">
        <f>SUM(V253:AA253)</f>
        <v>0</v>
      </c>
      <c r="AD253" s="5"/>
      <c r="AE253" s="5"/>
      <c r="AF253" s="5"/>
      <c r="AG253" s="5"/>
      <c r="AH253" s="5"/>
      <c r="AI253" s="5"/>
      <c r="AJ253" s="209">
        <f>SUM(AD253:AI253)</f>
        <v>0</v>
      </c>
      <c r="AL253" s="5"/>
      <c r="AM253" s="5"/>
      <c r="AN253" s="5"/>
      <c r="AO253" s="5"/>
      <c r="AP253" s="5"/>
      <c r="AQ253" s="5"/>
      <c r="AR253" s="181">
        <f>SUM(AL253:AQ253)</f>
        <v>0</v>
      </c>
      <c r="AT253" s="5"/>
      <c r="AU253" s="5"/>
      <c r="AV253" s="5"/>
      <c r="AW253" s="5"/>
      <c r="AX253" s="5"/>
      <c r="AY253" s="5"/>
      <c r="AZ253" s="153">
        <f>SUM(AT253:AY253)</f>
        <v>0</v>
      </c>
      <c r="BB253" s="5"/>
      <c r="BC253" s="5"/>
      <c r="BD253" s="5"/>
      <c r="BE253" s="5"/>
      <c r="BF253" s="5"/>
      <c r="BG253" s="5"/>
      <c r="BH253" s="195">
        <f>SUM(BB253:BG253)</f>
        <v>0</v>
      </c>
      <c r="BJ253" s="5"/>
      <c r="BK253" s="5"/>
      <c r="BL253" s="5"/>
      <c r="BM253" s="5"/>
      <c r="BN253" s="5"/>
      <c r="BO253" s="5"/>
      <c r="BP253" s="1630">
        <f>SUM(BJ253:BO253)</f>
        <v>0</v>
      </c>
      <c r="BR253" s="575">
        <f t="shared" si="1276"/>
        <v>0</v>
      </c>
      <c r="BS253" s="575">
        <f t="shared" si="1277"/>
        <v>0</v>
      </c>
      <c r="BT253" s="575">
        <f t="shared" si="1278"/>
        <v>0</v>
      </c>
      <c r="BU253" s="575">
        <f t="shared" si="1279"/>
        <v>0</v>
      </c>
      <c r="BV253" s="575">
        <f t="shared" si="1280"/>
        <v>0</v>
      </c>
      <c r="BW253" s="575">
        <f t="shared" si="1281"/>
        <v>0</v>
      </c>
      <c r="BX253" s="991">
        <f t="shared" si="1282"/>
        <v>0</v>
      </c>
      <c r="BY253" s="573">
        <f t="shared" ca="1" si="1283"/>
        <v>0</v>
      </c>
      <c r="BZ253" s="257"/>
      <c r="CB253" s="1322">
        <f ca="1">D253</f>
        <v>0</v>
      </c>
      <c r="CC253" s="386">
        <f ca="1">$E253/3</f>
        <v>0</v>
      </c>
      <c r="CD253" s="360">
        <f ca="1">$E253/3</f>
        <v>0</v>
      </c>
      <c r="CE253" s="360">
        <f ca="1">$E253/3</f>
        <v>0</v>
      </c>
      <c r="CF253" s="360"/>
      <c r="CG253" s="1161"/>
      <c r="CH253" s="1241">
        <f ca="1">$F253/3</f>
        <v>0</v>
      </c>
      <c r="CI253" s="1163">
        <f ca="1">$F253/3</f>
        <v>0</v>
      </c>
      <c r="CJ253" s="1163">
        <f ca="1">$F253/3</f>
        <v>0</v>
      </c>
      <c r="CK253" s="1163"/>
      <c r="CL253" s="1164"/>
      <c r="CM253" s="1165">
        <f ca="1">$G253/3</f>
        <v>0</v>
      </c>
      <c r="CN253" s="1242">
        <f ca="1">$G253/3</f>
        <v>0</v>
      </c>
      <c r="CO253" s="1167">
        <f ca="1">$G253/3</f>
        <v>0</v>
      </c>
      <c r="CP253" s="1168">
        <f t="shared" ca="1" si="1306"/>
        <v>0</v>
      </c>
      <c r="CS253" s="575"/>
      <c r="CT253" s="5"/>
      <c r="CU253" s="1180"/>
      <c r="CV253" s="575"/>
      <c r="CW253" s="5"/>
      <c r="CX253" s="1180"/>
      <c r="CY253" s="575"/>
      <c r="CZ253" s="5"/>
      <c r="DA253" s="1180"/>
      <c r="DB253" s="575"/>
      <c r="DC253" s="5"/>
      <c r="DD253" s="1180"/>
      <c r="DE253" s="1181">
        <f>SUM(CS253:DD253)</f>
        <v>0</v>
      </c>
      <c r="DG253" s="575"/>
      <c r="DH253" s="5"/>
      <c r="DI253" s="1180"/>
      <c r="DJ253" s="575"/>
      <c r="DK253" s="5"/>
      <c r="DL253" s="1180"/>
      <c r="DM253" s="575"/>
      <c r="DN253" s="5"/>
      <c r="DO253" s="1180"/>
      <c r="DP253" s="575"/>
      <c r="DQ253" s="5"/>
      <c r="DR253" s="1180"/>
      <c r="DS253" s="1181">
        <f>SUM(DG253:DR253)</f>
        <v>0</v>
      </c>
      <c r="DU253" s="575"/>
      <c r="DV253" s="5"/>
      <c r="DW253" s="1180"/>
      <c r="DX253" s="575"/>
      <c r="DY253" s="5"/>
      <c r="DZ253" s="1180"/>
      <c r="EA253" s="575"/>
      <c r="EB253" s="5"/>
      <c r="EC253" s="1180"/>
      <c r="ED253" s="575"/>
      <c r="EE253" s="5"/>
      <c r="EF253" s="1180"/>
      <c r="EG253" s="1181">
        <f>SUM(DU253:EF253)</f>
        <v>0</v>
      </c>
      <c r="EI253" s="480"/>
      <c r="EJ253" s="3306" t="str">
        <f>B253</f>
        <v>GA #08 / Sponsor Funds</v>
      </c>
      <c r="EK253" s="483" t="s">
        <v>57</v>
      </c>
      <c r="EL253" s="86">
        <f t="shared" ref="EL253:EQ255" ca="1" si="1350">ROUND(D253,0)</f>
        <v>0</v>
      </c>
      <c r="EM253" s="86">
        <f t="shared" ca="1" si="1350"/>
        <v>0</v>
      </c>
      <c r="EN253" s="86">
        <f t="shared" ca="1" si="1350"/>
        <v>0</v>
      </c>
      <c r="EO253" s="86">
        <f t="shared" ca="1" si="1350"/>
        <v>0</v>
      </c>
      <c r="EP253" s="86">
        <f t="shared" ca="1" si="1350"/>
        <v>0</v>
      </c>
      <c r="EQ253" s="86">
        <f t="shared" ca="1" si="1350"/>
        <v>0</v>
      </c>
      <c r="ER253" s="87">
        <f t="shared" ca="1" si="1307"/>
        <v>0</v>
      </c>
      <c r="ES253" s="9"/>
      <c r="EU253" s="9"/>
      <c r="EV253" s="5">
        <f t="shared" ref="EV253:FA255" si="1351">ROUND(N253,0)</f>
        <v>0</v>
      </c>
      <c r="EW253" s="5">
        <f t="shared" si="1351"/>
        <v>0</v>
      </c>
      <c r="EX253" s="5">
        <f t="shared" si="1351"/>
        <v>0</v>
      </c>
      <c r="EY253" s="5">
        <f t="shared" si="1351"/>
        <v>0</v>
      </c>
      <c r="EZ253" s="5">
        <f t="shared" si="1351"/>
        <v>0</v>
      </c>
      <c r="FA253" s="5">
        <f t="shared" si="1351"/>
        <v>0</v>
      </c>
      <c r="FB253" s="167">
        <f>SUM(EV253:FA253)</f>
        <v>0</v>
      </c>
      <c r="FC253" s="1"/>
      <c r="FD253" s="5"/>
      <c r="FE253" s="5"/>
      <c r="FF253" s="5"/>
      <c r="FG253" s="5"/>
      <c r="FH253" s="5"/>
      <c r="FI253" s="5"/>
      <c r="FJ253" s="48">
        <f>SUM(FD253:FI253)</f>
        <v>0</v>
      </c>
      <c r="FL253" s="5"/>
      <c r="FM253" s="5"/>
      <c r="FN253" s="5"/>
      <c r="FO253" s="5"/>
      <c r="FP253" s="5"/>
      <c r="FQ253" s="5"/>
      <c r="FR253" s="209">
        <f>SUM(FL253:FQ253)</f>
        <v>0</v>
      </c>
      <c r="FT253" s="5"/>
      <c r="FU253" s="5"/>
      <c r="FV253" s="5"/>
      <c r="FW253" s="5"/>
      <c r="FX253" s="5"/>
      <c r="FY253" s="5"/>
      <c r="FZ253" s="181">
        <f>SUM(FT253:FY253)</f>
        <v>0</v>
      </c>
      <c r="GB253" s="5"/>
      <c r="GC253" s="5"/>
      <c r="GD253" s="5"/>
      <c r="GE253" s="5"/>
      <c r="GF253" s="5"/>
      <c r="GG253" s="5"/>
      <c r="GH253" s="153">
        <f>SUM(GB253:GG253)</f>
        <v>0</v>
      </c>
      <c r="GJ253" s="5"/>
      <c r="GK253" s="5"/>
      <c r="GL253" s="5"/>
      <c r="GM253" s="5"/>
      <c r="GN253" s="5"/>
      <c r="GO253" s="5"/>
      <c r="GP253" s="195">
        <f>SUM(GJ253:GO253)</f>
        <v>0</v>
      </c>
      <c r="GR253" s="5"/>
      <c r="GS253" s="5"/>
      <c r="GT253" s="5"/>
      <c r="GU253" s="5"/>
      <c r="GV253" s="5"/>
      <c r="GW253" s="5"/>
      <c r="GX253" s="1630">
        <f>SUM(GR253:GW253)</f>
        <v>0</v>
      </c>
      <c r="GZ253" s="575">
        <f t="shared" si="1296"/>
        <v>0</v>
      </c>
      <c r="HA253" s="575">
        <f t="shared" si="1297"/>
        <v>0</v>
      </c>
      <c r="HB253" s="575">
        <f t="shared" si="1298"/>
        <v>0</v>
      </c>
      <c r="HC253" s="575">
        <f t="shared" si="1299"/>
        <v>0</v>
      </c>
      <c r="HD253" s="575">
        <f t="shared" si="1300"/>
        <v>0</v>
      </c>
      <c r="HE253" s="575">
        <f t="shared" si="1301"/>
        <v>0</v>
      </c>
      <c r="HF253" s="991">
        <f t="shared" si="1302"/>
        <v>0</v>
      </c>
      <c r="HG253" s="573">
        <f t="shared" ca="1" si="1303"/>
        <v>0</v>
      </c>
      <c r="HH253" s="257"/>
    </row>
    <row r="254" spans="1:216" ht="15" hidden="1" customHeight="1" x14ac:dyDescent="0.25">
      <c r="A254" s="480"/>
      <c r="B254" s="3307"/>
      <c r="C254" s="78" t="s">
        <v>96</v>
      </c>
      <c r="D254" s="29">
        <f ca="1">'Calc - GRAD ASST'!$E$223</f>
        <v>0</v>
      </c>
      <c r="E254" s="29">
        <f ca="1">'Calc - GRAD ASST'!$E$225</f>
        <v>0</v>
      </c>
      <c r="F254" s="29">
        <f ca="1">'Calc - GRAD ASST'!$E$227</f>
        <v>0</v>
      </c>
      <c r="G254" s="29">
        <f ca="1">'Calc - GRAD ASST'!$E$229</f>
        <v>0</v>
      </c>
      <c r="H254" s="29">
        <f ca="1">'Calc - GRAD ASST'!$E$231</f>
        <v>0</v>
      </c>
      <c r="I254" s="29">
        <f ca="1">'Calc - GRAD ASST'!$E$233</f>
        <v>0</v>
      </c>
      <c r="J254" s="88">
        <f ca="1">SUM(D254:I254)</f>
        <v>0</v>
      </c>
      <c r="L254" s="9"/>
      <c r="M254" s="9"/>
      <c r="N254" s="29"/>
      <c r="O254" s="29"/>
      <c r="P254" s="29"/>
      <c r="Q254" s="29"/>
      <c r="R254" s="29"/>
      <c r="S254" s="29"/>
      <c r="T254" s="167">
        <f>SUM(N254:S254)</f>
        <v>0</v>
      </c>
      <c r="U254" s="1"/>
      <c r="V254" s="29"/>
      <c r="W254" s="29"/>
      <c r="X254" s="29"/>
      <c r="Y254" s="29"/>
      <c r="Z254" s="29"/>
      <c r="AA254" s="29"/>
      <c r="AB254" s="48">
        <f>SUM(V254:AA254)</f>
        <v>0</v>
      </c>
      <c r="AD254" s="29"/>
      <c r="AE254" s="29"/>
      <c r="AF254" s="29"/>
      <c r="AG254" s="29"/>
      <c r="AH254" s="29"/>
      <c r="AI254" s="29"/>
      <c r="AJ254" s="209">
        <f>SUM(AD254:AI254)</f>
        <v>0</v>
      </c>
      <c r="AL254" s="29"/>
      <c r="AM254" s="29"/>
      <c r="AN254" s="29"/>
      <c r="AO254" s="29"/>
      <c r="AP254" s="29"/>
      <c r="AQ254" s="29"/>
      <c r="AR254" s="181">
        <f>SUM(AL254:AQ254)</f>
        <v>0</v>
      </c>
      <c r="AT254" s="29"/>
      <c r="AU254" s="29"/>
      <c r="AV254" s="29"/>
      <c r="AW254" s="29"/>
      <c r="AX254" s="29"/>
      <c r="AY254" s="29"/>
      <c r="AZ254" s="153">
        <f>SUM(AT254:AY254)</f>
        <v>0</v>
      </c>
      <c r="BB254" s="29"/>
      <c r="BC254" s="29"/>
      <c r="BD254" s="29"/>
      <c r="BE254" s="29"/>
      <c r="BF254" s="29"/>
      <c r="BG254" s="29"/>
      <c r="BH254" s="195">
        <f>SUM(BB254:BG254)</f>
        <v>0</v>
      </c>
      <c r="BJ254" s="29"/>
      <c r="BK254" s="29"/>
      <c r="BL254" s="29"/>
      <c r="BM254" s="29"/>
      <c r="BN254" s="29"/>
      <c r="BO254" s="29"/>
      <c r="BP254" s="1630">
        <f>SUM(BJ254:BO254)</f>
        <v>0</v>
      </c>
      <c r="BR254" s="575">
        <f t="shared" si="1276"/>
        <v>0</v>
      </c>
      <c r="BS254" s="575">
        <f t="shared" si="1277"/>
        <v>0</v>
      </c>
      <c r="BT254" s="575">
        <f t="shared" si="1278"/>
        <v>0</v>
      </c>
      <c r="BU254" s="575">
        <f t="shared" si="1279"/>
        <v>0</v>
      </c>
      <c r="BV254" s="575">
        <f t="shared" si="1280"/>
        <v>0</v>
      </c>
      <c r="BW254" s="575">
        <f t="shared" si="1281"/>
        <v>0</v>
      </c>
      <c r="BX254" s="991">
        <f t="shared" si="1282"/>
        <v>0</v>
      </c>
      <c r="BY254" s="573">
        <f t="shared" ca="1" si="1283"/>
        <v>0</v>
      </c>
      <c r="BZ254" s="257"/>
      <c r="CB254" s="1350">
        <f ca="1">D254</f>
        <v>0</v>
      </c>
      <c r="CC254" s="1268"/>
      <c r="CD254" s="1269"/>
      <c r="CE254" s="1269"/>
      <c r="CF254" s="1269"/>
      <c r="CG254" s="1270">
        <f ca="1">E254</f>
        <v>0</v>
      </c>
      <c r="CH254" s="1271"/>
      <c r="CI254" s="1272"/>
      <c r="CJ254" s="1272"/>
      <c r="CK254" s="1272"/>
      <c r="CL254" s="1273">
        <f ca="1">F254</f>
        <v>0</v>
      </c>
      <c r="CM254" s="1274"/>
      <c r="CN254" s="1275"/>
      <c r="CO254" s="1276"/>
      <c r="CP254" s="1224">
        <f t="shared" ca="1" si="1306"/>
        <v>0</v>
      </c>
      <c r="CS254" s="575"/>
      <c r="CT254" s="5"/>
      <c r="CU254" s="1180"/>
      <c r="CV254" s="575"/>
      <c r="CW254" s="5"/>
      <c r="CX254" s="1180"/>
      <c r="CY254" s="575"/>
      <c r="CZ254" s="5"/>
      <c r="DA254" s="1180"/>
      <c r="DB254" s="575"/>
      <c r="DC254" s="5"/>
      <c r="DD254" s="1180"/>
      <c r="DE254" s="1181">
        <f>SUM(CS254:DD254)</f>
        <v>0</v>
      </c>
      <c r="DG254" s="575"/>
      <c r="DH254" s="5"/>
      <c r="DI254" s="1180"/>
      <c r="DJ254" s="575"/>
      <c r="DK254" s="5"/>
      <c r="DL254" s="1180"/>
      <c r="DM254" s="575"/>
      <c r="DN254" s="5"/>
      <c r="DO254" s="1180"/>
      <c r="DP254" s="575"/>
      <c r="DQ254" s="5"/>
      <c r="DR254" s="1180"/>
      <c r="DS254" s="1181">
        <f>SUM(DG254:DR254)</f>
        <v>0</v>
      </c>
      <c r="DU254" s="575"/>
      <c r="DV254" s="5"/>
      <c r="DW254" s="1180"/>
      <c r="DX254" s="575"/>
      <c r="DY254" s="5"/>
      <c r="DZ254" s="1180"/>
      <c r="EA254" s="575"/>
      <c r="EB254" s="5"/>
      <c r="EC254" s="1180"/>
      <c r="ED254" s="575"/>
      <c r="EE254" s="5"/>
      <c r="EF254" s="1180"/>
      <c r="EG254" s="1181">
        <f>SUM(DU254:EF254)</f>
        <v>0</v>
      </c>
      <c r="EI254" s="480"/>
      <c r="EJ254" s="3307"/>
      <c r="EK254" s="78" t="s">
        <v>96</v>
      </c>
      <c r="EL254" s="29">
        <f t="shared" ca="1" si="1350"/>
        <v>0</v>
      </c>
      <c r="EM254" s="29">
        <f t="shared" ca="1" si="1350"/>
        <v>0</v>
      </c>
      <c r="EN254" s="29">
        <f t="shared" ca="1" si="1350"/>
        <v>0</v>
      </c>
      <c r="EO254" s="29">
        <f t="shared" ca="1" si="1350"/>
        <v>0</v>
      </c>
      <c r="EP254" s="29">
        <f t="shared" ca="1" si="1350"/>
        <v>0</v>
      </c>
      <c r="EQ254" s="29">
        <f t="shared" ca="1" si="1350"/>
        <v>0</v>
      </c>
      <c r="ER254" s="88">
        <f t="shared" ca="1" si="1307"/>
        <v>0</v>
      </c>
      <c r="ET254" s="9"/>
      <c r="EU254" s="9"/>
      <c r="EV254" s="29">
        <f t="shared" si="1351"/>
        <v>0</v>
      </c>
      <c r="EW254" s="29">
        <f t="shared" si="1351"/>
        <v>0</v>
      </c>
      <c r="EX254" s="29">
        <f t="shared" si="1351"/>
        <v>0</v>
      </c>
      <c r="EY254" s="29">
        <f t="shared" si="1351"/>
        <v>0</v>
      </c>
      <c r="EZ254" s="29">
        <f t="shared" si="1351"/>
        <v>0</v>
      </c>
      <c r="FA254" s="29">
        <f t="shared" si="1351"/>
        <v>0</v>
      </c>
      <c r="FB254" s="167">
        <f>SUM(EV254:FA254)</f>
        <v>0</v>
      </c>
      <c r="FC254" s="1"/>
      <c r="FD254" s="29"/>
      <c r="FE254" s="29"/>
      <c r="FF254" s="29"/>
      <c r="FG254" s="29"/>
      <c r="FH254" s="29"/>
      <c r="FI254" s="29"/>
      <c r="FJ254" s="48">
        <f>SUM(FD254:FI254)</f>
        <v>0</v>
      </c>
      <c r="FL254" s="29"/>
      <c r="FM254" s="29"/>
      <c r="FN254" s="29"/>
      <c r="FO254" s="29"/>
      <c r="FP254" s="29"/>
      <c r="FQ254" s="29"/>
      <c r="FR254" s="209">
        <f>SUM(FL254:FQ254)</f>
        <v>0</v>
      </c>
      <c r="FT254" s="29"/>
      <c r="FU254" s="29"/>
      <c r="FV254" s="29"/>
      <c r="FW254" s="29"/>
      <c r="FX254" s="29"/>
      <c r="FY254" s="29"/>
      <c r="FZ254" s="181">
        <f>SUM(FT254:FY254)</f>
        <v>0</v>
      </c>
      <c r="GB254" s="29"/>
      <c r="GC254" s="29"/>
      <c r="GD254" s="29"/>
      <c r="GE254" s="29"/>
      <c r="GF254" s="29"/>
      <c r="GG254" s="29"/>
      <c r="GH254" s="153">
        <f>SUM(GB254:GG254)</f>
        <v>0</v>
      </c>
      <c r="GJ254" s="29"/>
      <c r="GK254" s="29"/>
      <c r="GL254" s="29"/>
      <c r="GM254" s="29"/>
      <c r="GN254" s="29"/>
      <c r="GO254" s="29"/>
      <c r="GP254" s="195">
        <f>SUM(GJ254:GO254)</f>
        <v>0</v>
      </c>
      <c r="GR254" s="29"/>
      <c r="GS254" s="29"/>
      <c r="GT254" s="29"/>
      <c r="GU254" s="29"/>
      <c r="GV254" s="29"/>
      <c r="GW254" s="29"/>
      <c r="GX254" s="1630">
        <f>SUM(GR254:GW254)</f>
        <v>0</v>
      </c>
      <c r="GZ254" s="575">
        <f t="shared" si="1296"/>
        <v>0</v>
      </c>
      <c r="HA254" s="575">
        <f t="shared" si="1297"/>
        <v>0</v>
      </c>
      <c r="HB254" s="575">
        <f t="shared" si="1298"/>
        <v>0</v>
      </c>
      <c r="HC254" s="575">
        <f t="shared" si="1299"/>
        <v>0</v>
      </c>
      <c r="HD254" s="575">
        <f t="shared" si="1300"/>
        <v>0</v>
      </c>
      <c r="HE254" s="575">
        <f t="shared" si="1301"/>
        <v>0</v>
      </c>
      <c r="HF254" s="991">
        <f t="shared" si="1302"/>
        <v>0</v>
      </c>
      <c r="HG254" s="573">
        <f t="shared" ca="1" si="1303"/>
        <v>0</v>
      </c>
      <c r="HH254" s="257"/>
    </row>
    <row r="255" spans="1:216" ht="15" hidden="1" customHeight="1" thickBot="1" x14ac:dyDescent="0.3">
      <c r="A255" s="480"/>
      <c r="B255" s="1853">
        <f>'Calc - GRAD ASST'!C210</f>
        <v>0</v>
      </c>
      <c r="C255" s="420" t="s">
        <v>130</v>
      </c>
      <c r="D255" s="42">
        <f ca="1">'Calc - GRAD ASST'!$M$223</f>
        <v>0</v>
      </c>
      <c r="E255" s="42">
        <f ca="1">'Calc - GRAD ASST'!$M$225</f>
        <v>0</v>
      </c>
      <c r="F255" s="42">
        <f ca="1">'Calc - GRAD ASST'!$M$227</f>
        <v>0</v>
      </c>
      <c r="G255" s="42">
        <f ca="1">'Calc - GRAD ASST'!$M$229</f>
        <v>0</v>
      </c>
      <c r="H255" s="42">
        <f ca="1">'Calc - GRAD ASST'!$M$231</f>
        <v>0</v>
      </c>
      <c r="I255" s="42">
        <f ca="1">'Calc - GRAD ASST'!$M$233</f>
        <v>0</v>
      </c>
      <c r="J255" s="90">
        <f ca="1">SUM(D255:I255)</f>
        <v>0</v>
      </c>
      <c r="K255" s="9"/>
      <c r="L255" s="9"/>
      <c r="M255" s="9"/>
      <c r="N255" s="5"/>
      <c r="O255" s="5"/>
      <c r="P255" s="5"/>
      <c r="Q255" s="5"/>
      <c r="R255" s="5"/>
      <c r="S255" s="5"/>
      <c r="T255" s="167">
        <f>SUM(N255:S255)</f>
        <v>0</v>
      </c>
      <c r="U255" s="1"/>
      <c r="V255" s="5"/>
      <c r="W255" s="5"/>
      <c r="X255" s="5"/>
      <c r="Y255" s="5"/>
      <c r="Z255" s="5"/>
      <c r="AA255" s="5"/>
      <c r="AB255" s="48">
        <f>SUM(V255:AA255)</f>
        <v>0</v>
      </c>
      <c r="AD255" s="5"/>
      <c r="AE255" s="5"/>
      <c r="AF255" s="5"/>
      <c r="AG255" s="5"/>
      <c r="AH255" s="5"/>
      <c r="AI255" s="5"/>
      <c r="AJ255" s="209">
        <f>SUM(AD255:AI255)</f>
        <v>0</v>
      </c>
      <c r="AL255" s="5"/>
      <c r="AM255" s="5"/>
      <c r="AN255" s="5"/>
      <c r="AO255" s="5"/>
      <c r="AP255" s="5"/>
      <c r="AQ255" s="5"/>
      <c r="AR255" s="181">
        <f>SUM(AL255:AQ255)</f>
        <v>0</v>
      </c>
      <c r="AT255" s="5"/>
      <c r="AU255" s="5"/>
      <c r="AV255" s="5"/>
      <c r="AW255" s="5"/>
      <c r="AX255" s="5"/>
      <c r="AY255" s="5"/>
      <c r="AZ255" s="153">
        <f>SUM(AT255:AY255)</f>
        <v>0</v>
      </c>
      <c r="BB255" s="5"/>
      <c r="BC255" s="5"/>
      <c r="BD255" s="5"/>
      <c r="BE255" s="5"/>
      <c r="BF255" s="5"/>
      <c r="BG255" s="5"/>
      <c r="BH255" s="195">
        <f>SUM(BB255:BG255)</f>
        <v>0</v>
      </c>
      <c r="BJ255" s="5"/>
      <c r="BK255" s="5"/>
      <c r="BL255" s="5"/>
      <c r="BM255" s="5"/>
      <c r="BN255" s="5"/>
      <c r="BO255" s="5"/>
      <c r="BP255" s="1630">
        <f>SUM(BJ255:BO255)</f>
        <v>0</v>
      </c>
      <c r="BR255" s="575">
        <f t="shared" si="1276"/>
        <v>0</v>
      </c>
      <c r="BS255" s="575">
        <f t="shared" si="1277"/>
        <v>0</v>
      </c>
      <c r="BT255" s="575">
        <f t="shared" si="1278"/>
        <v>0</v>
      </c>
      <c r="BU255" s="575">
        <f t="shared" si="1279"/>
        <v>0</v>
      </c>
      <c r="BV255" s="575">
        <f t="shared" si="1280"/>
        <v>0</v>
      </c>
      <c r="BW255" s="575">
        <f t="shared" si="1281"/>
        <v>0</v>
      </c>
      <c r="BX255" s="991">
        <f t="shared" si="1282"/>
        <v>0</v>
      </c>
      <c r="BY255" s="573">
        <f t="shared" ca="1" si="1283"/>
        <v>0</v>
      </c>
      <c r="BZ255" s="257"/>
      <c r="CB255" s="1330">
        <f ca="1">D255</f>
        <v>0</v>
      </c>
      <c r="CC255" s="1201">
        <f ca="1">($E255-$CG255)/3</f>
        <v>0</v>
      </c>
      <c r="CD255" s="1202">
        <f ca="1">($E255-$CG255)/3</f>
        <v>0</v>
      </c>
      <c r="CE255" s="1202">
        <f ca="1">($E255-$CG255)/3</f>
        <v>0</v>
      </c>
      <c r="CF255" s="1202"/>
      <c r="CG255" s="1203">
        <f ca="1">OFFSET('Calc - GRAD ASST'!$K$20,7*29+2,0)</f>
        <v>0</v>
      </c>
      <c r="CH255" s="1251">
        <f ca="1">($F255-$CL255)/3</f>
        <v>0</v>
      </c>
      <c r="CI255" s="1205">
        <f ca="1">($F255-$CL255)/3</f>
        <v>0</v>
      </c>
      <c r="CJ255" s="1205">
        <f ca="1">($F255-$CL255)/3</f>
        <v>0</v>
      </c>
      <c r="CK255" s="1205"/>
      <c r="CL255" s="1206">
        <f ca="1">OFFSET('Calc - GRAD ASST'!$K$20,7*29+4,0)</f>
        <v>0</v>
      </c>
      <c r="CM255" s="1207">
        <f ca="1">$G255/3</f>
        <v>0</v>
      </c>
      <c r="CN255" s="1252">
        <f ca="1">$G255/3</f>
        <v>0</v>
      </c>
      <c r="CO255" s="1209">
        <f ca="1">$G255/3</f>
        <v>0</v>
      </c>
      <c r="CP255" s="1316">
        <f t="shared" ca="1" si="1306"/>
        <v>0</v>
      </c>
      <c r="CS255" s="575"/>
      <c r="CT255" s="5"/>
      <c r="CU255" s="1180"/>
      <c r="CV255" s="575"/>
      <c r="CW255" s="5"/>
      <c r="CX255" s="1180"/>
      <c r="CY255" s="575"/>
      <c r="CZ255" s="5"/>
      <c r="DA255" s="1180"/>
      <c r="DB255" s="575"/>
      <c r="DC255" s="5"/>
      <c r="DD255" s="1180"/>
      <c r="DE255" s="1181">
        <f>SUM(CS255:DD255)</f>
        <v>0</v>
      </c>
      <c r="DG255" s="575"/>
      <c r="DH255" s="5"/>
      <c r="DI255" s="1180"/>
      <c r="DJ255" s="575"/>
      <c r="DK255" s="5"/>
      <c r="DL255" s="1180"/>
      <c r="DM255" s="575"/>
      <c r="DN255" s="5"/>
      <c r="DO255" s="1180"/>
      <c r="DP255" s="575"/>
      <c r="DQ255" s="5"/>
      <c r="DR255" s="1180"/>
      <c r="DS255" s="1181">
        <f>SUM(DG255:DR255)</f>
        <v>0</v>
      </c>
      <c r="DU255" s="575"/>
      <c r="DV255" s="5"/>
      <c r="DW255" s="1180"/>
      <c r="DX255" s="575"/>
      <c r="DY255" s="5"/>
      <c r="DZ255" s="1180"/>
      <c r="EA255" s="575"/>
      <c r="EB255" s="5"/>
      <c r="EC255" s="1180"/>
      <c r="ED255" s="575"/>
      <c r="EE255" s="5"/>
      <c r="EF255" s="1180"/>
      <c r="EG255" s="1181">
        <f>SUM(DU255:EF255)</f>
        <v>0</v>
      </c>
      <c r="EI255" s="480"/>
      <c r="EJ255" s="1853">
        <f>B255</f>
        <v>0</v>
      </c>
      <c r="EK255" s="420" t="s">
        <v>130</v>
      </c>
      <c r="EL255" s="42">
        <f t="shared" ca="1" si="1350"/>
        <v>0</v>
      </c>
      <c r="EM255" s="42">
        <f t="shared" ca="1" si="1350"/>
        <v>0</v>
      </c>
      <c r="EN255" s="42">
        <f t="shared" ca="1" si="1350"/>
        <v>0</v>
      </c>
      <c r="EO255" s="42">
        <f t="shared" ca="1" si="1350"/>
        <v>0</v>
      </c>
      <c r="EP255" s="42">
        <f t="shared" ca="1" si="1350"/>
        <v>0</v>
      </c>
      <c r="EQ255" s="42">
        <f t="shared" ca="1" si="1350"/>
        <v>0</v>
      </c>
      <c r="ER255" s="90">
        <f t="shared" ca="1" si="1307"/>
        <v>0</v>
      </c>
      <c r="ES255" s="9"/>
      <c r="ET255" s="9"/>
      <c r="EU255" s="9"/>
      <c r="EV255" s="5">
        <f t="shared" si="1351"/>
        <v>0</v>
      </c>
      <c r="EW255" s="5">
        <f t="shared" si="1351"/>
        <v>0</v>
      </c>
      <c r="EX255" s="5">
        <f t="shared" si="1351"/>
        <v>0</v>
      </c>
      <c r="EY255" s="5">
        <f t="shared" si="1351"/>
        <v>0</v>
      </c>
      <c r="EZ255" s="5">
        <f t="shared" si="1351"/>
        <v>0</v>
      </c>
      <c r="FA255" s="5">
        <f t="shared" si="1351"/>
        <v>0</v>
      </c>
      <c r="FB255" s="167">
        <f>SUM(EV255:FA255)</f>
        <v>0</v>
      </c>
      <c r="FC255" s="1"/>
      <c r="FD255" s="5"/>
      <c r="FE255" s="5"/>
      <c r="FF255" s="5"/>
      <c r="FG255" s="5"/>
      <c r="FH255" s="5"/>
      <c r="FI255" s="5"/>
      <c r="FJ255" s="48">
        <f>SUM(FD255:FI255)</f>
        <v>0</v>
      </c>
      <c r="FL255" s="5"/>
      <c r="FM255" s="5"/>
      <c r="FN255" s="5"/>
      <c r="FO255" s="5"/>
      <c r="FP255" s="5"/>
      <c r="FQ255" s="5"/>
      <c r="FR255" s="209">
        <f>SUM(FL255:FQ255)</f>
        <v>0</v>
      </c>
      <c r="FT255" s="5"/>
      <c r="FU255" s="5"/>
      <c r="FV255" s="5"/>
      <c r="FW255" s="5"/>
      <c r="FX255" s="5"/>
      <c r="FY255" s="5"/>
      <c r="FZ255" s="181">
        <f>SUM(FT255:FY255)</f>
        <v>0</v>
      </c>
      <c r="GB255" s="5"/>
      <c r="GC255" s="5"/>
      <c r="GD255" s="5"/>
      <c r="GE255" s="5"/>
      <c r="GF255" s="5"/>
      <c r="GG255" s="5"/>
      <c r="GH255" s="153">
        <f>SUM(GB255:GG255)</f>
        <v>0</v>
      </c>
      <c r="GJ255" s="5"/>
      <c r="GK255" s="5"/>
      <c r="GL255" s="5"/>
      <c r="GM255" s="5"/>
      <c r="GN255" s="5"/>
      <c r="GO255" s="5"/>
      <c r="GP255" s="195">
        <f>SUM(GJ255:GO255)</f>
        <v>0</v>
      </c>
      <c r="GR255" s="5"/>
      <c r="GS255" s="5"/>
      <c r="GT255" s="5"/>
      <c r="GU255" s="5"/>
      <c r="GV255" s="5"/>
      <c r="GW255" s="5"/>
      <c r="GX255" s="1630">
        <f>SUM(GR255:GW255)</f>
        <v>0</v>
      </c>
      <c r="GZ255" s="575">
        <f t="shared" si="1296"/>
        <v>0</v>
      </c>
      <c r="HA255" s="575">
        <f t="shared" si="1297"/>
        <v>0</v>
      </c>
      <c r="HB255" s="575">
        <f t="shared" si="1298"/>
        <v>0</v>
      </c>
      <c r="HC255" s="575">
        <f t="shared" si="1299"/>
        <v>0</v>
      </c>
      <c r="HD255" s="575">
        <f t="shared" si="1300"/>
        <v>0</v>
      </c>
      <c r="HE255" s="575">
        <f t="shared" si="1301"/>
        <v>0</v>
      </c>
      <c r="HF255" s="991">
        <f t="shared" si="1302"/>
        <v>0</v>
      </c>
      <c r="HG255" s="573">
        <f t="shared" ca="1" si="1303"/>
        <v>0</v>
      </c>
      <c r="HH255" s="257"/>
    </row>
    <row r="256" spans="1:216" ht="15" hidden="1" customHeight="1" thickBot="1" x14ac:dyDescent="0.3">
      <c r="A256" s="480"/>
      <c r="B256" s="1854"/>
      <c r="C256" s="1613" t="s">
        <v>501</v>
      </c>
      <c r="D256" s="1614">
        <f t="shared" ref="D256:J256" ca="1" si="1352">SUM(D253:D255)</f>
        <v>0</v>
      </c>
      <c r="E256" s="1614">
        <f t="shared" ca="1" si="1352"/>
        <v>0</v>
      </c>
      <c r="F256" s="1614">
        <f t="shared" ca="1" si="1352"/>
        <v>0</v>
      </c>
      <c r="G256" s="1614">
        <f t="shared" ca="1" si="1352"/>
        <v>0</v>
      </c>
      <c r="H256" s="1614">
        <f t="shared" ca="1" si="1352"/>
        <v>0</v>
      </c>
      <c r="I256" s="1614">
        <f t="shared" ca="1" si="1352"/>
        <v>0</v>
      </c>
      <c r="J256" s="1615">
        <f t="shared" ca="1" si="1352"/>
        <v>0</v>
      </c>
      <c r="K256" s="13">
        <f ca="1">SUM(D256:I256)</f>
        <v>0</v>
      </c>
      <c r="L256" s="13"/>
      <c r="M256" s="9"/>
      <c r="N256" s="1629">
        <f t="shared" ref="N256:T256" si="1353">SUM(N253:N255)</f>
        <v>0</v>
      </c>
      <c r="O256" s="1629">
        <f t="shared" si="1353"/>
        <v>0</v>
      </c>
      <c r="P256" s="1629">
        <f t="shared" si="1353"/>
        <v>0</v>
      </c>
      <c r="Q256" s="1629">
        <f t="shared" si="1353"/>
        <v>0</v>
      </c>
      <c r="R256" s="1629">
        <f t="shared" si="1353"/>
        <v>0</v>
      </c>
      <c r="S256" s="1629">
        <f t="shared" si="1353"/>
        <v>0</v>
      </c>
      <c r="T256" s="1628">
        <f t="shared" si="1353"/>
        <v>0</v>
      </c>
      <c r="U256" s="1"/>
      <c r="V256" s="1629">
        <f t="shared" ref="V256:AB256" si="1354">SUM(V253:V255)</f>
        <v>0</v>
      </c>
      <c r="W256" s="1629">
        <f t="shared" si="1354"/>
        <v>0</v>
      </c>
      <c r="X256" s="1629">
        <f t="shared" si="1354"/>
        <v>0</v>
      </c>
      <c r="Y256" s="1629">
        <f t="shared" si="1354"/>
        <v>0</v>
      </c>
      <c r="Z256" s="1629">
        <f t="shared" si="1354"/>
        <v>0</v>
      </c>
      <c r="AA256" s="1629">
        <f t="shared" si="1354"/>
        <v>0</v>
      </c>
      <c r="AB256" s="1628">
        <f t="shared" si="1354"/>
        <v>0</v>
      </c>
      <c r="AD256" s="1629">
        <f t="shared" ref="AD256:AJ256" si="1355">SUM(AD253:AD255)</f>
        <v>0</v>
      </c>
      <c r="AE256" s="1629">
        <f t="shared" si="1355"/>
        <v>0</v>
      </c>
      <c r="AF256" s="1629">
        <f t="shared" si="1355"/>
        <v>0</v>
      </c>
      <c r="AG256" s="1629">
        <f t="shared" si="1355"/>
        <v>0</v>
      </c>
      <c r="AH256" s="1629">
        <f t="shared" si="1355"/>
        <v>0</v>
      </c>
      <c r="AI256" s="1629">
        <f t="shared" si="1355"/>
        <v>0</v>
      </c>
      <c r="AJ256" s="1628">
        <f t="shared" si="1355"/>
        <v>0</v>
      </c>
      <c r="AL256" s="7">
        <f t="shared" ref="AL256:AR256" si="1356">SUM(AL253:AL255)</f>
        <v>0</v>
      </c>
      <c r="AM256" s="7">
        <f t="shared" si="1356"/>
        <v>0</v>
      </c>
      <c r="AN256" s="7">
        <f t="shared" si="1356"/>
        <v>0</v>
      </c>
      <c r="AO256" s="7">
        <f t="shared" si="1356"/>
        <v>0</v>
      </c>
      <c r="AP256" s="7">
        <f t="shared" si="1356"/>
        <v>0</v>
      </c>
      <c r="AQ256" s="7">
        <f t="shared" si="1356"/>
        <v>0</v>
      </c>
      <c r="AR256" s="12">
        <f t="shared" si="1356"/>
        <v>0</v>
      </c>
      <c r="AT256" s="7">
        <f t="shared" ref="AT256:AZ256" si="1357">SUM(AT253:AT255)</f>
        <v>0</v>
      </c>
      <c r="AU256" s="7">
        <f t="shared" si="1357"/>
        <v>0</v>
      </c>
      <c r="AV256" s="7">
        <f t="shared" si="1357"/>
        <v>0</v>
      </c>
      <c r="AW256" s="7">
        <f t="shared" si="1357"/>
        <v>0</v>
      </c>
      <c r="AX256" s="7">
        <f t="shared" si="1357"/>
        <v>0</v>
      </c>
      <c r="AY256" s="7">
        <f t="shared" si="1357"/>
        <v>0</v>
      </c>
      <c r="AZ256" s="12">
        <f t="shared" si="1357"/>
        <v>0</v>
      </c>
      <c r="BB256" s="7">
        <f t="shared" ref="BB256:BH256" si="1358">SUM(BB253:BB255)</f>
        <v>0</v>
      </c>
      <c r="BC256" s="7">
        <f t="shared" si="1358"/>
        <v>0</v>
      </c>
      <c r="BD256" s="7">
        <f t="shared" si="1358"/>
        <v>0</v>
      </c>
      <c r="BE256" s="7">
        <f t="shared" si="1358"/>
        <v>0</v>
      </c>
      <c r="BF256" s="7">
        <f t="shared" si="1358"/>
        <v>0</v>
      </c>
      <c r="BG256" s="7">
        <f t="shared" si="1358"/>
        <v>0</v>
      </c>
      <c r="BH256" s="12">
        <f t="shared" si="1358"/>
        <v>0</v>
      </c>
      <c r="BJ256" s="7">
        <f t="shared" ref="BJ256:BP256" si="1359">SUM(BJ253:BJ255)</f>
        <v>0</v>
      </c>
      <c r="BK256" s="7">
        <f t="shared" si="1359"/>
        <v>0</v>
      </c>
      <c r="BL256" s="7">
        <f t="shared" si="1359"/>
        <v>0</v>
      </c>
      <c r="BM256" s="7">
        <f t="shared" si="1359"/>
        <v>0</v>
      </c>
      <c r="BN256" s="7">
        <f t="shared" si="1359"/>
        <v>0</v>
      </c>
      <c r="BO256" s="7">
        <f t="shared" si="1359"/>
        <v>0</v>
      </c>
      <c r="BP256" s="12">
        <f t="shared" si="1359"/>
        <v>0</v>
      </c>
      <c r="BR256" s="589">
        <f t="shared" si="1276"/>
        <v>0</v>
      </c>
      <c r="BS256" s="589">
        <f t="shared" si="1277"/>
        <v>0</v>
      </c>
      <c r="BT256" s="589">
        <f t="shared" si="1278"/>
        <v>0</v>
      </c>
      <c r="BU256" s="589">
        <f t="shared" si="1279"/>
        <v>0</v>
      </c>
      <c r="BV256" s="589">
        <f t="shared" si="1280"/>
        <v>0</v>
      </c>
      <c r="BW256" s="589">
        <f t="shared" si="1281"/>
        <v>0</v>
      </c>
      <c r="BX256" s="589">
        <f t="shared" si="1282"/>
        <v>0</v>
      </c>
      <c r="BY256" s="590">
        <f t="shared" ca="1" si="1283"/>
        <v>0</v>
      </c>
      <c r="BZ256" s="257"/>
      <c r="CB256" s="1633">
        <f t="shared" ref="CB256:CO256" ca="1" si="1360">SUM(CB253:CB255)</f>
        <v>0</v>
      </c>
      <c r="CC256" s="1634">
        <f t="shared" ca="1" si="1360"/>
        <v>0</v>
      </c>
      <c r="CD256" s="1635">
        <f t="shared" ca="1" si="1360"/>
        <v>0</v>
      </c>
      <c r="CE256" s="1635">
        <f t="shared" ca="1" si="1360"/>
        <v>0</v>
      </c>
      <c r="CF256" s="1635">
        <f t="shared" si="1360"/>
        <v>0</v>
      </c>
      <c r="CG256" s="1636">
        <f t="shared" ca="1" si="1360"/>
        <v>0</v>
      </c>
      <c r="CH256" s="1634">
        <f t="shared" ca="1" si="1360"/>
        <v>0</v>
      </c>
      <c r="CI256" s="1635">
        <f t="shared" ca="1" si="1360"/>
        <v>0</v>
      </c>
      <c r="CJ256" s="1635">
        <f t="shared" ca="1" si="1360"/>
        <v>0</v>
      </c>
      <c r="CK256" s="1635">
        <f t="shared" si="1360"/>
        <v>0</v>
      </c>
      <c r="CL256" s="1637">
        <f t="shared" ca="1" si="1360"/>
        <v>0</v>
      </c>
      <c r="CM256" s="1634">
        <f t="shared" ca="1" si="1360"/>
        <v>0</v>
      </c>
      <c r="CN256" s="1635">
        <f t="shared" ca="1" si="1360"/>
        <v>0</v>
      </c>
      <c r="CO256" s="1636">
        <f t="shared" ca="1" si="1360"/>
        <v>0</v>
      </c>
      <c r="CP256" s="1351">
        <f t="shared" ca="1" si="1306"/>
        <v>0</v>
      </c>
      <c r="CS256" s="1231">
        <f t="shared" ref="CS256:DE256" si="1361">SUM(CS253:CS255)</f>
        <v>0</v>
      </c>
      <c r="CT256" s="7">
        <f t="shared" si="1361"/>
        <v>0</v>
      </c>
      <c r="CU256" s="573">
        <f t="shared" si="1361"/>
        <v>0</v>
      </c>
      <c r="CV256" s="1231">
        <f t="shared" si="1361"/>
        <v>0</v>
      </c>
      <c r="CW256" s="7">
        <f t="shared" si="1361"/>
        <v>0</v>
      </c>
      <c r="CX256" s="573">
        <f t="shared" si="1361"/>
        <v>0</v>
      </c>
      <c r="CY256" s="1231">
        <f t="shared" si="1361"/>
        <v>0</v>
      </c>
      <c r="CZ256" s="7">
        <f t="shared" si="1361"/>
        <v>0</v>
      </c>
      <c r="DA256" s="573">
        <f t="shared" si="1361"/>
        <v>0</v>
      </c>
      <c r="DB256" s="1231">
        <f t="shared" si="1361"/>
        <v>0</v>
      </c>
      <c r="DC256" s="7">
        <f t="shared" si="1361"/>
        <v>0</v>
      </c>
      <c r="DD256" s="573">
        <f t="shared" si="1361"/>
        <v>0</v>
      </c>
      <c r="DE256" s="1181">
        <f t="shared" si="1361"/>
        <v>0</v>
      </c>
      <c r="DG256" s="1231">
        <f t="shared" ref="DG256:DS256" si="1362">SUM(DG253:DG255)</f>
        <v>0</v>
      </c>
      <c r="DH256" s="7">
        <f t="shared" si="1362"/>
        <v>0</v>
      </c>
      <c r="DI256" s="573">
        <f t="shared" si="1362"/>
        <v>0</v>
      </c>
      <c r="DJ256" s="1231">
        <f t="shared" si="1362"/>
        <v>0</v>
      </c>
      <c r="DK256" s="7">
        <f t="shared" si="1362"/>
        <v>0</v>
      </c>
      <c r="DL256" s="573">
        <f t="shared" si="1362"/>
        <v>0</v>
      </c>
      <c r="DM256" s="1231">
        <f t="shared" si="1362"/>
        <v>0</v>
      </c>
      <c r="DN256" s="7">
        <f t="shared" si="1362"/>
        <v>0</v>
      </c>
      <c r="DO256" s="573">
        <f t="shared" si="1362"/>
        <v>0</v>
      </c>
      <c r="DP256" s="1231">
        <f t="shared" si="1362"/>
        <v>0</v>
      </c>
      <c r="DQ256" s="7">
        <f t="shared" si="1362"/>
        <v>0</v>
      </c>
      <c r="DR256" s="573">
        <f t="shared" si="1362"/>
        <v>0</v>
      </c>
      <c r="DS256" s="1181">
        <f t="shared" si="1362"/>
        <v>0</v>
      </c>
      <c r="DU256" s="1231">
        <f t="shared" ref="DU256:EG256" si="1363">SUM(DU253:DU255)</f>
        <v>0</v>
      </c>
      <c r="DV256" s="7">
        <f t="shared" si="1363"/>
        <v>0</v>
      </c>
      <c r="DW256" s="573">
        <f t="shared" si="1363"/>
        <v>0</v>
      </c>
      <c r="DX256" s="1231">
        <f t="shared" si="1363"/>
        <v>0</v>
      </c>
      <c r="DY256" s="7">
        <f t="shared" si="1363"/>
        <v>0</v>
      </c>
      <c r="DZ256" s="573">
        <f t="shared" si="1363"/>
        <v>0</v>
      </c>
      <c r="EA256" s="1231">
        <f t="shared" si="1363"/>
        <v>0</v>
      </c>
      <c r="EB256" s="7">
        <f t="shared" si="1363"/>
        <v>0</v>
      </c>
      <c r="EC256" s="573">
        <f t="shared" si="1363"/>
        <v>0</v>
      </c>
      <c r="ED256" s="1231">
        <f t="shared" si="1363"/>
        <v>0</v>
      </c>
      <c r="EE256" s="7">
        <f t="shared" si="1363"/>
        <v>0</v>
      </c>
      <c r="EF256" s="573">
        <f t="shared" si="1363"/>
        <v>0</v>
      </c>
      <c r="EG256" s="1181">
        <f t="shared" si="1363"/>
        <v>0</v>
      </c>
      <c r="EI256" s="480"/>
      <c r="EJ256" s="1854"/>
      <c r="EK256" s="1613" t="s">
        <v>501</v>
      </c>
      <c r="EL256" s="1614">
        <f t="shared" ref="EL256:EQ256" ca="1" si="1364">SUM(EL253:EL255)</f>
        <v>0</v>
      </c>
      <c r="EM256" s="1614">
        <f t="shared" ca="1" si="1364"/>
        <v>0</v>
      </c>
      <c r="EN256" s="1614">
        <f t="shared" ca="1" si="1364"/>
        <v>0</v>
      </c>
      <c r="EO256" s="1614">
        <f t="shared" ca="1" si="1364"/>
        <v>0</v>
      </c>
      <c r="EP256" s="1614">
        <f t="shared" ca="1" si="1364"/>
        <v>0</v>
      </c>
      <c r="EQ256" s="1614">
        <f t="shared" ca="1" si="1364"/>
        <v>0</v>
      </c>
      <c r="ER256" s="1615">
        <f t="shared" ca="1" si="1307"/>
        <v>0</v>
      </c>
      <c r="ES256" s="13">
        <f ca="1">SUM(ER253:ER255)</f>
        <v>0</v>
      </c>
      <c r="ET256" s="13"/>
      <c r="EU256" s="9"/>
      <c r="EV256" s="1629">
        <f t="shared" ref="EV256:FB256" si="1365">SUM(EV253:EV255)</f>
        <v>0</v>
      </c>
      <c r="EW256" s="1629">
        <f t="shared" si="1365"/>
        <v>0</v>
      </c>
      <c r="EX256" s="1629">
        <f t="shared" si="1365"/>
        <v>0</v>
      </c>
      <c r="EY256" s="1629">
        <f t="shared" si="1365"/>
        <v>0</v>
      </c>
      <c r="EZ256" s="1629">
        <f t="shared" si="1365"/>
        <v>0</v>
      </c>
      <c r="FA256" s="1629">
        <f t="shared" si="1365"/>
        <v>0</v>
      </c>
      <c r="FB256" s="1628">
        <f t="shared" si="1365"/>
        <v>0</v>
      </c>
      <c r="FC256" s="1"/>
      <c r="FD256" s="1629">
        <f t="shared" ref="FD256:FJ256" si="1366">SUM(FD253:FD255)</f>
        <v>0</v>
      </c>
      <c r="FE256" s="1629">
        <f t="shared" si="1366"/>
        <v>0</v>
      </c>
      <c r="FF256" s="1629">
        <f t="shared" si="1366"/>
        <v>0</v>
      </c>
      <c r="FG256" s="1629">
        <f t="shared" si="1366"/>
        <v>0</v>
      </c>
      <c r="FH256" s="1629">
        <f t="shared" si="1366"/>
        <v>0</v>
      </c>
      <c r="FI256" s="1629">
        <f t="shared" si="1366"/>
        <v>0</v>
      </c>
      <c r="FJ256" s="1628">
        <f t="shared" si="1366"/>
        <v>0</v>
      </c>
      <c r="FL256" s="1629">
        <f t="shared" ref="FL256:FR256" si="1367">SUM(FL253:FL255)</f>
        <v>0</v>
      </c>
      <c r="FM256" s="1629">
        <f t="shared" si="1367"/>
        <v>0</v>
      </c>
      <c r="FN256" s="1629">
        <f t="shared" si="1367"/>
        <v>0</v>
      </c>
      <c r="FO256" s="1629">
        <f t="shared" si="1367"/>
        <v>0</v>
      </c>
      <c r="FP256" s="1629">
        <f t="shared" si="1367"/>
        <v>0</v>
      </c>
      <c r="FQ256" s="1629">
        <f t="shared" si="1367"/>
        <v>0</v>
      </c>
      <c r="FR256" s="1628">
        <f t="shared" si="1367"/>
        <v>0</v>
      </c>
      <c r="FT256" s="7">
        <f t="shared" ref="FT256:FZ256" si="1368">SUM(FT253:FT255)</f>
        <v>0</v>
      </c>
      <c r="FU256" s="7">
        <f t="shared" si="1368"/>
        <v>0</v>
      </c>
      <c r="FV256" s="7">
        <f t="shared" si="1368"/>
        <v>0</v>
      </c>
      <c r="FW256" s="7">
        <f t="shared" si="1368"/>
        <v>0</v>
      </c>
      <c r="FX256" s="7">
        <f t="shared" si="1368"/>
        <v>0</v>
      </c>
      <c r="FY256" s="7">
        <f t="shared" si="1368"/>
        <v>0</v>
      </c>
      <c r="FZ256" s="12">
        <f t="shared" si="1368"/>
        <v>0</v>
      </c>
      <c r="GB256" s="7">
        <f t="shared" ref="GB256:GH256" si="1369">SUM(GB253:GB255)</f>
        <v>0</v>
      </c>
      <c r="GC256" s="7">
        <f t="shared" si="1369"/>
        <v>0</v>
      </c>
      <c r="GD256" s="7">
        <f t="shared" si="1369"/>
        <v>0</v>
      </c>
      <c r="GE256" s="7">
        <f t="shared" si="1369"/>
        <v>0</v>
      </c>
      <c r="GF256" s="7">
        <f t="shared" si="1369"/>
        <v>0</v>
      </c>
      <c r="GG256" s="7">
        <f t="shared" si="1369"/>
        <v>0</v>
      </c>
      <c r="GH256" s="12">
        <f t="shared" si="1369"/>
        <v>0</v>
      </c>
      <c r="GJ256" s="7">
        <f t="shared" ref="GJ256:GP256" si="1370">SUM(GJ253:GJ255)</f>
        <v>0</v>
      </c>
      <c r="GK256" s="7">
        <f t="shared" si="1370"/>
        <v>0</v>
      </c>
      <c r="GL256" s="7">
        <f t="shared" si="1370"/>
        <v>0</v>
      </c>
      <c r="GM256" s="7">
        <f t="shared" si="1370"/>
        <v>0</v>
      </c>
      <c r="GN256" s="7">
        <f t="shared" si="1370"/>
        <v>0</v>
      </c>
      <c r="GO256" s="7">
        <f t="shared" si="1370"/>
        <v>0</v>
      </c>
      <c r="GP256" s="12">
        <f t="shared" si="1370"/>
        <v>0</v>
      </c>
      <c r="GR256" s="7">
        <f t="shared" ref="GR256:GX256" si="1371">SUM(GR253:GR255)</f>
        <v>0</v>
      </c>
      <c r="GS256" s="7">
        <f t="shared" si="1371"/>
        <v>0</v>
      </c>
      <c r="GT256" s="7">
        <f t="shared" si="1371"/>
        <v>0</v>
      </c>
      <c r="GU256" s="7">
        <f t="shared" si="1371"/>
        <v>0</v>
      </c>
      <c r="GV256" s="7">
        <f t="shared" si="1371"/>
        <v>0</v>
      </c>
      <c r="GW256" s="7">
        <f t="shared" si="1371"/>
        <v>0</v>
      </c>
      <c r="GX256" s="12">
        <f t="shared" si="1371"/>
        <v>0</v>
      </c>
      <c r="GZ256" s="589">
        <f t="shared" si="1296"/>
        <v>0</v>
      </c>
      <c r="HA256" s="589">
        <f t="shared" si="1297"/>
        <v>0</v>
      </c>
      <c r="HB256" s="589">
        <f t="shared" si="1298"/>
        <v>0</v>
      </c>
      <c r="HC256" s="589">
        <f t="shared" si="1299"/>
        <v>0</v>
      </c>
      <c r="HD256" s="589">
        <f t="shared" si="1300"/>
        <v>0</v>
      </c>
      <c r="HE256" s="589">
        <f t="shared" si="1301"/>
        <v>0</v>
      </c>
      <c r="HF256" s="589">
        <f t="shared" si="1302"/>
        <v>0</v>
      </c>
      <c r="HG256" s="590">
        <f t="shared" ca="1" si="1303"/>
        <v>0</v>
      </c>
      <c r="HH256" s="257"/>
    </row>
    <row r="257" spans="1:216" ht="15" hidden="1" customHeight="1" x14ac:dyDescent="0.25">
      <c r="A257" s="480"/>
      <c r="B257" s="3308" t="str">
        <f>'Calc - GRAD ASST'!A238</f>
        <v>GA #09 / Sponsor Funds</v>
      </c>
      <c r="C257" s="483" t="s">
        <v>57</v>
      </c>
      <c r="D257" s="86">
        <f ca="1">'Calc - GRAD ASST'!$J$252</f>
        <v>0</v>
      </c>
      <c r="E257" s="86">
        <f ca="1">'Calc - GRAD ASST'!$J$254</f>
        <v>0</v>
      </c>
      <c r="F257" s="86">
        <f ca="1">'Calc - GRAD ASST'!$J$256</f>
        <v>0</v>
      </c>
      <c r="G257" s="86">
        <f ca="1">'Calc - GRAD ASST'!$J$258</f>
        <v>0</v>
      </c>
      <c r="H257" s="86">
        <f ca="1">'Calc - GRAD ASST'!$J$260</f>
        <v>0</v>
      </c>
      <c r="I257" s="86">
        <f ca="1">'Calc - GRAD ASST'!$J$262</f>
        <v>0</v>
      </c>
      <c r="J257" s="87">
        <f ca="1">SUM(D257:I257)</f>
        <v>0</v>
      </c>
      <c r="K257" s="9"/>
      <c r="M257" s="9"/>
      <c r="N257" s="5"/>
      <c r="O257" s="5"/>
      <c r="P257" s="5"/>
      <c r="Q257" s="5"/>
      <c r="R257" s="5"/>
      <c r="S257" s="5"/>
      <c r="T257" s="167">
        <f>SUM(N257:S257)</f>
        <v>0</v>
      </c>
      <c r="U257" s="1"/>
      <c r="V257" s="5"/>
      <c r="W257" s="5"/>
      <c r="X257" s="5"/>
      <c r="Y257" s="5"/>
      <c r="Z257" s="5"/>
      <c r="AA257" s="5"/>
      <c r="AB257" s="48">
        <f>SUM(V257:AA257)</f>
        <v>0</v>
      </c>
      <c r="AD257" s="5"/>
      <c r="AE257" s="5"/>
      <c r="AF257" s="5"/>
      <c r="AG257" s="5"/>
      <c r="AH257" s="5"/>
      <c r="AI257" s="5"/>
      <c r="AJ257" s="209">
        <f>SUM(AD257:AI257)</f>
        <v>0</v>
      </c>
      <c r="AL257" s="5"/>
      <c r="AM257" s="5"/>
      <c r="AN257" s="5"/>
      <c r="AO257" s="5"/>
      <c r="AP257" s="5"/>
      <c r="AQ257" s="5"/>
      <c r="AR257" s="181">
        <f>SUM(AL257:AQ257)</f>
        <v>0</v>
      </c>
      <c r="AT257" s="5"/>
      <c r="AU257" s="5"/>
      <c r="AV257" s="5"/>
      <c r="AW257" s="5"/>
      <c r="AX257" s="5"/>
      <c r="AY257" s="5"/>
      <c r="AZ257" s="153">
        <f>SUM(AT257:AY257)</f>
        <v>0</v>
      </c>
      <c r="BB257" s="5"/>
      <c r="BC257" s="5"/>
      <c r="BD257" s="5"/>
      <c r="BE257" s="5"/>
      <c r="BF257" s="5"/>
      <c r="BG257" s="5"/>
      <c r="BH257" s="195">
        <f>SUM(BB257:BG257)</f>
        <v>0</v>
      </c>
      <c r="BJ257" s="5"/>
      <c r="BK257" s="5"/>
      <c r="BL257" s="5"/>
      <c r="BM257" s="5"/>
      <c r="BN257" s="5"/>
      <c r="BO257" s="5"/>
      <c r="BP257" s="1630">
        <f>SUM(BJ257:BO257)</f>
        <v>0</v>
      </c>
      <c r="BR257" s="575">
        <f t="shared" si="1276"/>
        <v>0</v>
      </c>
      <c r="BS257" s="575">
        <f t="shared" si="1277"/>
        <v>0</v>
      </c>
      <c r="BT257" s="575">
        <f t="shared" si="1278"/>
        <v>0</v>
      </c>
      <c r="BU257" s="575">
        <f t="shared" si="1279"/>
        <v>0</v>
      </c>
      <c r="BV257" s="575">
        <f t="shared" si="1280"/>
        <v>0</v>
      </c>
      <c r="BW257" s="575">
        <f t="shared" si="1281"/>
        <v>0</v>
      </c>
      <c r="BX257" s="991">
        <f t="shared" si="1282"/>
        <v>0</v>
      </c>
      <c r="BY257" s="573">
        <f t="shared" ca="1" si="1283"/>
        <v>0</v>
      </c>
      <c r="BZ257" s="257"/>
      <c r="CB257" s="1322">
        <f ca="1">D257</f>
        <v>0</v>
      </c>
      <c r="CC257" s="386">
        <f ca="1">$E257/3</f>
        <v>0</v>
      </c>
      <c r="CD257" s="360">
        <f ca="1">$E257/3</f>
        <v>0</v>
      </c>
      <c r="CE257" s="360">
        <f ca="1">$E257/3</f>
        <v>0</v>
      </c>
      <c r="CF257" s="360"/>
      <c r="CG257" s="1161">
        <v>0</v>
      </c>
      <c r="CH257" s="1241">
        <f ca="1">$F257/3</f>
        <v>0</v>
      </c>
      <c r="CI257" s="1163">
        <f ca="1">$F257/3</f>
        <v>0</v>
      </c>
      <c r="CJ257" s="1163">
        <f ca="1">$F257/3</f>
        <v>0</v>
      </c>
      <c r="CK257" s="1163"/>
      <c r="CL257" s="1164"/>
      <c r="CM257" s="1165">
        <f ca="1">$G257/3</f>
        <v>0</v>
      </c>
      <c r="CN257" s="1242">
        <f ca="1">$G257/3</f>
        <v>0</v>
      </c>
      <c r="CO257" s="1167">
        <f ca="1">$G257/3</f>
        <v>0</v>
      </c>
      <c r="CP257" s="1168">
        <f t="shared" ca="1" si="1306"/>
        <v>0</v>
      </c>
      <c r="CS257" s="575"/>
      <c r="CT257" s="5"/>
      <c r="CU257" s="1180"/>
      <c r="CV257" s="575"/>
      <c r="CW257" s="5"/>
      <c r="CX257" s="1180"/>
      <c r="CY257" s="575"/>
      <c r="CZ257" s="5"/>
      <c r="DA257" s="1180"/>
      <c r="DB257" s="575"/>
      <c r="DC257" s="5"/>
      <c r="DD257" s="1180"/>
      <c r="DE257" s="1181">
        <f>SUM(CS257:DD257)</f>
        <v>0</v>
      </c>
      <c r="DG257" s="575"/>
      <c r="DH257" s="5"/>
      <c r="DI257" s="1180"/>
      <c r="DJ257" s="575"/>
      <c r="DK257" s="5"/>
      <c r="DL257" s="1180"/>
      <c r="DM257" s="575"/>
      <c r="DN257" s="5"/>
      <c r="DO257" s="1180"/>
      <c r="DP257" s="575"/>
      <c r="DQ257" s="5"/>
      <c r="DR257" s="1180"/>
      <c r="DS257" s="1181">
        <f>SUM(DG257:DR257)</f>
        <v>0</v>
      </c>
      <c r="DU257" s="575"/>
      <c r="DV257" s="5"/>
      <c r="DW257" s="1180"/>
      <c r="DX257" s="575"/>
      <c r="DY257" s="5"/>
      <c r="DZ257" s="1180"/>
      <c r="EA257" s="575"/>
      <c r="EB257" s="5"/>
      <c r="EC257" s="1180"/>
      <c r="ED257" s="575"/>
      <c r="EE257" s="5"/>
      <c r="EF257" s="1180"/>
      <c r="EG257" s="1181">
        <f>SUM(DU257:EF257)</f>
        <v>0</v>
      </c>
      <c r="EI257" s="480"/>
      <c r="EJ257" s="3308" t="str">
        <f>B257</f>
        <v>GA #09 / Sponsor Funds</v>
      </c>
      <c r="EK257" s="483" t="s">
        <v>57</v>
      </c>
      <c r="EL257" s="86">
        <f t="shared" ref="EL257:EQ259" ca="1" si="1372">ROUND(D257,0)</f>
        <v>0</v>
      </c>
      <c r="EM257" s="86">
        <f t="shared" ca="1" si="1372"/>
        <v>0</v>
      </c>
      <c r="EN257" s="86">
        <f t="shared" ca="1" si="1372"/>
        <v>0</v>
      </c>
      <c r="EO257" s="86">
        <f t="shared" ca="1" si="1372"/>
        <v>0</v>
      </c>
      <c r="EP257" s="86">
        <f t="shared" ca="1" si="1372"/>
        <v>0</v>
      </c>
      <c r="EQ257" s="86">
        <f t="shared" ca="1" si="1372"/>
        <v>0</v>
      </c>
      <c r="ER257" s="87">
        <f t="shared" ca="1" si="1307"/>
        <v>0</v>
      </c>
      <c r="ES257" s="9"/>
      <c r="EU257" s="9"/>
      <c r="EV257" s="5">
        <f t="shared" ref="EV257:FA259" si="1373">ROUND(N257,0)</f>
        <v>0</v>
      </c>
      <c r="EW257" s="5">
        <f t="shared" si="1373"/>
        <v>0</v>
      </c>
      <c r="EX257" s="5">
        <f t="shared" si="1373"/>
        <v>0</v>
      </c>
      <c r="EY257" s="5">
        <f t="shared" si="1373"/>
        <v>0</v>
      </c>
      <c r="EZ257" s="5">
        <f t="shared" si="1373"/>
        <v>0</v>
      </c>
      <c r="FA257" s="5">
        <f t="shared" si="1373"/>
        <v>0</v>
      </c>
      <c r="FB257" s="167">
        <f>SUM(EV257:FA257)</f>
        <v>0</v>
      </c>
      <c r="FC257" s="1"/>
      <c r="FD257" s="5"/>
      <c r="FE257" s="5"/>
      <c r="FF257" s="5"/>
      <c r="FG257" s="5"/>
      <c r="FH257" s="5"/>
      <c r="FI257" s="5"/>
      <c r="FJ257" s="48">
        <f>SUM(FD257:FI257)</f>
        <v>0</v>
      </c>
      <c r="FL257" s="5"/>
      <c r="FM257" s="5"/>
      <c r="FN257" s="5"/>
      <c r="FO257" s="5"/>
      <c r="FP257" s="5"/>
      <c r="FQ257" s="5"/>
      <c r="FR257" s="209">
        <f>SUM(FL257:FQ257)</f>
        <v>0</v>
      </c>
      <c r="FT257" s="5"/>
      <c r="FU257" s="5"/>
      <c r="FV257" s="5"/>
      <c r="FW257" s="5"/>
      <c r="FX257" s="5"/>
      <c r="FY257" s="5"/>
      <c r="FZ257" s="181">
        <f>SUM(FT257:FY257)</f>
        <v>0</v>
      </c>
      <c r="GB257" s="5"/>
      <c r="GC257" s="5"/>
      <c r="GD257" s="5"/>
      <c r="GE257" s="5"/>
      <c r="GF257" s="5"/>
      <c r="GG257" s="5"/>
      <c r="GH257" s="153">
        <f>SUM(GB257:GG257)</f>
        <v>0</v>
      </c>
      <c r="GJ257" s="5"/>
      <c r="GK257" s="5"/>
      <c r="GL257" s="5"/>
      <c r="GM257" s="5"/>
      <c r="GN257" s="5"/>
      <c r="GO257" s="5"/>
      <c r="GP257" s="195">
        <f>SUM(GJ257:GO257)</f>
        <v>0</v>
      </c>
      <c r="GR257" s="5"/>
      <c r="GS257" s="5"/>
      <c r="GT257" s="5"/>
      <c r="GU257" s="5"/>
      <c r="GV257" s="5"/>
      <c r="GW257" s="5"/>
      <c r="GX257" s="1630">
        <f>SUM(GR257:GW257)</f>
        <v>0</v>
      </c>
      <c r="GZ257" s="575">
        <f t="shared" si="1296"/>
        <v>0</v>
      </c>
      <c r="HA257" s="575">
        <f t="shared" si="1297"/>
        <v>0</v>
      </c>
      <c r="HB257" s="575">
        <f t="shared" si="1298"/>
        <v>0</v>
      </c>
      <c r="HC257" s="575">
        <f t="shared" si="1299"/>
        <v>0</v>
      </c>
      <c r="HD257" s="575">
        <f t="shared" si="1300"/>
        <v>0</v>
      </c>
      <c r="HE257" s="575">
        <f t="shared" si="1301"/>
        <v>0</v>
      </c>
      <c r="HF257" s="991">
        <f t="shared" si="1302"/>
        <v>0</v>
      </c>
      <c r="HG257" s="573">
        <f t="shared" ca="1" si="1303"/>
        <v>0</v>
      </c>
      <c r="HH257" s="257"/>
    </row>
    <row r="258" spans="1:216" ht="15" hidden="1" customHeight="1" x14ac:dyDescent="0.25">
      <c r="A258" s="480"/>
      <c r="B258" s="3309"/>
      <c r="C258" s="78" t="s">
        <v>96</v>
      </c>
      <c r="D258" s="29">
        <f ca="1">'Calc - GRAD ASST'!$E$252</f>
        <v>0</v>
      </c>
      <c r="E258" s="29">
        <f ca="1">'Calc - GRAD ASST'!$E$254</f>
        <v>0</v>
      </c>
      <c r="F258" s="29">
        <f ca="1">'Calc - GRAD ASST'!$E$256</f>
        <v>0</v>
      </c>
      <c r="G258" s="29">
        <f ca="1">'Calc - GRAD ASST'!$E$258</f>
        <v>0</v>
      </c>
      <c r="H258" s="29">
        <f ca="1">'Calc - GRAD ASST'!$E$260</f>
        <v>0</v>
      </c>
      <c r="I258" s="29">
        <f ca="1">'Calc - GRAD ASST'!$E$262</f>
        <v>0</v>
      </c>
      <c r="J258" s="88">
        <f ca="1">SUM(D258:I258)</f>
        <v>0</v>
      </c>
      <c r="L258" s="9"/>
      <c r="M258" s="9"/>
      <c r="N258" s="29"/>
      <c r="O258" s="29"/>
      <c r="P258" s="29"/>
      <c r="Q258" s="29"/>
      <c r="R258" s="29"/>
      <c r="S258" s="29"/>
      <c r="T258" s="167">
        <f>SUM(N258:S258)</f>
        <v>0</v>
      </c>
      <c r="U258" s="1"/>
      <c r="V258" s="29"/>
      <c r="W258" s="29"/>
      <c r="X258" s="29"/>
      <c r="Y258" s="29"/>
      <c r="Z258" s="29"/>
      <c r="AA258" s="29"/>
      <c r="AB258" s="48">
        <f>SUM(V258:AA258)</f>
        <v>0</v>
      </c>
      <c r="AD258" s="29"/>
      <c r="AE258" s="29"/>
      <c r="AF258" s="29"/>
      <c r="AG258" s="29"/>
      <c r="AH258" s="29"/>
      <c r="AI258" s="29"/>
      <c r="AJ258" s="209">
        <f>SUM(AD258:AI258)</f>
        <v>0</v>
      </c>
      <c r="AL258" s="29"/>
      <c r="AM258" s="29"/>
      <c r="AN258" s="29"/>
      <c r="AO258" s="29"/>
      <c r="AP258" s="29"/>
      <c r="AQ258" s="29"/>
      <c r="AR258" s="181">
        <f>SUM(AL258:AQ258)</f>
        <v>0</v>
      </c>
      <c r="AT258" s="29"/>
      <c r="AU258" s="29"/>
      <c r="AV258" s="29"/>
      <c r="AW258" s="29"/>
      <c r="AX258" s="29"/>
      <c r="AY258" s="29"/>
      <c r="AZ258" s="153">
        <f>SUM(AT258:AY258)</f>
        <v>0</v>
      </c>
      <c r="BB258" s="29"/>
      <c r="BC258" s="29"/>
      <c r="BD258" s="29"/>
      <c r="BE258" s="29"/>
      <c r="BF258" s="29"/>
      <c r="BG258" s="29"/>
      <c r="BH258" s="195">
        <f>SUM(BB258:BG258)</f>
        <v>0</v>
      </c>
      <c r="BJ258" s="29"/>
      <c r="BK258" s="29"/>
      <c r="BL258" s="29"/>
      <c r="BM258" s="29"/>
      <c r="BN258" s="29"/>
      <c r="BO258" s="29"/>
      <c r="BP258" s="1630">
        <f>SUM(BJ258:BO258)</f>
        <v>0</v>
      </c>
      <c r="BR258" s="575">
        <f t="shared" si="1276"/>
        <v>0</v>
      </c>
      <c r="BS258" s="575">
        <f t="shared" si="1277"/>
        <v>0</v>
      </c>
      <c r="BT258" s="575">
        <f t="shared" si="1278"/>
        <v>0</v>
      </c>
      <c r="BU258" s="575">
        <f t="shared" si="1279"/>
        <v>0</v>
      </c>
      <c r="BV258" s="575">
        <f t="shared" si="1280"/>
        <v>0</v>
      </c>
      <c r="BW258" s="575">
        <f t="shared" si="1281"/>
        <v>0</v>
      </c>
      <c r="BX258" s="991">
        <f t="shared" si="1282"/>
        <v>0</v>
      </c>
      <c r="BY258" s="573">
        <f t="shared" ca="1" si="1283"/>
        <v>0</v>
      </c>
      <c r="BZ258" s="257"/>
      <c r="CB258" s="1350">
        <f ca="1">D258</f>
        <v>0</v>
      </c>
      <c r="CC258" s="1268"/>
      <c r="CD258" s="1269"/>
      <c r="CE258" s="1269"/>
      <c r="CF258" s="1269"/>
      <c r="CG258" s="1270">
        <f ca="1">E258</f>
        <v>0</v>
      </c>
      <c r="CH258" s="1271"/>
      <c r="CI258" s="1272"/>
      <c r="CJ258" s="1272"/>
      <c r="CK258" s="1272"/>
      <c r="CL258" s="1273">
        <f ca="1">F258</f>
        <v>0</v>
      </c>
      <c r="CM258" s="1274"/>
      <c r="CN258" s="1275"/>
      <c r="CO258" s="1276"/>
      <c r="CP258" s="1224">
        <f t="shared" ca="1" si="1306"/>
        <v>0</v>
      </c>
      <c r="CS258" s="575"/>
      <c r="CT258" s="5"/>
      <c r="CU258" s="1180"/>
      <c r="CV258" s="575"/>
      <c r="CW258" s="5"/>
      <c r="CX258" s="1180"/>
      <c r="CY258" s="575"/>
      <c r="CZ258" s="5"/>
      <c r="DA258" s="1180"/>
      <c r="DB258" s="575"/>
      <c r="DC258" s="5"/>
      <c r="DD258" s="1180"/>
      <c r="DE258" s="1181">
        <f>SUM(CS258:DD258)</f>
        <v>0</v>
      </c>
      <c r="DG258" s="575"/>
      <c r="DH258" s="5"/>
      <c r="DI258" s="1180"/>
      <c r="DJ258" s="575"/>
      <c r="DK258" s="5"/>
      <c r="DL258" s="1180"/>
      <c r="DM258" s="575"/>
      <c r="DN258" s="5"/>
      <c r="DO258" s="1180"/>
      <c r="DP258" s="575"/>
      <c r="DQ258" s="5"/>
      <c r="DR258" s="1180"/>
      <c r="DS258" s="1181">
        <f>SUM(DG258:DR258)</f>
        <v>0</v>
      </c>
      <c r="DU258" s="575"/>
      <c r="DV258" s="5"/>
      <c r="DW258" s="1180"/>
      <c r="DX258" s="575"/>
      <c r="DY258" s="5"/>
      <c r="DZ258" s="1180"/>
      <c r="EA258" s="575"/>
      <c r="EB258" s="5"/>
      <c r="EC258" s="1180"/>
      <c r="ED258" s="575"/>
      <c r="EE258" s="5"/>
      <c r="EF258" s="1180"/>
      <c r="EG258" s="1181">
        <f>SUM(DU258:EF258)</f>
        <v>0</v>
      </c>
      <c r="EI258" s="480"/>
      <c r="EJ258" s="3309"/>
      <c r="EK258" s="78" t="s">
        <v>96</v>
      </c>
      <c r="EL258" s="29">
        <f t="shared" ca="1" si="1372"/>
        <v>0</v>
      </c>
      <c r="EM258" s="29">
        <f t="shared" ca="1" si="1372"/>
        <v>0</v>
      </c>
      <c r="EN258" s="29">
        <f t="shared" ca="1" si="1372"/>
        <v>0</v>
      </c>
      <c r="EO258" s="29">
        <f t="shared" ca="1" si="1372"/>
        <v>0</v>
      </c>
      <c r="EP258" s="29">
        <f t="shared" ca="1" si="1372"/>
        <v>0</v>
      </c>
      <c r="EQ258" s="29">
        <f t="shared" ca="1" si="1372"/>
        <v>0</v>
      </c>
      <c r="ER258" s="88">
        <f t="shared" ca="1" si="1307"/>
        <v>0</v>
      </c>
      <c r="ET258" s="9"/>
      <c r="EU258" s="9"/>
      <c r="EV258" s="29">
        <f t="shared" si="1373"/>
        <v>0</v>
      </c>
      <c r="EW258" s="29">
        <f t="shared" si="1373"/>
        <v>0</v>
      </c>
      <c r="EX258" s="29">
        <f t="shared" si="1373"/>
        <v>0</v>
      </c>
      <c r="EY258" s="29">
        <f t="shared" si="1373"/>
        <v>0</v>
      </c>
      <c r="EZ258" s="29">
        <f t="shared" si="1373"/>
        <v>0</v>
      </c>
      <c r="FA258" s="29">
        <f t="shared" si="1373"/>
        <v>0</v>
      </c>
      <c r="FB258" s="167">
        <f>SUM(EV258:FA258)</f>
        <v>0</v>
      </c>
      <c r="FC258" s="1"/>
      <c r="FD258" s="29"/>
      <c r="FE258" s="29"/>
      <c r="FF258" s="29"/>
      <c r="FG258" s="29"/>
      <c r="FH258" s="29"/>
      <c r="FI258" s="29"/>
      <c r="FJ258" s="48">
        <f>SUM(FD258:FI258)</f>
        <v>0</v>
      </c>
      <c r="FL258" s="29"/>
      <c r="FM258" s="29"/>
      <c r="FN258" s="29"/>
      <c r="FO258" s="29"/>
      <c r="FP258" s="29"/>
      <c r="FQ258" s="29"/>
      <c r="FR258" s="209">
        <f>SUM(FL258:FQ258)</f>
        <v>0</v>
      </c>
      <c r="FT258" s="29"/>
      <c r="FU258" s="29"/>
      <c r="FV258" s="29"/>
      <c r="FW258" s="29"/>
      <c r="FX258" s="29"/>
      <c r="FY258" s="29"/>
      <c r="FZ258" s="181">
        <f>SUM(FT258:FY258)</f>
        <v>0</v>
      </c>
      <c r="GB258" s="29"/>
      <c r="GC258" s="29"/>
      <c r="GD258" s="29"/>
      <c r="GE258" s="29"/>
      <c r="GF258" s="29"/>
      <c r="GG258" s="29"/>
      <c r="GH258" s="153">
        <f>SUM(GB258:GG258)</f>
        <v>0</v>
      </c>
      <c r="GJ258" s="29"/>
      <c r="GK258" s="29"/>
      <c r="GL258" s="29"/>
      <c r="GM258" s="29"/>
      <c r="GN258" s="29"/>
      <c r="GO258" s="29"/>
      <c r="GP258" s="195">
        <f>SUM(GJ258:GO258)</f>
        <v>0</v>
      </c>
      <c r="GR258" s="29"/>
      <c r="GS258" s="29"/>
      <c r="GT258" s="29"/>
      <c r="GU258" s="29"/>
      <c r="GV258" s="29"/>
      <c r="GW258" s="29"/>
      <c r="GX258" s="1630">
        <f>SUM(GR258:GW258)</f>
        <v>0</v>
      </c>
      <c r="GZ258" s="575">
        <f t="shared" si="1296"/>
        <v>0</v>
      </c>
      <c r="HA258" s="575">
        <f t="shared" si="1297"/>
        <v>0</v>
      </c>
      <c r="HB258" s="575">
        <f t="shared" si="1298"/>
        <v>0</v>
      </c>
      <c r="HC258" s="575">
        <f t="shared" si="1299"/>
        <v>0</v>
      </c>
      <c r="HD258" s="575">
        <f t="shared" si="1300"/>
        <v>0</v>
      </c>
      <c r="HE258" s="575">
        <f t="shared" si="1301"/>
        <v>0</v>
      </c>
      <c r="HF258" s="991">
        <f t="shared" si="1302"/>
        <v>0</v>
      </c>
      <c r="HG258" s="573">
        <f t="shared" ca="1" si="1303"/>
        <v>0</v>
      </c>
      <c r="HH258" s="257"/>
    </row>
    <row r="259" spans="1:216" ht="15" hidden="1" customHeight="1" thickBot="1" x14ac:dyDescent="0.3">
      <c r="A259" s="480"/>
      <c r="B259" s="1855">
        <f>'Calc - GRAD ASST'!C239</f>
        <v>0</v>
      </c>
      <c r="C259" s="420" t="s">
        <v>130</v>
      </c>
      <c r="D259" s="42">
        <f ca="1">'Calc - GRAD ASST'!$M$252</f>
        <v>0</v>
      </c>
      <c r="E259" s="42">
        <f ca="1">'Calc - GRAD ASST'!$M$254</f>
        <v>0</v>
      </c>
      <c r="F259" s="42">
        <f ca="1">'Calc - GRAD ASST'!$M$256</f>
        <v>0</v>
      </c>
      <c r="G259" s="42">
        <f ca="1">'Calc - GRAD ASST'!$M$258</f>
        <v>0</v>
      </c>
      <c r="H259" s="42">
        <f ca="1">'Calc - GRAD ASST'!$M$260</f>
        <v>0</v>
      </c>
      <c r="I259" s="42">
        <f ca="1">'Calc - GRAD ASST'!$M$262</f>
        <v>0</v>
      </c>
      <c r="J259" s="90">
        <f ca="1">SUM(D259:I259)</f>
        <v>0</v>
      </c>
      <c r="K259" s="9"/>
      <c r="L259" s="9"/>
      <c r="M259" s="9"/>
      <c r="N259" s="5"/>
      <c r="O259" s="5"/>
      <c r="P259" s="5"/>
      <c r="Q259" s="5"/>
      <c r="R259" s="5"/>
      <c r="S259" s="5"/>
      <c r="T259" s="167">
        <f>SUM(N259:S259)</f>
        <v>0</v>
      </c>
      <c r="U259" s="1"/>
      <c r="V259" s="5"/>
      <c r="W259" s="5"/>
      <c r="X259" s="5"/>
      <c r="Y259" s="5"/>
      <c r="Z259" s="5"/>
      <c r="AA259" s="5"/>
      <c r="AB259" s="48">
        <f>SUM(V259:AA259)</f>
        <v>0</v>
      </c>
      <c r="AD259" s="5"/>
      <c r="AE259" s="5"/>
      <c r="AF259" s="5"/>
      <c r="AG259" s="5"/>
      <c r="AH259" s="5"/>
      <c r="AI259" s="5"/>
      <c r="AJ259" s="209">
        <f>SUM(AD259:AI259)</f>
        <v>0</v>
      </c>
      <c r="AL259" s="5"/>
      <c r="AM259" s="5"/>
      <c r="AN259" s="5"/>
      <c r="AO259" s="5"/>
      <c r="AP259" s="5"/>
      <c r="AQ259" s="5"/>
      <c r="AR259" s="181">
        <f>SUM(AL259:AQ259)</f>
        <v>0</v>
      </c>
      <c r="AT259" s="5"/>
      <c r="AU259" s="5"/>
      <c r="AV259" s="5"/>
      <c r="AW259" s="5"/>
      <c r="AX259" s="5"/>
      <c r="AY259" s="5"/>
      <c r="AZ259" s="153">
        <f>SUM(AT259:AY259)</f>
        <v>0</v>
      </c>
      <c r="BB259" s="5"/>
      <c r="BC259" s="5"/>
      <c r="BD259" s="5"/>
      <c r="BE259" s="5"/>
      <c r="BF259" s="5"/>
      <c r="BG259" s="5"/>
      <c r="BH259" s="195">
        <f>SUM(BB259:BG259)</f>
        <v>0</v>
      </c>
      <c r="BJ259" s="5"/>
      <c r="BK259" s="5"/>
      <c r="BL259" s="5"/>
      <c r="BM259" s="5"/>
      <c r="BN259" s="5"/>
      <c r="BO259" s="5"/>
      <c r="BP259" s="1630">
        <f>SUM(BJ259:BO259)</f>
        <v>0</v>
      </c>
      <c r="BR259" s="575">
        <f t="shared" si="1276"/>
        <v>0</v>
      </c>
      <c r="BS259" s="575">
        <f t="shared" si="1277"/>
        <v>0</v>
      </c>
      <c r="BT259" s="575">
        <f t="shared" si="1278"/>
        <v>0</v>
      </c>
      <c r="BU259" s="575">
        <f t="shared" si="1279"/>
        <v>0</v>
      </c>
      <c r="BV259" s="575">
        <f t="shared" si="1280"/>
        <v>0</v>
      </c>
      <c r="BW259" s="575">
        <f t="shared" si="1281"/>
        <v>0</v>
      </c>
      <c r="BX259" s="991">
        <f t="shared" si="1282"/>
        <v>0</v>
      </c>
      <c r="BY259" s="573">
        <f t="shared" ca="1" si="1283"/>
        <v>0</v>
      </c>
      <c r="BZ259" s="257"/>
      <c r="CB259" s="1330">
        <f ca="1">D259</f>
        <v>0</v>
      </c>
      <c r="CC259" s="1201">
        <f ca="1">($E259-$CG259)/3</f>
        <v>0</v>
      </c>
      <c r="CD259" s="1202">
        <f ca="1">($E259-$CG259)/3</f>
        <v>0</v>
      </c>
      <c r="CE259" s="1202">
        <f ca="1">($E259-$CG259)/3</f>
        <v>0</v>
      </c>
      <c r="CF259" s="1202"/>
      <c r="CG259" s="1203">
        <f ca="1">OFFSET('Calc - GRAD ASST'!$K$20,8*29+2,0)</f>
        <v>0</v>
      </c>
      <c r="CH259" s="1251">
        <f ca="1">($F259-$CL259)/3</f>
        <v>0</v>
      </c>
      <c r="CI259" s="1205">
        <f ca="1">($F259-$CL259)/3</f>
        <v>0</v>
      </c>
      <c r="CJ259" s="1205">
        <f ca="1">($F259-$CL259)/3</f>
        <v>0</v>
      </c>
      <c r="CK259" s="1205"/>
      <c r="CL259" s="1206">
        <f ca="1">OFFSET('Calc - GRAD ASST'!$K$20,8*29+4,0)</f>
        <v>0</v>
      </c>
      <c r="CM259" s="1207">
        <f ca="1">$G259/3</f>
        <v>0</v>
      </c>
      <c r="CN259" s="1252">
        <f ca="1">$G259/3</f>
        <v>0</v>
      </c>
      <c r="CO259" s="1209">
        <f ca="1">$G259/3</f>
        <v>0</v>
      </c>
      <c r="CP259" s="1316">
        <f t="shared" ca="1" si="1306"/>
        <v>0</v>
      </c>
      <c r="CS259" s="575"/>
      <c r="CT259" s="5"/>
      <c r="CU259" s="1180"/>
      <c r="CV259" s="575"/>
      <c r="CW259" s="5"/>
      <c r="CX259" s="1180"/>
      <c r="CY259" s="575"/>
      <c r="CZ259" s="5"/>
      <c r="DA259" s="1180"/>
      <c r="DB259" s="575"/>
      <c r="DC259" s="5"/>
      <c r="DD259" s="1180"/>
      <c r="DE259" s="1181">
        <f>SUM(CS259:DD259)</f>
        <v>0</v>
      </c>
      <c r="DG259" s="575"/>
      <c r="DH259" s="5"/>
      <c r="DI259" s="1180"/>
      <c r="DJ259" s="575"/>
      <c r="DK259" s="5"/>
      <c r="DL259" s="1180"/>
      <c r="DM259" s="575"/>
      <c r="DN259" s="5"/>
      <c r="DO259" s="1180"/>
      <c r="DP259" s="575"/>
      <c r="DQ259" s="5"/>
      <c r="DR259" s="1180"/>
      <c r="DS259" s="1181">
        <f>SUM(DG259:DR259)</f>
        <v>0</v>
      </c>
      <c r="DU259" s="575"/>
      <c r="DV259" s="5"/>
      <c r="DW259" s="1180"/>
      <c r="DX259" s="575"/>
      <c r="DY259" s="5"/>
      <c r="DZ259" s="1180"/>
      <c r="EA259" s="575"/>
      <c r="EB259" s="5"/>
      <c r="EC259" s="1180"/>
      <c r="ED259" s="575"/>
      <c r="EE259" s="5"/>
      <c r="EF259" s="1180"/>
      <c r="EG259" s="1181">
        <f>SUM(DU259:EF259)</f>
        <v>0</v>
      </c>
      <c r="EI259" s="480"/>
      <c r="EJ259" s="1855">
        <f>B259</f>
        <v>0</v>
      </c>
      <c r="EK259" s="420" t="s">
        <v>130</v>
      </c>
      <c r="EL259" s="42">
        <f t="shared" ca="1" si="1372"/>
        <v>0</v>
      </c>
      <c r="EM259" s="42">
        <f t="shared" ca="1" si="1372"/>
        <v>0</v>
      </c>
      <c r="EN259" s="42">
        <f t="shared" ca="1" si="1372"/>
        <v>0</v>
      </c>
      <c r="EO259" s="42">
        <f t="shared" ca="1" si="1372"/>
        <v>0</v>
      </c>
      <c r="EP259" s="42">
        <f t="shared" ca="1" si="1372"/>
        <v>0</v>
      </c>
      <c r="EQ259" s="42">
        <f t="shared" ca="1" si="1372"/>
        <v>0</v>
      </c>
      <c r="ER259" s="90">
        <f t="shared" ca="1" si="1307"/>
        <v>0</v>
      </c>
      <c r="ES259" s="9"/>
      <c r="ET259" s="9"/>
      <c r="EU259" s="9"/>
      <c r="EV259" s="5">
        <f t="shared" si="1373"/>
        <v>0</v>
      </c>
      <c r="EW259" s="5">
        <f t="shared" si="1373"/>
        <v>0</v>
      </c>
      <c r="EX259" s="5">
        <f t="shared" si="1373"/>
        <v>0</v>
      </c>
      <c r="EY259" s="5">
        <f t="shared" si="1373"/>
        <v>0</v>
      </c>
      <c r="EZ259" s="5">
        <f t="shared" si="1373"/>
        <v>0</v>
      </c>
      <c r="FA259" s="5">
        <f t="shared" si="1373"/>
        <v>0</v>
      </c>
      <c r="FB259" s="167">
        <f>SUM(EV259:FA259)</f>
        <v>0</v>
      </c>
      <c r="FC259" s="1"/>
      <c r="FD259" s="5"/>
      <c r="FE259" s="5"/>
      <c r="FF259" s="5"/>
      <c r="FG259" s="5"/>
      <c r="FH259" s="5"/>
      <c r="FI259" s="5"/>
      <c r="FJ259" s="48">
        <f>SUM(FD259:FI259)</f>
        <v>0</v>
      </c>
      <c r="FL259" s="5"/>
      <c r="FM259" s="5"/>
      <c r="FN259" s="5"/>
      <c r="FO259" s="5"/>
      <c r="FP259" s="5"/>
      <c r="FQ259" s="5"/>
      <c r="FR259" s="209">
        <f>SUM(FL259:FQ259)</f>
        <v>0</v>
      </c>
      <c r="FT259" s="5"/>
      <c r="FU259" s="5"/>
      <c r="FV259" s="5"/>
      <c r="FW259" s="5"/>
      <c r="FX259" s="5"/>
      <c r="FY259" s="5"/>
      <c r="FZ259" s="181">
        <f>SUM(FT259:FY259)</f>
        <v>0</v>
      </c>
      <c r="GB259" s="5"/>
      <c r="GC259" s="5"/>
      <c r="GD259" s="5"/>
      <c r="GE259" s="5"/>
      <c r="GF259" s="5"/>
      <c r="GG259" s="5"/>
      <c r="GH259" s="153">
        <f>SUM(GB259:GG259)</f>
        <v>0</v>
      </c>
      <c r="GJ259" s="5"/>
      <c r="GK259" s="5"/>
      <c r="GL259" s="5"/>
      <c r="GM259" s="5"/>
      <c r="GN259" s="5"/>
      <c r="GO259" s="5"/>
      <c r="GP259" s="195">
        <f>SUM(GJ259:GO259)</f>
        <v>0</v>
      </c>
      <c r="GR259" s="5"/>
      <c r="GS259" s="5"/>
      <c r="GT259" s="5"/>
      <c r="GU259" s="5"/>
      <c r="GV259" s="5"/>
      <c r="GW259" s="5"/>
      <c r="GX259" s="1630">
        <f>SUM(GR259:GW259)</f>
        <v>0</v>
      </c>
      <c r="GZ259" s="575">
        <f t="shared" si="1296"/>
        <v>0</v>
      </c>
      <c r="HA259" s="575">
        <f t="shared" si="1297"/>
        <v>0</v>
      </c>
      <c r="HB259" s="575">
        <f t="shared" si="1298"/>
        <v>0</v>
      </c>
      <c r="HC259" s="575">
        <f t="shared" si="1299"/>
        <v>0</v>
      </c>
      <c r="HD259" s="575">
        <f t="shared" si="1300"/>
        <v>0</v>
      </c>
      <c r="HE259" s="575">
        <f t="shared" si="1301"/>
        <v>0</v>
      </c>
      <c r="HF259" s="991">
        <f t="shared" si="1302"/>
        <v>0</v>
      </c>
      <c r="HG259" s="573">
        <f t="shared" ca="1" si="1303"/>
        <v>0</v>
      </c>
      <c r="HH259" s="257"/>
    </row>
    <row r="260" spans="1:216" ht="15" hidden="1" customHeight="1" thickBot="1" x14ac:dyDescent="0.3">
      <c r="A260" s="480"/>
      <c r="B260" s="1856"/>
      <c r="C260" s="1606" t="s">
        <v>502</v>
      </c>
      <c r="D260" s="1607">
        <f t="shared" ref="D260:J260" ca="1" si="1374">SUM(D257:D259)</f>
        <v>0</v>
      </c>
      <c r="E260" s="1607">
        <f t="shared" ca="1" si="1374"/>
        <v>0</v>
      </c>
      <c r="F260" s="1607">
        <f t="shared" ca="1" si="1374"/>
        <v>0</v>
      </c>
      <c r="G260" s="1607">
        <f t="shared" ca="1" si="1374"/>
        <v>0</v>
      </c>
      <c r="H260" s="1607">
        <f t="shared" ca="1" si="1374"/>
        <v>0</v>
      </c>
      <c r="I260" s="1607">
        <f t="shared" ca="1" si="1374"/>
        <v>0</v>
      </c>
      <c r="J260" s="1608">
        <f t="shared" ca="1" si="1374"/>
        <v>0</v>
      </c>
      <c r="K260" s="13">
        <f ca="1">SUM(D260:I260)</f>
        <v>0</v>
      </c>
      <c r="L260" s="13"/>
      <c r="M260" s="9"/>
      <c r="N260" s="1629">
        <f t="shared" ref="N260:T260" si="1375">SUM(N257:N259)</f>
        <v>0</v>
      </c>
      <c r="O260" s="1629">
        <f t="shared" si="1375"/>
        <v>0</v>
      </c>
      <c r="P260" s="1629">
        <f t="shared" si="1375"/>
        <v>0</v>
      </c>
      <c r="Q260" s="1629">
        <f t="shared" si="1375"/>
        <v>0</v>
      </c>
      <c r="R260" s="1629">
        <f t="shared" si="1375"/>
        <v>0</v>
      </c>
      <c r="S260" s="1629">
        <f t="shared" si="1375"/>
        <v>0</v>
      </c>
      <c r="T260" s="1628">
        <f t="shared" si="1375"/>
        <v>0</v>
      </c>
      <c r="U260" s="1"/>
      <c r="V260" s="1629">
        <f t="shared" ref="V260:AB260" si="1376">SUM(V257:V259)</f>
        <v>0</v>
      </c>
      <c r="W260" s="1629">
        <f t="shared" si="1376"/>
        <v>0</v>
      </c>
      <c r="X260" s="1629">
        <f t="shared" si="1376"/>
        <v>0</v>
      </c>
      <c r="Y260" s="1629">
        <f t="shared" si="1376"/>
        <v>0</v>
      </c>
      <c r="Z260" s="1629">
        <f t="shared" si="1376"/>
        <v>0</v>
      </c>
      <c r="AA260" s="1629">
        <f t="shared" si="1376"/>
        <v>0</v>
      </c>
      <c r="AB260" s="1628">
        <f t="shared" si="1376"/>
        <v>0</v>
      </c>
      <c r="AD260" s="1629">
        <f t="shared" ref="AD260:AJ260" si="1377">SUM(AD257:AD259)</f>
        <v>0</v>
      </c>
      <c r="AE260" s="1629">
        <f t="shared" si="1377"/>
        <v>0</v>
      </c>
      <c r="AF260" s="1629">
        <f t="shared" si="1377"/>
        <v>0</v>
      </c>
      <c r="AG260" s="1629">
        <f t="shared" si="1377"/>
        <v>0</v>
      </c>
      <c r="AH260" s="1629">
        <f t="shared" si="1377"/>
        <v>0</v>
      </c>
      <c r="AI260" s="1629">
        <f t="shared" si="1377"/>
        <v>0</v>
      </c>
      <c r="AJ260" s="1628">
        <f t="shared" si="1377"/>
        <v>0</v>
      </c>
      <c r="AL260" s="7">
        <f t="shared" ref="AL260:AR260" si="1378">SUM(AL257:AL259)</f>
        <v>0</v>
      </c>
      <c r="AM260" s="7">
        <f t="shared" si="1378"/>
        <v>0</v>
      </c>
      <c r="AN260" s="7">
        <f t="shared" si="1378"/>
        <v>0</v>
      </c>
      <c r="AO260" s="7">
        <f t="shared" si="1378"/>
        <v>0</v>
      </c>
      <c r="AP260" s="7">
        <f t="shared" si="1378"/>
        <v>0</v>
      </c>
      <c r="AQ260" s="7">
        <f t="shared" si="1378"/>
        <v>0</v>
      </c>
      <c r="AR260" s="12">
        <f t="shared" si="1378"/>
        <v>0</v>
      </c>
      <c r="AT260" s="7">
        <f t="shared" ref="AT260:AZ260" si="1379">SUM(AT257:AT259)</f>
        <v>0</v>
      </c>
      <c r="AU260" s="7">
        <f t="shared" si="1379"/>
        <v>0</v>
      </c>
      <c r="AV260" s="7">
        <f t="shared" si="1379"/>
        <v>0</v>
      </c>
      <c r="AW260" s="7">
        <f t="shared" si="1379"/>
        <v>0</v>
      </c>
      <c r="AX260" s="7">
        <f t="shared" si="1379"/>
        <v>0</v>
      </c>
      <c r="AY260" s="7">
        <f t="shared" si="1379"/>
        <v>0</v>
      </c>
      <c r="AZ260" s="12">
        <f t="shared" si="1379"/>
        <v>0</v>
      </c>
      <c r="BB260" s="7">
        <f t="shared" ref="BB260:BH260" si="1380">SUM(BB257:BB259)</f>
        <v>0</v>
      </c>
      <c r="BC260" s="7">
        <f t="shared" si="1380"/>
        <v>0</v>
      </c>
      <c r="BD260" s="7">
        <f t="shared" si="1380"/>
        <v>0</v>
      </c>
      <c r="BE260" s="7">
        <f t="shared" si="1380"/>
        <v>0</v>
      </c>
      <c r="BF260" s="7">
        <f t="shared" si="1380"/>
        <v>0</v>
      </c>
      <c r="BG260" s="7">
        <f t="shared" si="1380"/>
        <v>0</v>
      </c>
      <c r="BH260" s="12">
        <f t="shared" si="1380"/>
        <v>0</v>
      </c>
      <c r="BJ260" s="7">
        <f t="shared" ref="BJ260:BP260" si="1381">SUM(BJ257:BJ259)</f>
        <v>0</v>
      </c>
      <c r="BK260" s="7">
        <f t="shared" si="1381"/>
        <v>0</v>
      </c>
      <c r="BL260" s="7">
        <f t="shared" si="1381"/>
        <v>0</v>
      </c>
      <c r="BM260" s="7">
        <f t="shared" si="1381"/>
        <v>0</v>
      </c>
      <c r="BN260" s="7">
        <f t="shared" si="1381"/>
        <v>0</v>
      </c>
      <c r="BO260" s="7">
        <f t="shared" si="1381"/>
        <v>0</v>
      </c>
      <c r="BP260" s="12">
        <f t="shared" si="1381"/>
        <v>0</v>
      </c>
      <c r="BR260" s="589">
        <f t="shared" si="1276"/>
        <v>0</v>
      </c>
      <c r="BS260" s="589">
        <f t="shared" si="1277"/>
        <v>0</v>
      </c>
      <c r="BT260" s="589">
        <f t="shared" si="1278"/>
        <v>0</v>
      </c>
      <c r="BU260" s="589">
        <f t="shared" si="1279"/>
        <v>0</v>
      </c>
      <c r="BV260" s="589">
        <f t="shared" si="1280"/>
        <v>0</v>
      </c>
      <c r="BW260" s="589">
        <f t="shared" si="1281"/>
        <v>0</v>
      </c>
      <c r="BX260" s="589">
        <f t="shared" si="1282"/>
        <v>0</v>
      </c>
      <c r="BY260" s="590">
        <f t="shared" ca="1" si="1283"/>
        <v>0</v>
      </c>
      <c r="BZ260" s="257"/>
      <c r="CB260" s="1633">
        <f t="shared" ref="CB260:CO260" ca="1" si="1382">SUM(CB257:CB259)</f>
        <v>0</v>
      </c>
      <c r="CC260" s="1634">
        <f t="shared" ca="1" si="1382"/>
        <v>0</v>
      </c>
      <c r="CD260" s="1635">
        <f t="shared" ca="1" si="1382"/>
        <v>0</v>
      </c>
      <c r="CE260" s="1635">
        <f t="shared" ca="1" si="1382"/>
        <v>0</v>
      </c>
      <c r="CF260" s="1635">
        <f t="shared" si="1382"/>
        <v>0</v>
      </c>
      <c r="CG260" s="1636">
        <f t="shared" ca="1" si="1382"/>
        <v>0</v>
      </c>
      <c r="CH260" s="1634">
        <f t="shared" ca="1" si="1382"/>
        <v>0</v>
      </c>
      <c r="CI260" s="1635">
        <f t="shared" ca="1" si="1382"/>
        <v>0</v>
      </c>
      <c r="CJ260" s="1635">
        <f t="shared" ca="1" si="1382"/>
        <v>0</v>
      </c>
      <c r="CK260" s="1635">
        <f t="shared" si="1382"/>
        <v>0</v>
      </c>
      <c r="CL260" s="1637">
        <f t="shared" ca="1" si="1382"/>
        <v>0</v>
      </c>
      <c r="CM260" s="1634">
        <f t="shared" ca="1" si="1382"/>
        <v>0</v>
      </c>
      <c r="CN260" s="1635">
        <f t="shared" ca="1" si="1382"/>
        <v>0</v>
      </c>
      <c r="CO260" s="1636">
        <f t="shared" ca="1" si="1382"/>
        <v>0</v>
      </c>
      <c r="CP260" s="1351">
        <f t="shared" ca="1" si="1306"/>
        <v>0</v>
      </c>
      <c r="CS260" s="1231">
        <f t="shared" ref="CS260:DE260" si="1383">SUM(CS257:CS259)</f>
        <v>0</v>
      </c>
      <c r="CT260" s="7">
        <f t="shared" si="1383"/>
        <v>0</v>
      </c>
      <c r="CU260" s="573">
        <f t="shared" si="1383"/>
        <v>0</v>
      </c>
      <c r="CV260" s="1231">
        <f t="shared" si="1383"/>
        <v>0</v>
      </c>
      <c r="CW260" s="7">
        <f t="shared" si="1383"/>
        <v>0</v>
      </c>
      <c r="CX260" s="573">
        <f t="shared" si="1383"/>
        <v>0</v>
      </c>
      <c r="CY260" s="1231">
        <f t="shared" si="1383"/>
        <v>0</v>
      </c>
      <c r="CZ260" s="7">
        <f t="shared" si="1383"/>
        <v>0</v>
      </c>
      <c r="DA260" s="573">
        <f t="shared" si="1383"/>
        <v>0</v>
      </c>
      <c r="DB260" s="1231">
        <f t="shared" si="1383"/>
        <v>0</v>
      </c>
      <c r="DC260" s="7">
        <f t="shared" si="1383"/>
        <v>0</v>
      </c>
      <c r="DD260" s="573">
        <f t="shared" si="1383"/>
        <v>0</v>
      </c>
      <c r="DE260" s="1181">
        <f t="shared" si="1383"/>
        <v>0</v>
      </c>
      <c r="DG260" s="1231">
        <f t="shared" ref="DG260:DS260" si="1384">SUM(DG257:DG259)</f>
        <v>0</v>
      </c>
      <c r="DH260" s="7">
        <f t="shared" si="1384"/>
        <v>0</v>
      </c>
      <c r="DI260" s="573">
        <f t="shared" si="1384"/>
        <v>0</v>
      </c>
      <c r="DJ260" s="1231">
        <f t="shared" si="1384"/>
        <v>0</v>
      </c>
      <c r="DK260" s="7">
        <f t="shared" si="1384"/>
        <v>0</v>
      </c>
      <c r="DL260" s="573">
        <f t="shared" si="1384"/>
        <v>0</v>
      </c>
      <c r="DM260" s="1231">
        <f t="shared" si="1384"/>
        <v>0</v>
      </c>
      <c r="DN260" s="7">
        <f t="shared" si="1384"/>
        <v>0</v>
      </c>
      <c r="DO260" s="573">
        <f t="shared" si="1384"/>
        <v>0</v>
      </c>
      <c r="DP260" s="1231">
        <f t="shared" si="1384"/>
        <v>0</v>
      </c>
      <c r="DQ260" s="7">
        <f t="shared" si="1384"/>
        <v>0</v>
      </c>
      <c r="DR260" s="573">
        <f t="shared" si="1384"/>
        <v>0</v>
      </c>
      <c r="DS260" s="1181">
        <f t="shared" si="1384"/>
        <v>0</v>
      </c>
      <c r="DU260" s="1231">
        <f t="shared" ref="DU260:EG260" si="1385">SUM(DU257:DU259)</f>
        <v>0</v>
      </c>
      <c r="DV260" s="7">
        <f t="shared" si="1385"/>
        <v>0</v>
      </c>
      <c r="DW260" s="573">
        <f t="shared" si="1385"/>
        <v>0</v>
      </c>
      <c r="DX260" s="1231">
        <f t="shared" si="1385"/>
        <v>0</v>
      </c>
      <c r="DY260" s="7">
        <f t="shared" si="1385"/>
        <v>0</v>
      </c>
      <c r="DZ260" s="573">
        <f t="shared" si="1385"/>
        <v>0</v>
      </c>
      <c r="EA260" s="1231">
        <f t="shared" si="1385"/>
        <v>0</v>
      </c>
      <c r="EB260" s="7">
        <f t="shared" si="1385"/>
        <v>0</v>
      </c>
      <c r="EC260" s="573">
        <f t="shared" si="1385"/>
        <v>0</v>
      </c>
      <c r="ED260" s="1231">
        <f t="shared" si="1385"/>
        <v>0</v>
      </c>
      <c r="EE260" s="7">
        <f t="shared" si="1385"/>
        <v>0</v>
      </c>
      <c r="EF260" s="573">
        <f t="shared" si="1385"/>
        <v>0</v>
      </c>
      <c r="EG260" s="1181">
        <f t="shared" si="1385"/>
        <v>0</v>
      </c>
      <c r="EI260" s="480"/>
      <c r="EJ260" s="1856"/>
      <c r="EK260" s="1606" t="s">
        <v>502</v>
      </c>
      <c r="EL260" s="1607">
        <f t="shared" ref="EL260:EQ260" ca="1" si="1386">SUM(EL257:EL259)</f>
        <v>0</v>
      </c>
      <c r="EM260" s="1607">
        <f t="shared" ca="1" si="1386"/>
        <v>0</v>
      </c>
      <c r="EN260" s="1607">
        <f t="shared" ca="1" si="1386"/>
        <v>0</v>
      </c>
      <c r="EO260" s="1607">
        <f t="shared" ca="1" si="1386"/>
        <v>0</v>
      </c>
      <c r="EP260" s="1607">
        <f t="shared" ca="1" si="1386"/>
        <v>0</v>
      </c>
      <c r="EQ260" s="1607">
        <f t="shared" ca="1" si="1386"/>
        <v>0</v>
      </c>
      <c r="ER260" s="1608">
        <f t="shared" ca="1" si="1307"/>
        <v>0</v>
      </c>
      <c r="ES260" s="13">
        <f ca="1">SUM(ER257:ER259)</f>
        <v>0</v>
      </c>
      <c r="ET260" s="13"/>
      <c r="EU260" s="9"/>
      <c r="EV260" s="1629">
        <f t="shared" ref="EV260:FB260" si="1387">SUM(EV257:EV259)</f>
        <v>0</v>
      </c>
      <c r="EW260" s="1629">
        <f t="shared" si="1387"/>
        <v>0</v>
      </c>
      <c r="EX260" s="1629">
        <f t="shared" si="1387"/>
        <v>0</v>
      </c>
      <c r="EY260" s="1629">
        <f t="shared" si="1387"/>
        <v>0</v>
      </c>
      <c r="EZ260" s="1629">
        <f t="shared" si="1387"/>
        <v>0</v>
      </c>
      <c r="FA260" s="1629">
        <f t="shared" si="1387"/>
        <v>0</v>
      </c>
      <c r="FB260" s="1628">
        <f t="shared" si="1387"/>
        <v>0</v>
      </c>
      <c r="FC260" s="1"/>
      <c r="FD260" s="1629">
        <f t="shared" ref="FD260:FJ260" si="1388">SUM(FD257:FD259)</f>
        <v>0</v>
      </c>
      <c r="FE260" s="1629">
        <f t="shared" si="1388"/>
        <v>0</v>
      </c>
      <c r="FF260" s="1629">
        <f t="shared" si="1388"/>
        <v>0</v>
      </c>
      <c r="FG260" s="1629">
        <f t="shared" si="1388"/>
        <v>0</v>
      </c>
      <c r="FH260" s="1629">
        <f t="shared" si="1388"/>
        <v>0</v>
      </c>
      <c r="FI260" s="1629">
        <f t="shared" si="1388"/>
        <v>0</v>
      </c>
      <c r="FJ260" s="1628">
        <f t="shared" si="1388"/>
        <v>0</v>
      </c>
      <c r="FL260" s="1629">
        <f t="shared" ref="FL260:FR260" si="1389">SUM(FL257:FL259)</f>
        <v>0</v>
      </c>
      <c r="FM260" s="1629">
        <f t="shared" si="1389"/>
        <v>0</v>
      </c>
      <c r="FN260" s="1629">
        <f t="shared" si="1389"/>
        <v>0</v>
      </c>
      <c r="FO260" s="1629">
        <f t="shared" si="1389"/>
        <v>0</v>
      </c>
      <c r="FP260" s="1629">
        <f t="shared" si="1389"/>
        <v>0</v>
      </c>
      <c r="FQ260" s="1629">
        <f t="shared" si="1389"/>
        <v>0</v>
      </c>
      <c r="FR260" s="1628">
        <f t="shared" si="1389"/>
        <v>0</v>
      </c>
      <c r="FT260" s="7">
        <f t="shared" ref="FT260:FZ260" si="1390">SUM(FT257:FT259)</f>
        <v>0</v>
      </c>
      <c r="FU260" s="7">
        <f t="shared" si="1390"/>
        <v>0</v>
      </c>
      <c r="FV260" s="7">
        <f t="shared" si="1390"/>
        <v>0</v>
      </c>
      <c r="FW260" s="7">
        <f t="shared" si="1390"/>
        <v>0</v>
      </c>
      <c r="FX260" s="7">
        <f t="shared" si="1390"/>
        <v>0</v>
      </c>
      <c r="FY260" s="7">
        <f t="shared" si="1390"/>
        <v>0</v>
      </c>
      <c r="FZ260" s="12">
        <f t="shared" si="1390"/>
        <v>0</v>
      </c>
      <c r="GB260" s="7">
        <f t="shared" ref="GB260:GH260" si="1391">SUM(GB257:GB259)</f>
        <v>0</v>
      </c>
      <c r="GC260" s="7">
        <f t="shared" si="1391"/>
        <v>0</v>
      </c>
      <c r="GD260" s="7">
        <f t="shared" si="1391"/>
        <v>0</v>
      </c>
      <c r="GE260" s="7">
        <f t="shared" si="1391"/>
        <v>0</v>
      </c>
      <c r="GF260" s="7">
        <f t="shared" si="1391"/>
        <v>0</v>
      </c>
      <c r="GG260" s="7">
        <f t="shared" si="1391"/>
        <v>0</v>
      </c>
      <c r="GH260" s="12">
        <f t="shared" si="1391"/>
        <v>0</v>
      </c>
      <c r="GJ260" s="7">
        <f t="shared" ref="GJ260:GP260" si="1392">SUM(GJ257:GJ259)</f>
        <v>0</v>
      </c>
      <c r="GK260" s="7">
        <f t="shared" si="1392"/>
        <v>0</v>
      </c>
      <c r="GL260" s="7">
        <f t="shared" si="1392"/>
        <v>0</v>
      </c>
      <c r="GM260" s="7">
        <f t="shared" si="1392"/>
        <v>0</v>
      </c>
      <c r="GN260" s="7">
        <f t="shared" si="1392"/>
        <v>0</v>
      </c>
      <c r="GO260" s="7">
        <f t="shared" si="1392"/>
        <v>0</v>
      </c>
      <c r="GP260" s="12">
        <f t="shared" si="1392"/>
        <v>0</v>
      </c>
      <c r="GR260" s="7">
        <f t="shared" ref="GR260:GX260" si="1393">SUM(GR257:GR259)</f>
        <v>0</v>
      </c>
      <c r="GS260" s="7">
        <f t="shared" si="1393"/>
        <v>0</v>
      </c>
      <c r="GT260" s="7">
        <f t="shared" si="1393"/>
        <v>0</v>
      </c>
      <c r="GU260" s="7">
        <f t="shared" si="1393"/>
        <v>0</v>
      </c>
      <c r="GV260" s="7">
        <f t="shared" si="1393"/>
        <v>0</v>
      </c>
      <c r="GW260" s="7">
        <f t="shared" si="1393"/>
        <v>0</v>
      </c>
      <c r="GX260" s="12">
        <f t="shared" si="1393"/>
        <v>0</v>
      </c>
      <c r="GZ260" s="589">
        <f t="shared" si="1296"/>
        <v>0</v>
      </c>
      <c r="HA260" s="589">
        <f t="shared" si="1297"/>
        <v>0</v>
      </c>
      <c r="HB260" s="589">
        <f t="shared" si="1298"/>
        <v>0</v>
      </c>
      <c r="HC260" s="589">
        <f t="shared" si="1299"/>
        <v>0</v>
      </c>
      <c r="HD260" s="589">
        <f t="shared" si="1300"/>
        <v>0</v>
      </c>
      <c r="HE260" s="589">
        <f t="shared" si="1301"/>
        <v>0</v>
      </c>
      <c r="HF260" s="589">
        <f t="shared" si="1302"/>
        <v>0</v>
      </c>
      <c r="HG260" s="590">
        <f t="shared" ca="1" si="1303"/>
        <v>0</v>
      </c>
      <c r="HH260" s="257"/>
    </row>
    <row r="261" spans="1:216" ht="15" hidden="1" customHeight="1" x14ac:dyDescent="0.25">
      <c r="A261" s="480"/>
      <c r="B261" s="3312" t="str">
        <f>'Calc - GRAD ASST'!A267</f>
        <v>GA #10 / Sponsor Funds</v>
      </c>
      <c r="C261" s="483" t="s">
        <v>57</v>
      </c>
      <c r="D261" s="86">
        <f ca="1">'Calc - GRAD ASST'!$J$281</f>
        <v>0</v>
      </c>
      <c r="E261" s="86">
        <f ca="1">'Calc - GRAD ASST'!$J$283</f>
        <v>0</v>
      </c>
      <c r="F261" s="86">
        <f ca="1">'Calc - GRAD ASST'!$J$285</f>
        <v>0</v>
      </c>
      <c r="G261" s="86">
        <f ca="1">'Calc - GRAD ASST'!$J$287</f>
        <v>0</v>
      </c>
      <c r="H261" s="86">
        <f ca="1">'Calc - GRAD ASST'!$J$289</f>
        <v>0</v>
      </c>
      <c r="I261" s="86">
        <f ca="1">'Calc - GRAD ASST'!$J$291</f>
        <v>0</v>
      </c>
      <c r="J261" s="87">
        <f ca="1">SUM(D261:I261)</f>
        <v>0</v>
      </c>
      <c r="K261" s="9"/>
      <c r="M261" s="9"/>
      <c r="N261" s="5"/>
      <c r="O261" s="5"/>
      <c r="P261" s="5"/>
      <c r="Q261" s="5"/>
      <c r="R261" s="5"/>
      <c r="S261" s="5"/>
      <c r="T261" s="167">
        <f>SUM(N261:S261)</f>
        <v>0</v>
      </c>
      <c r="U261" s="1"/>
      <c r="V261" s="5"/>
      <c r="W261" s="5"/>
      <c r="X261" s="5"/>
      <c r="Y261" s="5"/>
      <c r="Z261" s="5"/>
      <c r="AA261" s="5"/>
      <c r="AB261" s="48">
        <f>SUM(V261:AA261)</f>
        <v>0</v>
      </c>
      <c r="AD261" s="5"/>
      <c r="AE261" s="5"/>
      <c r="AF261" s="5"/>
      <c r="AG261" s="5"/>
      <c r="AH261" s="5"/>
      <c r="AI261" s="5"/>
      <c r="AJ261" s="209">
        <f>SUM(AD261:AI261)</f>
        <v>0</v>
      </c>
      <c r="AL261" s="5"/>
      <c r="AM261" s="5"/>
      <c r="AN261" s="5"/>
      <c r="AO261" s="5"/>
      <c r="AP261" s="5"/>
      <c r="AQ261" s="5"/>
      <c r="AR261" s="181">
        <f>SUM(AL261:AQ261)</f>
        <v>0</v>
      </c>
      <c r="AT261" s="5"/>
      <c r="AU261" s="5"/>
      <c r="AV261" s="5"/>
      <c r="AW261" s="5"/>
      <c r="AX261" s="5"/>
      <c r="AY261" s="5"/>
      <c r="AZ261" s="153">
        <f>SUM(AT261:AY261)</f>
        <v>0</v>
      </c>
      <c r="BB261" s="5"/>
      <c r="BC261" s="5"/>
      <c r="BD261" s="5"/>
      <c r="BE261" s="5"/>
      <c r="BF261" s="5"/>
      <c r="BG261" s="5"/>
      <c r="BH261" s="195">
        <f>SUM(BB261:BG261)</f>
        <v>0</v>
      </c>
      <c r="BJ261" s="5"/>
      <c r="BK261" s="5"/>
      <c r="BL261" s="5"/>
      <c r="BM261" s="5"/>
      <c r="BN261" s="5"/>
      <c r="BO261" s="5"/>
      <c r="BP261" s="1630">
        <f>SUM(BJ261:BO261)</f>
        <v>0</v>
      </c>
      <c r="BR261" s="575">
        <f t="shared" si="1276"/>
        <v>0</v>
      </c>
      <c r="BS261" s="575">
        <f t="shared" si="1277"/>
        <v>0</v>
      </c>
      <c r="BT261" s="575">
        <f t="shared" si="1278"/>
        <v>0</v>
      </c>
      <c r="BU261" s="575">
        <f t="shared" si="1279"/>
        <v>0</v>
      </c>
      <c r="BV261" s="575">
        <f t="shared" si="1280"/>
        <v>0</v>
      </c>
      <c r="BW261" s="575">
        <f t="shared" si="1281"/>
        <v>0</v>
      </c>
      <c r="BX261" s="991">
        <f t="shared" si="1282"/>
        <v>0</v>
      </c>
      <c r="BY261" s="573">
        <f t="shared" ca="1" si="1283"/>
        <v>0</v>
      </c>
      <c r="BZ261" s="257"/>
      <c r="CB261" s="1322">
        <f ca="1">D261</f>
        <v>0</v>
      </c>
      <c r="CC261" s="386">
        <f ca="1">$E261/3</f>
        <v>0</v>
      </c>
      <c r="CD261" s="360">
        <f ca="1">$E261/3</f>
        <v>0</v>
      </c>
      <c r="CE261" s="360">
        <f ca="1">$E261/3</f>
        <v>0</v>
      </c>
      <c r="CF261" s="360"/>
      <c r="CG261" s="1161"/>
      <c r="CH261" s="1241">
        <f ca="1">$F261/3</f>
        <v>0</v>
      </c>
      <c r="CI261" s="1163">
        <f ca="1">$F261/3</f>
        <v>0</v>
      </c>
      <c r="CJ261" s="1163">
        <f ca="1">$F261/3</f>
        <v>0</v>
      </c>
      <c r="CK261" s="1163"/>
      <c r="CL261" s="1164"/>
      <c r="CM261" s="1165">
        <f ca="1">$G261/3</f>
        <v>0</v>
      </c>
      <c r="CN261" s="1242">
        <f ca="1">$G261/3</f>
        <v>0</v>
      </c>
      <c r="CO261" s="1167">
        <f ca="1">$G261/3</f>
        <v>0</v>
      </c>
      <c r="CP261" s="1168">
        <f t="shared" ca="1" si="1306"/>
        <v>0</v>
      </c>
      <c r="CS261" s="575"/>
      <c r="CT261" s="5"/>
      <c r="CU261" s="1180"/>
      <c r="CV261" s="575"/>
      <c r="CW261" s="5"/>
      <c r="CX261" s="1180"/>
      <c r="CY261" s="575"/>
      <c r="CZ261" s="5"/>
      <c r="DA261" s="1180"/>
      <c r="DB261" s="575"/>
      <c r="DC261" s="5"/>
      <c r="DD261" s="1180"/>
      <c r="DE261" s="1181">
        <f>SUM(CS261:DD261)</f>
        <v>0</v>
      </c>
      <c r="DG261" s="575"/>
      <c r="DH261" s="5"/>
      <c r="DI261" s="1180"/>
      <c r="DJ261" s="575"/>
      <c r="DK261" s="5"/>
      <c r="DL261" s="1180"/>
      <c r="DM261" s="575"/>
      <c r="DN261" s="5"/>
      <c r="DO261" s="1180"/>
      <c r="DP261" s="575"/>
      <c r="DQ261" s="5"/>
      <c r="DR261" s="1180"/>
      <c r="DS261" s="1181">
        <f>SUM(DG261:DR261)</f>
        <v>0</v>
      </c>
      <c r="DU261" s="575"/>
      <c r="DV261" s="5"/>
      <c r="DW261" s="1180"/>
      <c r="DX261" s="575"/>
      <c r="DY261" s="5"/>
      <c r="DZ261" s="1180"/>
      <c r="EA261" s="575"/>
      <c r="EB261" s="5"/>
      <c r="EC261" s="1180"/>
      <c r="ED261" s="575"/>
      <c r="EE261" s="5"/>
      <c r="EF261" s="1180"/>
      <c r="EG261" s="1181">
        <f>SUM(DU261:EF261)</f>
        <v>0</v>
      </c>
      <c r="EI261" s="480"/>
      <c r="EJ261" s="3312" t="str">
        <f>B261</f>
        <v>GA #10 / Sponsor Funds</v>
      </c>
      <c r="EK261" s="483" t="s">
        <v>57</v>
      </c>
      <c r="EL261" s="86">
        <f t="shared" ref="EL261:EQ263" ca="1" si="1394">ROUND(D261,0)</f>
        <v>0</v>
      </c>
      <c r="EM261" s="86">
        <f t="shared" ca="1" si="1394"/>
        <v>0</v>
      </c>
      <c r="EN261" s="86">
        <f t="shared" ca="1" si="1394"/>
        <v>0</v>
      </c>
      <c r="EO261" s="86">
        <f t="shared" ca="1" si="1394"/>
        <v>0</v>
      </c>
      <c r="EP261" s="86">
        <f t="shared" ca="1" si="1394"/>
        <v>0</v>
      </c>
      <c r="EQ261" s="86">
        <f t="shared" ca="1" si="1394"/>
        <v>0</v>
      </c>
      <c r="ER261" s="87">
        <f t="shared" ca="1" si="1307"/>
        <v>0</v>
      </c>
      <c r="ES261" s="9"/>
      <c r="EU261" s="9"/>
      <c r="EV261" s="5">
        <f t="shared" ref="EV261:FA263" si="1395">ROUND(N261,0)</f>
        <v>0</v>
      </c>
      <c r="EW261" s="5">
        <f t="shared" si="1395"/>
        <v>0</v>
      </c>
      <c r="EX261" s="5">
        <f t="shared" si="1395"/>
        <v>0</v>
      </c>
      <c r="EY261" s="5">
        <f t="shared" si="1395"/>
        <v>0</v>
      </c>
      <c r="EZ261" s="5">
        <f t="shared" si="1395"/>
        <v>0</v>
      </c>
      <c r="FA261" s="5">
        <f t="shared" si="1395"/>
        <v>0</v>
      </c>
      <c r="FB261" s="167">
        <f>SUM(EV261:FA261)</f>
        <v>0</v>
      </c>
      <c r="FC261" s="1"/>
      <c r="FD261" s="5"/>
      <c r="FE261" s="5"/>
      <c r="FF261" s="5"/>
      <c r="FG261" s="5"/>
      <c r="FH261" s="5"/>
      <c r="FI261" s="5"/>
      <c r="FJ261" s="48">
        <f>SUM(FD261:FI261)</f>
        <v>0</v>
      </c>
      <c r="FL261" s="5"/>
      <c r="FM261" s="5"/>
      <c r="FN261" s="5"/>
      <c r="FO261" s="5"/>
      <c r="FP261" s="5"/>
      <c r="FQ261" s="5"/>
      <c r="FR261" s="209">
        <f>SUM(FL261:FQ261)</f>
        <v>0</v>
      </c>
      <c r="FT261" s="5"/>
      <c r="FU261" s="5"/>
      <c r="FV261" s="5"/>
      <c r="FW261" s="5"/>
      <c r="FX261" s="5"/>
      <c r="FY261" s="5"/>
      <c r="FZ261" s="181">
        <f>SUM(FT261:FY261)</f>
        <v>0</v>
      </c>
      <c r="GB261" s="5"/>
      <c r="GC261" s="5"/>
      <c r="GD261" s="5"/>
      <c r="GE261" s="5"/>
      <c r="GF261" s="5"/>
      <c r="GG261" s="5"/>
      <c r="GH261" s="153">
        <f>SUM(GB261:GG261)</f>
        <v>0</v>
      </c>
      <c r="GJ261" s="5"/>
      <c r="GK261" s="5"/>
      <c r="GL261" s="5"/>
      <c r="GM261" s="5"/>
      <c r="GN261" s="5"/>
      <c r="GO261" s="5"/>
      <c r="GP261" s="195">
        <f>SUM(GJ261:GO261)</f>
        <v>0</v>
      </c>
      <c r="GR261" s="5"/>
      <c r="GS261" s="5"/>
      <c r="GT261" s="5"/>
      <c r="GU261" s="5"/>
      <c r="GV261" s="5"/>
      <c r="GW261" s="5"/>
      <c r="GX261" s="1630">
        <f>SUM(GR261:GW261)</f>
        <v>0</v>
      </c>
      <c r="GZ261" s="575">
        <f t="shared" si="1296"/>
        <v>0</v>
      </c>
      <c r="HA261" s="575">
        <f t="shared" si="1297"/>
        <v>0</v>
      </c>
      <c r="HB261" s="575">
        <f t="shared" si="1298"/>
        <v>0</v>
      </c>
      <c r="HC261" s="575">
        <f t="shared" si="1299"/>
        <v>0</v>
      </c>
      <c r="HD261" s="575">
        <f t="shared" si="1300"/>
        <v>0</v>
      </c>
      <c r="HE261" s="575">
        <f t="shared" si="1301"/>
        <v>0</v>
      </c>
      <c r="HF261" s="991">
        <f t="shared" si="1302"/>
        <v>0</v>
      </c>
      <c r="HG261" s="573">
        <f t="shared" ca="1" si="1303"/>
        <v>0</v>
      </c>
      <c r="HH261" s="257"/>
    </row>
    <row r="262" spans="1:216" ht="15" hidden="1" customHeight="1" x14ac:dyDescent="0.25">
      <c r="A262" s="480"/>
      <c r="B262" s="3313"/>
      <c r="C262" s="78" t="s">
        <v>96</v>
      </c>
      <c r="D262" s="29">
        <f ca="1">'Calc - GRAD ASST'!$E$281</f>
        <v>0</v>
      </c>
      <c r="E262" s="29">
        <f ca="1">'Calc - GRAD ASST'!$E$283</f>
        <v>0</v>
      </c>
      <c r="F262" s="29">
        <f ca="1">'Calc - GRAD ASST'!$E$285</f>
        <v>0</v>
      </c>
      <c r="G262" s="29">
        <f ca="1">'Calc - GRAD ASST'!$E$287</f>
        <v>0</v>
      </c>
      <c r="H262" s="29">
        <f ca="1">'Calc - GRAD ASST'!$E$289</f>
        <v>0</v>
      </c>
      <c r="I262" s="29">
        <f ca="1">'Calc - GRAD ASST'!$E$291</f>
        <v>0</v>
      </c>
      <c r="J262" s="88">
        <f ca="1">SUM(D262:I262)</f>
        <v>0</v>
      </c>
      <c r="L262" s="9"/>
      <c r="M262" s="9"/>
      <c r="N262" s="29"/>
      <c r="O262" s="29"/>
      <c r="P262" s="29"/>
      <c r="Q262" s="29"/>
      <c r="R262" s="29"/>
      <c r="S262" s="29"/>
      <c r="T262" s="167">
        <f>SUM(N262:S262)</f>
        <v>0</v>
      </c>
      <c r="U262" s="1"/>
      <c r="V262" s="29"/>
      <c r="W262" s="29"/>
      <c r="X262" s="29"/>
      <c r="Y262" s="29"/>
      <c r="Z262" s="29"/>
      <c r="AA262" s="29"/>
      <c r="AB262" s="48">
        <f>SUM(V262:AA262)</f>
        <v>0</v>
      </c>
      <c r="AD262" s="29"/>
      <c r="AE262" s="29"/>
      <c r="AF262" s="29"/>
      <c r="AG262" s="29"/>
      <c r="AH262" s="29"/>
      <c r="AI262" s="29"/>
      <c r="AJ262" s="209">
        <f>SUM(AD262:AI262)</f>
        <v>0</v>
      </c>
      <c r="AL262" s="29"/>
      <c r="AM262" s="29"/>
      <c r="AN262" s="29"/>
      <c r="AO262" s="29"/>
      <c r="AP262" s="29"/>
      <c r="AQ262" s="29"/>
      <c r="AR262" s="181">
        <f>SUM(AL262:AQ262)</f>
        <v>0</v>
      </c>
      <c r="AT262" s="29"/>
      <c r="AU262" s="29"/>
      <c r="AV262" s="29"/>
      <c r="AW262" s="29"/>
      <c r="AX262" s="29"/>
      <c r="AY262" s="29"/>
      <c r="AZ262" s="153">
        <f>SUM(AT262:AY262)</f>
        <v>0</v>
      </c>
      <c r="BB262" s="29"/>
      <c r="BC262" s="29"/>
      <c r="BD262" s="29"/>
      <c r="BE262" s="29"/>
      <c r="BF262" s="29"/>
      <c r="BG262" s="29"/>
      <c r="BH262" s="195">
        <f>SUM(BB262:BG262)</f>
        <v>0</v>
      </c>
      <c r="BJ262" s="29"/>
      <c r="BK262" s="29"/>
      <c r="BL262" s="29"/>
      <c r="BM262" s="29"/>
      <c r="BN262" s="29"/>
      <c r="BO262" s="29"/>
      <c r="BP262" s="1630">
        <f>SUM(BJ262:BO262)</f>
        <v>0</v>
      </c>
      <c r="BR262" s="575">
        <f t="shared" si="1276"/>
        <v>0</v>
      </c>
      <c r="BS262" s="575">
        <f t="shared" si="1277"/>
        <v>0</v>
      </c>
      <c r="BT262" s="575">
        <f t="shared" si="1278"/>
        <v>0</v>
      </c>
      <c r="BU262" s="575">
        <f t="shared" si="1279"/>
        <v>0</v>
      </c>
      <c r="BV262" s="575">
        <f t="shared" si="1280"/>
        <v>0</v>
      </c>
      <c r="BW262" s="575">
        <f t="shared" si="1281"/>
        <v>0</v>
      </c>
      <c r="BX262" s="991">
        <f t="shared" si="1282"/>
        <v>0</v>
      </c>
      <c r="BY262" s="573">
        <f t="shared" ca="1" si="1283"/>
        <v>0</v>
      </c>
      <c r="BZ262" s="257"/>
      <c r="CB262" s="1350">
        <f ca="1">D262</f>
        <v>0</v>
      </c>
      <c r="CC262" s="1268"/>
      <c r="CD262" s="1269"/>
      <c r="CE262" s="1269"/>
      <c r="CF262" s="1269"/>
      <c r="CG262" s="1270">
        <f ca="1">E262</f>
        <v>0</v>
      </c>
      <c r="CH262" s="1271"/>
      <c r="CI262" s="1272"/>
      <c r="CJ262" s="1272"/>
      <c r="CK262" s="1272"/>
      <c r="CL262" s="1273">
        <f ca="1">F262</f>
        <v>0</v>
      </c>
      <c r="CM262" s="1274"/>
      <c r="CN262" s="1275"/>
      <c r="CO262" s="1276"/>
      <c r="CP262" s="1224">
        <f t="shared" ca="1" si="1306"/>
        <v>0</v>
      </c>
      <c r="CS262" s="575"/>
      <c r="CT262" s="5"/>
      <c r="CU262" s="1180"/>
      <c r="CV262" s="575"/>
      <c r="CW262" s="5"/>
      <c r="CX262" s="1180"/>
      <c r="CY262" s="575"/>
      <c r="CZ262" s="5"/>
      <c r="DA262" s="1180"/>
      <c r="DB262" s="575"/>
      <c r="DC262" s="5"/>
      <c r="DD262" s="1180"/>
      <c r="DE262" s="1181">
        <f>SUM(CS262:DD262)</f>
        <v>0</v>
      </c>
      <c r="DG262" s="575"/>
      <c r="DH262" s="5"/>
      <c r="DI262" s="1180"/>
      <c r="DJ262" s="575"/>
      <c r="DK262" s="5"/>
      <c r="DL262" s="1180"/>
      <c r="DM262" s="575"/>
      <c r="DN262" s="5"/>
      <c r="DO262" s="1180"/>
      <c r="DP262" s="575"/>
      <c r="DQ262" s="5"/>
      <c r="DR262" s="1180"/>
      <c r="DS262" s="1181">
        <f>SUM(DG262:DR262)</f>
        <v>0</v>
      </c>
      <c r="DU262" s="575"/>
      <c r="DV262" s="5"/>
      <c r="DW262" s="1180"/>
      <c r="DX262" s="575"/>
      <c r="DY262" s="5"/>
      <c r="DZ262" s="1180"/>
      <c r="EA262" s="575"/>
      <c r="EB262" s="5"/>
      <c r="EC262" s="1180"/>
      <c r="ED262" s="575"/>
      <c r="EE262" s="5"/>
      <c r="EF262" s="1180"/>
      <c r="EG262" s="1181">
        <f>SUM(DU262:EF262)</f>
        <v>0</v>
      </c>
      <c r="EI262" s="480"/>
      <c r="EJ262" s="3313"/>
      <c r="EK262" s="78" t="s">
        <v>96</v>
      </c>
      <c r="EL262" s="29">
        <f t="shared" ca="1" si="1394"/>
        <v>0</v>
      </c>
      <c r="EM262" s="29">
        <f t="shared" ca="1" si="1394"/>
        <v>0</v>
      </c>
      <c r="EN262" s="29">
        <f t="shared" ca="1" si="1394"/>
        <v>0</v>
      </c>
      <c r="EO262" s="29">
        <f t="shared" ca="1" si="1394"/>
        <v>0</v>
      </c>
      <c r="EP262" s="29">
        <f t="shared" ca="1" si="1394"/>
        <v>0</v>
      </c>
      <c r="EQ262" s="29">
        <f t="shared" ca="1" si="1394"/>
        <v>0</v>
      </c>
      <c r="ER262" s="88">
        <f t="shared" ca="1" si="1307"/>
        <v>0</v>
      </c>
      <c r="ET262" s="9"/>
      <c r="EU262" s="9"/>
      <c r="EV262" s="29">
        <f t="shared" si="1395"/>
        <v>0</v>
      </c>
      <c r="EW262" s="29">
        <f t="shared" si="1395"/>
        <v>0</v>
      </c>
      <c r="EX262" s="29">
        <f t="shared" si="1395"/>
        <v>0</v>
      </c>
      <c r="EY262" s="29">
        <f t="shared" si="1395"/>
        <v>0</v>
      </c>
      <c r="EZ262" s="29">
        <f t="shared" si="1395"/>
        <v>0</v>
      </c>
      <c r="FA262" s="29">
        <f t="shared" si="1395"/>
        <v>0</v>
      </c>
      <c r="FB262" s="167">
        <f>SUM(EV262:FA262)</f>
        <v>0</v>
      </c>
      <c r="FC262" s="1"/>
      <c r="FD262" s="29"/>
      <c r="FE262" s="29"/>
      <c r="FF262" s="29"/>
      <c r="FG262" s="29"/>
      <c r="FH262" s="29"/>
      <c r="FI262" s="29"/>
      <c r="FJ262" s="48">
        <f>SUM(FD262:FI262)</f>
        <v>0</v>
      </c>
      <c r="FL262" s="29"/>
      <c r="FM262" s="29"/>
      <c r="FN262" s="29"/>
      <c r="FO262" s="29"/>
      <c r="FP262" s="29"/>
      <c r="FQ262" s="29"/>
      <c r="FR262" s="209">
        <f>SUM(FL262:FQ262)</f>
        <v>0</v>
      </c>
      <c r="FT262" s="29"/>
      <c r="FU262" s="29"/>
      <c r="FV262" s="29"/>
      <c r="FW262" s="29"/>
      <c r="FX262" s="29"/>
      <c r="FY262" s="29"/>
      <c r="FZ262" s="181">
        <f>SUM(FT262:FY262)</f>
        <v>0</v>
      </c>
      <c r="GB262" s="29"/>
      <c r="GC262" s="29"/>
      <c r="GD262" s="29"/>
      <c r="GE262" s="29"/>
      <c r="GF262" s="29"/>
      <c r="GG262" s="29"/>
      <c r="GH262" s="153">
        <f>SUM(GB262:GG262)</f>
        <v>0</v>
      </c>
      <c r="GJ262" s="29"/>
      <c r="GK262" s="29"/>
      <c r="GL262" s="29"/>
      <c r="GM262" s="29"/>
      <c r="GN262" s="29"/>
      <c r="GO262" s="29"/>
      <c r="GP262" s="195">
        <f>SUM(GJ262:GO262)</f>
        <v>0</v>
      </c>
      <c r="GR262" s="29"/>
      <c r="GS262" s="29"/>
      <c r="GT262" s="29"/>
      <c r="GU262" s="29"/>
      <c r="GV262" s="29"/>
      <c r="GW262" s="29"/>
      <c r="GX262" s="1630">
        <f>SUM(GR262:GW262)</f>
        <v>0</v>
      </c>
      <c r="GZ262" s="575">
        <f t="shared" si="1296"/>
        <v>0</v>
      </c>
      <c r="HA262" s="575">
        <f t="shared" si="1297"/>
        <v>0</v>
      </c>
      <c r="HB262" s="575">
        <f t="shared" si="1298"/>
        <v>0</v>
      </c>
      <c r="HC262" s="575">
        <f t="shared" si="1299"/>
        <v>0</v>
      </c>
      <c r="HD262" s="575">
        <f t="shared" si="1300"/>
        <v>0</v>
      </c>
      <c r="HE262" s="575">
        <f t="shared" si="1301"/>
        <v>0</v>
      </c>
      <c r="HF262" s="991">
        <f t="shared" si="1302"/>
        <v>0</v>
      </c>
      <c r="HG262" s="573">
        <f t="shared" ca="1" si="1303"/>
        <v>0</v>
      </c>
      <c r="HH262" s="257"/>
    </row>
    <row r="263" spans="1:216" ht="15" hidden="1" customHeight="1" thickBot="1" x14ac:dyDescent="0.3">
      <c r="A263" s="480"/>
      <c r="B263" s="1857">
        <f>'Calc - GRAD ASST'!C268</f>
        <v>0</v>
      </c>
      <c r="C263" s="420" t="s">
        <v>130</v>
      </c>
      <c r="D263" s="42">
        <f ca="1">'Calc - GRAD ASST'!$M$281</f>
        <v>0</v>
      </c>
      <c r="E263" s="42">
        <f ca="1">'Calc - GRAD ASST'!$M$283</f>
        <v>0</v>
      </c>
      <c r="F263" s="42">
        <f ca="1">'Calc - GRAD ASST'!$M$285</f>
        <v>0</v>
      </c>
      <c r="G263" s="42">
        <f ca="1">'Calc - GRAD ASST'!$M$287</f>
        <v>0</v>
      </c>
      <c r="H263" s="42">
        <f ca="1">'Calc - GRAD ASST'!$M$289</f>
        <v>0</v>
      </c>
      <c r="I263" s="42">
        <f ca="1">'Calc - GRAD ASST'!$M$291</f>
        <v>0</v>
      </c>
      <c r="J263" s="90">
        <f ca="1">SUM(D263:I263)</f>
        <v>0</v>
      </c>
      <c r="K263" s="9"/>
      <c r="L263" s="9"/>
      <c r="M263" s="9"/>
      <c r="N263" s="5"/>
      <c r="O263" s="5"/>
      <c r="P263" s="5"/>
      <c r="Q263" s="5"/>
      <c r="R263" s="5"/>
      <c r="S263" s="5"/>
      <c r="T263" s="167">
        <f>SUM(N263:S263)</f>
        <v>0</v>
      </c>
      <c r="U263" s="1"/>
      <c r="V263" s="5"/>
      <c r="W263" s="5"/>
      <c r="X263" s="5"/>
      <c r="Y263" s="5"/>
      <c r="Z263" s="5"/>
      <c r="AA263" s="5"/>
      <c r="AB263" s="48">
        <f>SUM(V263:AA263)</f>
        <v>0</v>
      </c>
      <c r="AD263" s="5"/>
      <c r="AE263" s="5"/>
      <c r="AF263" s="5"/>
      <c r="AG263" s="5"/>
      <c r="AH263" s="5"/>
      <c r="AI263" s="5"/>
      <c r="AJ263" s="209">
        <f>SUM(AD263:AI263)</f>
        <v>0</v>
      </c>
      <c r="AL263" s="5"/>
      <c r="AM263" s="5"/>
      <c r="AN263" s="5"/>
      <c r="AO263" s="5"/>
      <c r="AP263" s="5"/>
      <c r="AQ263" s="5"/>
      <c r="AR263" s="181">
        <f>SUM(AL263:AQ263)</f>
        <v>0</v>
      </c>
      <c r="AT263" s="5"/>
      <c r="AU263" s="5"/>
      <c r="AV263" s="5"/>
      <c r="AW263" s="5"/>
      <c r="AX263" s="5"/>
      <c r="AY263" s="5"/>
      <c r="AZ263" s="153">
        <f>SUM(AT263:AY263)</f>
        <v>0</v>
      </c>
      <c r="BB263" s="5"/>
      <c r="BC263" s="5"/>
      <c r="BD263" s="5"/>
      <c r="BE263" s="5"/>
      <c r="BF263" s="5"/>
      <c r="BG263" s="5"/>
      <c r="BH263" s="195">
        <f>SUM(BB263:BG263)</f>
        <v>0</v>
      </c>
      <c r="BJ263" s="5"/>
      <c r="BK263" s="5"/>
      <c r="BL263" s="5"/>
      <c r="BM263" s="5"/>
      <c r="BN263" s="5"/>
      <c r="BO263" s="5"/>
      <c r="BP263" s="1630">
        <f>SUM(BJ263:BO263)</f>
        <v>0</v>
      </c>
      <c r="BR263" s="575">
        <f t="shared" si="1276"/>
        <v>0</v>
      </c>
      <c r="BS263" s="575">
        <f t="shared" si="1277"/>
        <v>0</v>
      </c>
      <c r="BT263" s="575">
        <f t="shared" si="1278"/>
        <v>0</v>
      </c>
      <c r="BU263" s="575">
        <f t="shared" si="1279"/>
        <v>0</v>
      </c>
      <c r="BV263" s="575">
        <f t="shared" si="1280"/>
        <v>0</v>
      </c>
      <c r="BW263" s="575">
        <f t="shared" si="1281"/>
        <v>0</v>
      </c>
      <c r="BX263" s="991">
        <f t="shared" si="1282"/>
        <v>0</v>
      </c>
      <c r="BY263" s="573">
        <f t="shared" ca="1" si="1283"/>
        <v>0</v>
      </c>
      <c r="BZ263" s="257"/>
      <c r="CB263" s="1330">
        <f ca="1">D263</f>
        <v>0</v>
      </c>
      <c r="CC263" s="1201">
        <f ca="1">($E263-$CG263)/3</f>
        <v>0</v>
      </c>
      <c r="CD263" s="1202">
        <f ca="1">($E263-$CG263)/3</f>
        <v>0</v>
      </c>
      <c r="CE263" s="1202">
        <f ca="1">($E263-$CG263)/3</f>
        <v>0</v>
      </c>
      <c r="CF263" s="1202"/>
      <c r="CG263" s="1203">
        <f ca="1">OFFSET('Calc - GRAD ASST'!$K$20,9*29+2,0)</f>
        <v>0</v>
      </c>
      <c r="CH263" s="1251">
        <f ca="1">($F263-$CL263)/3</f>
        <v>0</v>
      </c>
      <c r="CI263" s="1205">
        <f ca="1">($F263-$CL263)/3</f>
        <v>0</v>
      </c>
      <c r="CJ263" s="1205">
        <f ca="1">($F263-$CL263)/3</f>
        <v>0</v>
      </c>
      <c r="CK263" s="1205"/>
      <c r="CL263" s="1206">
        <f ca="1">OFFSET('Calc - GRAD ASST'!$K$20,9*29+4,0)</f>
        <v>0</v>
      </c>
      <c r="CM263" s="1207">
        <f ca="1">$G263/3</f>
        <v>0</v>
      </c>
      <c r="CN263" s="1252">
        <f ca="1">$G263/3</f>
        <v>0</v>
      </c>
      <c r="CO263" s="1209">
        <f ca="1">$G263/3</f>
        <v>0</v>
      </c>
      <c r="CP263" s="1316">
        <f t="shared" ca="1" si="1306"/>
        <v>0</v>
      </c>
      <c r="CS263" s="575"/>
      <c r="CT263" s="5"/>
      <c r="CU263" s="1180"/>
      <c r="CV263" s="575"/>
      <c r="CW263" s="5"/>
      <c r="CX263" s="1180"/>
      <c r="CY263" s="575"/>
      <c r="CZ263" s="5"/>
      <c r="DA263" s="1180"/>
      <c r="DB263" s="575"/>
      <c r="DC263" s="5"/>
      <c r="DD263" s="1180"/>
      <c r="DE263" s="1181">
        <f>SUM(CS263:DD263)</f>
        <v>0</v>
      </c>
      <c r="DG263" s="575"/>
      <c r="DH263" s="5"/>
      <c r="DI263" s="1180"/>
      <c r="DJ263" s="575"/>
      <c r="DK263" s="5"/>
      <c r="DL263" s="1180"/>
      <c r="DM263" s="575"/>
      <c r="DN263" s="5"/>
      <c r="DO263" s="1180"/>
      <c r="DP263" s="575"/>
      <c r="DQ263" s="5"/>
      <c r="DR263" s="1180"/>
      <c r="DS263" s="1181">
        <f>SUM(DG263:DR263)</f>
        <v>0</v>
      </c>
      <c r="DU263" s="575"/>
      <c r="DV263" s="5"/>
      <c r="DW263" s="1180"/>
      <c r="DX263" s="575"/>
      <c r="DY263" s="5"/>
      <c r="DZ263" s="1180"/>
      <c r="EA263" s="575"/>
      <c r="EB263" s="5"/>
      <c r="EC263" s="1180"/>
      <c r="ED263" s="575"/>
      <c r="EE263" s="5"/>
      <c r="EF263" s="1180"/>
      <c r="EG263" s="1181">
        <f>SUM(DU263:EF263)</f>
        <v>0</v>
      </c>
      <c r="EI263" s="480"/>
      <c r="EJ263" s="1857">
        <f>B263</f>
        <v>0</v>
      </c>
      <c r="EK263" s="420" t="s">
        <v>130</v>
      </c>
      <c r="EL263" s="42">
        <f t="shared" ca="1" si="1394"/>
        <v>0</v>
      </c>
      <c r="EM263" s="42">
        <f t="shared" ca="1" si="1394"/>
        <v>0</v>
      </c>
      <c r="EN263" s="42">
        <f t="shared" ca="1" si="1394"/>
        <v>0</v>
      </c>
      <c r="EO263" s="42">
        <f t="shared" ca="1" si="1394"/>
        <v>0</v>
      </c>
      <c r="EP263" s="42">
        <f t="shared" ca="1" si="1394"/>
        <v>0</v>
      </c>
      <c r="EQ263" s="42">
        <f t="shared" ca="1" si="1394"/>
        <v>0</v>
      </c>
      <c r="ER263" s="90">
        <f t="shared" ca="1" si="1307"/>
        <v>0</v>
      </c>
      <c r="ES263" s="9"/>
      <c r="ET263" s="9"/>
      <c r="EU263" s="9"/>
      <c r="EV263" s="5">
        <f t="shared" si="1395"/>
        <v>0</v>
      </c>
      <c r="EW263" s="5">
        <f t="shared" si="1395"/>
        <v>0</v>
      </c>
      <c r="EX263" s="5">
        <f t="shared" si="1395"/>
        <v>0</v>
      </c>
      <c r="EY263" s="5">
        <f t="shared" si="1395"/>
        <v>0</v>
      </c>
      <c r="EZ263" s="5">
        <f t="shared" si="1395"/>
        <v>0</v>
      </c>
      <c r="FA263" s="5">
        <f t="shared" si="1395"/>
        <v>0</v>
      </c>
      <c r="FB263" s="167">
        <f>SUM(EV263:FA263)</f>
        <v>0</v>
      </c>
      <c r="FC263" s="1"/>
      <c r="FD263" s="5"/>
      <c r="FE263" s="5"/>
      <c r="FF263" s="5"/>
      <c r="FG263" s="5"/>
      <c r="FH263" s="5"/>
      <c r="FI263" s="5"/>
      <c r="FJ263" s="48">
        <f>SUM(FD263:FI263)</f>
        <v>0</v>
      </c>
      <c r="FL263" s="5"/>
      <c r="FM263" s="5"/>
      <c r="FN263" s="5"/>
      <c r="FO263" s="5"/>
      <c r="FP263" s="5"/>
      <c r="FQ263" s="5"/>
      <c r="FR263" s="209">
        <f>SUM(FL263:FQ263)</f>
        <v>0</v>
      </c>
      <c r="FT263" s="5"/>
      <c r="FU263" s="5"/>
      <c r="FV263" s="5"/>
      <c r="FW263" s="5"/>
      <c r="FX263" s="5"/>
      <c r="FY263" s="5"/>
      <c r="FZ263" s="181">
        <f>SUM(FT263:FY263)</f>
        <v>0</v>
      </c>
      <c r="GB263" s="5"/>
      <c r="GC263" s="5"/>
      <c r="GD263" s="5"/>
      <c r="GE263" s="5"/>
      <c r="GF263" s="5"/>
      <c r="GG263" s="5"/>
      <c r="GH263" s="153">
        <f>SUM(GB263:GG263)</f>
        <v>0</v>
      </c>
      <c r="GJ263" s="5"/>
      <c r="GK263" s="5"/>
      <c r="GL263" s="5"/>
      <c r="GM263" s="5"/>
      <c r="GN263" s="5"/>
      <c r="GO263" s="5"/>
      <c r="GP263" s="195">
        <f>SUM(GJ263:GO263)</f>
        <v>0</v>
      </c>
      <c r="GR263" s="5"/>
      <c r="GS263" s="5"/>
      <c r="GT263" s="5"/>
      <c r="GU263" s="5"/>
      <c r="GV263" s="5"/>
      <c r="GW263" s="5"/>
      <c r="GX263" s="1630">
        <f>SUM(GR263:GW263)</f>
        <v>0</v>
      </c>
      <c r="GZ263" s="575">
        <f t="shared" si="1296"/>
        <v>0</v>
      </c>
      <c r="HA263" s="575">
        <f t="shared" si="1297"/>
        <v>0</v>
      </c>
      <c r="HB263" s="575">
        <f t="shared" si="1298"/>
        <v>0</v>
      </c>
      <c r="HC263" s="575">
        <f t="shared" si="1299"/>
        <v>0</v>
      </c>
      <c r="HD263" s="575">
        <f t="shared" si="1300"/>
        <v>0</v>
      </c>
      <c r="HE263" s="575">
        <f t="shared" si="1301"/>
        <v>0</v>
      </c>
      <c r="HF263" s="991">
        <f t="shared" si="1302"/>
        <v>0</v>
      </c>
      <c r="HG263" s="573">
        <f t="shared" ca="1" si="1303"/>
        <v>0</v>
      </c>
      <c r="HH263" s="257"/>
    </row>
    <row r="264" spans="1:216" ht="15" hidden="1" customHeight="1" thickBot="1" x14ac:dyDescent="0.3">
      <c r="A264" s="480"/>
      <c r="B264" s="1858"/>
      <c r="C264" s="1611" t="s">
        <v>503</v>
      </c>
      <c r="D264" s="1612">
        <f t="shared" ref="D264:J264" ca="1" si="1396">SUM(D261:D263)</f>
        <v>0</v>
      </c>
      <c r="E264" s="1612">
        <f t="shared" ca="1" si="1396"/>
        <v>0</v>
      </c>
      <c r="F264" s="1612">
        <f t="shared" ca="1" si="1396"/>
        <v>0</v>
      </c>
      <c r="G264" s="1612">
        <f t="shared" ca="1" si="1396"/>
        <v>0</v>
      </c>
      <c r="H264" s="1612">
        <f t="shared" ca="1" si="1396"/>
        <v>0</v>
      </c>
      <c r="I264" s="1612">
        <f t="shared" ca="1" si="1396"/>
        <v>0</v>
      </c>
      <c r="J264" s="1086">
        <f t="shared" ca="1" si="1396"/>
        <v>0</v>
      </c>
      <c r="K264" s="13">
        <f ca="1">SUM(D264:I264)</f>
        <v>0</v>
      </c>
      <c r="L264" s="13"/>
      <c r="M264" s="9"/>
      <c r="N264" s="1629">
        <f t="shared" ref="N264:T264" si="1397">SUM(N261:N263)</f>
        <v>0</v>
      </c>
      <c r="O264" s="1629">
        <f t="shared" si="1397"/>
        <v>0</v>
      </c>
      <c r="P264" s="1629">
        <f t="shared" si="1397"/>
        <v>0</v>
      </c>
      <c r="Q264" s="1629">
        <f t="shared" si="1397"/>
        <v>0</v>
      </c>
      <c r="R264" s="1629">
        <f t="shared" si="1397"/>
        <v>0</v>
      </c>
      <c r="S264" s="1629">
        <f t="shared" si="1397"/>
        <v>0</v>
      </c>
      <c r="T264" s="1628">
        <f t="shared" si="1397"/>
        <v>0</v>
      </c>
      <c r="U264" s="1"/>
      <c r="V264" s="1629">
        <f t="shared" ref="V264:AB264" si="1398">SUM(V261:V263)</f>
        <v>0</v>
      </c>
      <c r="W264" s="1629">
        <f t="shared" si="1398"/>
        <v>0</v>
      </c>
      <c r="X264" s="1629">
        <f t="shared" si="1398"/>
        <v>0</v>
      </c>
      <c r="Y264" s="1629">
        <f t="shared" si="1398"/>
        <v>0</v>
      </c>
      <c r="Z264" s="1629">
        <f t="shared" si="1398"/>
        <v>0</v>
      </c>
      <c r="AA264" s="1629">
        <f t="shared" si="1398"/>
        <v>0</v>
      </c>
      <c r="AB264" s="1628">
        <f t="shared" si="1398"/>
        <v>0</v>
      </c>
      <c r="AD264" s="1629">
        <f t="shared" ref="AD264:AJ264" si="1399">SUM(AD261:AD263)</f>
        <v>0</v>
      </c>
      <c r="AE264" s="1629">
        <f t="shared" si="1399"/>
        <v>0</v>
      </c>
      <c r="AF264" s="1629">
        <f t="shared" si="1399"/>
        <v>0</v>
      </c>
      <c r="AG264" s="1629">
        <f t="shared" si="1399"/>
        <v>0</v>
      </c>
      <c r="AH264" s="1629">
        <f t="shared" si="1399"/>
        <v>0</v>
      </c>
      <c r="AI264" s="1629">
        <f t="shared" si="1399"/>
        <v>0</v>
      </c>
      <c r="AJ264" s="1628">
        <f t="shared" si="1399"/>
        <v>0</v>
      </c>
      <c r="AL264" s="7">
        <f t="shared" ref="AL264:AR264" si="1400">SUM(AL261:AL263)</f>
        <v>0</v>
      </c>
      <c r="AM264" s="7">
        <f t="shared" si="1400"/>
        <v>0</v>
      </c>
      <c r="AN264" s="7">
        <f t="shared" si="1400"/>
        <v>0</v>
      </c>
      <c r="AO264" s="7">
        <f t="shared" si="1400"/>
        <v>0</v>
      </c>
      <c r="AP264" s="7">
        <f t="shared" si="1400"/>
        <v>0</v>
      </c>
      <c r="AQ264" s="7">
        <f t="shared" si="1400"/>
        <v>0</v>
      </c>
      <c r="AR264" s="12">
        <f t="shared" si="1400"/>
        <v>0</v>
      </c>
      <c r="AT264" s="7">
        <f t="shared" ref="AT264:AZ264" si="1401">SUM(AT261:AT263)</f>
        <v>0</v>
      </c>
      <c r="AU264" s="7">
        <f t="shared" si="1401"/>
        <v>0</v>
      </c>
      <c r="AV264" s="7">
        <f t="shared" si="1401"/>
        <v>0</v>
      </c>
      <c r="AW264" s="7">
        <f t="shared" si="1401"/>
        <v>0</v>
      </c>
      <c r="AX264" s="7">
        <f t="shared" si="1401"/>
        <v>0</v>
      </c>
      <c r="AY264" s="7">
        <f t="shared" si="1401"/>
        <v>0</v>
      </c>
      <c r="AZ264" s="12">
        <f t="shared" si="1401"/>
        <v>0</v>
      </c>
      <c r="BB264" s="7">
        <f t="shared" ref="BB264:BH264" si="1402">SUM(BB261:BB263)</f>
        <v>0</v>
      </c>
      <c r="BC264" s="7">
        <f t="shared" si="1402"/>
        <v>0</v>
      </c>
      <c r="BD264" s="7">
        <f t="shared" si="1402"/>
        <v>0</v>
      </c>
      <c r="BE264" s="7">
        <f t="shared" si="1402"/>
        <v>0</v>
      </c>
      <c r="BF264" s="7">
        <f t="shared" si="1402"/>
        <v>0</v>
      </c>
      <c r="BG264" s="7">
        <f t="shared" si="1402"/>
        <v>0</v>
      </c>
      <c r="BH264" s="12">
        <f t="shared" si="1402"/>
        <v>0</v>
      </c>
      <c r="BJ264" s="7">
        <f t="shared" ref="BJ264:BP264" si="1403">SUM(BJ261:BJ263)</f>
        <v>0</v>
      </c>
      <c r="BK264" s="7">
        <f t="shared" si="1403"/>
        <v>0</v>
      </c>
      <c r="BL264" s="7">
        <f t="shared" si="1403"/>
        <v>0</v>
      </c>
      <c r="BM264" s="7">
        <f t="shared" si="1403"/>
        <v>0</v>
      </c>
      <c r="BN264" s="7">
        <f t="shared" si="1403"/>
        <v>0</v>
      </c>
      <c r="BO264" s="7">
        <f t="shared" si="1403"/>
        <v>0</v>
      </c>
      <c r="BP264" s="12">
        <f t="shared" si="1403"/>
        <v>0</v>
      </c>
      <c r="BR264" s="589">
        <f t="shared" si="1276"/>
        <v>0</v>
      </c>
      <c r="BS264" s="589">
        <f t="shared" si="1277"/>
        <v>0</v>
      </c>
      <c r="BT264" s="589">
        <f t="shared" si="1278"/>
        <v>0</v>
      </c>
      <c r="BU264" s="589">
        <f t="shared" si="1279"/>
        <v>0</v>
      </c>
      <c r="BV264" s="589">
        <f t="shared" si="1280"/>
        <v>0</v>
      </c>
      <c r="BW264" s="589">
        <f t="shared" si="1281"/>
        <v>0</v>
      </c>
      <c r="BX264" s="589">
        <f t="shared" si="1282"/>
        <v>0</v>
      </c>
      <c r="BY264" s="590">
        <f t="shared" ca="1" si="1283"/>
        <v>0</v>
      </c>
      <c r="BZ264" s="257"/>
      <c r="CB264" s="1633">
        <f t="shared" ref="CB264:CO264" ca="1" si="1404">SUM(CB261:CB263)</f>
        <v>0</v>
      </c>
      <c r="CC264" s="1634">
        <f t="shared" ca="1" si="1404"/>
        <v>0</v>
      </c>
      <c r="CD264" s="1635">
        <f t="shared" ca="1" si="1404"/>
        <v>0</v>
      </c>
      <c r="CE264" s="1635">
        <f t="shared" ca="1" si="1404"/>
        <v>0</v>
      </c>
      <c r="CF264" s="1635">
        <f t="shared" si="1404"/>
        <v>0</v>
      </c>
      <c r="CG264" s="1636">
        <f t="shared" ca="1" si="1404"/>
        <v>0</v>
      </c>
      <c r="CH264" s="1634">
        <f t="shared" ca="1" si="1404"/>
        <v>0</v>
      </c>
      <c r="CI264" s="1635">
        <f t="shared" ca="1" si="1404"/>
        <v>0</v>
      </c>
      <c r="CJ264" s="1635">
        <f t="shared" ca="1" si="1404"/>
        <v>0</v>
      </c>
      <c r="CK264" s="1635">
        <f t="shared" si="1404"/>
        <v>0</v>
      </c>
      <c r="CL264" s="1637">
        <f t="shared" ca="1" si="1404"/>
        <v>0</v>
      </c>
      <c r="CM264" s="1634">
        <f t="shared" ca="1" si="1404"/>
        <v>0</v>
      </c>
      <c r="CN264" s="1635">
        <f t="shared" ca="1" si="1404"/>
        <v>0</v>
      </c>
      <c r="CO264" s="1636">
        <f t="shared" ca="1" si="1404"/>
        <v>0</v>
      </c>
      <c r="CP264" s="1351">
        <f t="shared" ca="1" si="1306"/>
        <v>0</v>
      </c>
      <c r="CS264" s="1231">
        <f t="shared" ref="CS264:DE264" si="1405">SUM(CS261:CS263)</f>
        <v>0</v>
      </c>
      <c r="CT264" s="7">
        <f t="shared" si="1405"/>
        <v>0</v>
      </c>
      <c r="CU264" s="573">
        <f t="shared" si="1405"/>
        <v>0</v>
      </c>
      <c r="CV264" s="1231">
        <f t="shared" si="1405"/>
        <v>0</v>
      </c>
      <c r="CW264" s="7">
        <f t="shared" si="1405"/>
        <v>0</v>
      </c>
      <c r="CX264" s="573">
        <f t="shared" si="1405"/>
        <v>0</v>
      </c>
      <c r="CY264" s="1231">
        <f t="shared" si="1405"/>
        <v>0</v>
      </c>
      <c r="CZ264" s="7">
        <f t="shared" si="1405"/>
        <v>0</v>
      </c>
      <c r="DA264" s="573">
        <f t="shared" si="1405"/>
        <v>0</v>
      </c>
      <c r="DB264" s="1231">
        <f t="shared" si="1405"/>
        <v>0</v>
      </c>
      <c r="DC264" s="7">
        <f t="shared" si="1405"/>
        <v>0</v>
      </c>
      <c r="DD264" s="573">
        <f t="shared" si="1405"/>
        <v>0</v>
      </c>
      <c r="DE264" s="1181">
        <f t="shared" si="1405"/>
        <v>0</v>
      </c>
      <c r="DG264" s="1231">
        <f t="shared" ref="DG264:DS264" si="1406">SUM(DG261:DG263)</f>
        <v>0</v>
      </c>
      <c r="DH264" s="7">
        <f t="shared" si="1406"/>
        <v>0</v>
      </c>
      <c r="DI264" s="573">
        <f t="shared" si="1406"/>
        <v>0</v>
      </c>
      <c r="DJ264" s="1231">
        <f t="shared" si="1406"/>
        <v>0</v>
      </c>
      <c r="DK264" s="7">
        <f t="shared" si="1406"/>
        <v>0</v>
      </c>
      <c r="DL264" s="573">
        <f t="shared" si="1406"/>
        <v>0</v>
      </c>
      <c r="DM264" s="1231">
        <f t="shared" si="1406"/>
        <v>0</v>
      </c>
      <c r="DN264" s="7">
        <f t="shared" si="1406"/>
        <v>0</v>
      </c>
      <c r="DO264" s="573">
        <f t="shared" si="1406"/>
        <v>0</v>
      </c>
      <c r="DP264" s="1231">
        <f t="shared" si="1406"/>
        <v>0</v>
      </c>
      <c r="DQ264" s="7">
        <f t="shared" si="1406"/>
        <v>0</v>
      </c>
      <c r="DR264" s="573">
        <f t="shared" si="1406"/>
        <v>0</v>
      </c>
      <c r="DS264" s="1181">
        <f t="shared" si="1406"/>
        <v>0</v>
      </c>
      <c r="DU264" s="1231">
        <f t="shared" ref="DU264:EG264" si="1407">SUM(DU261:DU263)</f>
        <v>0</v>
      </c>
      <c r="DV264" s="7">
        <f t="shared" si="1407"/>
        <v>0</v>
      </c>
      <c r="DW264" s="573">
        <f t="shared" si="1407"/>
        <v>0</v>
      </c>
      <c r="DX264" s="1231">
        <f t="shared" si="1407"/>
        <v>0</v>
      </c>
      <c r="DY264" s="7">
        <f t="shared" si="1407"/>
        <v>0</v>
      </c>
      <c r="DZ264" s="573">
        <f t="shared" si="1407"/>
        <v>0</v>
      </c>
      <c r="EA264" s="1231">
        <f t="shared" si="1407"/>
        <v>0</v>
      </c>
      <c r="EB264" s="7">
        <f t="shared" si="1407"/>
        <v>0</v>
      </c>
      <c r="EC264" s="573">
        <f t="shared" si="1407"/>
        <v>0</v>
      </c>
      <c r="ED264" s="1231">
        <f t="shared" si="1407"/>
        <v>0</v>
      </c>
      <c r="EE264" s="7">
        <f t="shared" si="1407"/>
        <v>0</v>
      </c>
      <c r="EF264" s="573">
        <f t="shared" si="1407"/>
        <v>0</v>
      </c>
      <c r="EG264" s="1181">
        <f t="shared" si="1407"/>
        <v>0</v>
      </c>
      <c r="EI264" s="480"/>
      <c r="EJ264" s="1858"/>
      <c r="EK264" s="1611" t="s">
        <v>503</v>
      </c>
      <c r="EL264" s="1612">
        <f t="shared" ref="EL264:EQ264" ca="1" si="1408">SUM(EL261:EL263)</f>
        <v>0</v>
      </c>
      <c r="EM264" s="1612">
        <f t="shared" ca="1" si="1408"/>
        <v>0</v>
      </c>
      <c r="EN264" s="1612">
        <f t="shared" ca="1" si="1408"/>
        <v>0</v>
      </c>
      <c r="EO264" s="1612">
        <f t="shared" ca="1" si="1408"/>
        <v>0</v>
      </c>
      <c r="EP264" s="1612">
        <f t="shared" ca="1" si="1408"/>
        <v>0</v>
      </c>
      <c r="EQ264" s="1612">
        <f t="shared" ca="1" si="1408"/>
        <v>0</v>
      </c>
      <c r="ER264" s="1086">
        <f t="shared" ca="1" si="1307"/>
        <v>0</v>
      </c>
      <c r="ES264" s="13">
        <f ca="1">SUM(ER261:ER263)</f>
        <v>0</v>
      </c>
      <c r="ET264" s="13"/>
      <c r="EU264" s="9"/>
      <c r="EV264" s="1629">
        <f t="shared" ref="EV264:FB264" si="1409">SUM(EV261:EV263)</f>
        <v>0</v>
      </c>
      <c r="EW264" s="1629">
        <f t="shared" si="1409"/>
        <v>0</v>
      </c>
      <c r="EX264" s="1629">
        <f t="shared" si="1409"/>
        <v>0</v>
      </c>
      <c r="EY264" s="1629">
        <f t="shared" si="1409"/>
        <v>0</v>
      </c>
      <c r="EZ264" s="1629">
        <f t="shared" si="1409"/>
        <v>0</v>
      </c>
      <c r="FA264" s="1629">
        <f t="shared" si="1409"/>
        <v>0</v>
      </c>
      <c r="FB264" s="1628">
        <f t="shared" si="1409"/>
        <v>0</v>
      </c>
      <c r="FC264" s="1"/>
      <c r="FD264" s="1629">
        <f t="shared" ref="FD264:FJ264" si="1410">SUM(FD261:FD263)</f>
        <v>0</v>
      </c>
      <c r="FE264" s="1629">
        <f t="shared" si="1410"/>
        <v>0</v>
      </c>
      <c r="FF264" s="1629">
        <f t="shared" si="1410"/>
        <v>0</v>
      </c>
      <c r="FG264" s="1629">
        <f t="shared" si="1410"/>
        <v>0</v>
      </c>
      <c r="FH264" s="1629">
        <f t="shared" si="1410"/>
        <v>0</v>
      </c>
      <c r="FI264" s="1629">
        <f t="shared" si="1410"/>
        <v>0</v>
      </c>
      <c r="FJ264" s="1628">
        <f t="shared" si="1410"/>
        <v>0</v>
      </c>
      <c r="FL264" s="1629">
        <f t="shared" ref="FL264:FR264" si="1411">SUM(FL261:FL263)</f>
        <v>0</v>
      </c>
      <c r="FM264" s="1629">
        <f t="shared" si="1411"/>
        <v>0</v>
      </c>
      <c r="FN264" s="1629">
        <f t="shared" si="1411"/>
        <v>0</v>
      </c>
      <c r="FO264" s="1629">
        <f t="shared" si="1411"/>
        <v>0</v>
      </c>
      <c r="FP264" s="1629">
        <f t="shared" si="1411"/>
        <v>0</v>
      </c>
      <c r="FQ264" s="1629">
        <f t="shared" si="1411"/>
        <v>0</v>
      </c>
      <c r="FR264" s="1628">
        <f t="shared" si="1411"/>
        <v>0</v>
      </c>
      <c r="FT264" s="7">
        <f t="shared" ref="FT264:FZ264" si="1412">SUM(FT261:FT263)</f>
        <v>0</v>
      </c>
      <c r="FU264" s="7">
        <f t="shared" si="1412"/>
        <v>0</v>
      </c>
      <c r="FV264" s="7">
        <f t="shared" si="1412"/>
        <v>0</v>
      </c>
      <c r="FW264" s="7">
        <f t="shared" si="1412"/>
        <v>0</v>
      </c>
      <c r="FX264" s="7">
        <f t="shared" si="1412"/>
        <v>0</v>
      </c>
      <c r="FY264" s="7">
        <f t="shared" si="1412"/>
        <v>0</v>
      </c>
      <c r="FZ264" s="12">
        <f t="shared" si="1412"/>
        <v>0</v>
      </c>
      <c r="GB264" s="7">
        <f t="shared" ref="GB264:GH264" si="1413">SUM(GB261:GB263)</f>
        <v>0</v>
      </c>
      <c r="GC264" s="7">
        <f t="shared" si="1413"/>
        <v>0</v>
      </c>
      <c r="GD264" s="7">
        <f t="shared" si="1413"/>
        <v>0</v>
      </c>
      <c r="GE264" s="7">
        <f t="shared" si="1413"/>
        <v>0</v>
      </c>
      <c r="GF264" s="7">
        <f t="shared" si="1413"/>
        <v>0</v>
      </c>
      <c r="GG264" s="7">
        <f t="shared" si="1413"/>
        <v>0</v>
      </c>
      <c r="GH264" s="12">
        <f t="shared" si="1413"/>
        <v>0</v>
      </c>
      <c r="GJ264" s="7">
        <f t="shared" ref="GJ264:GP264" si="1414">SUM(GJ261:GJ263)</f>
        <v>0</v>
      </c>
      <c r="GK264" s="7">
        <f t="shared" si="1414"/>
        <v>0</v>
      </c>
      <c r="GL264" s="7">
        <f t="shared" si="1414"/>
        <v>0</v>
      </c>
      <c r="GM264" s="7">
        <f t="shared" si="1414"/>
        <v>0</v>
      </c>
      <c r="GN264" s="7">
        <f t="shared" si="1414"/>
        <v>0</v>
      </c>
      <c r="GO264" s="7">
        <f t="shared" si="1414"/>
        <v>0</v>
      </c>
      <c r="GP264" s="12">
        <f t="shared" si="1414"/>
        <v>0</v>
      </c>
      <c r="GR264" s="7">
        <f t="shared" ref="GR264:GX264" si="1415">SUM(GR261:GR263)</f>
        <v>0</v>
      </c>
      <c r="GS264" s="7">
        <f t="shared" si="1415"/>
        <v>0</v>
      </c>
      <c r="GT264" s="7">
        <f t="shared" si="1415"/>
        <v>0</v>
      </c>
      <c r="GU264" s="7">
        <f t="shared" si="1415"/>
        <v>0</v>
      </c>
      <c r="GV264" s="7">
        <f t="shared" si="1415"/>
        <v>0</v>
      </c>
      <c r="GW264" s="7">
        <f t="shared" si="1415"/>
        <v>0</v>
      </c>
      <c r="GX264" s="12">
        <f t="shared" si="1415"/>
        <v>0</v>
      </c>
      <c r="GZ264" s="589">
        <f t="shared" si="1296"/>
        <v>0</v>
      </c>
      <c r="HA264" s="589">
        <f t="shared" si="1297"/>
        <v>0</v>
      </c>
      <c r="HB264" s="589">
        <f t="shared" si="1298"/>
        <v>0</v>
      </c>
      <c r="HC264" s="589">
        <f t="shared" si="1299"/>
        <v>0</v>
      </c>
      <c r="HD264" s="589">
        <f t="shared" si="1300"/>
        <v>0</v>
      </c>
      <c r="HE264" s="589">
        <f t="shared" si="1301"/>
        <v>0</v>
      </c>
      <c r="HF264" s="589">
        <f t="shared" si="1302"/>
        <v>0</v>
      </c>
      <c r="HG264" s="590">
        <f t="shared" ca="1" si="1303"/>
        <v>0</v>
      </c>
      <c r="HH264" s="257"/>
    </row>
    <row r="265" spans="1:216" ht="15" hidden="1" customHeight="1" x14ac:dyDescent="0.25">
      <c r="A265" s="480"/>
      <c r="B265" s="3314" t="str">
        <f>'Calc - GRAD ASST'!A296</f>
        <v>GA #11 / Sponsor Funds</v>
      </c>
      <c r="C265" s="483" t="s">
        <v>57</v>
      </c>
      <c r="D265" s="86">
        <f ca="1">'Calc - GRAD ASST'!$J$310</f>
        <v>0</v>
      </c>
      <c r="E265" s="86">
        <f ca="1">'Calc - GRAD ASST'!$J$312</f>
        <v>0</v>
      </c>
      <c r="F265" s="86">
        <f ca="1">'Calc - GRAD ASST'!$J$314</f>
        <v>0</v>
      </c>
      <c r="G265" s="86">
        <f ca="1">'Calc - GRAD ASST'!$J$316</f>
        <v>0</v>
      </c>
      <c r="H265" s="86">
        <f ca="1">'Calc - GRAD ASST'!$J$318</f>
        <v>0</v>
      </c>
      <c r="I265" s="86">
        <f ca="1">'Calc - GRAD ASST'!$J$320</f>
        <v>0</v>
      </c>
      <c r="J265" s="87">
        <f ca="1">SUM(D265:I265)</f>
        <v>0</v>
      </c>
      <c r="K265" s="9"/>
      <c r="M265" s="9"/>
      <c r="N265" s="5"/>
      <c r="O265" s="5"/>
      <c r="P265" s="5"/>
      <c r="Q265" s="5"/>
      <c r="R265" s="5"/>
      <c r="S265" s="5"/>
      <c r="T265" s="167">
        <f>SUM(N265:S265)</f>
        <v>0</v>
      </c>
      <c r="U265" s="1"/>
      <c r="V265" s="5"/>
      <c r="W265" s="5"/>
      <c r="X265" s="5"/>
      <c r="Y265" s="5"/>
      <c r="Z265" s="5"/>
      <c r="AA265" s="5"/>
      <c r="AB265" s="48">
        <f>SUM(V265:AA265)</f>
        <v>0</v>
      </c>
      <c r="AD265" s="5"/>
      <c r="AE265" s="5"/>
      <c r="AF265" s="5"/>
      <c r="AG265" s="5"/>
      <c r="AH265" s="5"/>
      <c r="AI265" s="5"/>
      <c r="AJ265" s="209">
        <f>SUM(AD265:AI265)</f>
        <v>0</v>
      </c>
      <c r="AL265" s="5"/>
      <c r="AM265" s="5"/>
      <c r="AN265" s="5"/>
      <c r="AO265" s="5"/>
      <c r="AP265" s="5"/>
      <c r="AQ265" s="5"/>
      <c r="AR265" s="181">
        <f>SUM(AL265:AQ265)</f>
        <v>0</v>
      </c>
      <c r="AT265" s="5"/>
      <c r="AU265" s="5"/>
      <c r="AV265" s="5"/>
      <c r="AW265" s="5"/>
      <c r="AX265" s="5"/>
      <c r="AY265" s="5"/>
      <c r="AZ265" s="153">
        <f>SUM(AT265:AY265)</f>
        <v>0</v>
      </c>
      <c r="BB265" s="5"/>
      <c r="BC265" s="5"/>
      <c r="BD265" s="5"/>
      <c r="BE265" s="5"/>
      <c r="BF265" s="5"/>
      <c r="BG265" s="5"/>
      <c r="BH265" s="195">
        <f>SUM(BB265:BG265)</f>
        <v>0</v>
      </c>
      <c r="BJ265" s="5"/>
      <c r="BK265" s="5"/>
      <c r="BL265" s="5"/>
      <c r="BM265" s="5"/>
      <c r="BN265" s="5"/>
      <c r="BO265" s="5"/>
      <c r="BP265" s="1630">
        <f>SUM(BJ265:BO265)</f>
        <v>0</v>
      </c>
      <c r="BR265" s="575">
        <f t="shared" si="1276"/>
        <v>0</v>
      </c>
      <c r="BS265" s="575">
        <f t="shared" si="1277"/>
        <v>0</v>
      </c>
      <c r="BT265" s="575">
        <f t="shared" si="1278"/>
        <v>0</v>
      </c>
      <c r="BU265" s="575">
        <f t="shared" si="1279"/>
        <v>0</v>
      </c>
      <c r="BV265" s="575">
        <f t="shared" si="1280"/>
        <v>0</v>
      </c>
      <c r="BW265" s="575">
        <f t="shared" si="1281"/>
        <v>0</v>
      </c>
      <c r="BX265" s="991">
        <f t="shared" si="1282"/>
        <v>0</v>
      </c>
      <c r="BY265" s="573">
        <f t="shared" ca="1" si="1283"/>
        <v>0</v>
      </c>
      <c r="BZ265" s="257"/>
      <c r="CB265" s="1322">
        <f ca="1">D265</f>
        <v>0</v>
      </c>
      <c r="CC265" s="386">
        <f ca="1">$E265/3</f>
        <v>0</v>
      </c>
      <c r="CD265" s="360">
        <f ca="1">$E265/3</f>
        <v>0</v>
      </c>
      <c r="CE265" s="360">
        <f ca="1">$E265/3</f>
        <v>0</v>
      </c>
      <c r="CF265" s="360"/>
      <c r="CG265" s="1161"/>
      <c r="CH265" s="1241">
        <f ca="1">$F265/3</f>
        <v>0</v>
      </c>
      <c r="CI265" s="1163">
        <f ca="1">$F265/3</f>
        <v>0</v>
      </c>
      <c r="CJ265" s="1163">
        <f ca="1">$F265/3</f>
        <v>0</v>
      </c>
      <c r="CK265" s="1163"/>
      <c r="CL265" s="1164"/>
      <c r="CM265" s="1165">
        <f ca="1">$G265/3</f>
        <v>0</v>
      </c>
      <c r="CN265" s="1242">
        <f ca="1">$G265/3</f>
        <v>0</v>
      </c>
      <c r="CO265" s="1167">
        <f ca="1">$G265/3</f>
        <v>0</v>
      </c>
      <c r="CP265" s="1168">
        <f t="shared" ca="1" si="1306"/>
        <v>0</v>
      </c>
      <c r="CS265" s="575"/>
      <c r="CT265" s="5"/>
      <c r="CU265" s="1180"/>
      <c r="CV265" s="575"/>
      <c r="CW265" s="5"/>
      <c r="CX265" s="1180"/>
      <c r="CY265" s="575"/>
      <c r="CZ265" s="5"/>
      <c r="DA265" s="1180"/>
      <c r="DB265" s="575"/>
      <c r="DC265" s="5"/>
      <c r="DD265" s="1180"/>
      <c r="DE265" s="1181">
        <f>SUM(CS265:DD265)</f>
        <v>0</v>
      </c>
      <c r="DG265" s="575"/>
      <c r="DH265" s="5"/>
      <c r="DI265" s="1180"/>
      <c r="DJ265" s="575"/>
      <c r="DK265" s="5"/>
      <c r="DL265" s="1180"/>
      <c r="DM265" s="575"/>
      <c r="DN265" s="5"/>
      <c r="DO265" s="1180"/>
      <c r="DP265" s="575"/>
      <c r="DQ265" s="5"/>
      <c r="DR265" s="1180"/>
      <c r="DS265" s="1181">
        <f>SUM(DG265:DR265)</f>
        <v>0</v>
      </c>
      <c r="DU265" s="575"/>
      <c r="DV265" s="5"/>
      <c r="DW265" s="1180"/>
      <c r="DX265" s="575"/>
      <c r="DY265" s="5"/>
      <c r="DZ265" s="1180"/>
      <c r="EA265" s="575"/>
      <c r="EB265" s="5"/>
      <c r="EC265" s="1180"/>
      <c r="ED265" s="575"/>
      <c r="EE265" s="5"/>
      <c r="EF265" s="1180"/>
      <c r="EG265" s="1181">
        <f>SUM(DU265:EF265)</f>
        <v>0</v>
      </c>
      <c r="EI265" s="480"/>
      <c r="EJ265" s="3314" t="str">
        <f>B265</f>
        <v>GA #11 / Sponsor Funds</v>
      </c>
      <c r="EK265" s="483" t="s">
        <v>57</v>
      </c>
      <c r="EL265" s="86">
        <f t="shared" ref="EL265:EQ267" ca="1" si="1416">ROUND(D265,0)</f>
        <v>0</v>
      </c>
      <c r="EM265" s="86">
        <f t="shared" ca="1" si="1416"/>
        <v>0</v>
      </c>
      <c r="EN265" s="86">
        <f t="shared" ca="1" si="1416"/>
        <v>0</v>
      </c>
      <c r="EO265" s="86">
        <f t="shared" ca="1" si="1416"/>
        <v>0</v>
      </c>
      <c r="EP265" s="86">
        <f t="shared" ca="1" si="1416"/>
        <v>0</v>
      </c>
      <c r="EQ265" s="86">
        <f t="shared" ca="1" si="1416"/>
        <v>0</v>
      </c>
      <c r="ER265" s="87">
        <f t="shared" ca="1" si="1307"/>
        <v>0</v>
      </c>
      <c r="ES265" s="9"/>
      <c r="EU265" s="9"/>
      <c r="EV265" s="5">
        <f t="shared" ref="EV265:FA267" si="1417">ROUND(N265,0)</f>
        <v>0</v>
      </c>
      <c r="EW265" s="5">
        <f t="shared" si="1417"/>
        <v>0</v>
      </c>
      <c r="EX265" s="5">
        <f t="shared" si="1417"/>
        <v>0</v>
      </c>
      <c r="EY265" s="5">
        <f t="shared" si="1417"/>
        <v>0</v>
      </c>
      <c r="EZ265" s="5">
        <f t="shared" si="1417"/>
        <v>0</v>
      </c>
      <c r="FA265" s="5">
        <f t="shared" si="1417"/>
        <v>0</v>
      </c>
      <c r="FB265" s="167">
        <f>SUM(EV265:FA265)</f>
        <v>0</v>
      </c>
      <c r="FC265" s="1"/>
      <c r="FD265" s="5"/>
      <c r="FE265" s="5"/>
      <c r="FF265" s="5"/>
      <c r="FG265" s="5"/>
      <c r="FH265" s="5"/>
      <c r="FI265" s="5"/>
      <c r="FJ265" s="48">
        <f>SUM(FD265:FI265)</f>
        <v>0</v>
      </c>
      <c r="FL265" s="5"/>
      <c r="FM265" s="5"/>
      <c r="FN265" s="5"/>
      <c r="FO265" s="5"/>
      <c r="FP265" s="5"/>
      <c r="FQ265" s="5"/>
      <c r="FR265" s="209">
        <f>SUM(FL265:FQ265)</f>
        <v>0</v>
      </c>
      <c r="FT265" s="5"/>
      <c r="FU265" s="5"/>
      <c r="FV265" s="5"/>
      <c r="FW265" s="5"/>
      <c r="FX265" s="5"/>
      <c r="FY265" s="5"/>
      <c r="FZ265" s="181">
        <f>SUM(FT265:FY265)</f>
        <v>0</v>
      </c>
      <c r="GB265" s="5"/>
      <c r="GC265" s="5"/>
      <c r="GD265" s="5"/>
      <c r="GE265" s="5"/>
      <c r="GF265" s="5"/>
      <c r="GG265" s="5"/>
      <c r="GH265" s="153">
        <f>SUM(GB265:GG265)</f>
        <v>0</v>
      </c>
      <c r="GJ265" s="5"/>
      <c r="GK265" s="5"/>
      <c r="GL265" s="5"/>
      <c r="GM265" s="5"/>
      <c r="GN265" s="5"/>
      <c r="GO265" s="5"/>
      <c r="GP265" s="195">
        <f>SUM(GJ265:GO265)</f>
        <v>0</v>
      </c>
      <c r="GR265" s="5"/>
      <c r="GS265" s="5"/>
      <c r="GT265" s="5"/>
      <c r="GU265" s="5"/>
      <c r="GV265" s="5"/>
      <c r="GW265" s="5"/>
      <c r="GX265" s="1630">
        <f>SUM(GR265:GW265)</f>
        <v>0</v>
      </c>
      <c r="GZ265" s="575">
        <f t="shared" si="1296"/>
        <v>0</v>
      </c>
      <c r="HA265" s="575">
        <f t="shared" si="1297"/>
        <v>0</v>
      </c>
      <c r="HB265" s="575">
        <f t="shared" si="1298"/>
        <v>0</v>
      </c>
      <c r="HC265" s="575">
        <f t="shared" si="1299"/>
        <v>0</v>
      </c>
      <c r="HD265" s="575">
        <f t="shared" si="1300"/>
        <v>0</v>
      </c>
      <c r="HE265" s="575">
        <f t="shared" si="1301"/>
        <v>0</v>
      </c>
      <c r="HF265" s="991">
        <f t="shared" si="1302"/>
        <v>0</v>
      </c>
      <c r="HG265" s="573">
        <f t="shared" ca="1" si="1303"/>
        <v>0</v>
      </c>
      <c r="HH265" s="257"/>
    </row>
    <row r="266" spans="1:216" ht="15" hidden="1" customHeight="1" x14ac:dyDescent="0.25">
      <c r="A266" s="480"/>
      <c r="B266" s="3315"/>
      <c r="C266" s="78" t="s">
        <v>96</v>
      </c>
      <c r="D266" s="29">
        <f ca="1">'Calc - GRAD ASST'!$E$310</f>
        <v>0</v>
      </c>
      <c r="E266" s="29">
        <f ca="1">'Calc - GRAD ASST'!$E$312</f>
        <v>0</v>
      </c>
      <c r="F266" s="29">
        <f ca="1">'Calc - GRAD ASST'!$E$314</f>
        <v>0</v>
      </c>
      <c r="G266" s="29">
        <f ca="1">'Calc - GRAD ASST'!$E$316</f>
        <v>0</v>
      </c>
      <c r="H266" s="29">
        <f ca="1">'Calc - GRAD ASST'!$E$318</f>
        <v>0</v>
      </c>
      <c r="I266" s="29">
        <f ca="1">'Calc - GRAD ASST'!$E$320</f>
        <v>0</v>
      </c>
      <c r="J266" s="88">
        <f ca="1">SUM(D266:I266)</f>
        <v>0</v>
      </c>
      <c r="L266" s="9"/>
      <c r="M266" s="9"/>
      <c r="N266" s="29"/>
      <c r="O266" s="29"/>
      <c r="P266" s="29"/>
      <c r="Q266" s="29"/>
      <c r="R266" s="29"/>
      <c r="S266" s="29"/>
      <c r="T266" s="167">
        <f>SUM(N266:S266)</f>
        <v>0</v>
      </c>
      <c r="U266" s="1"/>
      <c r="V266" s="29"/>
      <c r="W266" s="29"/>
      <c r="X266" s="29"/>
      <c r="Y266" s="29"/>
      <c r="Z266" s="29"/>
      <c r="AA266" s="29"/>
      <c r="AB266" s="48">
        <f>SUM(V266:AA266)</f>
        <v>0</v>
      </c>
      <c r="AD266" s="29"/>
      <c r="AE266" s="29"/>
      <c r="AF266" s="29"/>
      <c r="AG266" s="29"/>
      <c r="AH266" s="29"/>
      <c r="AI266" s="29"/>
      <c r="AJ266" s="209">
        <f>SUM(AD266:AI266)</f>
        <v>0</v>
      </c>
      <c r="AL266" s="29"/>
      <c r="AM266" s="29"/>
      <c r="AN266" s="29"/>
      <c r="AO266" s="29"/>
      <c r="AP266" s="29"/>
      <c r="AQ266" s="29"/>
      <c r="AR266" s="181">
        <f>SUM(AL266:AQ266)</f>
        <v>0</v>
      </c>
      <c r="AT266" s="29"/>
      <c r="AU266" s="29"/>
      <c r="AV266" s="29"/>
      <c r="AW266" s="29"/>
      <c r="AX266" s="29"/>
      <c r="AY266" s="29"/>
      <c r="AZ266" s="153">
        <f>SUM(AT266:AY266)</f>
        <v>0</v>
      </c>
      <c r="BB266" s="29"/>
      <c r="BC266" s="29"/>
      <c r="BD266" s="29"/>
      <c r="BE266" s="29"/>
      <c r="BF266" s="29"/>
      <c r="BG266" s="29"/>
      <c r="BH266" s="195">
        <f>SUM(BB266:BG266)</f>
        <v>0</v>
      </c>
      <c r="BJ266" s="29"/>
      <c r="BK266" s="29"/>
      <c r="BL266" s="29"/>
      <c r="BM266" s="29"/>
      <c r="BN266" s="29"/>
      <c r="BO266" s="29"/>
      <c r="BP266" s="1630">
        <f>SUM(BJ266:BO266)</f>
        <v>0</v>
      </c>
      <c r="BR266" s="575">
        <f t="shared" si="1276"/>
        <v>0</v>
      </c>
      <c r="BS266" s="575">
        <f t="shared" si="1277"/>
        <v>0</v>
      </c>
      <c r="BT266" s="575">
        <f t="shared" si="1278"/>
        <v>0</v>
      </c>
      <c r="BU266" s="575">
        <f t="shared" si="1279"/>
        <v>0</v>
      </c>
      <c r="BV266" s="575">
        <f t="shared" si="1280"/>
        <v>0</v>
      </c>
      <c r="BW266" s="575">
        <f t="shared" si="1281"/>
        <v>0</v>
      </c>
      <c r="BX266" s="991">
        <f t="shared" si="1282"/>
        <v>0</v>
      </c>
      <c r="BY266" s="573">
        <f t="shared" ca="1" si="1283"/>
        <v>0</v>
      </c>
      <c r="BZ266" s="257"/>
      <c r="CB266" s="1350">
        <f ca="1">D266</f>
        <v>0</v>
      </c>
      <c r="CC266" s="1268"/>
      <c r="CD266" s="1269"/>
      <c r="CE266" s="1269"/>
      <c r="CF266" s="1269"/>
      <c r="CG266" s="1270">
        <f ca="1">E266</f>
        <v>0</v>
      </c>
      <c r="CH266" s="1271"/>
      <c r="CI266" s="1272"/>
      <c r="CJ266" s="1272"/>
      <c r="CK266" s="1272"/>
      <c r="CL266" s="1273">
        <f ca="1">F266</f>
        <v>0</v>
      </c>
      <c r="CM266" s="1274"/>
      <c r="CN266" s="1275"/>
      <c r="CO266" s="1276"/>
      <c r="CP266" s="1224">
        <f t="shared" ca="1" si="1306"/>
        <v>0</v>
      </c>
      <c r="CS266" s="575"/>
      <c r="CT266" s="5"/>
      <c r="CU266" s="1180"/>
      <c r="CV266" s="575"/>
      <c r="CW266" s="5"/>
      <c r="CX266" s="1180"/>
      <c r="CY266" s="575"/>
      <c r="CZ266" s="5"/>
      <c r="DA266" s="1180"/>
      <c r="DB266" s="575"/>
      <c r="DC266" s="5"/>
      <c r="DD266" s="1180"/>
      <c r="DE266" s="1181">
        <f>SUM(CS266:DD266)</f>
        <v>0</v>
      </c>
      <c r="DG266" s="575"/>
      <c r="DH266" s="5"/>
      <c r="DI266" s="1180"/>
      <c r="DJ266" s="575"/>
      <c r="DK266" s="5"/>
      <c r="DL266" s="1180"/>
      <c r="DM266" s="575"/>
      <c r="DN266" s="5"/>
      <c r="DO266" s="1180"/>
      <c r="DP266" s="575"/>
      <c r="DQ266" s="5"/>
      <c r="DR266" s="1180"/>
      <c r="DS266" s="1181">
        <f>SUM(DG266:DR266)</f>
        <v>0</v>
      </c>
      <c r="DU266" s="575"/>
      <c r="DV266" s="5"/>
      <c r="DW266" s="1180"/>
      <c r="DX266" s="575"/>
      <c r="DY266" s="5"/>
      <c r="DZ266" s="1180"/>
      <c r="EA266" s="575"/>
      <c r="EB266" s="5"/>
      <c r="EC266" s="1180"/>
      <c r="ED266" s="575"/>
      <c r="EE266" s="5"/>
      <c r="EF266" s="1180"/>
      <c r="EG266" s="1181">
        <f>SUM(DU266:EF266)</f>
        <v>0</v>
      </c>
      <c r="EI266" s="480"/>
      <c r="EJ266" s="3315"/>
      <c r="EK266" s="78" t="s">
        <v>96</v>
      </c>
      <c r="EL266" s="29">
        <f t="shared" ca="1" si="1416"/>
        <v>0</v>
      </c>
      <c r="EM266" s="29">
        <f t="shared" ca="1" si="1416"/>
        <v>0</v>
      </c>
      <c r="EN266" s="29">
        <f t="shared" ca="1" si="1416"/>
        <v>0</v>
      </c>
      <c r="EO266" s="29">
        <f t="shared" ca="1" si="1416"/>
        <v>0</v>
      </c>
      <c r="EP266" s="29">
        <f t="shared" ca="1" si="1416"/>
        <v>0</v>
      </c>
      <c r="EQ266" s="29">
        <f t="shared" ca="1" si="1416"/>
        <v>0</v>
      </c>
      <c r="ER266" s="88">
        <f t="shared" ca="1" si="1307"/>
        <v>0</v>
      </c>
      <c r="ET266" s="9"/>
      <c r="EU266" s="9"/>
      <c r="EV266" s="29">
        <f t="shared" si="1417"/>
        <v>0</v>
      </c>
      <c r="EW266" s="29">
        <f t="shared" si="1417"/>
        <v>0</v>
      </c>
      <c r="EX266" s="29">
        <f t="shared" si="1417"/>
        <v>0</v>
      </c>
      <c r="EY266" s="29">
        <f t="shared" si="1417"/>
        <v>0</v>
      </c>
      <c r="EZ266" s="29">
        <f t="shared" si="1417"/>
        <v>0</v>
      </c>
      <c r="FA266" s="29">
        <f t="shared" si="1417"/>
        <v>0</v>
      </c>
      <c r="FB266" s="167">
        <f>SUM(EV266:FA266)</f>
        <v>0</v>
      </c>
      <c r="FC266" s="1"/>
      <c r="FD266" s="29"/>
      <c r="FE266" s="29"/>
      <c r="FF266" s="29"/>
      <c r="FG266" s="29"/>
      <c r="FH266" s="29"/>
      <c r="FI266" s="29"/>
      <c r="FJ266" s="48">
        <f>SUM(FD266:FI266)</f>
        <v>0</v>
      </c>
      <c r="FL266" s="29"/>
      <c r="FM266" s="29"/>
      <c r="FN266" s="29"/>
      <c r="FO266" s="29"/>
      <c r="FP266" s="29"/>
      <c r="FQ266" s="29"/>
      <c r="FR266" s="209">
        <f>SUM(FL266:FQ266)</f>
        <v>0</v>
      </c>
      <c r="FT266" s="29"/>
      <c r="FU266" s="29"/>
      <c r="FV266" s="29"/>
      <c r="FW266" s="29"/>
      <c r="FX266" s="29"/>
      <c r="FY266" s="29"/>
      <c r="FZ266" s="181">
        <f>SUM(FT266:FY266)</f>
        <v>0</v>
      </c>
      <c r="GB266" s="29"/>
      <c r="GC266" s="29"/>
      <c r="GD266" s="29"/>
      <c r="GE266" s="29"/>
      <c r="GF266" s="29"/>
      <c r="GG266" s="29"/>
      <c r="GH266" s="153">
        <f>SUM(GB266:GG266)</f>
        <v>0</v>
      </c>
      <c r="GJ266" s="29"/>
      <c r="GK266" s="29"/>
      <c r="GL266" s="29"/>
      <c r="GM266" s="29"/>
      <c r="GN266" s="29"/>
      <c r="GO266" s="29"/>
      <c r="GP266" s="195">
        <f>SUM(GJ266:GO266)</f>
        <v>0</v>
      </c>
      <c r="GR266" s="29"/>
      <c r="GS266" s="29"/>
      <c r="GT266" s="29"/>
      <c r="GU266" s="29"/>
      <c r="GV266" s="29"/>
      <c r="GW266" s="29"/>
      <c r="GX266" s="1630">
        <f>SUM(GR266:GW266)</f>
        <v>0</v>
      </c>
      <c r="GZ266" s="575">
        <f t="shared" si="1296"/>
        <v>0</v>
      </c>
      <c r="HA266" s="575">
        <f t="shared" si="1297"/>
        <v>0</v>
      </c>
      <c r="HB266" s="575">
        <f t="shared" si="1298"/>
        <v>0</v>
      </c>
      <c r="HC266" s="575">
        <f t="shared" si="1299"/>
        <v>0</v>
      </c>
      <c r="HD266" s="575">
        <f t="shared" si="1300"/>
        <v>0</v>
      </c>
      <c r="HE266" s="575">
        <f t="shared" si="1301"/>
        <v>0</v>
      </c>
      <c r="HF266" s="991">
        <f t="shared" si="1302"/>
        <v>0</v>
      </c>
      <c r="HG266" s="573">
        <f t="shared" ca="1" si="1303"/>
        <v>0</v>
      </c>
      <c r="HH266" s="257"/>
    </row>
    <row r="267" spans="1:216" ht="15" hidden="1" customHeight="1" thickBot="1" x14ac:dyDescent="0.3">
      <c r="A267" s="480"/>
      <c r="B267" s="1859">
        <f>'Calc - GRAD ASST'!C297</f>
        <v>0</v>
      </c>
      <c r="C267" s="420" t="s">
        <v>130</v>
      </c>
      <c r="D267" s="42">
        <f ca="1">'Calc - GRAD ASST'!$M$310</f>
        <v>0</v>
      </c>
      <c r="E267" s="42">
        <f ca="1">'Calc - GRAD ASST'!$M$312</f>
        <v>0</v>
      </c>
      <c r="F267" s="42">
        <f ca="1">'Calc - GRAD ASST'!$M$314</f>
        <v>0</v>
      </c>
      <c r="G267" s="42">
        <f ca="1">'Calc - GRAD ASST'!$M$316</f>
        <v>0</v>
      </c>
      <c r="H267" s="42">
        <f ca="1">'Calc - GRAD ASST'!$M$318</f>
        <v>0</v>
      </c>
      <c r="I267" s="42">
        <f ca="1">'Calc - GRAD ASST'!$M$320</f>
        <v>0</v>
      </c>
      <c r="J267" s="90">
        <f ca="1">SUM(D267:I267)</f>
        <v>0</v>
      </c>
      <c r="K267" s="9"/>
      <c r="L267" s="9"/>
      <c r="M267" s="9"/>
      <c r="N267" s="5"/>
      <c r="O267" s="5"/>
      <c r="P267" s="5"/>
      <c r="Q267" s="5"/>
      <c r="R267" s="5"/>
      <c r="S267" s="5"/>
      <c r="T267" s="167">
        <f>SUM(N267:S267)</f>
        <v>0</v>
      </c>
      <c r="U267" s="1"/>
      <c r="V267" s="5"/>
      <c r="W267" s="5"/>
      <c r="X267" s="5"/>
      <c r="Y267" s="5"/>
      <c r="Z267" s="5"/>
      <c r="AA267" s="5"/>
      <c r="AB267" s="48">
        <f>SUM(V267:AA267)</f>
        <v>0</v>
      </c>
      <c r="AD267" s="5"/>
      <c r="AE267" s="5"/>
      <c r="AF267" s="5"/>
      <c r="AG267" s="5"/>
      <c r="AH267" s="5"/>
      <c r="AI267" s="5"/>
      <c r="AJ267" s="209">
        <f>SUM(AD267:AI267)</f>
        <v>0</v>
      </c>
      <c r="AL267" s="5"/>
      <c r="AM267" s="5"/>
      <c r="AN267" s="5"/>
      <c r="AO267" s="5"/>
      <c r="AP267" s="5"/>
      <c r="AQ267" s="5"/>
      <c r="AR267" s="181">
        <f>SUM(AL267:AQ267)</f>
        <v>0</v>
      </c>
      <c r="AT267" s="5"/>
      <c r="AU267" s="5"/>
      <c r="AV267" s="5"/>
      <c r="AW267" s="5"/>
      <c r="AX267" s="5"/>
      <c r="AY267" s="5"/>
      <c r="AZ267" s="153">
        <f>SUM(AT267:AY267)</f>
        <v>0</v>
      </c>
      <c r="BB267" s="5"/>
      <c r="BC267" s="5"/>
      <c r="BD267" s="5"/>
      <c r="BE267" s="5"/>
      <c r="BF267" s="5"/>
      <c r="BG267" s="5"/>
      <c r="BH267" s="195">
        <f>SUM(BB267:BG267)</f>
        <v>0</v>
      </c>
      <c r="BJ267" s="5"/>
      <c r="BK267" s="5"/>
      <c r="BL267" s="5"/>
      <c r="BM267" s="5"/>
      <c r="BN267" s="5"/>
      <c r="BO267" s="5"/>
      <c r="BP267" s="1630">
        <f>SUM(BJ267:BO267)</f>
        <v>0</v>
      </c>
      <c r="BR267" s="575">
        <f t="shared" si="1276"/>
        <v>0</v>
      </c>
      <c r="BS267" s="575">
        <f t="shared" si="1277"/>
        <v>0</v>
      </c>
      <c r="BT267" s="575">
        <f t="shared" si="1278"/>
        <v>0</v>
      </c>
      <c r="BU267" s="575">
        <f t="shared" si="1279"/>
        <v>0</v>
      </c>
      <c r="BV267" s="575">
        <f t="shared" si="1280"/>
        <v>0</v>
      </c>
      <c r="BW267" s="575">
        <f t="shared" si="1281"/>
        <v>0</v>
      </c>
      <c r="BX267" s="991">
        <f t="shared" si="1282"/>
        <v>0</v>
      </c>
      <c r="BY267" s="573">
        <f t="shared" ca="1" si="1283"/>
        <v>0</v>
      </c>
      <c r="BZ267" s="257"/>
      <c r="CB267" s="1330">
        <f ca="1">D267</f>
        <v>0</v>
      </c>
      <c r="CC267" s="1201">
        <f ca="1">($E267-$CG267)/3</f>
        <v>0</v>
      </c>
      <c r="CD267" s="1202">
        <f ca="1">($E267-$CG267)/3</f>
        <v>0</v>
      </c>
      <c r="CE267" s="1202">
        <f ca="1">($E267-$CG267)/3</f>
        <v>0</v>
      </c>
      <c r="CF267" s="1202"/>
      <c r="CG267" s="1203">
        <f ca="1">OFFSET('Calc - GRAD ASST'!$K$20,10*29+2,0)</f>
        <v>0</v>
      </c>
      <c r="CH267" s="1251">
        <f ca="1">($F267-$CL267)/3</f>
        <v>0</v>
      </c>
      <c r="CI267" s="1205">
        <f ca="1">($F267-$CL267)/3</f>
        <v>0</v>
      </c>
      <c r="CJ267" s="1205">
        <f ca="1">($F267-$CL267)/3</f>
        <v>0</v>
      </c>
      <c r="CK267" s="1205"/>
      <c r="CL267" s="1206">
        <f ca="1">OFFSET('Calc - GRAD ASST'!$K$20,10*29+4,0)</f>
        <v>0</v>
      </c>
      <c r="CM267" s="1207">
        <f ca="1">$G267/3</f>
        <v>0</v>
      </c>
      <c r="CN267" s="1252">
        <f ca="1">$G267/3</f>
        <v>0</v>
      </c>
      <c r="CO267" s="1209">
        <f ca="1">$G267/3</f>
        <v>0</v>
      </c>
      <c r="CP267" s="1316">
        <f t="shared" ca="1" si="1306"/>
        <v>0</v>
      </c>
      <c r="CS267" s="575"/>
      <c r="CT267" s="5"/>
      <c r="CU267" s="1180"/>
      <c r="CV267" s="575"/>
      <c r="CW267" s="5"/>
      <c r="CX267" s="1180"/>
      <c r="CY267" s="575"/>
      <c r="CZ267" s="5"/>
      <c r="DA267" s="1180"/>
      <c r="DB267" s="575"/>
      <c r="DC267" s="5"/>
      <c r="DD267" s="1180"/>
      <c r="DE267" s="1181">
        <f>SUM(CS267:DD267)</f>
        <v>0</v>
      </c>
      <c r="DG267" s="575"/>
      <c r="DH267" s="5"/>
      <c r="DI267" s="1180"/>
      <c r="DJ267" s="575"/>
      <c r="DK267" s="5"/>
      <c r="DL267" s="1180"/>
      <c r="DM267" s="575"/>
      <c r="DN267" s="5"/>
      <c r="DO267" s="1180"/>
      <c r="DP267" s="575"/>
      <c r="DQ267" s="5"/>
      <c r="DR267" s="1180"/>
      <c r="DS267" s="1181">
        <f>SUM(DG267:DR267)</f>
        <v>0</v>
      </c>
      <c r="DU267" s="575"/>
      <c r="DV267" s="5"/>
      <c r="DW267" s="1180"/>
      <c r="DX267" s="575"/>
      <c r="DY267" s="5"/>
      <c r="DZ267" s="1180"/>
      <c r="EA267" s="575"/>
      <c r="EB267" s="5"/>
      <c r="EC267" s="1180"/>
      <c r="ED267" s="575"/>
      <c r="EE267" s="5"/>
      <c r="EF267" s="1180"/>
      <c r="EG267" s="1181">
        <f>SUM(DU267:EF267)</f>
        <v>0</v>
      </c>
      <c r="EI267" s="480"/>
      <c r="EJ267" s="1859">
        <f>B267</f>
        <v>0</v>
      </c>
      <c r="EK267" s="420" t="s">
        <v>130</v>
      </c>
      <c r="EL267" s="42">
        <f t="shared" ca="1" si="1416"/>
        <v>0</v>
      </c>
      <c r="EM267" s="42">
        <f t="shared" ca="1" si="1416"/>
        <v>0</v>
      </c>
      <c r="EN267" s="42">
        <f t="shared" ca="1" si="1416"/>
        <v>0</v>
      </c>
      <c r="EO267" s="42">
        <f t="shared" ca="1" si="1416"/>
        <v>0</v>
      </c>
      <c r="EP267" s="42">
        <f t="shared" ca="1" si="1416"/>
        <v>0</v>
      </c>
      <c r="EQ267" s="42">
        <f t="shared" ca="1" si="1416"/>
        <v>0</v>
      </c>
      <c r="ER267" s="90">
        <f t="shared" ca="1" si="1307"/>
        <v>0</v>
      </c>
      <c r="ES267" s="9"/>
      <c r="ET267" s="9"/>
      <c r="EU267" s="9"/>
      <c r="EV267" s="5">
        <f t="shared" si="1417"/>
        <v>0</v>
      </c>
      <c r="EW267" s="5">
        <f t="shared" si="1417"/>
        <v>0</v>
      </c>
      <c r="EX267" s="5">
        <f t="shared" si="1417"/>
        <v>0</v>
      </c>
      <c r="EY267" s="5">
        <f t="shared" si="1417"/>
        <v>0</v>
      </c>
      <c r="EZ267" s="5">
        <f t="shared" si="1417"/>
        <v>0</v>
      </c>
      <c r="FA267" s="5">
        <f t="shared" si="1417"/>
        <v>0</v>
      </c>
      <c r="FB267" s="167">
        <f>SUM(EV267:FA267)</f>
        <v>0</v>
      </c>
      <c r="FC267" s="1"/>
      <c r="FD267" s="5"/>
      <c r="FE267" s="5"/>
      <c r="FF267" s="5"/>
      <c r="FG267" s="5"/>
      <c r="FH267" s="5"/>
      <c r="FI267" s="5"/>
      <c r="FJ267" s="48">
        <f>SUM(FD267:FI267)</f>
        <v>0</v>
      </c>
      <c r="FL267" s="5"/>
      <c r="FM267" s="5"/>
      <c r="FN267" s="5"/>
      <c r="FO267" s="5"/>
      <c r="FP267" s="5"/>
      <c r="FQ267" s="5"/>
      <c r="FR267" s="209">
        <f>SUM(FL267:FQ267)</f>
        <v>0</v>
      </c>
      <c r="FT267" s="5"/>
      <c r="FU267" s="5"/>
      <c r="FV267" s="5"/>
      <c r="FW267" s="5"/>
      <c r="FX267" s="5"/>
      <c r="FY267" s="5"/>
      <c r="FZ267" s="181">
        <f>SUM(FT267:FY267)</f>
        <v>0</v>
      </c>
      <c r="GB267" s="5"/>
      <c r="GC267" s="5"/>
      <c r="GD267" s="5"/>
      <c r="GE267" s="5"/>
      <c r="GF267" s="5"/>
      <c r="GG267" s="5"/>
      <c r="GH267" s="153">
        <f>SUM(GB267:GG267)</f>
        <v>0</v>
      </c>
      <c r="GJ267" s="5"/>
      <c r="GK267" s="5"/>
      <c r="GL267" s="5"/>
      <c r="GM267" s="5"/>
      <c r="GN267" s="5"/>
      <c r="GO267" s="5"/>
      <c r="GP267" s="195">
        <f>SUM(GJ267:GO267)</f>
        <v>0</v>
      </c>
      <c r="GR267" s="5"/>
      <c r="GS267" s="5"/>
      <c r="GT267" s="5"/>
      <c r="GU267" s="5"/>
      <c r="GV267" s="5"/>
      <c r="GW267" s="5"/>
      <c r="GX267" s="1630">
        <f>SUM(GR267:GW267)</f>
        <v>0</v>
      </c>
      <c r="GZ267" s="575">
        <f t="shared" si="1296"/>
        <v>0</v>
      </c>
      <c r="HA267" s="575">
        <f t="shared" si="1297"/>
        <v>0</v>
      </c>
      <c r="HB267" s="575">
        <f t="shared" si="1298"/>
        <v>0</v>
      </c>
      <c r="HC267" s="575">
        <f t="shared" si="1299"/>
        <v>0</v>
      </c>
      <c r="HD267" s="575">
        <f t="shared" si="1300"/>
        <v>0</v>
      </c>
      <c r="HE267" s="575">
        <f t="shared" si="1301"/>
        <v>0</v>
      </c>
      <c r="HF267" s="991">
        <f t="shared" si="1302"/>
        <v>0</v>
      </c>
      <c r="HG267" s="573">
        <f t="shared" ca="1" si="1303"/>
        <v>0</v>
      </c>
      <c r="HH267" s="257"/>
    </row>
    <row r="268" spans="1:216" ht="15" hidden="1" customHeight="1" thickBot="1" x14ac:dyDescent="0.3">
      <c r="A268" s="480"/>
      <c r="B268" s="1860"/>
      <c r="C268" s="1619" t="s">
        <v>504</v>
      </c>
      <c r="D268" s="1620">
        <f t="shared" ref="D268:J268" ca="1" si="1418">SUM(D265:D267)</f>
        <v>0</v>
      </c>
      <c r="E268" s="1620">
        <f t="shared" ca="1" si="1418"/>
        <v>0</v>
      </c>
      <c r="F268" s="1620">
        <f t="shared" ca="1" si="1418"/>
        <v>0</v>
      </c>
      <c r="G268" s="1620">
        <f t="shared" ca="1" si="1418"/>
        <v>0</v>
      </c>
      <c r="H268" s="1620">
        <f t="shared" ca="1" si="1418"/>
        <v>0</v>
      </c>
      <c r="I268" s="1620">
        <f t="shared" ca="1" si="1418"/>
        <v>0</v>
      </c>
      <c r="J268" s="1621">
        <f t="shared" ca="1" si="1418"/>
        <v>0</v>
      </c>
      <c r="K268" s="13">
        <f ca="1">SUM(D268:I268)</f>
        <v>0</v>
      </c>
      <c r="L268" s="13"/>
      <c r="M268" s="9"/>
      <c r="N268" s="1629">
        <f t="shared" ref="N268:T268" si="1419">SUM(N265:N267)</f>
        <v>0</v>
      </c>
      <c r="O268" s="1629">
        <f t="shared" si="1419"/>
        <v>0</v>
      </c>
      <c r="P268" s="1629">
        <f t="shared" si="1419"/>
        <v>0</v>
      </c>
      <c r="Q268" s="1629">
        <f t="shared" si="1419"/>
        <v>0</v>
      </c>
      <c r="R268" s="1629">
        <f t="shared" si="1419"/>
        <v>0</v>
      </c>
      <c r="S268" s="1629">
        <f t="shared" si="1419"/>
        <v>0</v>
      </c>
      <c r="T268" s="1628">
        <f t="shared" si="1419"/>
        <v>0</v>
      </c>
      <c r="U268" s="1"/>
      <c r="V268" s="1629">
        <f t="shared" ref="V268:AB268" si="1420">SUM(V265:V267)</f>
        <v>0</v>
      </c>
      <c r="W268" s="1629">
        <f t="shared" si="1420"/>
        <v>0</v>
      </c>
      <c r="X268" s="1629">
        <f t="shared" si="1420"/>
        <v>0</v>
      </c>
      <c r="Y268" s="1629">
        <f t="shared" si="1420"/>
        <v>0</v>
      </c>
      <c r="Z268" s="1629">
        <f t="shared" si="1420"/>
        <v>0</v>
      </c>
      <c r="AA268" s="1629">
        <f t="shared" si="1420"/>
        <v>0</v>
      </c>
      <c r="AB268" s="1628">
        <f t="shared" si="1420"/>
        <v>0</v>
      </c>
      <c r="AD268" s="1629">
        <f t="shared" ref="AD268:AJ268" si="1421">SUM(AD265:AD267)</f>
        <v>0</v>
      </c>
      <c r="AE268" s="1629">
        <f t="shared" si="1421"/>
        <v>0</v>
      </c>
      <c r="AF268" s="1629">
        <f t="shared" si="1421"/>
        <v>0</v>
      </c>
      <c r="AG268" s="1629">
        <f t="shared" si="1421"/>
        <v>0</v>
      </c>
      <c r="AH268" s="1629">
        <f t="shared" si="1421"/>
        <v>0</v>
      </c>
      <c r="AI268" s="1629">
        <f t="shared" si="1421"/>
        <v>0</v>
      </c>
      <c r="AJ268" s="1628">
        <f t="shared" si="1421"/>
        <v>0</v>
      </c>
      <c r="AL268" s="7">
        <f t="shared" ref="AL268:AR268" si="1422">SUM(AL265:AL267)</f>
        <v>0</v>
      </c>
      <c r="AM268" s="7">
        <f t="shared" si="1422"/>
        <v>0</v>
      </c>
      <c r="AN268" s="7">
        <f t="shared" si="1422"/>
        <v>0</v>
      </c>
      <c r="AO268" s="7">
        <f t="shared" si="1422"/>
        <v>0</v>
      </c>
      <c r="AP268" s="7">
        <f t="shared" si="1422"/>
        <v>0</v>
      </c>
      <c r="AQ268" s="7">
        <f t="shared" si="1422"/>
        <v>0</v>
      </c>
      <c r="AR268" s="12">
        <f t="shared" si="1422"/>
        <v>0</v>
      </c>
      <c r="AT268" s="7">
        <f t="shared" ref="AT268:AZ268" si="1423">SUM(AT265:AT267)</f>
        <v>0</v>
      </c>
      <c r="AU268" s="7">
        <f t="shared" si="1423"/>
        <v>0</v>
      </c>
      <c r="AV268" s="7">
        <f t="shared" si="1423"/>
        <v>0</v>
      </c>
      <c r="AW268" s="7">
        <f t="shared" si="1423"/>
        <v>0</v>
      </c>
      <c r="AX268" s="7">
        <f t="shared" si="1423"/>
        <v>0</v>
      </c>
      <c r="AY268" s="7">
        <f t="shared" si="1423"/>
        <v>0</v>
      </c>
      <c r="AZ268" s="12">
        <f t="shared" si="1423"/>
        <v>0</v>
      </c>
      <c r="BB268" s="7">
        <f t="shared" ref="BB268:BH268" si="1424">SUM(BB265:BB267)</f>
        <v>0</v>
      </c>
      <c r="BC268" s="7">
        <f t="shared" si="1424"/>
        <v>0</v>
      </c>
      <c r="BD268" s="7">
        <f t="shared" si="1424"/>
        <v>0</v>
      </c>
      <c r="BE268" s="7">
        <f t="shared" si="1424"/>
        <v>0</v>
      </c>
      <c r="BF268" s="7">
        <f t="shared" si="1424"/>
        <v>0</v>
      </c>
      <c r="BG268" s="7">
        <f t="shared" si="1424"/>
        <v>0</v>
      </c>
      <c r="BH268" s="12">
        <f t="shared" si="1424"/>
        <v>0</v>
      </c>
      <c r="BJ268" s="7">
        <f t="shared" ref="BJ268:BP268" si="1425">SUM(BJ265:BJ267)</f>
        <v>0</v>
      </c>
      <c r="BK268" s="7">
        <f t="shared" si="1425"/>
        <v>0</v>
      </c>
      <c r="BL268" s="7">
        <f t="shared" si="1425"/>
        <v>0</v>
      </c>
      <c r="BM268" s="7">
        <f t="shared" si="1425"/>
        <v>0</v>
      </c>
      <c r="BN268" s="7">
        <f t="shared" si="1425"/>
        <v>0</v>
      </c>
      <c r="BO268" s="7">
        <f t="shared" si="1425"/>
        <v>0</v>
      </c>
      <c r="BP268" s="12">
        <f t="shared" si="1425"/>
        <v>0</v>
      </c>
      <c r="BR268" s="589">
        <f t="shared" si="1276"/>
        <v>0</v>
      </c>
      <c r="BS268" s="589">
        <f t="shared" si="1277"/>
        <v>0</v>
      </c>
      <c r="BT268" s="589">
        <f t="shared" si="1278"/>
        <v>0</v>
      </c>
      <c r="BU268" s="589">
        <f t="shared" si="1279"/>
        <v>0</v>
      </c>
      <c r="BV268" s="589">
        <f t="shared" si="1280"/>
        <v>0</v>
      </c>
      <c r="BW268" s="589">
        <f t="shared" si="1281"/>
        <v>0</v>
      </c>
      <c r="BX268" s="589">
        <f t="shared" si="1282"/>
        <v>0</v>
      </c>
      <c r="BY268" s="590">
        <f t="shared" ca="1" si="1283"/>
        <v>0</v>
      </c>
      <c r="BZ268" s="257"/>
      <c r="CB268" s="1633">
        <f t="shared" ref="CB268:CO268" ca="1" si="1426">SUM(CB265:CB267)</f>
        <v>0</v>
      </c>
      <c r="CC268" s="1634">
        <f t="shared" ca="1" si="1426"/>
        <v>0</v>
      </c>
      <c r="CD268" s="1635">
        <f t="shared" ca="1" si="1426"/>
        <v>0</v>
      </c>
      <c r="CE268" s="1635">
        <f t="shared" ca="1" si="1426"/>
        <v>0</v>
      </c>
      <c r="CF268" s="1635">
        <f t="shared" si="1426"/>
        <v>0</v>
      </c>
      <c r="CG268" s="1636">
        <f t="shared" ca="1" si="1426"/>
        <v>0</v>
      </c>
      <c r="CH268" s="1634">
        <f t="shared" ca="1" si="1426"/>
        <v>0</v>
      </c>
      <c r="CI268" s="1635">
        <f t="shared" ca="1" si="1426"/>
        <v>0</v>
      </c>
      <c r="CJ268" s="1635">
        <f t="shared" ca="1" si="1426"/>
        <v>0</v>
      </c>
      <c r="CK268" s="1635">
        <f t="shared" si="1426"/>
        <v>0</v>
      </c>
      <c r="CL268" s="1637">
        <f t="shared" ca="1" si="1426"/>
        <v>0</v>
      </c>
      <c r="CM268" s="1634">
        <f t="shared" ca="1" si="1426"/>
        <v>0</v>
      </c>
      <c r="CN268" s="1635">
        <f t="shared" ca="1" si="1426"/>
        <v>0</v>
      </c>
      <c r="CO268" s="1636">
        <f t="shared" ca="1" si="1426"/>
        <v>0</v>
      </c>
      <c r="CP268" s="1351">
        <f t="shared" ca="1" si="1306"/>
        <v>0</v>
      </c>
      <c r="CS268" s="1231">
        <f t="shared" ref="CS268:DE268" si="1427">SUM(CS265:CS267)</f>
        <v>0</v>
      </c>
      <c r="CT268" s="7">
        <f t="shared" si="1427"/>
        <v>0</v>
      </c>
      <c r="CU268" s="573">
        <f t="shared" si="1427"/>
        <v>0</v>
      </c>
      <c r="CV268" s="1231">
        <f t="shared" si="1427"/>
        <v>0</v>
      </c>
      <c r="CW268" s="7">
        <f t="shared" si="1427"/>
        <v>0</v>
      </c>
      <c r="CX268" s="573">
        <f t="shared" si="1427"/>
        <v>0</v>
      </c>
      <c r="CY268" s="1231">
        <f t="shared" si="1427"/>
        <v>0</v>
      </c>
      <c r="CZ268" s="7">
        <f t="shared" si="1427"/>
        <v>0</v>
      </c>
      <c r="DA268" s="573">
        <f t="shared" si="1427"/>
        <v>0</v>
      </c>
      <c r="DB268" s="1231">
        <f t="shared" si="1427"/>
        <v>0</v>
      </c>
      <c r="DC268" s="7">
        <f t="shared" si="1427"/>
        <v>0</v>
      </c>
      <c r="DD268" s="573">
        <f t="shared" si="1427"/>
        <v>0</v>
      </c>
      <c r="DE268" s="1181">
        <f t="shared" si="1427"/>
        <v>0</v>
      </c>
      <c r="DG268" s="1231">
        <f t="shared" ref="DG268:DS268" si="1428">SUM(DG265:DG267)</f>
        <v>0</v>
      </c>
      <c r="DH268" s="7">
        <f t="shared" si="1428"/>
        <v>0</v>
      </c>
      <c r="DI268" s="573">
        <f t="shared" si="1428"/>
        <v>0</v>
      </c>
      <c r="DJ268" s="1231">
        <f t="shared" si="1428"/>
        <v>0</v>
      </c>
      <c r="DK268" s="7">
        <f t="shared" si="1428"/>
        <v>0</v>
      </c>
      <c r="DL268" s="573">
        <f t="shared" si="1428"/>
        <v>0</v>
      </c>
      <c r="DM268" s="1231">
        <f t="shared" si="1428"/>
        <v>0</v>
      </c>
      <c r="DN268" s="7">
        <f t="shared" si="1428"/>
        <v>0</v>
      </c>
      <c r="DO268" s="573">
        <f t="shared" si="1428"/>
        <v>0</v>
      </c>
      <c r="DP268" s="1231">
        <f t="shared" si="1428"/>
        <v>0</v>
      </c>
      <c r="DQ268" s="7">
        <f t="shared" si="1428"/>
        <v>0</v>
      </c>
      <c r="DR268" s="573">
        <f t="shared" si="1428"/>
        <v>0</v>
      </c>
      <c r="DS268" s="1181">
        <f t="shared" si="1428"/>
        <v>0</v>
      </c>
      <c r="DU268" s="1231">
        <f t="shared" ref="DU268:EG268" si="1429">SUM(DU265:DU267)</f>
        <v>0</v>
      </c>
      <c r="DV268" s="7">
        <f t="shared" si="1429"/>
        <v>0</v>
      </c>
      <c r="DW268" s="573">
        <f t="shared" si="1429"/>
        <v>0</v>
      </c>
      <c r="DX268" s="1231">
        <f t="shared" si="1429"/>
        <v>0</v>
      </c>
      <c r="DY268" s="7">
        <f t="shared" si="1429"/>
        <v>0</v>
      </c>
      <c r="DZ268" s="573">
        <f t="shared" si="1429"/>
        <v>0</v>
      </c>
      <c r="EA268" s="1231">
        <f t="shared" si="1429"/>
        <v>0</v>
      </c>
      <c r="EB268" s="7">
        <f t="shared" si="1429"/>
        <v>0</v>
      </c>
      <c r="EC268" s="573">
        <f t="shared" si="1429"/>
        <v>0</v>
      </c>
      <c r="ED268" s="1231">
        <f t="shared" si="1429"/>
        <v>0</v>
      </c>
      <c r="EE268" s="7">
        <f t="shared" si="1429"/>
        <v>0</v>
      </c>
      <c r="EF268" s="573">
        <f t="shared" si="1429"/>
        <v>0</v>
      </c>
      <c r="EG268" s="1181">
        <f t="shared" si="1429"/>
        <v>0</v>
      </c>
      <c r="EI268" s="480"/>
      <c r="EJ268" s="1860"/>
      <c r="EK268" s="1619" t="s">
        <v>504</v>
      </c>
      <c r="EL268" s="1620">
        <f t="shared" ref="EL268:EQ268" ca="1" si="1430">SUM(EL265:EL267)</f>
        <v>0</v>
      </c>
      <c r="EM268" s="1620">
        <f t="shared" ca="1" si="1430"/>
        <v>0</v>
      </c>
      <c r="EN268" s="1620">
        <f t="shared" ca="1" si="1430"/>
        <v>0</v>
      </c>
      <c r="EO268" s="1620">
        <f t="shared" ca="1" si="1430"/>
        <v>0</v>
      </c>
      <c r="EP268" s="1620">
        <f t="shared" ca="1" si="1430"/>
        <v>0</v>
      </c>
      <c r="EQ268" s="1620">
        <f t="shared" ca="1" si="1430"/>
        <v>0</v>
      </c>
      <c r="ER268" s="1621">
        <f t="shared" ca="1" si="1307"/>
        <v>0</v>
      </c>
      <c r="ES268" s="13">
        <f ca="1">SUM(ER265:ER267)</f>
        <v>0</v>
      </c>
      <c r="ET268" s="13"/>
      <c r="EU268" s="9"/>
      <c r="EV268" s="1629">
        <f t="shared" ref="EV268:FB268" si="1431">SUM(EV265:EV267)</f>
        <v>0</v>
      </c>
      <c r="EW268" s="1629">
        <f t="shared" si="1431"/>
        <v>0</v>
      </c>
      <c r="EX268" s="1629">
        <f t="shared" si="1431"/>
        <v>0</v>
      </c>
      <c r="EY268" s="1629">
        <f t="shared" si="1431"/>
        <v>0</v>
      </c>
      <c r="EZ268" s="1629">
        <f t="shared" si="1431"/>
        <v>0</v>
      </c>
      <c r="FA268" s="1629">
        <f t="shared" si="1431"/>
        <v>0</v>
      </c>
      <c r="FB268" s="1628">
        <f t="shared" si="1431"/>
        <v>0</v>
      </c>
      <c r="FC268" s="1"/>
      <c r="FD268" s="1629">
        <f t="shared" ref="FD268:FJ268" si="1432">SUM(FD265:FD267)</f>
        <v>0</v>
      </c>
      <c r="FE268" s="1629">
        <f t="shared" si="1432"/>
        <v>0</v>
      </c>
      <c r="FF268" s="1629">
        <f t="shared" si="1432"/>
        <v>0</v>
      </c>
      <c r="FG268" s="1629">
        <f t="shared" si="1432"/>
        <v>0</v>
      </c>
      <c r="FH268" s="1629">
        <f t="shared" si="1432"/>
        <v>0</v>
      </c>
      <c r="FI268" s="1629">
        <f t="shared" si="1432"/>
        <v>0</v>
      </c>
      <c r="FJ268" s="1628">
        <f t="shared" si="1432"/>
        <v>0</v>
      </c>
      <c r="FL268" s="1629">
        <f t="shared" ref="FL268:FR268" si="1433">SUM(FL265:FL267)</f>
        <v>0</v>
      </c>
      <c r="FM268" s="1629">
        <f t="shared" si="1433"/>
        <v>0</v>
      </c>
      <c r="FN268" s="1629">
        <f t="shared" si="1433"/>
        <v>0</v>
      </c>
      <c r="FO268" s="1629">
        <f t="shared" si="1433"/>
        <v>0</v>
      </c>
      <c r="FP268" s="1629">
        <f t="shared" si="1433"/>
        <v>0</v>
      </c>
      <c r="FQ268" s="1629">
        <f t="shared" si="1433"/>
        <v>0</v>
      </c>
      <c r="FR268" s="1628">
        <f t="shared" si="1433"/>
        <v>0</v>
      </c>
      <c r="FT268" s="7">
        <f t="shared" ref="FT268:FZ268" si="1434">SUM(FT265:FT267)</f>
        <v>0</v>
      </c>
      <c r="FU268" s="7">
        <f t="shared" si="1434"/>
        <v>0</v>
      </c>
      <c r="FV268" s="7">
        <f t="shared" si="1434"/>
        <v>0</v>
      </c>
      <c r="FW268" s="7">
        <f t="shared" si="1434"/>
        <v>0</v>
      </c>
      <c r="FX268" s="7">
        <f t="shared" si="1434"/>
        <v>0</v>
      </c>
      <c r="FY268" s="7">
        <f t="shared" si="1434"/>
        <v>0</v>
      </c>
      <c r="FZ268" s="12">
        <f t="shared" si="1434"/>
        <v>0</v>
      </c>
      <c r="GB268" s="7">
        <f t="shared" ref="GB268:GH268" si="1435">SUM(GB265:GB267)</f>
        <v>0</v>
      </c>
      <c r="GC268" s="7">
        <f t="shared" si="1435"/>
        <v>0</v>
      </c>
      <c r="GD268" s="7">
        <f t="shared" si="1435"/>
        <v>0</v>
      </c>
      <c r="GE268" s="7">
        <f t="shared" si="1435"/>
        <v>0</v>
      </c>
      <c r="GF268" s="7">
        <f t="shared" si="1435"/>
        <v>0</v>
      </c>
      <c r="GG268" s="7">
        <f t="shared" si="1435"/>
        <v>0</v>
      </c>
      <c r="GH268" s="12">
        <f t="shared" si="1435"/>
        <v>0</v>
      </c>
      <c r="GJ268" s="7">
        <f t="shared" ref="GJ268:GP268" si="1436">SUM(GJ265:GJ267)</f>
        <v>0</v>
      </c>
      <c r="GK268" s="7">
        <f t="shared" si="1436"/>
        <v>0</v>
      </c>
      <c r="GL268" s="7">
        <f t="shared" si="1436"/>
        <v>0</v>
      </c>
      <c r="GM268" s="7">
        <f t="shared" si="1436"/>
        <v>0</v>
      </c>
      <c r="GN268" s="7">
        <f t="shared" si="1436"/>
        <v>0</v>
      </c>
      <c r="GO268" s="7">
        <f t="shared" si="1436"/>
        <v>0</v>
      </c>
      <c r="GP268" s="12">
        <f t="shared" si="1436"/>
        <v>0</v>
      </c>
      <c r="GR268" s="7">
        <f t="shared" ref="GR268:GX268" si="1437">SUM(GR265:GR267)</f>
        <v>0</v>
      </c>
      <c r="GS268" s="7">
        <f t="shared" si="1437"/>
        <v>0</v>
      </c>
      <c r="GT268" s="7">
        <f t="shared" si="1437"/>
        <v>0</v>
      </c>
      <c r="GU268" s="7">
        <f t="shared" si="1437"/>
        <v>0</v>
      </c>
      <c r="GV268" s="7">
        <f t="shared" si="1437"/>
        <v>0</v>
      </c>
      <c r="GW268" s="7">
        <f t="shared" si="1437"/>
        <v>0</v>
      </c>
      <c r="GX268" s="12">
        <f t="shared" si="1437"/>
        <v>0</v>
      </c>
      <c r="GZ268" s="589">
        <f t="shared" si="1296"/>
        <v>0</v>
      </c>
      <c r="HA268" s="589">
        <f t="shared" si="1297"/>
        <v>0</v>
      </c>
      <c r="HB268" s="589">
        <f t="shared" si="1298"/>
        <v>0</v>
      </c>
      <c r="HC268" s="589">
        <f t="shared" si="1299"/>
        <v>0</v>
      </c>
      <c r="HD268" s="589">
        <f t="shared" si="1300"/>
        <v>0</v>
      </c>
      <c r="HE268" s="589">
        <f t="shared" si="1301"/>
        <v>0</v>
      </c>
      <c r="HF268" s="589">
        <f t="shared" si="1302"/>
        <v>0</v>
      </c>
      <c r="HG268" s="590">
        <f t="shared" ca="1" si="1303"/>
        <v>0</v>
      </c>
      <c r="HH268" s="257"/>
    </row>
    <row r="269" spans="1:216" ht="15" hidden="1" customHeight="1" x14ac:dyDescent="0.25">
      <c r="A269" s="480"/>
      <c r="B269" s="3316" t="str">
        <f>'Calc - GRAD ASST'!A325</f>
        <v>GA #12 / Sponsor Funds</v>
      </c>
      <c r="C269" s="483" t="s">
        <v>57</v>
      </c>
      <c r="D269" s="86">
        <f ca="1">'Calc - GRAD ASST'!$J$339</f>
        <v>0</v>
      </c>
      <c r="E269" s="86">
        <f ca="1">'Calc - GRAD ASST'!$J$341</f>
        <v>0</v>
      </c>
      <c r="F269" s="86">
        <f ca="1">'Calc - GRAD ASST'!$J$343</f>
        <v>0</v>
      </c>
      <c r="G269" s="86">
        <f ca="1">'Calc - GRAD ASST'!$J$345</f>
        <v>0</v>
      </c>
      <c r="H269" s="86">
        <f ca="1">'Calc - GRAD ASST'!$J$347</f>
        <v>0</v>
      </c>
      <c r="I269" s="86">
        <f ca="1">'Calc - GRAD ASST'!$J$349</f>
        <v>0</v>
      </c>
      <c r="J269" s="87">
        <f ca="1">SUM(D269:I269)</f>
        <v>0</v>
      </c>
      <c r="K269" s="9"/>
      <c r="M269" s="9"/>
      <c r="N269" s="5"/>
      <c r="O269" s="5"/>
      <c r="P269" s="5"/>
      <c r="Q269" s="5"/>
      <c r="R269" s="5"/>
      <c r="S269" s="5"/>
      <c r="T269" s="167">
        <f>SUM(N269:S269)</f>
        <v>0</v>
      </c>
      <c r="U269" s="1"/>
      <c r="V269" s="5"/>
      <c r="W269" s="5"/>
      <c r="X269" s="5"/>
      <c r="Y269" s="5"/>
      <c r="Z269" s="5"/>
      <c r="AA269" s="5"/>
      <c r="AB269" s="48">
        <f>SUM(V269:AA269)</f>
        <v>0</v>
      </c>
      <c r="AD269" s="5"/>
      <c r="AE269" s="5"/>
      <c r="AF269" s="5"/>
      <c r="AG269" s="5"/>
      <c r="AH269" s="5"/>
      <c r="AI269" s="5"/>
      <c r="AJ269" s="209">
        <f>SUM(AD269:AI269)</f>
        <v>0</v>
      </c>
      <c r="AL269" s="5"/>
      <c r="AM269" s="5"/>
      <c r="AN269" s="5"/>
      <c r="AO269" s="5"/>
      <c r="AP269" s="5"/>
      <c r="AQ269" s="5"/>
      <c r="AR269" s="181">
        <f>SUM(AL269:AQ269)</f>
        <v>0</v>
      </c>
      <c r="AT269" s="5"/>
      <c r="AU269" s="5"/>
      <c r="AV269" s="5"/>
      <c r="AW269" s="5"/>
      <c r="AX269" s="5"/>
      <c r="AY269" s="5"/>
      <c r="AZ269" s="153">
        <f>SUM(AT269:AY269)</f>
        <v>0</v>
      </c>
      <c r="BB269" s="5"/>
      <c r="BC269" s="5"/>
      <c r="BD269" s="5"/>
      <c r="BE269" s="5"/>
      <c r="BF269" s="5"/>
      <c r="BG269" s="5"/>
      <c r="BH269" s="195">
        <f>SUM(BB269:BG269)</f>
        <v>0</v>
      </c>
      <c r="BJ269" s="5"/>
      <c r="BK269" s="5"/>
      <c r="BL269" s="5"/>
      <c r="BM269" s="5"/>
      <c r="BN269" s="5"/>
      <c r="BO269" s="5"/>
      <c r="BP269" s="1630">
        <f>SUM(BJ269:BO269)</f>
        <v>0</v>
      </c>
      <c r="BR269" s="575">
        <f t="shared" si="1276"/>
        <v>0</v>
      </c>
      <c r="BS269" s="575">
        <f t="shared" si="1277"/>
        <v>0</v>
      </c>
      <c r="BT269" s="575">
        <f t="shared" si="1278"/>
        <v>0</v>
      </c>
      <c r="BU269" s="575">
        <f t="shared" si="1279"/>
        <v>0</v>
      </c>
      <c r="BV269" s="575">
        <f t="shared" si="1280"/>
        <v>0</v>
      </c>
      <c r="BW269" s="575">
        <f t="shared" si="1281"/>
        <v>0</v>
      </c>
      <c r="BX269" s="991">
        <f t="shared" si="1282"/>
        <v>0</v>
      </c>
      <c r="BY269" s="573">
        <f t="shared" ca="1" si="1283"/>
        <v>0</v>
      </c>
      <c r="BZ269" s="257"/>
      <c r="CB269" s="1322">
        <f ca="1">D269</f>
        <v>0</v>
      </c>
      <c r="CC269" s="386">
        <f ca="1">$E269/3</f>
        <v>0</v>
      </c>
      <c r="CD269" s="360">
        <f ca="1">$E269/3</f>
        <v>0</v>
      </c>
      <c r="CE269" s="360">
        <f ca="1">$E269/3</f>
        <v>0</v>
      </c>
      <c r="CF269" s="360"/>
      <c r="CG269" s="1161"/>
      <c r="CH269" s="1241">
        <f ca="1">$F269/3</f>
        <v>0</v>
      </c>
      <c r="CI269" s="1163">
        <f ca="1">$F269/3</f>
        <v>0</v>
      </c>
      <c r="CJ269" s="1163">
        <f ca="1">$F269/3</f>
        <v>0</v>
      </c>
      <c r="CK269" s="1163"/>
      <c r="CL269" s="1164"/>
      <c r="CM269" s="1165">
        <f ca="1">$G269/3</f>
        <v>0</v>
      </c>
      <c r="CN269" s="1242">
        <f ca="1">$G269/3</f>
        <v>0</v>
      </c>
      <c r="CO269" s="1167">
        <f ca="1">$G269/3</f>
        <v>0</v>
      </c>
      <c r="CP269" s="1168">
        <f t="shared" ca="1" si="1306"/>
        <v>0</v>
      </c>
      <c r="CS269" s="575"/>
      <c r="CT269" s="5"/>
      <c r="CU269" s="1180"/>
      <c r="CV269" s="575"/>
      <c r="CW269" s="5"/>
      <c r="CX269" s="1180"/>
      <c r="CY269" s="575"/>
      <c r="CZ269" s="5"/>
      <c r="DA269" s="1180"/>
      <c r="DB269" s="575"/>
      <c r="DC269" s="5"/>
      <c r="DD269" s="1180"/>
      <c r="DE269" s="1181">
        <f>SUM(CS269:DD269)</f>
        <v>0</v>
      </c>
      <c r="DG269" s="575"/>
      <c r="DH269" s="5"/>
      <c r="DI269" s="1180"/>
      <c r="DJ269" s="575"/>
      <c r="DK269" s="5"/>
      <c r="DL269" s="1180"/>
      <c r="DM269" s="575"/>
      <c r="DN269" s="5"/>
      <c r="DO269" s="1180"/>
      <c r="DP269" s="575"/>
      <c r="DQ269" s="5"/>
      <c r="DR269" s="1180"/>
      <c r="DS269" s="1181">
        <f>SUM(DG269:DR269)</f>
        <v>0</v>
      </c>
      <c r="DU269" s="575"/>
      <c r="DV269" s="5"/>
      <c r="DW269" s="1180"/>
      <c r="DX269" s="575"/>
      <c r="DY269" s="5"/>
      <c r="DZ269" s="1180"/>
      <c r="EA269" s="575"/>
      <c r="EB269" s="5"/>
      <c r="EC269" s="1180"/>
      <c r="ED269" s="575"/>
      <c r="EE269" s="5"/>
      <c r="EF269" s="1180"/>
      <c r="EG269" s="1181">
        <f>SUM(DU269:EF269)</f>
        <v>0</v>
      </c>
      <c r="EI269" s="480"/>
      <c r="EJ269" s="3316" t="str">
        <f>B269</f>
        <v>GA #12 / Sponsor Funds</v>
      </c>
      <c r="EK269" s="483" t="s">
        <v>57</v>
      </c>
      <c r="EL269" s="86">
        <f t="shared" ref="EL269:EQ271" ca="1" si="1438">ROUND(D269,0)</f>
        <v>0</v>
      </c>
      <c r="EM269" s="86">
        <f t="shared" ca="1" si="1438"/>
        <v>0</v>
      </c>
      <c r="EN269" s="86">
        <f t="shared" ca="1" si="1438"/>
        <v>0</v>
      </c>
      <c r="EO269" s="86">
        <f t="shared" ca="1" si="1438"/>
        <v>0</v>
      </c>
      <c r="EP269" s="86">
        <f t="shared" ca="1" si="1438"/>
        <v>0</v>
      </c>
      <c r="EQ269" s="86">
        <f t="shared" ca="1" si="1438"/>
        <v>0</v>
      </c>
      <c r="ER269" s="87">
        <f t="shared" ca="1" si="1307"/>
        <v>0</v>
      </c>
      <c r="ES269" s="9"/>
      <c r="EU269" s="9"/>
      <c r="EV269" s="5">
        <f t="shared" ref="EV269:FA271" si="1439">ROUND(N269,0)</f>
        <v>0</v>
      </c>
      <c r="EW269" s="5">
        <f t="shared" si="1439"/>
        <v>0</v>
      </c>
      <c r="EX269" s="5">
        <f t="shared" si="1439"/>
        <v>0</v>
      </c>
      <c r="EY269" s="5">
        <f t="shared" si="1439"/>
        <v>0</v>
      </c>
      <c r="EZ269" s="5">
        <f t="shared" si="1439"/>
        <v>0</v>
      </c>
      <c r="FA269" s="5">
        <f t="shared" si="1439"/>
        <v>0</v>
      </c>
      <c r="FB269" s="167">
        <f>SUM(EV269:FA269)</f>
        <v>0</v>
      </c>
      <c r="FC269" s="1"/>
      <c r="FD269" s="5"/>
      <c r="FE269" s="5"/>
      <c r="FF269" s="5"/>
      <c r="FG269" s="5"/>
      <c r="FH269" s="5"/>
      <c r="FI269" s="5"/>
      <c r="FJ269" s="48">
        <f>SUM(FD269:FI269)</f>
        <v>0</v>
      </c>
      <c r="FL269" s="5"/>
      <c r="FM269" s="5"/>
      <c r="FN269" s="5"/>
      <c r="FO269" s="5"/>
      <c r="FP269" s="5"/>
      <c r="FQ269" s="5"/>
      <c r="FR269" s="209">
        <f>SUM(FL269:FQ269)</f>
        <v>0</v>
      </c>
      <c r="FT269" s="5"/>
      <c r="FU269" s="5"/>
      <c r="FV269" s="5"/>
      <c r="FW269" s="5"/>
      <c r="FX269" s="5"/>
      <c r="FY269" s="5"/>
      <c r="FZ269" s="181">
        <f>SUM(FT269:FY269)</f>
        <v>0</v>
      </c>
      <c r="GB269" s="5"/>
      <c r="GC269" s="5"/>
      <c r="GD269" s="5"/>
      <c r="GE269" s="5"/>
      <c r="GF269" s="5"/>
      <c r="GG269" s="5"/>
      <c r="GH269" s="153">
        <f>SUM(GB269:GG269)</f>
        <v>0</v>
      </c>
      <c r="GJ269" s="5"/>
      <c r="GK269" s="5"/>
      <c r="GL269" s="5"/>
      <c r="GM269" s="5"/>
      <c r="GN269" s="5"/>
      <c r="GO269" s="5"/>
      <c r="GP269" s="195">
        <f>SUM(GJ269:GO269)</f>
        <v>0</v>
      </c>
      <c r="GR269" s="5"/>
      <c r="GS269" s="5"/>
      <c r="GT269" s="5"/>
      <c r="GU269" s="5"/>
      <c r="GV269" s="5"/>
      <c r="GW269" s="5"/>
      <c r="GX269" s="1630">
        <f>SUM(GR269:GW269)</f>
        <v>0</v>
      </c>
      <c r="GZ269" s="575">
        <f t="shared" si="1296"/>
        <v>0</v>
      </c>
      <c r="HA269" s="575">
        <f t="shared" si="1297"/>
        <v>0</v>
      </c>
      <c r="HB269" s="575">
        <f t="shared" si="1298"/>
        <v>0</v>
      </c>
      <c r="HC269" s="575">
        <f t="shared" si="1299"/>
        <v>0</v>
      </c>
      <c r="HD269" s="575">
        <f t="shared" si="1300"/>
        <v>0</v>
      </c>
      <c r="HE269" s="575">
        <f t="shared" si="1301"/>
        <v>0</v>
      </c>
      <c r="HF269" s="991">
        <f t="shared" si="1302"/>
        <v>0</v>
      </c>
      <c r="HG269" s="573">
        <f t="shared" ca="1" si="1303"/>
        <v>0</v>
      </c>
      <c r="HH269" s="257"/>
    </row>
    <row r="270" spans="1:216" ht="15" hidden="1" customHeight="1" x14ac:dyDescent="0.25">
      <c r="A270" s="480"/>
      <c r="B270" s="3317"/>
      <c r="C270" s="78" t="s">
        <v>96</v>
      </c>
      <c r="D270" s="29">
        <f ca="1">'Calc - GRAD ASST'!$E$339</f>
        <v>0</v>
      </c>
      <c r="E270" s="29">
        <f ca="1">'Calc - GRAD ASST'!$E$341</f>
        <v>0</v>
      </c>
      <c r="F270" s="29">
        <f ca="1">'Calc - GRAD ASST'!$E$343</f>
        <v>0</v>
      </c>
      <c r="G270" s="29">
        <f ca="1">'Calc - GRAD ASST'!$E$345</f>
        <v>0</v>
      </c>
      <c r="H270" s="29">
        <f ca="1">'Calc - GRAD ASST'!$E$347</f>
        <v>0</v>
      </c>
      <c r="I270" s="29">
        <f ca="1">'Calc - GRAD ASST'!$E$349</f>
        <v>0</v>
      </c>
      <c r="J270" s="88">
        <f ca="1">SUM(D270:I270)</f>
        <v>0</v>
      </c>
      <c r="L270" s="9"/>
      <c r="M270" s="9"/>
      <c r="N270" s="29"/>
      <c r="O270" s="29"/>
      <c r="P270" s="29"/>
      <c r="Q270" s="29"/>
      <c r="R270" s="29"/>
      <c r="S270" s="29"/>
      <c r="T270" s="167">
        <f>SUM(N270:S270)</f>
        <v>0</v>
      </c>
      <c r="U270" s="1"/>
      <c r="V270" s="29"/>
      <c r="W270" s="29"/>
      <c r="X270" s="29"/>
      <c r="Y270" s="29"/>
      <c r="Z270" s="29"/>
      <c r="AA270" s="29"/>
      <c r="AB270" s="48">
        <f>SUM(V270:AA270)</f>
        <v>0</v>
      </c>
      <c r="AD270" s="29"/>
      <c r="AE270" s="29"/>
      <c r="AF270" s="29"/>
      <c r="AG270" s="29"/>
      <c r="AH270" s="29"/>
      <c r="AI270" s="29"/>
      <c r="AJ270" s="209">
        <f>SUM(AD270:AI270)</f>
        <v>0</v>
      </c>
      <c r="AL270" s="29"/>
      <c r="AM270" s="29"/>
      <c r="AN270" s="29"/>
      <c r="AO270" s="29"/>
      <c r="AP270" s="29"/>
      <c r="AQ270" s="29"/>
      <c r="AR270" s="181">
        <f>SUM(AL270:AQ270)</f>
        <v>0</v>
      </c>
      <c r="AT270" s="29"/>
      <c r="AU270" s="29"/>
      <c r="AV270" s="29"/>
      <c r="AW270" s="29"/>
      <c r="AX270" s="29"/>
      <c r="AY270" s="29"/>
      <c r="AZ270" s="153">
        <f>SUM(AT270:AY270)</f>
        <v>0</v>
      </c>
      <c r="BB270" s="29"/>
      <c r="BC270" s="29"/>
      <c r="BD270" s="29"/>
      <c r="BE270" s="29"/>
      <c r="BF270" s="29"/>
      <c r="BG270" s="29"/>
      <c r="BH270" s="195">
        <f>SUM(BB270:BG270)</f>
        <v>0</v>
      </c>
      <c r="BJ270" s="29"/>
      <c r="BK270" s="29"/>
      <c r="BL270" s="29"/>
      <c r="BM270" s="29"/>
      <c r="BN270" s="29"/>
      <c r="BO270" s="29"/>
      <c r="BP270" s="1630">
        <f>SUM(BJ270:BO270)</f>
        <v>0</v>
      </c>
      <c r="BR270" s="575">
        <f t="shared" si="1276"/>
        <v>0</v>
      </c>
      <c r="BS270" s="575">
        <f t="shared" si="1277"/>
        <v>0</v>
      </c>
      <c r="BT270" s="575">
        <f t="shared" si="1278"/>
        <v>0</v>
      </c>
      <c r="BU270" s="575">
        <f t="shared" si="1279"/>
        <v>0</v>
      </c>
      <c r="BV270" s="575">
        <f t="shared" si="1280"/>
        <v>0</v>
      </c>
      <c r="BW270" s="575">
        <f t="shared" si="1281"/>
        <v>0</v>
      </c>
      <c r="BX270" s="991">
        <f t="shared" si="1282"/>
        <v>0</v>
      </c>
      <c r="BY270" s="573">
        <f t="shared" ca="1" si="1283"/>
        <v>0</v>
      </c>
      <c r="BZ270" s="257"/>
      <c r="CB270" s="1350">
        <f ca="1">D270</f>
        <v>0</v>
      </c>
      <c r="CC270" s="1268"/>
      <c r="CD270" s="1269"/>
      <c r="CE270" s="1269"/>
      <c r="CF270" s="1269"/>
      <c r="CG270" s="1270">
        <f ca="1">E270</f>
        <v>0</v>
      </c>
      <c r="CH270" s="1271"/>
      <c r="CI270" s="1272"/>
      <c r="CJ270" s="1272"/>
      <c r="CK270" s="1272"/>
      <c r="CL270" s="1273">
        <f ca="1">F270</f>
        <v>0</v>
      </c>
      <c r="CM270" s="1274"/>
      <c r="CN270" s="1275"/>
      <c r="CO270" s="1276"/>
      <c r="CP270" s="1224">
        <f t="shared" ca="1" si="1306"/>
        <v>0</v>
      </c>
      <c r="CS270" s="575"/>
      <c r="CT270" s="5"/>
      <c r="CU270" s="1180"/>
      <c r="CV270" s="575"/>
      <c r="CW270" s="5"/>
      <c r="CX270" s="1180"/>
      <c r="CY270" s="575"/>
      <c r="CZ270" s="5"/>
      <c r="DA270" s="1180"/>
      <c r="DB270" s="575"/>
      <c r="DC270" s="5"/>
      <c r="DD270" s="1180"/>
      <c r="DE270" s="1181">
        <f>SUM(CS270:DD270)</f>
        <v>0</v>
      </c>
      <c r="DG270" s="575"/>
      <c r="DH270" s="5"/>
      <c r="DI270" s="1180"/>
      <c r="DJ270" s="575"/>
      <c r="DK270" s="5"/>
      <c r="DL270" s="1180"/>
      <c r="DM270" s="575"/>
      <c r="DN270" s="5"/>
      <c r="DO270" s="1180"/>
      <c r="DP270" s="575"/>
      <c r="DQ270" s="5"/>
      <c r="DR270" s="1180"/>
      <c r="DS270" s="1181">
        <f>SUM(DG270:DR270)</f>
        <v>0</v>
      </c>
      <c r="DU270" s="575"/>
      <c r="DV270" s="5"/>
      <c r="DW270" s="1180"/>
      <c r="DX270" s="575"/>
      <c r="DY270" s="5"/>
      <c r="DZ270" s="1180"/>
      <c r="EA270" s="575"/>
      <c r="EB270" s="5"/>
      <c r="EC270" s="1180"/>
      <c r="ED270" s="575"/>
      <c r="EE270" s="5"/>
      <c r="EF270" s="1180"/>
      <c r="EG270" s="1181">
        <f>SUM(DU270:EF270)</f>
        <v>0</v>
      </c>
      <c r="EI270" s="480"/>
      <c r="EJ270" s="3317"/>
      <c r="EK270" s="78" t="s">
        <v>96</v>
      </c>
      <c r="EL270" s="29">
        <f t="shared" ca="1" si="1438"/>
        <v>0</v>
      </c>
      <c r="EM270" s="29">
        <f t="shared" ca="1" si="1438"/>
        <v>0</v>
      </c>
      <c r="EN270" s="29">
        <f t="shared" ca="1" si="1438"/>
        <v>0</v>
      </c>
      <c r="EO270" s="29">
        <f t="shared" ca="1" si="1438"/>
        <v>0</v>
      </c>
      <c r="EP270" s="29">
        <f t="shared" ca="1" si="1438"/>
        <v>0</v>
      </c>
      <c r="EQ270" s="29">
        <f t="shared" ca="1" si="1438"/>
        <v>0</v>
      </c>
      <c r="ER270" s="88">
        <f t="shared" ca="1" si="1307"/>
        <v>0</v>
      </c>
      <c r="ET270" s="9"/>
      <c r="EU270" s="9"/>
      <c r="EV270" s="29">
        <f t="shared" si="1439"/>
        <v>0</v>
      </c>
      <c r="EW270" s="29">
        <f t="shared" si="1439"/>
        <v>0</v>
      </c>
      <c r="EX270" s="29">
        <f t="shared" si="1439"/>
        <v>0</v>
      </c>
      <c r="EY270" s="29">
        <f t="shared" si="1439"/>
        <v>0</v>
      </c>
      <c r="EZ270" s="29">
        <f t="shared" si="1439"/>
        <v>0</v>
      </c>
      <c r="FA270" s="29">
        <f t="shared" si="1439"/>
        <v>0</v>
      </c>
      <c r="FB270" s="167">
        <f>SUM(EV270:FA270)</f>
        <v>0</v>
      </c>
      <c r="FC270" s="1"/>
      <c r="FD270" s="29"/>
      <c r="FE270" s="29"/>
      <c r="FF270" s="29"/>
      <c r="FG270" s="29"/>
      <c r="FH270" s="29"/>
      <c r="FI270" s="29"/>
      <c r="FJ270" s="48">
        <f>SUM(FD270:FI270)</f>
        <v>0</v>
      </c>
      <c r="FL270" s="29"/>
      <c r="FM270" s="29"/>
      <c r="FN270" s="29"/>
      <c r="FO270" s="29"/>
      <c r="FP270" s="29"/>
      <c r="FQ270" s="29"/>
      <c r="FR270" s="209">
        <f>SUM(FL270:FQ270)</f>
        <v>0</v>
      </c>
      <c r="FT270" s="29"/>
      <c r="FU270" s="29"/>
      <c r="FV270" s="29"/>
      <c r="FW270" s="29"/>
      <c r="FX270" s="29"/>
      <c r="FY270" s="29"/>
      <c r="FZ270" s="181">
        <f>SUM(FT270:FY270)</f>
        <v>0</v>
      </c>
      <c r="GB270" s="29"/>
      <c r="GC270" s="29"/>
      <c r="GD270" s="29"/>
      <c r="GE270" s="29"/>
      <c r="GF270" s="29"/>
      <c r="GG270" s="29"/>
      <c r="GH270" s="153">
        <f>SUM(GB270:GG270)</f>
        <v>0</v>
      </c>
      <c r="GJ270" s="29"/>
      <c r="GK270" s="29"/>
      <c r="GL270" s="29"/>
      <c r="GM270" s="29"/>
      <c r="GN270" s="29"/>
      <c r="GO270" s="29"/>
      <c r="GP270" s="195">
        <f>SUM(GJ270:GO270)</f>
        <v>0</v>
      </c>
      <c r="GR270" s="29"/>
      <c r="GS270" s="29"/>
      <c r="GT270" s="29"/>
      <c r="GU270" s="29"/>
      <c r="GV270" s="29"/>
      <c r="GW270" s="29"/>
      <c r="GX270" s="1630">
        <f>SUM(GR270:GW270)</f>
        <v>0</v>
      </c>
      <c r="GZ270" s="575">
        <f t="shared" si="1296"/>
        <v>0</v>
      </c>
      <c r="HA270" s="575">
        <f t="shared" si="1297"/>
        <v>0</v>
      </c>
      <c r="HB270" s="575">
        <f t="shared" si="1298"/>
        <v>0</v>
      </c>
      <c r="HC270" s="575">
        <f t="shared" si="1299"/>
        <v>0</v>
      </c>
      <c r="HD270" s="575">
        <f t="shared" si="1300"/>
        <v>0</v>
      </c>
      <c r="HE270" s="575">
        <f t="shared" si="1301"/>
        <v>0</v>
      </c>
      <c r="HF270" s="991">
        <f t="shared" si="1302"/>
        <v>0</v>
      </c>
      <c r="HG270" s="573">
        <f t="shared" ca="1" si="1303"/>
        <v>0</v>
      </c>
      <c r="HH270" s="257"/>
    </row>
    <row r="271" spans="1:216" ht="15" hidden="1" customHeight="1" thickBot="1" x14ac:dyDescent="0.3">
      <c r="A271" s="480"/>
      <c r="B271" s="1861">
        <f>'Calc - GRAD ASST'!C326</f>
        <v>0</v>
      </c>
      <c r="C271" s="420" t="s">
        <v>130</v>
      </c>
      <c r="D271" s="42">
        <f ca="1">'Calc - GRAD ASST'!$M$339</f>
        <v>0</v>
      </c>
      <c r="E271" s="42">
        <f ca="1">'Calc - GRAD ASST'!$M$341</f>
        <v>0</v>
      </c>
      <c r="F271" s="42">
        <f ca="1">'Calc - GRAD ASST'!$M$343</f>
        <v>0</v>
      </c>
      <c r="G271" s="42">
        <f ca="1">'Calc - GRAD ASST'!$M$345</f>
        <v>0</v>
      </c>
      <c r="H271" s="42">
        <f ca="1">'Calc - GRAD ASST'!$M$347</f>
        <v>0</v>
      </c>
      <c r="I271" s="42">
        <f ca="1">'Calc - GRAD ASST'!$M$349</f>
        <v>0</v>
      </c>
      <c r="J271" s="90">
        <f ca="1">SUM(D271:I271)</f>
        <v>0</v>
      </c>
      <c r="K271" s="9"/>
      <c r="L271" s="9"/>
      <c r="M271" s="9"/>
      <c r="N271" s="5"/>
      <c r="O271" s="5"/>
      <c r="P271" s="5"/>
      <c r="Q271" s="5"/>
      <c r="R271" s="5"/>
      <c r="S271" s="5"/>
      <c r="T271" s="167">
        <f>SUM(N271:S271)</f>
        <v>0</v>
      </c>
      <c r="U271" s="1"/>
      <c r="V271" s="5"/>
      <c r="W271" s="5"/>
      <c r="X271" s="5"/>
      <c r="Y271" s="5"/>
      <c r="Z271" s="5"/>
      <c r="AA271" s="5"/>
      <c r="AB271" s="48">
        <f>SUM(V271:AA271)</f>
        <v>0</v>
      </c>
      <c r="AD271" s="5"/>
      <c r="AE271" s="5"/>
      <c r="AF271" s="5"/>
      <c r="AG271" s="5"/>
      <c r="AH271" s="5"/>
      <c r="AI271" s="5"/>
      <c r="AJ271" s="209">
        <f>SUM(AD271:AI271)</f>
        <v>0</v>
      </c>
      <c r="AL271" s="5"/>
      <c r="AM271" s="5"/>
      <c r="AN271" s="5"/>
      <c r="AO271" s="5"/>
      <c r="AP271" s="5"/>
      <c r="AQ271" s="5"/>
      <c r="AR271" s="181">
        <f>SUM(AL271:AQ271)</f>
        <v>0</v>
      </c>
      <c r="AT271" s="5"/>
      <c r="AU271" s="5"/>
      <c r="AV271" s="5"/>
      <c r="AW271" s="5"/>
      <c r="AX271" s="5"/>
      <c r="AY271" s="5"/>
      <c r="AZ271" s="153">
        <f>SUM(AT271:AY271)</f>
        <v>0</v>
      </c>
      <c r="BB271" s="5"/>
      <c r="BC271" s="5"/>
      <c r="BD271" s="5"/>
      <c r="BE271" s="5"/>
      <c r="BF271" s="5"/>
      <c r="BG271" s="5"/>
      <c r="BH271" s="195">
        <f>SUM(BB271:BG271)</f>
        <v>0</v>
      </c>
      <c r="BJ271" s="5"/>
      <c r="BK271" s="5"/>
      <c r="BL271" s="5"/>
      <c r="BM271" s="5"/>
      <c r="BN271" s="5"/>
      <c r="BO271" s="5"/>
      <c r="BP271" s="1630">
        <f>SUM(BJ271:BO271)</f>
        <v>0</v>
      </c>
      <c r="BR271" s="575">
        <f t="shared" si="1276"/>
        <v>0</v>
      </c>
      <c r="BS271" s="575">
        <f t="shared" si="1277"/>
        <v>0</v>
      </c>
      <c r="BT271" s="575">
        <f t="shared" si="1278"/>
        <v>0</v>
      </c>
      <c r="BU271" s="575">
        <f t="shared" si="1279"/>
        <v>0</v>
      </c>
      <c r="BV271" s="575">
        <f t="shared" si="1280"/>
        <v>0</v>
      </c>
      <c r="BW271" s="575">
        <f t="shared" si="1281"/>
        <v>0</v>
      </c>
      <c r="BX271" s="991">
        <f t="shared" si="1282"/>
        <v>0</v>
      </c>
      <c r="BY271" s="573">
        <f t="shared" ca="1" si="1283"/>
        <v>0</v>
      </c>
      <c r="BZ271" s="257"/>
      <c r="CB271" s="1330">
        <f ca="1">D271</f>
        <v>0</v>
      </c>
      <c r="CC271" s="1201">
        <f ca="1">($E271-$CG271)/3</f>
        <v>0</v>
      </c>
      <c r="CD271" s="1202">
        <f ca="1">($E271-$CG271)/3</f>
        <v>0</v>
      </c>
      <c r="CE271" s="1202">
        <f ca="1">($E271-$CG271)/3</f>
        <v>0</v>
      </c>
      <c r="CF271" s="1202"/>
      <c r="CG271" s="1203">
        <f ca="1">OFFSET('Calc - GRAD ASST'!$K$20,11*29+2,0)</f>
        <v>0</v>
      </c>
      <c r="CH271" s="1251">
        <f ca="1">($F271-$CL271)/3</f>
        <v>0</v>
      </c>
      <c r="CI271" s="1205">
        <f ca="1">($F271-$CL271)/3</f>
        <v>0</v>
      </c>
      <c r="CJ271" s="1205">
        <f ca="1">($F271-$CL271)/3</f>
        <v>0</v>
      </c>
      <c r="CK271" s="1205"/>
      <c r="CL271" s="1206">
        <f ca="1">OFFSET('Calc - GRAD ASST'!$K$20,11*29+4,0)</f>
        <v>0</v>
      </c>
      <c r="CM271" s="1207">
        <f ca="1">$G271/3</f>
        <v>0</v>
      </c>
      <c r="CN271" s="1252">
        <f ca="1">$G271/3</f>
        <v>0</v>
      </c>
      <c r="CO271" s="1209">
        <f ca="1">$G271/3</f>
        <v>0</v>
      </c>
      <c r="CP271" s="1316">
        <f t="shared" ca="1" si="1306"/>
        <v>0</v>
      </c>
      <c r="CS271" s="575"/>
      <c r="CT271" s="5"/>
      <c r="CU271" s="1180"/>
      <c r="CV271" s="575"/>
      <c r="CW271" s="5"/>
      <c r="CX271" s="1180"/>
      <c r="CY271" s="575"/>
      <c r="CZ271" s="5"/>
      <c r="DA271" s="1180"/>
      <c r="DB271" s="575"/>
      <c r="DC271" s="5"/>
      <c r="DD271" s="1180"/>
      <c r="DE271" s="1181">
        <f>SUM(CS271:DD271)</f>
        <v>0</v>
      </c>
      <c r="DG271" s="575"/>
      <c r="DH271" s="5"/>
      <c r="DI271" s="1180"/>
      <c r="DJ271" s="575"/>
      <c r="DK271" s="5"/>
      <c r="DL271" s="1180"/>
      <c r="DM271" s="575"/>
      <c r="DN271" s="5"/>
      <c r="DO271" s="1180"/>
      <c r="DP271" s="575"/>
      <c r="DQ271" s="5"/>
      <c r="DR271" s="1180"/>
      <c r="DS271" s="1181">
        <f>SUM(DG271:DR271)</f>
        <v>0</v>
      </c>
      <c r="DU271" s="575"/>
      <c r="DV271" s="5"/>
      <c r="DW271" s="1180"/>
      <c r="DX271" s="575"/>
      <c r="DY271" s="5"/>
      <c r="DZ271" s="1180"/>
      <c r="EA271" s="575"/>
      <c r="EB271" s="5"/>
      <c r="EC271" s="1180"/>
      <c r="ED271" s="575"/>
      <c r="EE271" s="5"/>
      <c r="EF271" s="1180"/>
      <c r="EG271" s="1181">
        <f>SUM(DU271:EF271)</f>
        <v>0</v>
      </c>
      <c r="EI271" s="480"/>
      <c r="EJ271" s="1861">
        <f>B271</f>
        <v>0</v>
      </c>
      <c r="EK271" s="420" t="s">
        <v>130</v>
      </c>
      <c r="EL271" s="42">
        <f t="shared" ca="1" si="1438"/>
        <v>0</v>
      </c>
      <c r="EM271" s="42">
        <f t="shared" ca="1" si="1438"/>
        <v>0</v>
      </c>
      <c r="EN271" s="42">
        <f t="shared" ca="1" si="1438"/>
        <v>0</v>
      </c>
      <c r="EO271" s="42">
        <f t="shared" ca="1" si="1438"/>
        <v>0</v>
      </c>
      <c r="EP271" s="42">
        <f t="shared" ca="1" si="1438"/>
        <v>0</v>
      </c>
      <c r="EQ271" s="42">
        <f t="shared" ca="1" si="1438"/>
        <v>0</v>
      </c>
      <c r="ER271" s="90">
        <f t="shared" ca="1" si="1307"/>
        <v>0</v>
      </c>
      <c r="ES271" s="9"/>
      <c r="ET271" s="9"/>
      <c r="EU271" s="9"/>
      <c r="EV271" s="5">
        <f t="shared" si="1439"/>
        <v>0</v>
      </c>
      <c r="EW271" s="5">
        <f t="shared" si="1439"/>
        <v>0</v>
      </c>
      <c r="EX271" s="5">
        <f t="shared" si="1439"/>
        <v>0</v>
      </c>
      <c r="EY271" s="5">
        <f t="shared" si="1439"/>
        <v>0</v>
      </c>
      <c r="EZ271" s="5">
        <f t="shared" si="1439"/>
        <v>0</v>
      </c>
      <c r="FA271" s="5">
        <f t="shared" si="1439"/>
        <v>0</v>
      </c>
      <c r="FB271" s="167">
        <f>SUM(EV271:FA271)</f>
        <v>0</v>
      </c>
      <c r="FC271" s="1"/>
      <c r="FD271" s="5"/>
      <c r="FE271" s="5"/>
      <c r="FF271" s="5"/>
      <c r="FG271" s="5"/>
      <c r="FH271" s="5"/>
      <c r="FI271" s="5"/>
      <c r="FJ271" s="48">
        <f>SUM(FD271:FI271)</f>
        <v>0</v>
      </c>
      <c r="FL271" s="5"/>
      <c r="FM271" s="5"/>
      <c r="FN271" s="5"/>
      <c r="FO271" s="5"/>
      <c r="FP271" s="5"/>
      <c r="FQ271" s="5"/>
      <c r="FR271" s="209">
        <f>SUM(FL271:FQ271)</f>
        <v>0</v>
      </c>
      <c r="FT271" s="5"/>
      <c r="FU271" s="5"/>
      <c r="FV271" s="5"/>
      <c r="FW271" s="5"/>
      <c r="FX271" s="5"/>
      <c r="FY271" s="5"/>
      <c r="FZ271" s="181">
        <f>SUM(FT271:FY271)</f>
        <v>0</v>
      </c>
      <c r="GB271" s="5"/>
      <c r="GC271" s="5"/>
      <c r="GD271" s="5"/>
      <c r="GE271" s="5"/>
      <c r="GF271" s="5"/>
      <c r="GG271" s="5"/>
      <c r="GH271" s="153">
        <f>SUM(GB271:GG271)</f>
        <v>0</v>
      </c>
      <c r="GJ271" s="5"/>
      <c r="GK271" s="5"/>
      <c r="GL271" s="5"/>
      <c r="GM271" s="5"/>
      <c r="GN271" s="5"/>
      <c r="GO271" s="5"/>
      <c r="GP271" s="195">
        <f>SUM(GJ271:GO271)</f>
        <v>0</v>
      </c>
      <c r="GR271" s="5"/>
      <c r="GS271" s="5"/>
      <c r="GT271" s="5"/>
      <c r="GU271" s="5"/>
      <c r="GV271" s="5"/>
      <c r="GW271" s="5"/>
      <c r="GX271" s="1630">
        <f>SUM(GR271:GW271)</f>
        <v>0</v>
      </c>
      <c r="GZ271" s="575">
        <f t="shared" si="1296"/>
        <v>0</v>
      </c>
      <c r="HA271" s="575">
        <f t="shared" si="1297"/>
        <v>0</v>
      </c>
      <c r="HB271" s="575">
        <f t="shared" si="1298"/>
        <v>0</v>
      </c>
      <c r="HC271" s="575">
        <f t="shared" si="1299"/>
        <v>0</v>
      </c>
      <c r="HD271" s="575">
        <f t="shared" si="1300"/>
        <v>0</v>
      </c>
      <c r="HE271" s="575">
        <f t="shared" si="1301"/>
        <v>0</v>
      </c>
      <c r="HF271" s="991">
        <f t="shared" si="1302"/>
        <v>0</v>
      </c>
      <c r="HG271" s="573">
        <f t="shared" ca="1" si="1303"/>
        <v>0</v>
      </c>
      <c r="HH271" s="257"/>
    </row>
    <row r="272" spans="1:216" ht="15" hidden="1" customHeight="1" thickBot="1" x14ac:dyDescent="0.3">
      <c r="A272" s="480"/>
      <c r="B272" s="1862"/>
      <c r="C272" s="1616" t="s">
        <v>505</v>
      </c>
      <c r="D272" s="1617">
        <f t="shared" ref="D272:J272" ca="1" si="1440">SUM(D269:D271)</f>
        <v>0</v>
      </c>
      <c r="E272" s="1617">
        <f t="shared" ca="1" si="1440"/>
        <v>0</v>
      </c>
      <c r="F272" s="1617">
        <f t="shared" ca="1" si="1440"/>
        <v>0</v>
      </c>
      <c r="G272" s="1617">
        <f t="shared" ca="1" si="1440"/>
        <v>0</v>
      </c>
      <c r="H272" s="1617">
        <f t="shared" ca="1" si="1440"/>
        <v>0</v>
      </c>
      <c r="I272" s="1617">
        <f t="shared" ca="1" si="1440"/>
        <v>0</v>
      </c>
      <c r="J272" s="1618">
        <f t="shared" ca="1" si="1440"/>
        <v>0</v>
      </c>
      <c r="K272" s="13">
        <f ca="1">SUM(D272:I272)</f>
        <v>0</v>
      </c>
      <c r="L272" s="13"/>
      <c r="M272" s="9"/>
      <c r="N272" s="1629">
        <f t="shared" ref="N272:T272" si="1441">SUM(N269:N271)</f>
        <v>0</v>
      </c>
      <c r="O272" s="1629">
        <f t="shared" si="1441"/>
        <v>0</v>
      </c>
      <c r="P272" s="1629">
        <f t="shared" si="1441"/>
        <v>0</v>
      </c>
      <c r="Q272" s="1629">
        <f t="shared" si="1441"/>
        <v>0</v>
      </c>
      <c r="R272" s="1629">
        <f t="shared" si="1441"/>
        <v>0</v>
      </c>
      <c r="S272" s="1629">
        <f t="shared" si="1441"/>
        <v>0</v>
      </c>
      <c r="T272" s="1628">
        <f t="shared" si="1441"/>
        <v>0</v>
      </c>
      <c r="U272" s="1"/>
      <c r="V272" s="1629">
        <f t="shared" ref="V272:AB272" si="1442">SUM(V269:V271)</f>
        <v>0</v>
      </c>
      <c r="W272" s="1629">
        <f t="shared" si="1442"/>
        <v>0</v>
      </c>
      <c r="X272" s="1629">
        <f t="shared" si="1442"/>
        <v>0</v>
      </c>
      <c r="Y272" s="1629">
        <f t="shared" si="1442"/>
        <v>0</v>
      </c>
      <c r="Z272" s="1629">
        <f t="shared" si="1442"/>
        <v>0</v>
      </c>
      <c r="AA272" s="1629">
        <f t="shared" si="1442"/>
        <v>0</v>
      </c>
      <c r="AB272" s="1628">
        <f t="shared" si="1442"/>
        <v>0</v>
      </c>
      <c r="AD272" s="1629">
        <f t="shared" ref="AD272:AJ272" si="1443">SUM(AD269:AD271)</f>
        <v>0</v>
      </c>
      <c r="AE272" s="1629">
        <f t="shared" si="1443"/>
        <v>0</v>
      </c>
      <c r="AF272" s="1629">
        <f t="shared" si="1443"/>
        <v>0</v>
      </c>
      <c r="AG272" s="1629">
        <f t="shared" si="1443"/>
        <v>0</v>
      </c>
      <c r="AH272" s="1629">
        <f t="shared" si="1443"/>
        <v>0</v>
      </c>
      <c r="AI272" s="1629">
        <f t="shared" si="1443"/>
        <v>0</v>
      </c>
      <c r="AJ272" s="1628">
        <f t="shared" si="1443"/>
        <v>0</v>
      </c>
      <c r="AL272" s="7">
        <f t="shared" ref="AL272:AR272" si="1444">SUM(AL269:AL271)</f>
        <v>0</v>
      </c>
      <c r="AM272" s="7">
        <f t="shared" si="1444"/>
        <v>0</v>
      </c>
      <c r="AN272" s="7">
        <f t="shared" si="1444"/>
        <v>0</v>
      </c>
      <c r="AO272" s="7">
        <f t="shared" si="1444"/>
        <v>0</v>
      </c>
      <c r="AP272" s="7">
        <f t="shared" si="1444"/>
        <v>0</v>
      </c>
      <c r="AQ272" s="7">
        <f t="shared" si="1444"/>
        <v>0</v>
      </c>
      <c r="AR272" s="12">
        <f t="shared" si="1444"/>
        <v>0</v>
      </c>
      <c r="AT272" s="7">
        <f t="shared" ref="AT272:AZ272" si="1445">SUM(AT269:AT271)</f>
        <v>0</v>
      </c>
      <c r="AU272" s="7">
        <f t="shared" si="1445"/>
        <v>0</v>
      </c>
      <c r="AV272" s="7">
        <f t="shared" si="1445"/>
        <v>0</v>
      </c>
      <c r="AW272" s="7">
        <f t="shared" si="1445"/>
        <v>0</v>
      </c>
      <c r="AX272" s="7">
        <f t="shared" si="1445"/>
        <v>0</v>
      </c>
      <c r="AY272" s="7">
        <f t="shared" si="1445"/>
        <v>0</v>
      </c>
      <c r="AZ272" s="12">
        <f t="shared" si="1445"/>
        <v>0</v>
      </c>
      <c r="BB272" s="7">
        <f t="shared" ref="BB272:BH272" si="1446">SUM(BB269:BB271)</f>
        <v>0</v>
      </c>
      <c r="BC272" s="7">
        <f t="shared" si="1446"/>
        <v>0</v>
      </c>
      <c r="BD272" s="7">
        <f t="shared" si="1446"/>
        <v>0</v>
      </c>
      <c r="BE272" s="7">
        <f t="shared" si="1446"/>
        <v>0</v>
      </c>
      <c r="BF272" s="7">
        <f t="shared" si="1446"/>
        <v>0</v>
      </c>
      <c r="BG272" s="7">
        <f t="shared" si="1446"/>
        <v>0</v>
      </c>
      <c r="BH272" s="12">
        <f t="shared" si="1446"/>
        <v>0</v>
      </c>
      <c r="BJ272" s="7">
        <f t="shared" ref="BJ272:BP272" si="1447">SUM(BJ269:BJ271)</f>
        <v>0</v>
      </c>
      <c r="BK272" s="7">
        <f t="shared" si="1447"/>
        <v>0</v>
      </c>
      <c r="BL272" s="7">
        <f t="shared" si="1447"/>
        <v>0</v>
      </c>
      <c r="BM272" s="7">
        <f t="shared" si="1447"/>
        <v>0</v>
      </c>
      <c r="BN272" s="7">
        <f t="shared" si="1447"/>
        <v>0</v>
      </c>
      <c r="BO272" s="7">
        <f t="shared" si="1447"/>
        <v>0</v>
      </c>
      <c r="BP272" s="12">
        <f t="shared" si="1447"/>
        <v>0</v>
      </c>
      <c r="BR272" s="589">
        <f t="shared" si="1276"/>
        <v>0</v>
      </c>
      <c r="BS272" s="589">
        <f t="shared" si="1277"/>
        <v>0</v>
      </c>
      <c r="BT272" s="589">
        <f t="shared" si="1278"/>
        <v>0</v>
      </c>
      <c r="BU272" s="589">
        <f t="shared" si="1279"/>
        <v>0</v>
      </c>
      <c r="BV272" s="589">
        <f t="shared" si="1280"/>
        <v>0</v>
      </c>
      <c r="BW272" s="589">
        <f t="shared" si="1281"/>
        <v>0</v>
      </c>
      <c r="BX272" s="589">
        <f t="shared" si="1282"/>
        <v>0</v>
      </c>
      <c r="BY272" s="590">
        <f t="shared" ca="1" si="1283"/>
        <v>0</v>
      </c>
      <c r="BZ272" s="257"/>
      <c r="CB272" s="1633">
        <f t="shared" ref="CB272:CO272" ca="1" si="1448">SUM(CB269:CB271)</f>
        <v>0</v>
      </c>
      <c r="CC272" s="1634">
        <f t="shared" ca="1" si="1448"/>
        <v>0</v>
      </c>
      <c r="CD272" s="1635">
        <f t="shared" ca="1" si="1448"/>
        <v>0</v>
      </c>
      <c r="CE272" s="1635">
        <f t="shared" ca="1" si="1448"/>
        <v>0</v>
      </c>
      <c r="CF272" s="1635">
        <f t="shared" si="1448"/>
        <v>0</v>
      </c>
      <c r="CG272" s="1636">
        <f t="shared" ca="1" si="1448"/>
        <v>0</v>
      </c>
      <c r="CH272" s="1634">
        <f t="shared" ca="1" si="1448"/>
        <v>0</v>
      </c>
      <c r="CI272" s="1635">
        <f t="shared" ca="1" si="1448"/>
        <v>0</v>
      </c>
      <c r="CJ272" s="1635">
        <f t="shared" ca="1" si="1448"/>
        <v>0</v>
      </c>
      <c r="CK272" s="1635">
        <f t="shared" si="1448"/>
        <v>0</v>
      </c>
      <c r="CL272" s="1637">
        <f t="shared" ca="1" si="1448"/>
        <v>0</v>
      </c>
      <c r="CM272" s="1634">
        <f t="shared" ca="1" si="1448"/>
        <v>0</v>
      </c>
      <c r="CN272" s="1635">
        <f t="shared" ca="1" si="1448"/>
        <v>0</v>
      </c>
      <c r="CO272" s="1636">
        <f t="shared" ca="1" si="1448"/>
        <v>0</v>
      </c>
      <c r="CP272" s="1351">
        <f t="shared" ca="1" si="1306"/>
        <v>0</v>
      </c>
      <c r="CS272" s="1231">
        <f t="shared" ref="CS272:DE272" si="1449">SUM(CS269:CS271)</f>
        <v>0</v>
      </c>
      <c r="CT272" s="7">
        <f t="shared" si="1449"/>
        <v>0</v>
      </c>
      <c r="CU272" s="573">
        <f t="shared" si="1449"/>
        <v>0</v>
      </c>
      <c r="CV272" s="1231">
        <f t="shared" si="1449"/>
        <v>0</v>
      </c>
      <c r="CW272" s="7">
        <f t="shared" si="1449"/>
        <v>0</v>
      </c>
      <c r="CX272" s="573">
        <f t="shared" si="1449"/>
        <v>0</v>
      </c>
      <c r="CY272" s="1231">
        <f t="shared" si="1449"/>
        <v>0</v>
      </c>
      <c r="CZ272" s="7">
        <f t="shared" si="1449"/>
        <v>0</v>
      </c>
      <c r="DA272" s="573">
        <f t="shared" si="1449"/>
        <v>0</v>
      </c>
      <c r="DB272" s="1231">
        <f t="shared" si="1449"/>
        <v>0</v>
      </c>
      <c r="DC272" s="7">
        <f t="shared" si="1449"/>
        <v>0</v>
      </c>
      <c r="DD272" s="573">
        <f t="shared" si="1449"/>
        <v>0</v>
      </c>
      <c r="DE272" s="1181">
        <f t="shared" si="1449"/>
        <v>0</v>
      </c>
      <c r="DG272" s="1231">
        <f t="shared" ref="DG272:DS272" si="1450">SUM(DG269:DG271)</f>
        <v>0</v>
      </c>
      <c r="DH272" s="7">
        <f t="shared" si="1450"/>
        <v>0</v>
      </c>
      <c r="DI272" s="573">
        <f t="shared" si="1450"/>
        <v>0</v>
      </c>
      <c r="DJ272" s="1231">
        <f t="shared" si="1450"/>
        <v>0</v>
      </c>
      <c r="DK272" s="7">
        <f t="shared" si="1450"/>
        <v>0</v>
      </c>
      <c r="DL272" s="573">
        <f t="shared" si="1450"/>
        <v>0</v>
      </c>
      <c r="DM272" s="1231">
        <f t="shared" si="1450"/>
        <v>0</v>
      </c>
      <c r="DN272" s="7">
        <f t="shared" si="1450"/>
        <v>0</v>
      </c>
      <c r="DO272" s="573">
        <f t="shared" si="1450"/>
        <v>0</v>
      </c>
      <c r="DP272" s="1231">
        <f t="shared" si="1450"/>
        <v>0</v>
      </c>
      <c r="DQ272" s="7">
        <f t="shared" si="1450"/>
        <v>0</v>
      </c>
      <c r="DR272" s="573">
        <f t="shared" si="1450"/>
        <v>0</v>
      </c>
      <c r="DS272" s="1181">
        <f t="shared" si="1450"/>
        <v>0</v>
      </c>
      <c r="DU272" s="1231">
        <f t="shared" ref="DU272:EG272" si="1451">SUM(DU269:DU271)</f>
        <v>0</v>
      </c>
      <c r="DV272" s="7">
        <f t="shared" si="1451"/>
        <v>0</v>
      </c>
      <c r="DW272" s="573">
        <f t="shared" si="1451"/>
        <v>0</v>
      </c>
      <c r="DX272" s="1231">
        <f t="shared" si="1451"/>
        <v>0</v>
      </c>
      <c r="DY272" s="7">
        <f t="shared" si="1451"/>
        <v>0</v>
      </c>
      <c r="DZ272" s="573">
        <f t="shared" si="1451"/>
        <v>0</v>
      </c>
      <c r="EA272" s="1231">
        <f t="shared" si="1451"/>
        <v>0</v>
      </c>
      <c r="EB272" s="7">
        <f t="shared" si="1451"/>
        <v>0</v>
      </c>
      <c r="EC272" s="573">
        <f t="shared" si="1451"/>
        <v>0</v>
      </c>
      <c r="ED272" s="1231">
        <f t="shared" si="1451"/>
        <v>0</v>
      </c>
      <c r="EE272" s="7">
        <f t="shared" si="1451"/>
        <v>0</v>
      </c>
      <c r="EF272" s="573">
        <f t="shared" si="1451"/>
        <v>0</v>
      </c>
      <c r="EG272" s="1181">
        <f t="shared" si="1451"/>
        <v>0</v>
      </c>
      <c r="EI272" s="480"/>
      <c r="EJ272" s="1862"/>
      <c r="EK272" s="1616" t="s">
        <v>505</v>
      </c>
      <c r="EL272" s="1617">
        <f t="shared" ref="EL272:EQ272" ca="1" si="1452">SUM(EL269:EL271)</f>
        <v>0</v>
      </c>
      <c r="EM272" s="1617">
        <f t="shared" ca="1" si="1452"/>
        <v>0</v>
      </c>
      <c r="EN272" s="1617">
        <f t="shared" ca="1" si="1452"/>
        <v>0</v>
      </c>
      <c r="EO272" s="1617">
        <f t="shared" ca="1" si="1452"/>
        <v>0</v>
      </c>
      <c r="EP272" s="1617">
        <f t="shared" ca="1" si="1452"/>
        <v>0</v>
      </c>
      <c r="EQ272" s="1617">
        <f t="shared" ca="1" si="1452"/>
        <v>0</v>
      </c>
      <c r="ER272" s="1618">
        <f t="shared" ca="1" si="1307"/>
        <v>0</v>
      </c>
      <c r="ES272" s="13">
        <f ca="1">SUM(ER269:ER271)</f>
        <v>0</v>
      </c>
      <c r="ET272" s="13"/>
      <c r="EU272" s="9"/>
      <c r="EV272" s="1629">
        <f t="shared" ref="EV272:FB272" si="1453">SUM(EV269:EV271)</f>
        <v>0</v>
      </c>
      <c r="EW272" s="1629">
        <f t="shared" si="1453"/>
        <v>0</v>
      </c>
      <c r="EX272" s="1629">
        <f t="shared" si="1453"/>
        <v>0</v>
      </c>
      <c r="EY272" s="1629">
        <f t="shared" si="1453"/>
        <v>0</v>
      </c>
      <c r="EZ272" s="1629">
        <f t="shared" si="1453"/>
        <v>0</v>
      </c>
      <c r="FA272" s="1629">
        <f t="shared" si="1453"/>
        <v>0</v>
      </c>
      <c r="FB272" s="1628">
        <f t="shared" si="1453"/>
        <v>0</v>
      </c>
      <c r="FC272" s="1"/>
      <c r="FD272" s="1629">
        <f t="shared" ref="FD272:FJ272" si="1454">SUM(FD269:FD271)</f>
        <v>0</v>
      </c>
      <c r="FE272" s="1629">
        <f t="shared" si="1454"/>
        <v>0</v>
      </c>
      <c r="FF272" s="1629">
        <f t="shared" si="1454"/>
        <v>0</v>
      </c>
      <c r="FG272" s="1629">
        <f t="shared" si="1454"/>
        <v>0</v>
      </c>
      <c r="FH272" s="1629">
        <f t="shared" si="1454"/>
        <v>0</v>
      </c>
      <c r="FI272" s="1629">
        <f t="shared" si="1454"/>
        <v>0</v>
      </c>
      <c r="FJ272" s="1628">
        <f t="shared" si="1454"/>
        <v>0</v>
      </c>
      <c r="FL272" s="1629">
        <f t="shared" ref="FL272:FR272" si="1455">SUM(FL269:FL271)</f>
        <v>0</v>
      </c>
      <c r="FM272" s="1629">
        <f t="shared" si="1455"/>
        <v>0</v>
      </c>
      <c r="FN272" s="1629">
        <f t="shared" si="1455"/>
        <v>0</v>
      </c>
      <c r="FO272" s="1629">
        <f t="shared" si="1455"/>
        <v>0</v>
      </c>
      <c r="FP272" s="1629">
        <f t="shared" si="1455"/>
        <v>0</v>
      </c>
      <c r="FQ272" s="1629">
        <f t="shared" si="1455"/>
        <v>0</v>
      </c>
      <c r="FR272" s="1628">
        <f t="shared" si="1455"/>
        <v>0</v>
      </c>
      <c r="FT272" s="7">
        <f t="shared" ref="FT272:FZ272" si="1456">SUM(FT269:FT271)</f>
        <v>0</v>
      </c>
      <c r="FU272" s="7">
        <f t="shared" si="1456"/>
        <v>0</v>
      </c>
      <c r="FV272" s="7">
        <f t="shared" si="1456"/>
        <v>0</v>
      </c>
      <c r="FW272" s="7">
        <f t="shared" si="1456"/>
        <v>0</v>
      </c>
      <c r="FX272" s="7">
        <f t="shared" si="1456"/>
        <v>0</v>
      </c>
      <c r="FY272" s="7">
        <f t="shared" si="1456"/>
        <v>0</v>
      </c>
      <c r="FZ272" s="12">
        <f t="shared" si="1456"/>
        <v>0</v>
      </c>
      <c r="GB272" s="7">
        <f t="shared" ref="GB272:GH272" si="1457">SUM(GB269:GB271)</f>
        <v>0</v>
      </c>
      <c r="GC272" s="7">
        <f t="shared" si="1457"/>
        <v>0</v>
      </c>
      <c r="GD272" s="7">
        <f t="shared" si="1457"/>
        <v>0</v>
      </c>
      <c r="GE272" s="7">
        <f t="shared" si="1457"/>
        <v>0</v>
      </c>
      <c r="GF272" s="7">
        <f t="shared" si="1457"/>
        <v>0</v>
      </c>
      <c r="GG272" s="7">
        <f t="shared" si="1457"/>
        <v>0</v>
      </c>
      <c r="GH272" s="12">
        <f t="shared" si="1457"/>
        <v>0</v>
      </c>
      <c r="GJ272" s="7">
        <f t="shared" ref="GJ272:GP272" si="1458">SUM(GJ269:GJ271)</f>
        <v>0</v>
      </c>
      <c r="GK272" s="7">
        <f t="shared" si="1458"/>
        <v>0</v>
      </c>
      <c r="GL272" s="7">
        <f t="shared" si="1458"/>
        <v>0</v>
      </c>
      <c r="GM272" s="7">
        <f t="shared" si="1458"/>
        <v>0</v>
      </c>
      <c r="GN272" s="7">
        <f t="shared" si="1458"/>
        <v>0</v>
      </c>
      <c r="GO272" s="7">
        <f t="shared" si="1458"/>
        <v>0</v>
      </c>
      <c r="GP272" s="12">
        <f t="shared" si="1458"/>
        <v>0</v>
      </c>
      <c r="GR272" s="7">
        <f t="shared" ref="GR272:GX272" si="1459">SUM(GR269:GR271)</f>
        <v>0</v>
      </c>
      <c r="GS272" s="7">
        <f t="shared" si="1459"/>
        <v>0</v>
      </c>
      <c r="GT272" s="7">
        <f t="shared" si="1459"/>
        <v>0</v>
      </c>
      <c r="GU272" s="7">
        <f t="shared" si="1459"/>
        <v>0</v>
      </c>
      <c r="GV272" s="7">
        <f t="shared" si="1459"/>
        <v>0</v>
      </c>
      <c r="GW272" s="7">
        <f t="shared" si="1459"/>
        <v>0</v>
      </c>
      <c r="GX272" s="12">
        <f t="shared" si="1459"/>
        <v>0</v>
      </c>
      <c r="GZ272" s="589">
        <f t="shared" si="1296"/>
        <v>0</v>
      </c>
      <c r="HA272" s="589">
        <f t="shared" si="1297"/>
        <v>0</v>
      </c>
      <c r="HB272" s="589">
        <f t="shared" si="1298"/>
        <v>0</v>
      </c>
      <c r="HC272" s="589">
        <f t="shared" si="1299"/>
        <v>0</v>
      </c>
      <c r="HD272" s="589">
        <f t="shared" si="1300"/>
        <v>0</v>
      </c>
      <c r="HE272" s="589">
        <f t="shared" si="1301"/>
        <v>0</v>
      </c>
      <c r="HF272" s="589">
        <f t="shared" si="1302"/>
        <v>0</v>
      </c>
      <c r="HG272" s="590">
        <f t="shared" ca="1" si="1303"/>
        <v>0</v>
      </c>
      <c r="HH272" s="257"/>
    </row>
    <row r="273" spans="1:216" ht="15" hidden="1" customHeight="1" x14ac:dyDescent="0.25">
      <c r="A273" s="480"/>
      <c r="B273" s="3318" t="str">
        <f>'Calc - GRAD ASST'!A354</f>
        <v>GA #13 / Sponsor Funds</v>
      </c>
      <c r="C273" s="483" t="s">
        <v>57</v>
      </c>
      <c r="D273" s="86">
        <f ca="1">'Calc - GRAD ASST'!$J$368</f>
        <v>0</v>
      </c>
      <c r="E273" s="86">
        <f ca="1">'Calc - GRAD ASST'!$J$370</f>
        <v>0</v>
      </c>
      <c r="F273" s="86">
        <f ca="1">'Calc - GRAD ASST'!$J$372</f>
        <v>0</v>
      </c>
      <c r="G273" s="86">
        <f ca="1">'Calc - GRAD ASST'!$J$374</f>
        <v>0</v>
      </c>
      <c r="H273" s="86">
        <f ca="1">'Calc - GRAD ASST'!$J$376</f>
        <v>0</v>
      </c>
      <c r="I273" s="86">
        <f ca="1">'Calc - GRAD ASST'!$J$378</f>
        <v>0</v>
      </c>
      <c r="J273" s="87">
        <f ca="1">SUM(D273:I273)</f>
        <v>0</v>
      </c>
      <c r="K273" s="9"/>
      <c r="M273" s="9"/>
      <c r="N273" s="5"/>
      <c r="O273" s="5"/>
      <c r="P273" s="5"/>
      <c r="Q273" s="5"/>
      <c r="R273" s="5"/>
      <c r="S273" s="5"/>
      <c r="T273" s="167">
        <f>SUM(N273:S273)</f>
        <v>0</v>
      </c>
      <c r="U273" s="1"/>
      <c r="V273" s="5"/>
      <c r="W273" s="5"/>
      <c r="X273" s="5"/>
      <c r="Y273" s="5"/>
      <c r="Z273" s="5"/>
      <c r="AA273" s="5"/>
      <c r="AB273" s="48">
        <f>SUM(V273:AA273)</f>
        <v>0</v>
      </c>
      <c r="AD273" s="5"/>
      <c r="AE273" s="5"/>
      <c r="AF273" s="5"/>
      <c r="AG273" s="5"/>
      <c r="AH273" s="5"/>
      <c r="AI273" s="5"/>
      <c r="AJ273" s="209">
        <f>SUM(AD273:AI273)</f>
        <v>0</v>
      </c>
      <c r="AL273" s="5"/>
      <c r="AM273" s="5"/>
      <c r="AN273" s="5"/>
      <c r="AO273" s="5"/>
      <c r="AP273" s="5"/>
      <c r="AQ273" s="5"/>
      <c r="AR273" s="181">
        <f>SUM(AL273:AQ273)</f>
        <v>0</v>
      </c>
      <c r="AT273" s="5"/>
      <c r="AU273" s="5"/>
      <c r="AV273" s="5"/>
      <c r="AW273" s="5"/>
      <c r="AX273" s="5"/>
      <c r="AY273" s="5"/>
      <c r="AZ273" s="153">
        <f>SUM(AT273:AY273)</f>
        <v>0</v>
      </c>
      <c r="BB273" s="5"/>
      <c r="BC273" s="5"/>
      <c r="BD273" s="5"/>
      <c r="BE273" s="5"/>
      <c r="BF273" s="5"/>
      <c r="BG273" s="5"/>
      <c r="BH273" s="195">
        <f>SUM(BB273:BG273)</f>
        <v>0</v>
      </c>
      <c r="BJ273" s="5"/>
      <c r="BK273" s="5"/>
      <c r="BL273" s="5"/>
      <c r="BM273" s="5"/>
      <c r="BN273" s="5"/>
      <c r="BO273" s="5"/>
      <c r="BP273" s="1630">
        <f>SUM(BJ273:BO273)</f>
        <v>0</v>
      </c>
      <c r="BR273" s="575">
        <f t="shared" si="1276"/>
        <v>0</v>
      </c>
      <c r="BS273" s="575">
        <f t="shared" si="1277"/>
        <v>0</v>
      </c>
      <c r="BT273" s="575">
        <f t="shared" si="1278"/>
        <v>0</v>
      </c>
      <c r="BU273" s="575">
        <f t="shared" si="1279"/>
        <v>0</v>
      </c>
      <c r="BV273" s="575">
        <f t="shared" si="1280"/>
        <v>0</v>
      </c>
      <c r="BW273" s="575">
        <f t="shared" si="1281"/>
        <v>0</v>
      </c>
      <c r="BX273" s="991">
        <f t="shared" si="1282"/>
        <v>0</v>
      </c>
      <c r="BY273" s="573">
        <f t="shared" ca="1" si="1283"/>
        <v>0</v>
      </c>
      <c r="BZ273" s="257"/>
      <c r="CB273" s="1322">
        <f ca="1">D273</f>
        <v>0</v>
      </c>
      <c r="CC273" s="386">
        <f ca="1">$E273/3</f>
        <v>0</v>
      </c>
      <c r="CD273" s="360">
        <f ca="1">$E273/3</f>
        <v>0</v>
      </c>
      <c r="CE273" s="360">
        <f ca="1">$E273/3</f>
        <v>0</v>
      </c>
      <c r="CF273" s="360"/>
      <c r="CG273" s="1161"/>
      <c r="CH273" s="1241">
        <f ca="1">$F273/3</f>
        <v>0</v>
      </c>
      <c r="CI273" s="1163">
        <f ca="1">$F273/3</f>
        <v>0</v>
      </c>
      <c r="CJ273" s="1163">
        <f ca="1">$F273/3</f>
        <v>0</v>
      </c>
      <c r="CK273" s="1163"/>
      <c r="CL273" s="1164"/>
      <c r="CM273" s="1165">
        <f ca="1">$G273/3</f>
        <v>0</v>
      </c>
      <c r="CN273" s="1242">
        <f ca="1">$G273/3</f>
        <v>0</v>
      </c>
      <c r="CO273" s="1167">
        <f ca="1">$G273/3</f>
        <v>0</v>
      </c>
      <c r="CP273" s="1168">
        <f t="shared" ca="1" si="1306"/>
        <v>0</v>
      </c>
      <c r="CS273" s="575"/>
      <c r="CT273" s="5"/>
      <c r="CU273" s="1180"/>
      <c r="CV273" s="575"/>
      <c r="CW273" s="5"/>
      <c r="CX273" s="1180"/>
      <c r="CY273" s="575"/>
      <c r="CZ273" s="5"/>
      <c r="DA273" s="1180"/>
      <c r="DB273" s="575"/>
      <c r="DC273" s="5"/>
      <c r="DD273" s="1180"/>
      <c r="DE273" s="1181">
        <f>SUM(CS273:DD273)</f>
        <v>0</v>
      </c>
      <c r="DG273" s="575"/>
      <c r="DH273" s="5"/>
      <c r="DI273" s="1180"/>
      <c r="DJ273" s="575"/>
      <c r="DK273" s="5"/>
      <c r="DL273" s="1180"/>
      <c r="DM273" s="575"/>
      <c r="DN273" s="5"/>
      <c r="DO273" s="1180"/>
      <c r="DP273" s="575"/>
      <c r="DQ273" s="5"/>
      <c r="DR273" s="1180"/>
      <c r="DS273" s="1181">
        <f>SUM(DG273:DR273)</f>
        <v>0</v>
      </c>
      <c r="DU273" s="575"/>
      <c r="DV273" s="5"/>
      <c r="DW273" s="1180"/>
      <c r="DX273" s="575"/>
      <c r="DY273" s="5"/>
      <c r="DZ273" s="1180"/>
      <c r="EA273" s="575"/>
      <c r="EB273" s="5"/>
      <c r="EC273" s="1180"/>
      <c r="ED273" s="575"/>
      <c r="EE273" s="5"/>
      <c r="EF273" s="1180"/>
      <c r="EG273" s="1181">
        <f>SUM(DU273:EF273)</f>
        <v>0</v>
      </c>
      <c r="EI273" s="480"/>
      <c r="EJ273" s="3318" t="str">
        <f>B273</f>
        <v>GA #13 / Sponsor Funds</v>
      </c>
      <c r="EK273" s="483" t="s">
        <v>57</v>
      </c>
      <c r="EL273" s="86">
        <f t="shared" ref="EL273:EQ275" ca="1" si="1460">ROUND(D273,0)</f>
        <v>0</v>
      </c>
      <c r="EM273" s="86">
        <f t="shared" ca="1" si="1460"/>
        <v>0</v>
      </c>
      <c r="EN273" s="86">
        <f t="shared" ca="1" si="1460"/>
        <v>0</v>
      </c>
      <c r="EO273" s="86">
        <f t="shared" ca="1" si="1460"/>
        <v>0</v>
      </c>
      <c r="EP273" s="86">
        <f t="shared" ca="1" si="1460"/>
        <v>0</v>
      </c>
      <c r="EQ273" s="86">
        <f t="shared" ca="1" si="1460"/>
        <v>0</v>
      </c>
      <c r="ER273" s="87">
        <f t="shared" ca="1" si="1307"/>
        <v>0</v>
      </c>
      <c r="ES273" s="9"/>
      <c r="EU273" s="9"/>
      <c r="EV273" s="5">
        <f t="shared" ref="EV273:FA275" si="1461">ROUND(N273,0)</f>
        <v>0</v>
      </c>
      <c r="EW273" s="5">
        <f t="shared" si="1461"/>
        <v>0</v>
      </c>
      <c r="EX273" s="5">
        <f t="shared" si="1461"/>
        <v>0</v>
      </c>
      <c r="EY273" s="5">
        <f t="shared" si="1461"/>
        <v>0</v>
      </c>
      <c r="EZ273" s="5">
        <f t="shared" si="1461"/>
        <v>0</v>
      </c>
      <c r="FA273" s="5">
        <f t="shared" si="1461"/>
        <v>0</v>
      </c>
      <c r="FB273" s="167">
        <f>SUM(EV273:FA273)</f>
        <v>0</v>
      </c>
      <c r="FC273" s="1"/>
      <c r="FD273" s="5"/>
      <c r="FE273" s="5"/>
      <c r="FF273" s="5"/>
      <c r="FG273" s="5"/>
      <c r="FH273" s="5"/>
      <c r="FI273" s="5"/>
      <c r="FJ273" s="48">
        <f>SUM(FD273:FI273)</f>
        <v>0</v>
      </c>
      <c r="FL273" s="5"/>
      <c r="FM273" s="5"/>
      <c r="FN273" s="5"/>
      <c r="FO273" s="5"/>
      <c r="FP273" s="5"/>
      <c r="FQ273" s="5"/>
      <c r="FR273" s="209">
        <f>SUM(FL273:FQ273)</f>
        <v>0</v>
      </c>
      <c r="FT273" s="5"/>
      <c r="FU273" s="5"/>
      <c r="FV273" s="5"/>
      <c r="FW273" s="5"/>
      <c r="FX273" s="5"/>
      <c r="FY273" s="5"/>
      <c r="FZ273" s="181">
        <f>SUM(FT273:FY273)</f>
        <v>0</v>
      </c>
      <c r="GB273" s="5"/>
      <c r="GC273" s="5"/>
      <c r="GD273" s="5"/>
      <c r="GE273" s="5"/>
      <c r="GF273" s="5"/>
      <c r="GG273" s="5"/>
      <c r="GH273" s="153">
        <f>SUM(GB273:GG273)</f>
        <v>0</v>
      </c>
      <c r="GJ273" s="5"/>
      <c r="GK273" s="5"/>
      <c r="GL273" s="5"/>
      <c r="GM273" s="5"/>
      <c r="GN273" s="5"/>
      <c r="GO273" s="5"/>
      <c r="GP273" s="195">
        <f>SUM(GJ273:GO273)</f>
        <v>0</v>
      </c>
      <c r="GR273" s="5"/>
      <c r="GS273" s="5"/>
      <c r="GT273" s="5"/>
      <c r="GU273" s="5"/>
      <c r="GV273" s="5"/>
      <c r="GW273" s="5"/>
      <c r="GX273" s="1630">
        <f>SUM(GR273:GW273)</f>
        <v>0</v>
      </c>
      <c r="GZ273" s="575">
        <f t="shared" si="1296"/>
        <v>0</v>
      </c>
      <c r="HA273" s="575">
        <f t="shared" si="1297"/>
        <v>0</v>
      </c>
      <c r="HB273" s="575">
        <f t="shared" si="1298"/>
        <v>0</v>
      </c>
      <c r="HC273" s="575">
        <f t="shared" si="1299"/>
        <v>0</v>
      </c>
      <c r="HD273" s="575">
        <f t="shared" si="1300"/>
        <v>0</v>
      </c>
      <c r="HE273" s="575">
        <f t="shared" si="1301"/>
        <v>0</v>
      </c>
      <c r="HF273" s="991">
        <f t="shared" si="1302"/>
        <v>0</v>
      </c>
      <c r="HG273" s="573">
        <f t="shared" ca="1" si="1303"/>
        <v>0</v>
      </c>
      <c r="HH273" s="257"/>
    </row>
    <row r="274" spans="1:216" ht="15" hidden="1" customHeight="1" x14ac:dyDescent="0.25">
      <c r="A274" s="480"/>
      <c r="B274" s="3319"/>
      <c r="C274" s="78" t="s">
        <v>96</v>
      </c>
      <c r="D274" s="29">
        <f ca="1">'Calc - GRAD ASST'!$E$368</f>
        <v>0</v>
      </c>
      <c r="E274" s="29">
        <f ca="1">'Calc - GRAD ASST'!$E$370</f>
        <v>0</v>
      </c>
      <c r="F274" s="29">
        <f ca="1">'Calc - GRAD ASST'!$E$372</f>
        <v>0</v>
      </c>
      <c r="G274" s="29">
        <f ca="1">'Calc - GRAD ASST'!$E$374</f>
        <v>0</v>
      </c>
      <c r="H274" s="29">
        <f ca="1">'Calc - GRAD ASST'!$E$376</f>
        <v>0</v>
      </c>
      <c r="I274" s="29">
        <f ca="1">'Calc - GRAD ASST'!$E$378</f>
        <v>0</v>
      </c>
      <c r="J274" s="88">
        <f ca="1">SUM(D274:I274)</f>
        <v>0</v>
      </c>
      <c r="L274" s="9"/>
      <c r="M274" s="9"/>
      <c r="N274" s="29"/>
      <c r="O274" s="29"/>
      <c r="P274" s="29"/>
      <c r="Q274" s="29"/>
      <c r="R274" s="29"/>
      <c r="S274" s="29"/>
      <c r="T274" s="167">
        <f>SUM(N274:S274)</f>
        <v>0</v>
      </c>
      <c r="U274" s="1"/>
      <c r="V274" s="29"/>
      <c r="W274" s="29"/>
      <c r="X274" s="29"/>
      <c r="Y274" s="29"/>
      <c r="Z274" s="29"/>
      <c r="AA274" s="29"/>
      <c r="AB274" s="48">
        <f>SUM(V274:AA274)</f>
        <v>0</v>
      </c>
      <c r="AD274" s="29"/>
      <c r="AE274" s="29"/>
      <c r="AF274" s="29"/>
      <c r="AG274" s="29"/>
      <c r="AH274" s="29"/>
      <c r="AI274" s="29"/>
      <c r="AJ274" s="209">
        <f>SUM(AD274:AI274)</f>
        <v>0</v>
      </c>
      <c r="AL274" s="29"/>
      <c r="AM274" s="29"/>
      <c r="AN274" s="29"/>
      <c r="AO274" s="29"/>
      <c r="AP274" s="29"/>
      <c r="AQ274" s="29"/>
      <c r="AR274" s="181">
        <f>SUM(AL274:AQ274)</f>
        <v>0</v>
      </c>
      <c r="AT274" s="29"/>
      <c r="AU274" s="29"/>
      <c r="AV274" s="29"/>
      <c r="AW274" s="29"/>
      <c r="AX274" s="29"/>
      <c r="AY274" s="29"/>
      <c r="AZ274" s="153">
        <f>SUM(AT274:AY274)</f>
        <v>0</v>
      </c>
      <c r="BB274" s="29"/>
      <c r="BC274" s="29"/>
      <c r="BD274" s="29"/>
      <c r="BE274" s="29"/>
      <c r="BF274" s="29"/>
      <c r="BG274" s="29"/>
      <c r="BH274" s="195">
        <f>SUM(BB274:BG274)</f>
        <v>0</v>
      </c>
      <c r="BJ274" s="29"/>
      <c r="BK274" s="29"/>
      <c r="BL274" s="29"/>
      <c r="BM274" s="29"/>
      <c r="BN274" s="29"/>
      <c r="BO274" s="29"/>
      <c r="BP274" s="1630">
        <f>SUM(BJ274:BO274)</f>
        <v>0</v>
      </c>
      <c r="BR274" s="575">
        <f t="shared" si="1276"/>
        <v>0</v>
      </c>
      <c r="BS274" s="575">
        <f t="shared" si="1277"/>
        <v>0</v>
      </c>
      <c r="BT274" s="575">
        <f t="shared" si="1278"/>
        <v>0</v>
      </c>
      <c r="BU274" s="575">
        <f t="shared" si="1279"/>
        <v>0</v>
      </c>
      <c r="BV274" s="575">
        <f t="shared" si="1280"/>
        <v>0</v>
      </c>
      <c r="BW274" s="575">
        <f t="shared" si="1281"/>
        <v>0</v>
      </c>
      <c r="BX274" s="991">
        <f t="shared" si="1282"/>
        <v>0</v>
      </c>
      <c r="BY274" s="573">
        <f t="shared" ca="1" si="1283"/>
        <v>0</v>
      </c>
      <c r="BZ274" s="257"/>
      <c r="CB274" s="1350">
        <f ca="1">D274</f>
        <v>0</v>
      </c>
      <c r="CC274" s="1268"/>
      <c r="CD274" s="1269"/>
      <c r="CE274" s="1269"/>
      <c r="CF274" s="1269"/>
      <c r="CG274" s="1270">
        <f ca="1">E274</f>
        <v>0</v>
      </c>
      <c r="CH274" s="1271"/>
      <c r="CI274" s="1272"/>
      <c r="CJ274" s="1272"/>
      <c r="CK274" s="1272"/>
      <c r="CL274" s="1273">
        <f ca="1">F274</f>
        <v>0</v>
      </c>
      <c r="CM274" s="1274"/>
      <c r="CN274" s="1275"/>
      <c r="CO274" s="1276"/>
      <c r="CP274" s="1224">
        <f t="shared" ca="1" si="1306"/>
        <v>0</v>
      </c>
      <c r="CS274" s="575"/>
      <c r="CT274" s="5"/>
      <c r="CU274" s="1180"/>
      <c r="CV274" s="575"/>
      <c r="CW274" s="5"/>
      <c r="CX274" s="1180"/>
      <c r="CY274" s="575"/>
      <c r="CZ274" s="5"/>
      <c r="DA274" s="1180"/>
      <c r="DB274" s="575"/>
      <c r="DC274" s="5"/>
      <c r="DD274" s="1180"/>
      <c r="DE274" s="1181">
        <f>SUM(CS274:DD274)</f>
        <v>0</v>
      </c>
      <c r="DG274" s="575"/>
      <c r="DH274" s="5"/>
      <c r="DI274" s="1180"/>
      <c r="DJ274" s="575"/>
      <c r="DK274" s="5"/>
      <c r="DL274" s="1180"/>
      <c r="DM274" s="575"/>
      <c r="DN274" s="5"/>
      <c r="DO274" s="1180"/>
      <c r="DP274" s="575"/>
      <c r="DQ274" s="5"/>
      <c r="DR274" s="1180"/>
      <c r="DS274" s="1181">
        <f>SUM(DG274:DR274)</f>
        <v>0</v>
      </c>
      <c r="DU274" s="575"/>
      <c r="DV274" s="5"/>
      <c r="DW274" s="1180"/>
      <c r="DX274" s="575"/>
      <c r="DY274" s="5"/>
      <c r="DZ274" s="1180"/>
      <c r="EA274" s="575"/>
      <c r="EB274" s="5"/>
      <c r="EC274" s="1180"/>
      <c r="ED274" s="575"/>
      <c r="EE274" s="5"/>
      <c r="EF274" s="1180"/>
      <c r="EG274" s="1181">
        <f>SUM(DU274:EF274)</f>
        <v>0</v>
      </c>
      <c r="EI274" s="480"/>
      <c r="EJ274" s="3319"/>
      <c r="EK274" s="78" t="s">
        <v>96</v>
      </c>
      <c r="EL274" s="29">
        <f t="shared" ca="1" si="1460"/>
        <v>0</v>
      </c>
      <c r="EM274" s="29">
        <f t="shared" ca="1" si="1460"/>
        <v>0</v>
      </c>
      <c r="EN274" s="29">
        <f t="shared" ca="1" si="1460"/>
        <v>0</v>
      </c>
      <c r="EO274" s="29">
        <f t="shared" ca="1" si="1460"/>
        <v>0</v>
      </c>
      <c r="EP274" s="29">
        <f t="shared" ca="1" si="1460"/>
        <v>0</v>
      </c>
      <c r="EQ274" s="29">
        <f t="shared" ca="1" si="1460"/>
        <v>0</v>
      </c>
      <c r="ER274" s="88">
        <f t="shared" ca="1" si="1307"/>
        <v>0</v>
      </c>
      <c r="ET274" s="9"/>
      <c r="EU274" s="9"/>
      <c r="EV274" s="29">
        <f t="shared" si="1461"/>
        <v>0</v>
      </c>
      <c r="EW274" s="29">
        <f t="shared" si="1461"/>
        <v>0</v>
      </c>
      <c r="EX274" s="29">
        <f t="shared" si="1461"/>
        <v>0</v>
      </c>
      <c r="EY274" s="29">
        <f t="shared" si="1461"/>
        <v>0</v>
      </c>
      <c r="EZ274" s="29">
        <f t="shared" si="1461"/>
        <v>0</v>
      </c>
      <c r="FA274" s="29">
        <f t="shared" si="1461"/>
        <v>0</v>
      </c>
      <c r="FB274" s="167">
        <f>SUM(EV274:FA274)</f>
        <v>0</v>
      </c>
      <c r="FC274" s="1"/>
      <c r="FD274" s="29"/>
      <c r="FE274" s="29"/>
      <c r="FF274" s="29"/>
      <c r="FG274" s="29"/>
      <c r="FH274" s="29"/>
      <c r="FI274" s="29"/>
      <c r="FJ274" s="48">
        <f>SUM(FD274:FI274)</f>
        <v>0</v>
      </c>
      <c r="FL274" s="29"/>
      <c r="FM274" s="29"/>
      <c r="FN274" s="29"/>
      <c r="FO274" s="29"/>
      <c r="FP274" s="29"/>
      <c r="FQ274" s="29"/>
      <c r="FR274" s="209">
        <f>SUM(FL274:FQ274)</f>
        <v>0</v>
      </c>
      <c r="FT274" s="29"/>
      <c r="FU274" s="29"/>
      <c r="FV274" s="29"/>
      <c r="FW274" s="29"/>
      <c r="FX274" s="29"/>
      <c r="FY274" s="29"/>
      <c r="FZ274" s="181">
        <f>SUM(FT274:FY274)</f>
        <v>0</v>
      </c>
      <c r="GB274" s="29"/>
      <c r="GC274" s="29"/>
      <c r="GD274" s="29"/>
      <c r="GE274" s="29"/>
      <c r="GF274" s="29"/>
      <c r="GG274" s="29"/>
      <c r="GH274" s="153">
        <f>SUM(GB274:GG274)</f>
        <v>0</v>
      </c>
      <c r="GJ274" s="29"/>
      <c r="GK274" s="29"/>
      <c r="GL274" s="29"/>
      <c r="GM274" s="29"/>
      <c r="GN274" s="29"/>
      <c r="GO274" s="29"/>
      <c r="GP274" s="195">
        <f>SUM(GJ274:GO274)</f>
        <v>0</v>
      </c>
      <c r="GR274" s="29"/>
      <c r="GS274" s="29"/>
      <c r="GT274" s="29"/>
      <c r="GU274" s="29"/>
      <c r="GV274" s="29"/>
      <c r="GW274" s="29"/>
      <c r="GX274" s="1630">
        <f>SUM(GR274:GW274)</f>
        <v>0</v>
      </c>
      <c r="GZ274" s="575">
        <f t="shared" si="1296"/>
        <v>0</v>
      </c>
      <c r="HA274" s="575">
        <f t="shared" si="1297"/>
        <v>0</v>
      </c>
      <c r="HB274" s="575">
        <f t="shared" si="1298"/>
        <v>0</v>
      </c>
      <c r="HC274" s="575">
        <f t="shared" si="1299"/>
        <v>0</v>
      </c>
      <c r="HD274" s="575">
        <f t="shared" si="1300"/>
        <v>0</v>
      </c>
      <c r="HE274" s="575">
        <f t="shared" si="1301"/>
        <v>0</v>
      </c>
      <c r="HF274" s="991">
        <f t="shared" si="1302"/>
        <v>0</v>
      </c>
      <c r="HG274" s="573">
        <f t="shared" ca="1" si="1303"/>
        <v>0</v>
      </c>
      <c r="HH274" s="257"/>
    </row>
    <row r="275" spans="1:216" ht="15" hidden="1" customHeight="1" thickBot="1" x14ac:dyDescent="0.3">
      <c r="A275" s="480"/>
      <c r="B275" s="1863">
        <f>'Calc - GRAD ASST'!C355</f>
        <v>0</v>
      </c>
      <c r="C275" s="420" t="s">
        <v>130</v>
      </c>
      <c r="D275" s="42">
        <f ca="1">'Calc - GRAD ASST'!$M$368</f>
        <v>0</v>
      </c>
      <c r="E275" s="42">
        <f ca="1">'Calc - GRAD ASST'!$M$370</f>
        <v>0</v>
      </c>
      <c r="F275" s="42">
        <f ca="1">'Calc - GRAD ASST'!$M$372</f>
        <v>0</v>
      </c>
      <c r="G275" s="42">
        <f ca="1">'Calc - GRAD ASST'!$M$374</f>
        <v>0</v>
      </c>
      <c r="H275" s="42">
        <f ca="1">'Calc - GRAD ASST'!$M$376</f>
        <v>0</v>
      </c>
      <c r="I275" s="42">
        <f ca="1">'Calc - GRAD ASST'!$M$378</f>
        <v>0</v>
      </c>
      <c r="J275" s="90">
        <f ca="1">SUM(D275:I275)</f>
        <v>0</v>
      </c>
      <c r="K275" s="9"/>
      <c r="L275" s="9"/>
      <c r="M275" s="9"/>
      <c r="N275" s="5"/>
      <c r="O275" s="5"/>
      <c r="P275" s="5"/>
      <c r="Q275" s="5"/>
      <c r="R275" s="5"/>
      <c r="S275" s="5"/>
      <c r="T275" s="167">
        <f>SUM(N275:S275)</f>
        <v>0</v>
      </c>
      <c r="U275" s="1"/>
      <c r="V275" s="5"/>
      <c r="W275" s="5"/>
      <c r="X275" s="5"/>
      <c r="Y275" s="5"/>
      <c r="Z275" s="5"/>
      <c r="AA275" s="5"/>
      <c r="AB275" s="48">
        <f>SUM(V275:AA275)</f>
        <v>0</v>
      </c>
      <c r="AD275" s="5"/>
      <c r="AE275" s="5"/>
      <c r="AF275" s="5"/>
      <c r="AG275" s="5"/>
      <c r="AH275" s="5"/>
      <c r="AI275" s="5"/>
      <c r="AJ275" s="209">
        <f>SUM(AD275:AI275)</f>
        <v>0</v>
      </c>
      <c r="AL275" s="5"/>
      <c r="AM275" s="5"/>
      <c r="AN275" s="5"/>
      <c r="AO275" s="5"/>
      <c r="AP275" s="5"/>
      <c r="AQ275" s="5"/>
      <c r="AR275" s="181">
        <f>SUM(AL275:AQ275)</f>
        <v>0</v>
      </c>
      <c r="AT275" s="5"/>
      <c r="AU275" s="5"/>
      <c r="AV275" s="5"/>
      <c r="AW275" s="5"/>
      <c r="AX275" s="5"/>
      <c r="AY275" s="5"/>
      <c r="AZ275" s="153">
        <f>SUM(AT275:AY275)</f>
        <v>0</v>
      </c>
      <c r="BB275" s="5"/>
      <c r="BC275" s="5"/>
      <c r="BD275" s="5"/>
      <c r="BE275" s="5"/>
      <c r="BF275" s="5"/>
      <c r="BG275" s="5"/>
      <c r="BH275" s="195">
        <f>SUM(BB275:BG275)</f>
        <v>0</v>
      </c>
      <c r="BJ275" s="5"/>
      <c r="BK275" s="5"/>
      <c r="BL275" s="5"/>
      <c r="BM275" s="5"/>
      <c r="BN275" s="5"/>
      <c r="BO275" s="5"/>
      <c r="BP275" s="1630">
        <f>SUM(BJ275:BO275)</f>
        <v>0</v>
      </c>
      <c r="BR275" s="575">
        <f t="shared" si="1276"/>
        <v>0</v>
      </c>
      <c r="BS275" s="575">
        <f t="shared" si="1277"/>
        <v>0</v>
      </c>
      <c r="BT275" s="575">
        <f t="shared" si="1278"/>
        <v>0</v>
      </c>
      <c r="BU275" s="575">
        <f t="shared" si="1279"/>
        <v>0</v>
      </c>
      <c r="BV275" s="575">
        <f t="shared" si="1280"/>
        <v>0</v>
      </c>
      <c r="BW275" s="575">
        <f t="shared" si="1281"/>
        <v>0</v>
      </c>
      <c r="BX275" s="991">
        <f t="shared" si="1282"/>
        <v>0</v>
      </c>
      <c r="BY275" s="573">
        <f t="shared" ca="1" si="1283"/>
        <v>0</v>
      </c>
      <c r="BZ275" s="257"/>
      <c r="CB275" s="1330">
        <f ca="1">D275</f>
        <v>0</v>
      </c>
      <c r="CC275" s="1201">
        <f ca="1">($E275-$CG275)/3</f>
        <v>0</v>
      </c>
      <c r="CD275" s="1202">
        <f ca="1">($E275-$CG275)/3</f>
        <v>0</v>
      </c>
      <c r="CE275" s="1202">
        <f ca="1">($E275-$CG275)/3</f>
        <v>0</v>
      </c>
      <c r="CF275" s="1202"/>
      <c r="CG275" s="1203">
        <f ca="1">OFFSET('Calc - GRAD ASST'!$K$20,12*29+2,0)</f>
        <v>0</v>
      </c>
      <c r="CH275" s="1251">
        <f ca="1">($F275-$CL275)/3</f>
        <v>0</v>
      </c>
      <c r="CI275" s="1205">
        <f ca="1">($F275-$CL275)/3</f>
        <v>0</v>
      </c>
      <c r="CJ275" s="1205">
        <f ca="1">($F275-$CL275)/3</f>
        <v>0</v>
      </c>
      <c r="CK275" s="1205"/>
      <c r="CL275" s="1206">
        <f ca="1">OFFSET('Calc - GRAD ASST'!$K$20,12*29+4,0)</f>
        <v>0</v>
      </c>
      <c r="CM275" s="1207">
        <f ca="1">$G275/3</f>
        <v>0</v>
      </c>
      <c r="CN275" s="1252">
        <f ca="1">$G275/3</f>
        <v>0</v>
      </c>
      <c r="CO275" s="1209">
        <f ca="1">$G275/3</f>
        <v>0</v>
      </c>
      <c r="CP275" s="1316">
        <f t="shared" ca="1" si="1306"/>
        <v>0</v>
      </c>
      <c r="CS275" s="575"/>
      <c r="CT275" s="5"/>
      <c r="CU275" s="1180"/>
      <c r="CV275" s="575"/>
      <c r="CW275" s="5"/>
      <c r="CX275" s="1180"/>
      <c r="CY275" s="575"/>
      <c r="CZ275" s="5"/>
      <c r="DA275" s="1180"/>
      <c r="DB275" s="575"/>
      <c r="DC275" s="5"/>
      <c r="DD275" s="1180"/>
      <c r="DE275" s="1181">
        <f>SUM(CS275:DD275)</f>
        <v>0</v>
      </c>
      <c r="DG275" s="575"/>
      <c r="DH275" s="5"/>
      <c r="DI275" s="1180"/>
      <c r="DJ275" s="575"/>
      <c r="DK275" s="5"/>
      <c r="DL275" s="1180"/>
      <c r="DM275" s="575"/>
      <c r="DN275" s="5"/>
      <c r="DO275" s="1180"/>
      <c r="DP275" s="575"/>
      <c r="DQ275" s="5"/>
      <c r="DR275" s="1180"/>
      <c r="DS275" s="1181">
        <f>SUM(DG275:DR275)</f>
        <v>0</v>
      </c>
      <c r="DU275" s="575"/>
      <c r="DV275" s="5"/>
      <c r="DW275" s="1180"/>
      <c r="DX275" s="575"/>
      <c r="DY275" s="5"/>
      <c r="DZ275" s="1180"/>
      <c r="EA275" s="575"/>
      <c r="EB275" s="5"/>
      <c r="EC275" s="1180"/>
      <c r="ED275" s="575"/>
      <c r="EE275" s="5"/>
      <c r="EF275" s="1180"/>
      <c r="EG275" s="1181">
        <f>SUM(DU275:EF275)</f>
        <v>0</v>
      </c>
      <c r="EI275" s="480"/>
      <c r="EJ275" s="1863">
        <f>B275</f>
        <v>0</v>
      </c>
      <c r="EK275" s="420" t="s">
        <v>130</v>
      </c>
      <c r="EL275" s="42">
        <f t="shared" ca="1" si="1460"/>
        <v>0</v>
      </c>
      <c r="EM275" s="42">
        <f t="shared" ca="1" si="1460"/>
        <v>0</v>
      </c>
      <c r="EN275" s="42">
        <f t="shared" ca="1" si="1460"/>
        <v>0</v>
      </c>
      <c r="EO275" s="42">
        <f t="shared" ca="1" si="1460"/>
        <v>0</v>
      </c>
      <c r="EP275" s="42">
        <f t="shared" ca="1" si="1460"/>
        <v>0</v>
      </c>
      <c r="EQ275" s="42">
        <f t="shared" ca="1" si="1460"/>
        <v>0</v>
      </c>
      <c r="ER275" s="90">
        <f t="shared" ca="1" si="1307"/>
        <v>0</v>
      </c>
      <c r="ES275" s="9"/>
      <c r="ET275" s="9"/>
      <c r="EU275" s="9"/>
      <c r="EV275" s="5">
        <f t="shared" si="1461"/>
        <v>0</v>
      </c>
      <c r="EW275" s="5">
        <f t="shared" si="1461"/>
        <v>0</v>
      </c>
      <c r="EX275" s="5">
        <f t="shared" si="1461"/>
        <v>0</v>
      </c>
      <c r="EY275" s="5">
        <f t="shared" si="1461"/>
        <v>0</v>
      </c>
      <c r="EZ275" s="5">
        <f t="shared" si="1461"/>
        <v>0</v>
      </c>
      <c r="FA275" s="5">
        <f t="shared" si="1461"/>
        <v>0</v>
      </c>
      <c r="FB275" s="167">
        <f>SUM(EV275:FA275)</f>
        <v>0</v>
      </c>
      <c r="FC275" s="1"/>
      <c r="FD275" s="5"/>
      <c r="FE275" s="5"/>
      <c r="FF275" s="5"/>
      <c r="FG275" s="5"/>
      <c r="FH275" s="5"/>
      <c r="FI275" s="5"/>
      <c r="FJ275" s="48">
        <f>SUM(FD275:FI275)</f>
        <v>0</v>
      </c>
      <c r="FL275" s="5"/>
      <c r="FM275" s="5"/>
      <c r="FN275" s="5"/>
      <c r="FO275" s="5"/>
      <c r="FP275" s="5"/>
      <c r="FQ275" s="5"/>
      <c r="FR275" s="209">
        <f>SUM(FL275:FQ275)</f>
        <v>0</v>
      </c>
      <c r="FT275" s="5"/>
      <c r="FU275" s="5"/>
      <c r="FV275" s="5"/>
      <c r="FW275" s="5"/>
      <c r="FX275" s="5"/>
      <c r="FY275" s="5"/>
      <c r="FZ275" s="181">
        <f>SUM(FT275:FY275)</f>
        <v>0</v>
      </c>
      <c r="GB275" s="5"/>
      <c r="GC275" s="5"/>
      <c r="GD275" s="5"/>
      <c r="GE275" s="5"/>
      <c r="GF275" s="5"/>
      <c r="GG275" s="5"/>
      <c r="GH275" s="153">
        <f>SUM(GB275:GG275)</f>
        <v>0</v>
      </c>
      <c r="GJ275" s="5"/>
      <c r="GK275" s="5"/>
      <c r="GL275" s="5"/>
      <c r="GM275" s="5"/>
      <c r="GN275" s="5"/>
      <c r="GO275" s="5"/>
      <c r="GP275" s="195">
        <f>SUM(GJ275:GO275)</f>
        <v>0</v>
      </c>
      <c r="GR275" s="5"/>
      <c r="GS275" s="5"/>
      <c r="GT275" s="5"/>
      <c r="GU275" s="5"/>
      <c r="GV275" s="5"/>
      <c r="GW275" s="5"/>
      <c r="GX275" s="1630">
        <f>SUM(GR275:GW275)</f>
        <v>0</v>
      </c>
      <c r="GZ275" s="575">
        <f t="shared" si="1296"/>
        <v>0</v>
      </c>
      <c r="HA275" s="575">
        <f t="shared" si="1297"/>
        <v>0</v>
      </c>
      <c r="HB275" s="575">
        <f t="shared" si="1298"/>
        <v>0</v>
      </c>
      <c r="HC275" s="575">
        <f t="shared" si="1299"/>
        <v>0</v>
      </c>
      <c r="HD275" s="575">
        <f t="shared" si="1300"/>
        <v>0</v>
      </c>
      <c r="HE275" s="575">
        <f t="shared" si="1301"/>
        <v>0</v>
      </c>
      <c r="HF275" s="991">
        <f t="shared" si="1302"/>
        <v>0</v>
      </c>
      <c r="HG275" s="573">
        <f t="shared" ca="1" si="1303"/>
        <v>0</v>
      </c>
      <c r="HH275" s="257"/>
    </row>
    <row r="276" spans="1:216" ht="15" hidden="1" customHeight="1" thickBot="1" x14ac:dyDescent="0.3">
      <c r="A276" s="480"/>
      <c r="B276" s="1864"/>
      <c r="C276" s="1622" t="s">
        <v>506</v>
      </c>
      <c r="D276" s="1623">
        <f t="shared" ref="D276:J276" ca="1" si="1462">SUM(D273:D275)</f>
        <v>0</v>
      </c>
      <c r="E276" s="1623">
        <f t="shared" ca="1" si="1462"/>
        <v>0</v>
      </c>
      <c r="F276" s="1623">
        <f t="shared" ca="1" si="1462"/>
        <v>0</v>
      </c>
      <c r="G276" s="1623">
        <f t="shared" ca="1" si="1462"/>
        <v>0</v>
      </c>
      <c r="H276" s="1623">
        <f t="shared" ca="1" si="1462"/>
        <v>0</v>
      </c>
      <c r="I276" s="1623">
        <f t="shared" ca="1" si="1462"/>
        <v>0</v>
      </c>
      <c r="J276" s="1624">
        <f t="shared" ca="1" si="1462"/>
        <v>0</v>
      </c>
      <c r="K276" s="13">
        <f ca="1">SUM(D276:I276)</f>
        <v>0</v>
      </c>
      <c r="L276" s="13"/>
      <c r="M276" s="9"/>
      <c r="N276" s="1629">
        <f t="shared" ref="N276:T276" si="1463">SUM(N273:N275)</f>
        <v>0</v>
      </c>
      <c r="O276" s="1629">
        <f t="shared" si="1463"/>
        <v>0</v>
      </c>
      <c r="P276" s="1629">
        <f t="shared" si="1463"/>
        <v>0</v>
      </c>
      <c r="Q276" s="1629">
        <f t="shared" si="1463"/>
        <v>0</v>
      </c>
      <c r="R276" s="1629">
        <f t="shared" si="1463"/>
        <v>0</v>
      </c>
      <c r="S276" s="1629">
        <f t="shared" si="1463"/>
        <v>0</v>
      </c>
      <c r="T276" s="1628">
        <f t="shared" si="1463"/>
        <v>0</v>
      </c>
      <c r="U276" s="1"/>
      <c r="V276" s="1629">
        <f t="shared" ref="V276:AB276" si="1464">SUM(V273:V275)</f>
        <v>0</v>
      </c>
      <c r="W276" s="1629">
        <f t="shared" si="1464"/>
        <v>0</v>
      </c>
      <c r="X276" s="1629">
        <f t="shared" si="1464"/>
        <v>0</v>
      </c>
      <c r="Y276" s="1629">
        <f t="shared" si="1464"/>
        <v>0</v>
      </c>
      <c r="Z276" s="1629">
        <f t="shared" si="1464"/>
        <v>0</v>
      </c>
      <c r="AA276" s="1629">
        <f t="shared" si="1464"/>
        <v>0</v>
      </c>
      <c r="AB276" s="1628">
        <f t="shared" si="1464"/>
        <v>0</v>
      </c>
      <c r="AD276" s="1629">
        <f t="shared" ref="AD276:AJ276" si="1465">SUM(AD273:AD275)</f>
        <v>0</v>
      </c>
      <c r="AE276" s="1629">
        <f t="shared" si="1465"/>
        <v>0</v>
      </c>
      <c r="AF276" s="1629">
        <f t="shared" si="1465"/>
        <v>0</v>
      </c>
      <c r="AG276" s="1629">
        <f t="shared" si="1465"/>
        <v>0</v>
      </c>
      <c r="AH276" s="1629">
        <f t="shared" si="1465"/>
        <v>0</v>
      </c>
      <c r="AI276" s="1629">
        <f t="shared" si="1465"/>
        <v>0</v>
      </c>
      <c r="AJ276" s="1628">
        <f t="shared" si="1465"/>
        <v>0</v>
      </c>
      <c r="AL276" s="7">
        <f t="shared" ref="AL276:AR276" si="1466">SUM(AL273:AL275)</f>
        <v>0</v>
      </c>
      <c r="AM276" s="7">
        <f t="shared" si="1466"/>
        <v>0</v>
      </c>
      <c r="AN276" s="7">
        <f t="shared" si="1466"/>
        <v>0</v>
      </c>
      <c r="AO276" s="7">
        <f t="shared" si="1466"/>
        <v>0</v>
      </c>
      <c r="AP276" s="7">
        <f t="shared" si="1466"/>
        <v>0</v>
      </c>
      <c r="AQ276" s="7">
        <f t="shared" si="1466"/>
        <v>0</v>
      </c>
      <c r="AR276" s="12">
        <f t="shared" si="1466"/>
        <v>0</v>
      </c>
      <c r="AT276" s="7">
        <f t="shared" ref="AT276:AZ276" si="1467">SUM(AT273:AT275)</f>
        <v>0</v>
      </c>
      <c r="AU276" s="7">
        <f t="shared" si="1467"/>
        <v>0</v>
      </c>
      <c r="AV276" s="7">
        <f t="shared" si="1467"/>
        <v>0</v>
      </c>
      <c r="AW276" s="7">
        <f t="shared" si="1467"/>
        <v>0</v>
      </c>
      <c r="AX276" s="7">
        <f t="shared" si="1467"/>
        <v>0</v>
      </c>
      <c r="AY276" s="7">
        <f t="shared" si="1467"/>
        <v>0</v>
      </c>
      <c r="AZ276" s="12">
        <f t="shared" si="1467"/>
        <v>0</v>
      </c>
      <c r="BB276" s="7">
        <f t="shared" ref="BB276:BH276" si="1468">SUM(BB273:BB275)</f>
        <v>0</v>
      </c>
      <c r="BC276" s="7">
        <f t="shared" si="1468"/>
        <v>0</v>
      </c>
      <c r="BD276" s="7">
        <f t="shared" si="1468"/>
        <v>0</v>
      </c>
      <c r="BE276" s="7">
        <f t="shared" si="1468"/>
        <v>0</v>
      </c>
      <c r="BF276" s="7">
        <f t="shared" si="1468"/>
        <v>0</v>
      </c>
      <c r="BG276" s="7">
        <f t="shared" si="1468"/>
        <v>0</v>
      </c>
      <c r="BH276" s="12">
        <f t="shared" si="1468"/>
        <v>0</v>
      </c>
      <c r="BJ276" s="7">
        <f t="shared" ref="BJ276:BP276" si="1469">SUM(BJ273:BJ275)</f>
        <v>0</v>
      </c>
      <c r="BK276" s="7">
        <f t="shared" si="1469"/>
        <v>0</v>
      </c>
      <c r="BL276" s="7">
        <f t="shared" si="1469"/>
        <v>0</v>
      </c>
      <c r="BM276" s="7">
        <f t="shared" si="1469"/>
        <v>0</v>
      </c>
      <c r="BN276" s="7">
        <f t="shared" si="1469"/>
        <v>0</v>
      </c>
      <c r="BO276" s="7">
        <f t="shared" si="1469"/>
        <v>0</v>
      </c>
      <c r="BP276" s="12">
        <f t="shared" si="1469"/>
        <v>0</v>
      </c>
      <c r="BR276" s="589">
        <f t="shared" ref="BR276:BR288" si="1470">SUM(N276,V276,AD276,AL276,AT276,BB276)</f>
        <v>0</v>
      </c>
      <c r="BS276" s="589">
        <f t="shared" ref="BS276:BS288" si="1471">SUM(O276,W276,AE276,AM276,AU276,BC276)</f>
        <v>0</v>
      </c>
      <c r="BT276" s="589">
        <f t="shared" ref="BT276:BT288" si="1472">SUM(P276,X276,AF276,AN276,AV276,BD276)</f>
        <v>0</v>
      </c>
      <c r="BU276" s="589">
        <f t="shared" ref="BU276:BU288" si="1473">SUM(Q276,Y276,AG276,AO276,AW276,BE276)</f>
        <v>0</v>
      </c>
      <c r="BV276" s="589">
        <f t="shared" ref="BV276:BV288" si="1474">SUM(R276,Z276,AH276,AP276,AX276,BF276)</f>
        <v>0</v>
      </c>
      <c r="BW276" s="589">
        <f t="shared" ref="BW276:BW288" si="1475">SUM(S276,AA276,AI276,AQ276,AY276,BG276)</f>
        <v>0</v>
      </c>
      <c r="BX276" s="589">
        <f t="shared" ref="BX276:BX288" si="1476">SUM(BR276:BW276)</f>
        <v>0</v>
      </c>
      <c r="BY276" s="590">
        <f t="shared" ref="BY276:BY288" ca="1" si="1477">SUM(J276+BX276)</f>
        <v>0</v>
      </c>
      <c r="BZ276" s="257"/>
      <c r="CB276" s="1633">
        <f t="shared" ref="CB276:CO276" ca="1" si="1478">SUM(CB273:CB275)</f>
        <v>0</v>
      </c>
      <c r="CC276" s="1634">
        <f t="shared" ca="1" si="1478"/>
        <v>0</v>
      </c>
      <c r="CD276" s="1635">
        <f t="shared" ca="1" si="1478"/>
        <v>0</v>
      </c>
      <c r="CE276" s="1635">
        <f t="shared" ca="1" si="1478"/>
        <v>0</v>
      </c>
      <c r="CF276" s="1635">
        <f t="shared" si="1478"/>
        <v>0</v>
      </c>
      <c r="CG276" s="1636">
        <f t="shared" ca="1" si="1478"/>
        <v>0</v>
      </c>
      <c r="CH276" s="1634">
        <f t="shared" ca="1" si="1478"/>
        <v>0</v>
      </c>
      <c r="CI276" s="1635">
        <f t="shared" ca="1" si="1478"/>
        <v>0</v>
      </c>
      <c r="CJ276" s="1635">
        <f t="shared" ca="1" si="1478"/>
        <v>0</v>
      </c>
      <c r="CK276" s="1635">
        <f t="shared" si="1478"/>
        <v>0</v>
      </c>
      <c r="CL276" s="1637">
        <f t="shared" ca="1" si="1478"/>
        <v>0</v>
      </c>
      <c r="CM276" s="1634">
        <f t="shared" ca="1" si="1478"/>
        <v>0</v>
      </c>
      <c r="CN276" s="1635">
        <f t="shared" ca="1" si="1478"/>
        <v>0</v>
      </c>
      <c r="CO276" s="1636">
        <f t="shared" ca="1" si="1478"/>
        <v>0</v>
      </c>
      <c r="CP276" s="1351">
        <f t="shared" ca="1" si="1306"/>
        <v>0</v>
      </c>
      <c r="CS276" s="1231">
        <f t="shared" ref="CS276:DE276" si="1479">SUM(CS273:CS275)</f>
        <v>0</v>
      </c>
      <c r="CT276" s="7">
        <f t="shared" si="1479"/>
        <v>0</v>
      </c>
      <c r="CU276" s="573">
        <f t="shared" si="1479"/>
        <v>0</v>
      </c>
      <c r="CV276" s="1231">
        <f t="shared" si="1479"/>
        <v>0</v>
      </c>
      <c r="CW276" s="7">
        <f t="shared" si="1479"/>
        <v>0</v>
      </c>
      <c r="CX276" s="573">
        <f t="shared" si="1479"/>
        <v>0</v>
      </c>
      <c r="CY276" s="1231">
        <f t="shared" si="1479"/>
        <v>0</v>
      </c>
      <c r="CZ276" s="7">
        <f t="shared" si="1479"/>
        <v>0</v>
      </c>
      <c r="DA276" s="573">
        <f t="shared" si="1479"/>
        <v>0</v>
      </c>
      <c r="DB276" s="1231">
        <f t="shared" si="1479"/>
        <v>0</v>
      </c>
      <c r="DC276" s="7">
        <f t="shared" si="1479"/>
        <v>0</v>
      </c>
      <c r="DD276" s="573">
        <f t="shared" si="1479"/>
        <v>0</v>
      </c>
      <c r="DE276" s="1181">
        <f t="shared" si="1479"/>
        <v>0</v>
      </c>
      <c r="DG276" s="1231">
        <f t="shared" ref="DG276:DS276" si="1480">SUM(DG273:DG275)</f>
        <v>0</v>
      </c>
      <c r="DH276" s="7">
        <f t="shared" si="1480"/>
        <v>0</v>
      </c>
      <c r="DI276" s="573">
        <f t="shared" si="1480"/>
        <v>0</v>
      </c>
      <c r="DJ276" s="1231">
        <f t="shared" si="1480"/>
        <v>0</v>
      </c>
      <c r="DK276" s="7">
        <f t="shared" si="1480"/>
        <v>0</v>
      </c>
      <c r="DL276" s="573">
        <f t="shared" si="1480"/>
        <v>0</v>
      </c>
      <c r="DM276" s="1231">
        <f t="shared" si="1480"/>
        <v>0</v>
      </c>
      <c r="DN276" s="7">
        <f t="shared" si="1480"/>
        <v>0</v>
      </c>
      <c r="DO276" s="573">
        <f t="shared" si="1480"/>
        <v>0</v>
      </c>
      <c r="DP276" s="1231">
        <f t="shared" si="1480"/>
        <v>0</v>
      </c>
      <c r="DQ276" s="7">
        <f t="shared" si="1480"/>
        <v>0</v>
      </c>
      <c r="DR276" s="573">
        <f t="shared" si="1480"/>
        <v>0</v>
      </c>
      <c r="DS276" s="1181">
        <f t="shared" si="1480"/>
        <v>0</v>
      </c>
      <c r="DU276" s="1231">
        <f t="shared" ref="DU276:EG276" si="1481">SUM(DU273:DU275)</f>
        <v>0</v>
      </c>
      <c r="DV276" s="7">
        <f t="shared" si="1481"/>
        <v>0</v>
      </c>
      <c r="DW276" s="573">
        <f t="shared" si="1481"/>
        <v>0</v>
      </c>
      <c r="DX276" s="1231">
        <f t="shared" si="1481"/>
        <v>0</v>
      </c>
      <c r="DY276" s="7">
        <f t="shared" si="1481"/>
        <v>0</v>
      </c>
      <c r="DZ276" s="573">
        <f t="shared" si="1481"/>
        <v>0</v>
      </c>
      <c r="EA276" s="1231">
        <f t="shared" si="1481"/>
        <v>0</v>
      </c>
      <c r="EB276" s="7">
        <f t="shared" si="1481"/>
        <v>0</v>
      </c>
      <c r="EC276" s="573">
        <f t="shared" si="1481"/>
        <v>0</v>
      </c>
      <c r="ED276" s="1231">
        <f t="shared" si="1481"/>
        <v>0</v>
      </c>
      <c r="EE276" s="7">
        <f t="shared" si="1481"/>
        <v>0</v>
      </c>
      <c r="EF276" s="573">
        <f t="shared" si="1481"/>
        <v>0</v>
      </c>
      <c r="EG276" s="1181">
        <f t="shared" si="1481"/>
        <v>0</v>
      </c>
      <c r="EI276" s="480"/>
      <c r="EJ276" s="1864"/>
      <c r="EK276" s="1622" t="s">
        <v>506</v>
      </c>
      <c r="EL276" s="1623">
        <f t="shared" ref="EL276:EQ276" ca="1" si="1482">SUM(EL273:EL275)</f>
        <v>0</v>
      </c>
      <c r="EM276" s="1623">
        <f t="shared" ca="1" si="1482"/>
        <v>0</v>
      </c>
      <c r="EN276" s="1623">
        <f t="shared" ca="1" si="1482"/>
        <v>0</v>
      </c>
      <c r="EO276" s="1623">
        <f t="shared" ca="1" si="1482"/>
        <v>0</v>
      </c>
      <c r="EP276" s="1623">
        <f t="shared" ca="1" si="1482"/>
        <v>0</v>
      </c>
      <c r="EQ276" s="1623">
        <f t="shared" ca="1" si="1482"/>
        <v>0</v>
      </c>
      <c r="ER276" s="1624">
        <f t="shared" ca="1" si="1307"/>
        <v>0</v>
      </c>
      <c r="ES276" s="13">
        <f ca="1">SUM(ER273:ER275)</f>
        <v>0</v>
      </c>
      <c r="ET276" s="13"/>
      <c r="EU276" s="9"/>
      <c r="EV276" s="1629">
        <f t="shared" ref="EV276:FB276" si="1483">SUM(EV273:EV275)</f>
        <v>0</v>
      </c>
      <c r="EW276" s="1629">
        <f t="shared" si="1483"/>
        <v>0</v>
      </c>
      <c r="EX276" s="1629">
        <f t="shared" si="1483"/>
        <v>0</v>
      </c>
      <c r="EY276" s="1629">
        <f t="shared" si="1483"/>
        <v>0</v>
      </c>
      <c r="EZ276" s="1629">
        <f t="shared" si="1483"/>
        <v>0</v>
      </c>
      <c r="FA276" s="1629">
        <f t="shared" si="1483"/>
        <v>0</v>
      </c>
      <c r="FB276" s="1628">
        <f t="shared" si="1483"/>
        <v>0</v>
      </c>
      <c r="FC276" s="1"/>
      <c r="FD276" s="1629">
        <f t="shared" ref="FD276:FJ276" si="1484">SUM(FD273:FD275)</f>
        <v>0</v>
      </c>
      <c r="FE276" s="1629">
        <f t="shared" si="1484"/>
        <v>0</v>
      </c>
      <c r="FF276" s="1629">
        <f t="shared" si="1484"/>
        <v>0</v>
      </c>
      <c r="FG276" s="1629">
        <f t="shared" si="1484"/>
        <v>0</v>
      </c>
      <c r="FH276" s="1629">
        <f t="shared" si="1484"/>
        <v>0</v>
      </c>
      <c r="FI276" s="1629">
        <f t="shared" si="1484"/>
        <v>0</v>
      </c>
      <c r="FJ276" s="1628">
        <f t="shared" si="1484"/>
        <v>0</v>
      </c>
      <c r="FL276" s="1629">
        <f t="shared" ref="FL276:FR276" si="1485">SUM(FL273:FL275)</f>
        <v>0</v>
      </c>
      <c r="FM276" s="1629">
        <f t="shared" si="1485"/>
        <v>0</v>
      </c>
      <c r="FN276" s="1629">
        <f t="shared" si="1485"/>
        <v>0</v>
      </c>
      <c r="FO276" s="1629">
        <f t="shared" si="1485"/>
        <v>0</v>
      </c>
      <c r="FP276" s="1629">
        <f t="shared" si="1485"/>
        <v>0</v>
      </c>
      <c r="FQ276" s="1629">
        <f t="shared" si="1485"/>
        <v>0</v>
      </c>
      <c r="FR276" s="1628">
        <f t="shared" si="1485"/>
        <v>0</v>
      </c>
      <c r="FT276" s="7">
        <f t="shared" ref="FT276:FZ276" si="1486">SUM(FT273:FT275)</f>
        <v>0</v>
      </c>
      <c r="FU276" s="7">
        <f t="shared" si="1486"/>
        <v>0</v>
      </c>
      <c r="FV276" s="7">
        <f t="shared" si="1486"/>
        <v>0</v>
      </c>
      <c r="FW276" s="7">
        <f t="shared" si="1486"/>
        <v>0</v>
      </c>
      <c r="FX276" s="7">
        <f t="shared" si="1486"/>
        <v>0</v>
      </c>
      <c r="FY276" s="7">
        <f t="shared" si="1486"/>
        <v>0</v>
      </c>
      <c r="FZ276" s="12">
        <f t="shared" si="1486"/>
        <v>0</v>
      </c>
      <c r="GB276" s="7">
        <f t="shared" ref="GB276:GH276" si="1487">SUM(GB273:GB275)</f>
        <v>0</v>
      </c>
      <c r="GC276" s="7">
        <f t="shared" si="1487"/>
        <v>0</v>
      </c>
      <c r="GD276" s="7">
        <f t="shared" si="1487"/>
        <v>0</v>
      </c>
      <c r="GE276" s="7">
        <f t="shared" si="1487"/>
        <v>0</v>
      </c>
      <c r="GF276" s="7">
        <f t="shared" si="1487"/>
        <v>0</v>
      </c>
      <c r="GG276" s="7">
        <f t="shared" si="1487"/>
        <v>0</v>
      </c>
      <c r="GH276" s="12">
        <f t="shared" si="1487"/>
        <v>0</v>
      </c>
      <c r="GJ276" s="7">
        <f t="shared" ref="GJ276:GP276" si="1488">SUM(GJ273:GJ275)</f>
        <v>0</v>
      </c>
      <c r="GK276" s="7">
        <f t="shared" si="1488"/>
        <v>0</v>
      </c>
      <c r="GL276" s="7">
        <f t="shared" si="1488"/>
        <v>0</v>
      </c>
      <c r="GM276" s="7">
        <f t="shared" si="1488"/>
        <v>0</v>
      </c>
      <c r="GN276" s="7">
        <f t="shared" si="1488"/>
        <v>0</v>
      </c>
      <c r="GO276" s="7">
        <f t="shared" si="1488"/>
        <v>0</v>
      </c>
      <c r="GP276" s="12">
        <f t="shared" si="1488"/>
        <v>0</v>
      </c>
      <c r="GR276" s="7">
        <f t="shared" ref="GR276:GX276" si="1489">SUM(GR273:GR275)</f>
        <v>0</v>
      </c>
      <c r="GS276" s="7">
        <f t="shared" si="1489"/>
        <v>0</v>
      </c>
      <c r="GT276" s="7">
        <f t="shared" si="1489"/>
        <v>0</v>
      </c>
      <c r="GU276" s="7">
        <f t="shared" si="1489"/>
        <v>0</v>
      </c>
      <c r="GV276" s="7">
        <f t="shared" si="1489"/>
        <v>0</v>
      </c>
      <c r="GW276" s="7">
        <f t="shared" si="1489"/>
        <v>0</v>
      </c>
      <c r="GX276" s="12">
        <f t="shared" si="1489"/>
        <v>0</v>
      </c>
      <c r="GZ276" s="589">
        <f t="shared" ref="GZ276:GZ288" si="1490">SUM(EV276,FD276,FL276,FT276,GB276,GJ276)</f>
        <v>0</v>
      </c>
      <c r="HA276" s="589">
        <f t="shared" ref="HA276:HA288" si="1491">SUM(EW276,FE276,FM276,FU276,GC276,GK276)</f>
        <v>0</v>
      </c>
      <c r="HB276" s="589">
        <f t="shared" ref="HB276:HB288" si="1492">SUM(EX276,FF276,FN276,FV276,GD276,GL276)</f>
        <v>0</v>
      </c>
      <c r="HC276" s="589">
        <f t="shared" ref="HC276:HC288" si="1493">SUM(EY276,FG276,FO276,FW276,GE276,GM276)</f>
        <v>0</v>
      </c>
      <c r="HD276" s="589">
        <f t="shared" ref="HD276:HD288" si="1494">SUM(EZ276,FH276,FP276,FX276,GF276,GN276)</f>
        <v>0</v>
      </c>
      <c r="HE276" s="589">
        <f t="shared" ref="HE276:HE288" si="1495">SUM(FA276,FI276,FQ276,FY276,GG276,GO276)</f>
        <v>0</v>
      </c>
      <c r="HF276" s="589">
        <f t="shared" ref="HF276:HF288" si="1496">SUM(GZ276:HE276)</f>
        <v>0</v>
      </c>
      <c r="HG276" s="590">
        <f t="shared" ref="HG276:HG288" ca="1" si="1497">SUM(ER276+HF276)</f>
        <v>0</v>
      </c>
      <c r="HH276" s="257"/>
    </row>
    <row r="277" spans="1:216" ht="15" hidden="1" customHeight="1" x14ac:dyDescent="0.25">
      <c r="A277" s="480"/>
      <c r="B277" s="3288" t="str">
        <f>'Calc - GRAD ASST'!A383</f>
        <v>GA #14 / Sponsor Funds</v>
      </c>
      <c r="C277" s="483" t="s">
        <v>57</v>
      </c>
      <c r="D277" s="86">
        <f ca="1">'Calc - GRAD ASST'!$J$397</f>
        <v>0</v>
      </c>
      <c r="E277" s="86">
        <f ca="1">'Calc - GRAD ASST'!$J$399</f>
        <v>0</v>
      </c>
      <c r="F277" s="86">
        <f ca="1">'Calc - GRAD ASST'!$J$401</f>
        <v>0</v>
      </c>
      <c r="G277" s="86">
        <f ca="1">'Calc - GRAD ASST'!$J$403</f>
        <v>0</v>
      </c>
      <c r="H277" s="86">
        <f ca="1">'Calc - GRAD ASST'!$J$405</f>
        <v>0</v>
      </c>
      <c r="I277" s="86">
        <f ca="1">'Calc - GRAD ASST'!$J$407</f>
        <v>0</v>
      </c>
      <c r="J277" s="87">
        <f ca="1">SUM(D277:I277)</f>
        <v>0</v>
      </c>
      <c r="K277" s="9"/>
      <c r="M277" s="9"/>
      <c r="N277" s="5"/>
      <c r="O277" s="5"/>
      <c r="P277" s="5"/>
      <c r="Q277" s="5"/>
      <c r="R277" s="5"/>
      <c r="S277" s="5"/>
      <c r="T277" s="167">
        <f>SUM(N277:S277)</f>
        <v>0</v>
      </c>
      <c r="U277" s="1"/>
      <c r="V277" s="5"/>
      <c r="W277" s="5"/>
      <c r="X277" s="5"/>
      <c r="Y277" s="5"/>
      <c r="Z277" s="5"/>
      <c r="AA277" s="5"/>
      <c r="AB277" s="48">
        <f>SUM(V277:AA277)</f>
        <v>0</v>
      </c>
      <c r="AD277" s="5"/>
      <c r="AE277" s="5"/>
      <c r="AF277" s="5"/>
      <c r="AG277" s="5"/>
      <c r="AH277" s="5"/>
      <c r="AI277" s="5"/>
      <c r="AJ277" s="209">
        <f>SUM(AD277:AI277)</f>
        <v>0</v>
      </c>
      <c r="AL277" s="5"/>
      <c r="AM277" s="5"/>
      <c r="AN277" s="5"/>
      <c r="AO277" s="5"/>
      <c r="AP277" s="5"/>
      <c r="AQ277" s="5"/>
      <c r="AR277" s="181">
        <f>SUM(AL277:AQ277)</f>
        <v>0</v>
      </c>
      <c r="AT277" s="5"/>
      <c r="AU277" s="5"/>
      <c r="AV277" s="5"/>
      <c r="AW277" s="5"/>
      <c r="AX277" s="5"/>
      <c r="AY277" s="5"/>
      <c r="AZ277" s="153">
        <f>SUM(AT277:AY277)</f>
        <v>0</v>
      </c>
      <c r="BB277" s="5"/>
      <c r="BC277" s="5"/>
      <c r="BD277" s="5"/>
      <c r="BE277" s="5"/>
      <c r="BF277" s="5"/>
      <c r="BG277" s="5"/>
      <c r="BH277" s="195">
        <f>SUM(BB277:BG277)</f>
        <v>0</v>
      </c>
      <c r="BJ277" s="5"/>
      <c r="BK277" s="5"/>
      <c r="BL277" s="5"/>
      <c r="BM277" s="5"/>
      <c r="BN277" s="5"/>
      <c r="BO277" s="5"/>
      <c r="BP277" s="1630">
        <f>SUM(BJ277:BO277)</f>
        <v>0</v>
      </c>
      <c r="BR277" s="575">
        <f t="shared" si="1470"/>
        <v>0</v>
      </c>
      <c r="BS277" s="575">
        <f t="shared" si="1471"/>
        <v>0</v>
      </c>
      <c r="BT277" s="575">
        <f t="shared" si="1472"/>
        <v>0</v>
      </c>
      <c r="BU277" s="575">
        <f t="shared" si="1473"/>
        <v>0</v>
      </c>
      <c r="BV277" s="575">
        <f t="shared" si="1474"/>
        <v>0</v>
      </c>
      <c r="BW277" s="575">
        <f t="shared" si="1475"/>
        <v>0</v>
      </c>
      <c r="BX277" s="991">
        <f t="shared" si="1476"/>
        <v>0</v>
      </c>
      <c r="BY277" s="573">
        <f t="shared" ca="1" si="1477"/>
        <v>0</v>
      </c>
      <c r="BZ277" s="257"/>
      <c r="CB277" s="1322">
        <f ca="1">D277</f>
        <v>0</v>
      </c>
      <c r="CC277" s="386">
        <f ca="1">$E277/3</f>
        <v>0</v>
      </c>
      <c r="CD277" s="360">
        <f ca="1">$E277/3</f>
        <v>0</v>
      </c>
      <c r="CE277" s="360">
        <f ca="1">$E277/3</f>
        <v>0</v>
      </c>
      <c r="CF277" s="360"/>
      <c r="CG277" s="1161"/>
      <c r="CH277" s="1241">
        <f ca="1">$F277/3</f>
        <v>0</v>
      </c>
      <c r="CI277" s="1163">
        <f ca="1">$F277/3</f>
        <v>0</v>
      </c>
      <c r="CJ277" s="1163">
        <f ca="1">$F277/3</f>
        <v>0</v>
      </c>
      <c r="CK277" s="1163"/>
      <c r="CL277" s="1164"/>
      <c r="CM277" s="1165">
        <f ca="1">$G277/3</f>
        <v>0</v>
      </c>
      <c r="CN277" s="1242">
        <f ca="1">$G277/3</f>
        <v>0</v>
      </c>
      <c r="CO277" s="1167">
        <f ca="1">$G277/3</f>
        <v>0</v>
      </c>
      <c r="CP277" s="1168">
        <f t="shared" ca="1" si="1306"/>
        <v>0</v>
      </c>
      <c r="CS277" s="575"/>
      <c r="CT277" s="5"/>
      <c r="CU277" s="1180"/>
      <c r="CV277" s="575"/>
      <c r="CW277" s="5"/>
      <c r="CX277" s="1180"/>
      <c r="CY277" s="575"/>
      <c r="CZ277" s="5"/>
      <c r="DA277" s="1180"/>
      <c r="DB277" s="575"/>
      <c r="DC277" s="5"/>
      <c r="DD277" s="1180"/>
      <c r="DE277" s="1181">
        <f>SUM(CS277:DD277)</f>
        <v>0</v>
      </c>
      <c r="DG277" s="575"/>
      <c r="DH277" s="5"/>
      <c r="DI277" s="1180"/>
      <c r="DJ277" s="575"/>
      <c r="DK277" s="5"/>
      <c r="DL277" s="1180"/>
      <c r="DM277" s="575"/>
      <c r="DN277" s="5"/>
      <c r="DO277" s="1180"/>
      <c r="DP277" s="575"/>
      <c r="DQ277" s="5"/>
      <c r="DR277" s="1180"/>
      <c r="DS277" s="1181">
        <f>SUM(DG277:DR277)</f>
        <v>0</v>
      </c>
      <c r="DU277" s="575"/>
      <c r="DV277" s="5"/>
      <c r="DW277" s="1180"/>
      <c r="DX277" s="575"/>
      <c r="DY277" s="5"/>
      <c r="DZ277" s="1180"/>
      <c r="EA277" s="575"/>
      <c r="EB277" s="5"/>
      <c r="EC277" s="1180"/>
      <c r="ED277" s="575"/>
      <c r="EE277" s="5"/>
      <c r="EF277" s="1180"/>
      <c r="EG277" s="1181">
        <f>SUM(DU277:EF277)</f>
        <v>0</v>
      </c>
      <c r="EI277" s="480"/>
      <c r="EJ277" s="3288" t="str">
        <f>B277</f>
        <v>GA #14 / Sponsor Funds</v>
      </c>
      <c r="EK277" s="483" t="s">
        <v>57</v>
      </c>
      <c r="EL277" s="86">
        <f t="shared" ref="EL277:EQ279" ca="1" si="1498">ROUND(D277,0)</f>
        <v>0</v>
      </c>
      <c r="EM277" s="86">
        <f t="shared" ca="1" si="1498"/>
        <v>0</v>
      </c>
      <c r="EN277" s="86">
        <f t="shared" ca="1" si="1498"/>
        <v>0</v>
      </c>
      <c r="EO277" s="86">
        <f t="shared" ca="1" si="1498"/>
        <v>0</v>
      </c>
      <c r="EP277" s="86">
        <f t="shared" ca="1" si="1498"/>
        <v>0</v>
      </c>
      <c r="EQ277" s="86">
        <f t="shared" ca="1" si="1498"/>
        <v>0</v>
      </c>
      <c r="ER277" s="87">
        <f t="shared" ca="1" si="1307"/>
        <v>0</v>
      </c>
      <c r="ES277" s="9"/>
      <c r="EU277" s="9"/>
      <c r="EV277" s="5">
        <f t="shared" ref="EV277:FA279" si="1499">ROUND(N277,0)</f>
        <v>0</v>
      </c>
      <c r="EW277" s="5">
        <f t="shared" si="1499"/>
        <v>0</v>
      </c>
      <c r="EX277" s="5">
        <f t="shared" si="1499"/>
        <v>0</v>
      </c>
      <c r="EY277" s="5">
        <f t="shared" si="1499"/>
        <v>0</v>
      </c>
      <c r="EZ277" s="5">
        <f t="shared" si="1499"/>
        <v>0</v>
      </c>
      <c r="FA277" s="5">
        <f t="shared" si="1499"/>
        <v>0</v>
      </c>
      <c r="FB277" s="167">
        <f>SUM(EV277:FA277)</f>
        <v>0</v>
      </c>
      <c r="FC277" s="1"/>
      <c r="FD277" s="5"/>
      <c r="FE277" s="5"/>
      <c r="FF277" s="5"/>
      <c r="FG277" s="5"/>
      <c r="FH277" s="5"/>
      <c r="FI277" s="5"/>
      <c r="FJ277" s="48">
        <f>SUM(FD277:FI277)</f>
        <v>0</v>
      </c>
      <c r="FL277" s="5"/>
      <c r="FM277" s="5"/>
      <c r="FN277" s="5"/>
      <c r="FO277" s="5"/>
      <c r="FP277" s="5"/>
      <c r="FQ277" s="5"/>
      <c r="FR277" s="209">
        <f>SUM(FL277:FQ277)</f>
        <v>0</v>
      </c>
      <c r="FT277" s="5"/>
      <c r="FU277" s="5"/>
      <c r="FV277" s="5"/>
      <c r="FW277" s="5"/>
      <c r="FX277" s="5"/>
      <c r="FY277" s="5"/>
      <c r="FZ277" s="181">
        <f>SUM(FT277:FY277)</f>
        <v>0</v>
      </c>
      <c r="GB277" s="5"/>
      <c r="GC277" s="5"/>
      <c r="GD277" s="5"/>
      <c r="GE277" s="5"/>
      <c r="GF277" s="5"/>
      <c r="GG277" s="5"/>
      <c r="GH277" s="153">
        <f>SUM(GB277:GG277)</f>
        <v>0</v>
      </c>
      <c r="GJ277" s="5"/>
      <c r="GK277" s="5"/>
      <c r="GL277" s="5"/>
      <c r="GM277" s="5"/>
      <c r="GN277" s="5"/>
      <c r="GO277" s="5"/>
      <c r="GP277" s="195">
        <f>SUM(GJ277:GO277)</f>
        <v>0</v>
      </c>
      <c r="GR277" s="5"/>
      <c r="GS277" s="5"/>
      <c r="GT277" s="5"/>
      <c r="GU277" s="5"/>
      <c r="GV277" s="5"/>
      <c r="GW277" s="5"/>
      <c r="GX277" s="1630">
        <f>SUM(GR277:GW277)</f>
        <v>0</v>
      </c>
      <c r="GZ277" s="575">
        <f t="shared" si="1490"/>
        <v>0</v>
      </c>
      <c r="HA277" s="575">
        <f t="shared" si="1491"/>
        <v>0</v>
      </c>
      <c r="HB277" s="575">
        <f t="shared" si="1492"/>
        <v>0</v>
      </c>
      <c r="HC277" s="575">
        <f t="shared" si="1493"/>
        <v>0</v>
      </c>
      <c r="HD277" s="575">
        <f t="shared" si="1494"/>
        <v>0</v>
      </c>
      <c r="HE277" s="575">
        <f t="shared" si="1495"/>
        <v>0</v>
      </c>
      <c r="HF277" s="991">
        <f t="shared" si="1496"/>
        <v>0</v>
      </c>
      <c r="HG277" s="573">
        <f t="shared" ca="1" si="1497"/>
        <v>0</v>
      </c>
      <c r="HH277" s="257"/>
    </row>
    <row r="278" spans="1:216" ht="15" hidden="1" customHeight="1" x14ac:dyDescent="0.25">
      <c r="A278" s="480"/>
      <c r="B278" s="3289"/>
      <c r="C278" s="78" t="s">
        <v>96</v>
      </c>
      <c r="D278" s="29">
        <f ca="1">'Calc - GRAD ASST'!$E$397</f>
        <v>0</v>
      </c>
      <c r="E278" s="29">
        <f ca="1">'Calc - GRAD ASST'!$E$399</f>
        <v>0</v>
      </c>
      <c r="F278" s="29">
        <f ca="1">'Calc - GRAD ASST'!$E$401</f>
        <v>0</v>
      </c>
      <c r="G278" s="29">
        <f ca="1">'Calc - GRAD ASST'!$E$403</f>
        <v>0</v>
      </c>
      <c r="H278" s="29">
        <f ca="1">'Calc - GRAD ASST'!$E$405</f>
        <v>0</v>
      </c>
      <c r="I278" s="29">
        <f ca="1">'Calc - GRAD ASST'!$E$407</f>
        <v>0</v>
      </c>
      <c r="J278" s="88">
        <f ca="1">SUM(D278:I278)</f>
        <v>0</v>
      </c>
      <c r="L278" s="9"/>
      <c r="M278" s="9"/>
      <c r="N278" s="29"/>
      <c r="O278" s="29"/>
      <c r="P278" s="29"/>
      <c r="Q278" s="29"/>
      <c r="R278" s="29"/>
      <c r="S278" s="29"/>
      <c r="T278" s="167">
        <f>SUM(N278:S278)</f>
        <v>0</v>
      </c>
      <c r="U278" s="1"/>
      <c r="V278" s="29"/>
      <c r="W278" s="29"/>
      <c r="X278" s="29"/>
      <c r="Y278" s="29"/>
      <c r="Z278" s="29"/>
      <c r="AA278" s="29"/>
      <c r="AB278" s="48">
        <f>SUM(V278:AA278)</f>
        <v>0</v>
      </c>
      <c r="AD278" s="29"/>
      <c r="AE278" s="29"/>
      <c r="AF278" s="29"/>
      <c r="AG278" s="29"/>
      <c r="AH278" s="29"/>
      <c r="AI278" s="29"/>
      <c r="AJ278" s="209">
        <f>SUM(AD278:AI278)</f>
        <v>0</v>
      </c>
      <c r="AL278" s="29"/>
      <c r="AM278" s="29"/>
      <c r="AN278" s="29"/>
      <c r="AO278" s="29"/>
      <c r="AP278" s="29"/>
      <c r="AQ278" s="29"/>
      <c r="AR278" s="181">
        <f>SUM(AL278:AQ278)</f>
        <v>0</v>
      </c>
      <c r="AT278" s="29"/>
      <c r="AU278" s="29"/>
      <c r="AV278" s="29"/>
      <c r="AW278" s="29"/>
      <c r="AX278" s="29"/>
      <c r="AY278" s="29"/>
      <c r="AZ278" s="153">
        <f>SUM(AT278:AY278)</f>
        <v>0</v>
      </c>
      <c r="BB278" s="29"/>
      <c r="BC278" s="29"/>
      <c r="BD278" s="29"/>
      <c r="BE278" s="29"/>
      <c r="BF278" s="29"/>
      <c r="BG278" s="29"/>
      <c r="BH278" s="195">
        <f>SUM(BB278:BG278)</f>
        <v>0</v>
      </c>
      <c r="BJ278" s="29"/>
      <c r="BK278" s="29"/>
      <c r="BL278" s="29"/>
      <c r="BM278" s="29"/>
      <c r="BN278" s="29"/>
      <c r="BO278" s="29"/>
      <c r="BP278" s="1630">
        <f>SUM(BJ278:BO278)</f>
        <v>0</v>
      </c>
      <c r="BR278" s="575">
        <f t="shared" si="1470"/>
        <v>0</v>
      </c>
      <c r="BS278" s="575">
        <f t="shared" si="1471"/>
        <v>0</v>
      </c>
      <c r="BT278" s="575">
        <f t="shared" si="1472"/>
        <v>0</v>
      </c>
      <c r="BU278" s="575">
        <f t="shared" si="1473"/>
        <v>0</v>
      </c>
      <c r="BV278" s="575">
        <f t="shared" si="1474"/>
        <v>0</v>
      </c>
      <c r="BW278" s="575">
        <f t="shared" si="1475"/>
        <v>0</v>
      </c>
      <c r="BX278" s="991">
        <f t="shared" si="1476"/>
        <v>0</v>
      </c>
      <c r="BY278" s="573">
        <f t="shared" ca="1" si="1477"/>
        <v>0</v>
      </c>
      <c r="BZ278" s="257"/>
      <c r="CB278" s="1350">
        <f ca="1">D278</f>
        <v>0</v>
      </c>
      <c r="CC278" s="1268"/>
      <c r="CD278" s="1269"/>
      <c r="CE278" s="1269"/>
      <c r="CF278" s="1269"/>
      <c r="CG278" s="1270">
        <f ca="1">E278</f>
        <v>0</v>
      </c>
      <c r="CH278" s="1271"/>
      <c r="CI278" s="1272"/>
      <c r="CJ278" s="1272"/>
      <c r="CK278" s="1272"/>
      <c r="CL278" s="1273">
        <f ca="1">F278</f>
        <v>0</v>
      </c>
      <c r="CM278" s="1274"/>
      <c r="CN278" s="1275"/>
      <c r="CO278" s="1276"/>
      <c r="CP278" s="1224">
        <f t="shared" ca="1" si="1306"/>
        <v>0</v>
      </c>
      <c r="CS278" s="575"/>
      <c r="CT278" s="5"/>
      <c r="CU278" s="1180"/>
      <c r="CV278" s="575"/>
      <c r="CW278" s="5"/>
      <c r="CX278" s="1180"/>
      <c r="CY278" s="575"/>
      <c r="CZ278" s="5"/>
      <c r="DA278" s="1180"/>
      <c r="DB278" s="575"/>
      <c r="DC278" s="5"/>
      <c r="DD278" s="1180"/>
      <c r="DE278" s="1181">
        <f>SUM(CS278:DD278)</f>
        <v>0</v>
      </c>
      <c r="DG278" s="575"/>
      <c r="DH278" s="5"/>
      <c r="DI278" s="1180"/>
      <c r="DJ278" s="575"/>
      <c r="DK278" s="5"/>
      <c r="DL278" s="1180"/>
      <c r="DM278" s="575"/>
      <c r="DN278" s="5"/>
      <c r="DO278" s="1180"/>
      <c r="DP278" s="575"/>
      <c r="DQ278" s="5"/>
      <c r="DR278" s="1180"/>
      <c r="DS278" s="1181">
        <f>SUM(DG278:DR278)</f>
        <v>0</v>
      </c>
      <c r="DU278" s="575"/>
      <c r="DV278" s="5"/>
      <c r="DW278" s="1180"/>
      <c r="DX278" s="575"/>
      <c r="DY278" s="5"/>
      <c r="DZ278" s="1180"/>
      <c r="EA278" s="575"/>
      <c r="EB278" s="5"/>
      <c r="EC278" s="1180"/>
      <c r="ED278" s="575"/>
      <c r="EE278" s="5"/>
      <c r="EF278" s="1180"/>
      <c r="EG278" s="1181">
        <f>SUM(DU278:EF278)</f>
        <v>0</v>
      </c>
      <c r="EI278" s="480"/>
      <c r="EJ278" s="3289"/>
      <c r="EK278" s="78" t="s">
        <v>96</v>
      </c>
      <c r="EL278" s="29">
        <f t="shared" ca="1" si="1498"/>
        <v>0</v>
      </c>
      <c r="EM278" s="29">
        <f t="shared" ca="1" si="1498"/>
        <v>0</v>
      </c>
      <c r="EN278" s="29">
        <f t="shared" ca="1" si="1498"/>
        <v>0</v>
      </c>
      <c r="EO278" s="29">
        <f t="shared" ca="1" si="1498"/>
        <v>0</v>
      </c>
      <c r="EP278" s="29">
        <f t="shared" ca="1" si="1498"/>
        <v>0</v>
      </c>
      <c r="EQ278" s="29">
        <f t="shared" ca="1" si="1498"/>
        <v>0</v>
      </c>
      <c r="ER278" s="88">
        <f t="shared" ca="1" si="1307"/>
        <v>0</v>
      </c>
      <c r="ET278" s="9"/>
      <c r="EU278" s="9"/>
      <c r="EV278" s="29">
        <f t="shared" si="1499"/>
        <v>0</v>
      </c>
      <c r="EW278" s="29">
        <f t="shared" si="1499"/>
        <v>0</v>
      </c>
      <c r="EX278" s="29">
        <f t="shared" si="1499"/>
        <v>0</v>
      </c>
      <c r="EY278" s="29">
        <f t="shared" si="1499"/>
        <v>0</v>
      </c>
      <c r="EZ278" s="29">
        <f t="shared" si="1499"/>
        <v>0</v>
      </c>
      <c r="FA278" s="29">
        <f t="shared" si="1499"/>
        <v>0</v>
      </c>
      <c r="FB278" s="167">
        <f>SUM(EV278:FA278)</f>
        <v>0</v>
      </c>
      <c r="FC278" s="1"/>
      <c r="FD278" s="29"/>
      <c r="FE278" s="29"/>
      <c r="FF278" s="29"/>
      <c r="FG278" s="29"/>
      <c r="FH278" s="29"/>
      <c r="FI278" s="29"/>
      <c r="FJ278" s="48">
        <f>SUM(FD278:FI278)</f>
        <v>0</v>
      </c>
      <c r="FL278" s="29"/>
      <c r="FM278" s="29"/>
      <c r="FN278" s="29"/>
      <c r="FO278" s="29"/>
      <c r="FP278" s="29"/>
      <c r="FQ278" s="29"/>
      <c r="FR278" s="209">
        <f>SUM(FL278:FQ278)</f>
        <v>0</v>
      </c>
      <c r="FT278" s="29"/>
      <c r="FU278" s="29"/>
      <c r="FV278" s="29"/>
      <c r="FW278" s="29"/>
      <c r="FX278" s="29"/>
      <c r="FY278" s="29"/>
      <c r="FZ278" s="181">
        <f>SUM(FT278:FY278)</f>
        <v>0</v>
      </c>
      <c r="GB278" s="29"/>
      <c r="GC278" s="29"/>
      <c r="GD278" s="29"/>
      <c r="GE278" s="29"/>
      <c r="GF278" s="29"/>
      <c r="GG278" s="29"/>
      <c r="GH278" s="153">
        <f>SUM(GB278:GG278)</f>
        <v>0</v>
      </c>
      <c r="GJ278" s="29"/>
      <c r="GK278" s="29"/>
      <c r="GL278" s="29"/>
      <c r="GM278" s="29"/>
      <c r="GN278" s="29"/>
      <c r="GO278" s="29"/>
      <c r="GP278" s="195">
        <f>SUM(GJ278:GO278)</f>
        <v>0</v>
      </c>
      <c r="GR278" s="29"/>
      <c r="GS278" s="29"/>
      <c r="GT278" s="29"/>
      <c r="GU278" s="29"/>
      <c r="GV278" s="29"/>
      <c r="GW278" s="29"/>
      <c r="GX278" s="1630">
        <f>SUM(GR278:GW278)</f>
        <v>0</v>
      </c>
      <c r="GZ278" s="575">
        <f t="shared" si="1490"/>
        <v>0</v>
      </c>
      <c r="HA278" s="575">
        <f t="shared" si="1491"/>
        <v>0</v>
      </c>
      <c r="HB278" s="575">
        <f t="shared" si="1492"/>
        <v>0</v>
      </c>
      <c r="HC278" s="575">
        <f t="shared" si="1493"/>
        <v>0</v>
      </c>
      <c r="HD278" s="575">
        <f t="shared" si="1494"/>
        <v>0</v>
      </c>
      <c r="HE278" s="575">
        <f t="shared" si="1495"/>
        <v>0</v>
      </c>
      <c r="HF278" s="991">
        <f t="shared" si="1496"/>
        <v>0</v>
      </c>
      <c r="HG278" s="573">
        <f t="shared" ca="1" si="1497"/>
        <v>0</v>
      </c>
      <c r="HH278" s="257"/>
    </row>
    <row r="279" spans="1:216" ht="15" hidden="1" customHeight="1" thickBot="1" x14ac:dyDescent="0.3">
      <c r="A279" s="480"/>
      <c r="B279" s="1847">
        <f>'Calc - GRAD ASST'!C384</f>
        <v>0</v>
      </c>
      <c r="C279" s="420" t="s">
        <v>130</v>
      </c>
      <c r="D279" s="42">
        <f ca="1">'Calc - GRAD ASST'!$M$397</f>
        <v>0</v>
      </c>
      <c r="E279" s="42">
        <f ca="1">'Calc - GRAD ASST'!$M$399</f>
        <v>0</v>
      </c>
      <c r="F279" s="42">
        <f ca="1">'Calc - GRAD ASST'!$M$401</f>
        <v>0</v>
      </c>
      <c r="G279" s="42">
        <f ca="1">'Calc - GRAD ASST'!$M$403</f>
        <v>0</v>
      </c>
      <c r="H279" s="42">
        <f ca="1">'Calc - GRAD ASST'!$M$405</f>
        <v>0</v>
      </c>
      <c r="I279" s="42">
        <f ca="1">'Calc - GRAD ASST'!$M$407</f>
        <v>0</v>
      </c>
      <c r="J279" s="90">
        <f ca="1">SUM(D279:I279)</f>
        <v>0</v>
      </c>
      <c r="K279" s="9"/>
      <c r="L279" s="9"/>
      <c r="M279" s="9"/>
      <c r="N279" s="5"/>
      <c r="O279" s="5"/>
      <c r="P279" s="5"/>
      <c r="Q279" s="5"/>
      <c r="R279" s="5"/>
      <c r="S279" s="5"/>
      <c r="T279" s="167">
        <f>SUM(N279:S279)</f>
        <v>0</v>
      </c>
      <c r="U279" s="1"/>
      <c r="V279" s="5"/>
      <c r="W279" s="5"/>
      <c r="X279" s="5"/>
      <c r="Y279" s="5"/>
      <c r="Z279" s="5"/>
      <c r="AA279" s="5"/>
      <c r="AB279" s="48">
        <f>SUM(V279:AA279)</f>
        <v>0</v>
      </c>
      <c r="AD279" s="5"/>
      <c r="AE279" s="5"/>
      <c r="AF279" s="5"/>
      <c r="AG279" s="5"/>
      <c r="AH279" s="5"/>
      <c r="AI279" s="5"/>
      <c r="AJ279" s="209">
        <f>SUM(AD279:AI279)</f>
        <v>0</v>
      </c>
      <c r="AL279" s="5"/>
      <c r="AM279" s="5"/>
      <c r="AN279" s="5"/>
      <c r="AO279" s="5"/>
      <c r="AP279" s="5"/>
      <c r="AQ279" s="5"/>
      <c r="AR279" s="181">
        <f>SUM(AL279:AQ279)</f>
        <v>0</v>
      </c>
      <c r="AT279" s="5"/>
      <c r="AU279" s="5"/>
      <c r="AV279" s="5"/>
      <c r="AW279" s="5"/>
      <c r="AX279" s="5"/>
      <c r="AY279" s="5"/>
      <c r="AZ279" s="153">
        <f>SUM(AT279:AY279)</f>
        <v>0</v>
      </c>
      <c r="BB279" s="5"/>
      <c r="BC279" s="5"/>
      <c r="BD279" s="5"/>
      <c r="BE279" s="5"/>
      <c r="BF279" s="5"/>
      <c r="BG279" s="5"/>
      <c r="BH279" s="195">
        <f>SUM(BB279:BG279)</f>
        <v>0</v>
      </c>
      <c r="BJ279" s="5"/>
      <c r="BK279" s="5"/>
      <c r="BL279" s="5"/>
      <c r="BM279" s="5"/>
      <c r="BN279" s="5"/>
      <c r="BO279" s="5"/>
      <c r="BP279" s="1630">
        <f>SUM(BJ279:BO279)</f>
        <v>0</v>
      </c>
      <c r="BR279" s="575">
        <f t="shared" si="1470"/>
        <v>0</v>
      </c>
      <c r="BS279" s="575">
        <f t="shared" si="1471"/>
        <v>0</v>
      </c>
      <c r="BT279" s="575">
        <f t="shared" si="1472"/>
        <v>0</v>
      </c>
      <c r="BU279" s="575">
        <f t="shared" si="1473"/>
        <v>0</v>
      </c>
      <c r="BV279" s="575">
        <f t="shared" si="1474"/>
        <v>0</v>
      </c>
      <c r="BW279" s="575">
        <f t="shared" si="1475"/>
        <v>0</v>
      </c>
      <c r="BX279" s="991">
        <f t="shared" si="1476"/>
        <v>0</v>
      </c>
      <c r="BY279" s="573">
        <f t="shared" ca="1" si="1477"/>
        <v>0</v>
      </c>
      <c r="BZ279" s="257"/>
      <c r="CB279" s="1330">
        <f ca="1">D279</f>
        <v>0</v>
      </c>
      <c r="CC279" s="1201">
        <f ca="1">($E279-$CG279)/3</f>
        <v>0</v>
      </c>
      <c r="CD279" s="1202">
        <f ca="1">($E279-$CG279)/3</f>
        <v>0</v>
      </c>
      <c r="CE279" s="1202">
        <f ca="1">($E279-$CG279)/3</f>
        <v>0</v>
      </c>
      <c r="CF279" s="1202"/>
      <c r="CG279" s="1203">
        <f ca="1">OFFSET('Calc - GRAD ASST'!$K$20,13*29+2,0)</f>
        <v>0</v>
      </c>
      <c r="CH279" s="1251">
        <f ca="1">($F279-$CL279)/3</f>
        <v>0</v>
      </c>
      <c r="CI279" s="1205">
        <f ca="1">($F279-$CL279)/3</f>
        <v>0</v>
      </c>
      <c r="CJ279" s="1205">
        <f ca="1">($F279-$CL279)/3</f>
        <v>0</v>
      </c>
      <c r="CK279" s="1205"/>
      <c r="CL279" s="1206">
        <f ca="1">OFFSET('Calc - GRAD ASST'!$K$20,13*29+4,0)</f>
        <v>0</v>
      </c>
      <c r="CM279" s="1207">
        <f ca="1">$G279/3</f>
        <v>0</v>
      </c>
      <c r="CN279" s="1252">
        <f ca="1">$G279/3</f>
        <v>0</v>
      </c>
      <c r="CO279" s="1209">
        <f ca="1">$G279/3</f>
        <v>0</v>
      </c>
      <c r="CP279" s="1316">
        <f t="shared" ref="CP279:CP288" ca="1" si="1500">SUM(CB279:CO279)</f>
        <v>0</v>
      </c>
      <c r="CS279" s="575"/>
      <c r="CT279" s="5"/>
      <c r="CU279" s="1180"/>
      <c r="CV279" s="575"/>
      <c r="CW279" s="5"/>
      <c r="CX279" s="1180"/>
      <c r="CY279" s="575"/>
      <c r="CZ279" s="5"/>
      <c r="DA279" s="1180"/>
      <c r="DB279" s="575"/>
      <c r="DC279" s="5"/>
      <c r="DD279" s="1180"/>
      <c r="DE279" s="1181">
        <f>SUM(CS279:DD279)</f>
        <v>0</v>
      </c>
      <c r="DG279" s="575"/>
      <c r="DH279" s="5"/>
      <c r="DI279" s="1180"/>
      <c r="DJ279" s="575"/>
      <c r="DK279" s="5"/>
      <c r="DL279" s="1180"/>
      <c r="DM279" s="575"/>
      <c r="DN279" s="5"/>
      <c r="DO279" s="1180"/>
      <c r="DP279" s="575"/>
      <c r="DQ279" s="5"/>
      <c r="DR279" s="1180"/>
      <c r="DS279" s="1181">
        <f>SUM(DG279:DR279)</f>
        <v>0</v>
      </c>
      <c r="DU279" s="575"/>
      <c r="DV279" s="5"/>
      <c r="DW279" s="1180"/>
      <c r="DX279" s="575"/>
      <c r="DY279" s="5"/>
      <c r="DZ279" s="1180"/>
      <c r="EA279" s="575"/>
      <c r="EB279" s="5"/>
      <c r="EC279" s="1180"/>
      <c r="ED279" s="575"/>
      <c r="EE279" s="5"/>
      <c r="EF279" s="1180"/>
      <c r="EG279" s="1181">
        <f>SUM(DU279:EF279)</f>
        <v>0</v>
      </c>
      <c r="EI279" s="480"/>
      <c r="EJ279" s="1847">
        <f>B279</f>
        <v>0</v>
      </c>
      <c r="EK279" s="420" t="s">
        <v>130</v>
      </c>
      <c r="EL279" s="42">
        <f t="shared" ca="1" si="1498"/>
        <v>0</v>
      </c>
      <c r="EM279" s="42">
        <f t="shared" ca="1" si="1498"/>
        <v>0</v>
      </c>
      <c r="EN279" s="42">
        <f t="shared" ca="1" si="1498"/>
        <v>0</v>
      </c>
      <c r="EO279" s="42">
        <f t="shared" ca="1" si="1498"/>
        <v>0</v>
      </c>
      <c r="EP279" s="42">
        <f t="shared" ca="1" si="1498"/>
        <v>0</v>
      </c>
      <c r="EQ279" s="42">
        <f t="shared" ca="1" si="1498"/>
        <v>0</v>
      </c>
      <c r="ER279" s="90">
        <f t="shared" ref="ER279:ER288" ca="1" si="1501">SUM(EL279:EQ279)</f>
        <v>0</v>
      </c>
      <c r="ES279" s="9"/>
      <c r="ET279" s="9"/>
      <c r="EU279" s="9"/>
      <c r="EV279" s="5">
        <f t="shared" si="1499"/>
        <v>0</v>
      </c>
      <c r="EW279" s="5">
        <f t="shared" si="1499"/>
        <v>0</v>
      </c>
      <c r="EX279" s="5">
        <f t="shared" si="1499"/>
        <v>0</v>
      </c>
      <c r="EY279" s="5">
        <f t="shared" si="1499"/>
        <v>0</v>
      </c>
      <c r="EZ279" s="5">
        <f t="shared" si="1499"/>
        <v>0</v>
      </c>
      <c r="FA279" s="5">
        <f t="shared" si="1499"/>
        <v>0</v>
      </c>
      <c r="FB279" s="167">
        <f>SUM(EV279:FA279)</f>
        <v>0</v>
      </c>
      <c r="FC279" s="1"/>
      <c r="FD279" s="5"/>
      <c r="FE279" s="5"/>
      <c r="FF279" s="5"/>
      <c r="FG279" s="5"/>
      <c r="FH279" s="5"/>
      <c r="FI279" s="5"/>
      <c r="FJ279" s="48">
        <f>SUM(FD279:FI279)</f>
        <v>0</v>
      </c>
      <c r="FL279" s="5"/>
      <c r="FM279" s="5"/>
      <c r="FN279" s="5"/>
      <c r="FO279" s="5"/>
      <c r="FP279" s="5"/>
      <c r="FQ279" s="5"/>
      <c r="FR279" s="209">
        <f>SUM(FL279:FQ279)</f>
        <v>0</v>
      </c>
      <c r="FT279" s="5"/>
      <c r="FU279" s="5"/>
      <c r="FV279" s="5"/>
      <c r="FW279" s="5"/>
      <c r="FX279" s="5"/>
      <c r="FY279" s="5"/>
      <c r="FZ279" s="181">
        <f>SUM(FT279:FY279)</f>
        <v>0</v>
      </c>
      <c r="GB279" s="5"/>
      <c r="GC279" s="5"/>
      <c r="GD279" s="5"/>
      <c r="GE279" s="5"/>
      <c r="GF279" s="5"/>
      <c r="GG279" s="5"/>
      <c r="GH279" s="153">
        <f>SUM(GB279:GG279)</f>
        <v>0</v>
      </c>
      <c r="GJ279" s="5"/>
      <c r="GK279" s="5"/>
      <c r="GL279" s="5"/>
      <c r="GM279" s="5"/>
      <c r="GN279" s="5"/>
      <c r="GO279" s="5"/>
      <c r="GP279" s="195">
        <f>SUM(GJ279:GO279)</f>
        <v>0</v>
      </c>
      <c r="GR279" s="5"/>
      <c r="GS279" s="5"/>
      <c r="GT279" s="5"/>
      <c r="GU279" s="5"/>
      <c r="GV279" s="5"/>
      <c r="GW279" s="5"/>
      <c r="GX279" s="1630">
        <f>SUM(GR279:GW279)</f>
        <v>0</v>
      </c>
      <c r="GZ279" s="575">
        <f t="shared" si="1490"/>
        <v>0</v>
      </c>
      <c r="HA279" s="575">
        <f t="shared" si="1491"/>
        <v>0</v>
      </c>
      <c r="HB279" s="575">
        <f t="shared" si="1492"/>
        <v>0</v>
      </c>
      <c r="HC279" s="575">
        <f t="shared" si="1493"/>
        <v>0</v>
      </c>
      <c r="HD279" s="575">
        <f t="shared" si="1494"/>
        <v>0</v>
      </c>
      <c r="HE279" s="575">
        <f t="shared" si="1495"/>
        <v>0</v>
      </c>
      <c r="HF279" s="991">
        <f t="shared" si="1496"/>
        <v>0</v>
      </c>
      <c r="HG279" s="573">
        <f t="shared" ca="1" si="1497"/>
        <v>0</v>
      </c>
      <c r="HH279" s="257"/>
    </row>
    <row r="280" spans="1:216" ht="15" hidden="1" customHeight="1" thickBot="1" x14ac:dyDescent="0.3">
      <c r="A280" s="480"/>
      <c r="B280" s="1848"/>
      <c r="C280" s="487" t="s">
        <v>507</v>
      </c>
      <c r="D280" s="488">
        <f t="shared" ref="D280:J280" ca="1" si="1502">SUM(D277:D279)</f>
        <v>0</v>
      </c>
      <c r="E280" s="488">
        <f t="shared" ca="1" si="1502"/>
        <v>0</v>
      </c>
      <c r="F280" s="488">
        <f t="shared" ca="1" si="1502"/>
        <v>0</v>
      </c>
      <c r="G280" s="488">
        <f t="shared" ca="1" si="1502"/>
        <v>0</v>
      </c>
      <c r="H280" s="488">
        <f t="shared" ca="1" si="1502"/>
        <v>0</v>
      </c>
      <c r="I280" s="488">
        <f t="shared" ca="1" si="1502"/>
        <v>0</v>
      </c>
      <c r="J280" s="489">
        <f t="shared" ca="1" si="1502"/>
        <v>0</v>
      </c>
      <c r="K280" s="13">
        <f ca="1">SUM(D280:I280)</f>
        <v>0</v>
      </c>
      <c r="L280" s="13"/>
      <c r="M280" s="9"/>
      <c r="N280" s="1629">
        <f t="shared" ref="N280:T280" si="1503">SUM(N277:N279)</f>
        <v>0</v>
      </c>
      <c r="O280" s="1629">
        <f t="shared" si="1503"/>
        <v>0</v>
      </c>
      <c r="P280" s="1629">
        <f t="shared" si="1503"/>
        <v>0</v>
      </c>
      <c r="Q280" s="1629">
        <f t="shared" si="1503"/>
        <v>0</v>
      </c>
      <c r="R280" s="1629">
        <f t="shared" si="1503"/>
        <v>0</v>
      </c>
      <c r="S280" s="1629">
        <f t="shared" si="1503"/>
        <v>0</v>
      </c>
      <c r="T280" s="1628">
        <f t="shared" si="1503"/>
        <v>0</v>
      </c>
      <c r="U280" s="1"/>
      <c r="V280" s="1629">
        <f t="shared" ref="V280:AB280" si="1504">SUM(V277:V279)</f>
        <v>0</v>
      </c>
      <c r="W280" s="1629">
        <f t="shared" si="1504"/>
        <v>0</v>
      </c>
      <c r="X280" s="1629">
        <f t="shared" si="1504"/>
        <v>0</v>
      </c>
      <c r="Y280" s="1629">
        <f t="shared" si="1504"/>
        <v>0</v>
      </c>
      <c r="Z280" s="1629">
        <f t="shared" si="1504"/>
        <v>0</v>
      </c>
      <c r="AA280" s="1629">
        <f t="shared" si="1504"/>
        <v>0</v>
      </c>
      <c r="AB280" s="1628">
        <f t="shared" si="1504"/>
        <v>0</v>
      </c>
      <c r="AD280" s="1629">
        <f t="shared" ref="AD280:AJ280" si="1505">SUM(AD277:AD279)</f>
        <v>0</v>
      </c>
      <c r="AE280" s="1629">
        <f t="shared" si="1505"/>
        <v>0</v>
      </c>
      <c r="AF280" s="1629">
        <f t="shared" si="1505"/>
        <v>0</v>
      </c>
      <c r="AG280" s="1629">
        <f t="shared" si="1505"/>
        <v>0</v>
      </c>
      <c r="AH280" s="1629">
        <f t="shared" si="1505"/>
        <v>0</v>
      </c>
      <c r="AI280" s="1629">
        <f t="shared" si="1505"/>
        <v>0</v>
      </c>
      <c r="AJ280" s="1628">
        <f t="shared" si="1505"/>
        <v>0</v>
      </c>
      <c r="AL280" s="7">
        <f t="shared" ref="AL280:AR280" si="1506">SUM(AL277:AL279)</f>
        <v>0</v>
      </c>
      <c r="AM280" s="7">
        <f t="shared" si="1506"/>
        <v>0</v>
      </c>
      <c r="AN280" s="7">
        <f t="shared" si="1506"/>
        <v>0</v>
      </c>
      <c r="AO280" s="7">
        <f t="shared" si="1506"/>
        <v>0</v>
      </c>
      <c r="AP280" s="7">
        <f t="shared" si="1506"/>
        <v>0</v>
      </c>
      <c r="AQ280" s="7">
        <f t="shared" si="1506"/>
        <v>0</v>
      </c>
      <c r="AR280" s="12">
        <f t="shared" si="1506"/>
        <v>0</v>
      </c>
      <c r="AT280" s="7">
        <f t="shared" ref="AT280:AZ280" si="1507">SUM(AT277:AT279)</f>
        <v>0</v>
      </c>
      <c r="AU280" s="7">
        <f t="shared" si="1507"/>
        <v>0</v>
      </c>
      <c r="AV280" s="7">
        <f t="shared" si="1507"/>
        <v>0</v>
      </c>
      <c r="AW280" s="7">
        <f t="shared" si="1507"/>
        <v>0</v>
      </c>
      <c r="AX280" s="7">
        <f t="shared" si="1507"/>
        <v>0</v>
      </c>
      <c r="AY280" s="7">
        <f t="shared" si="1507"/>
        <v>0</v>
      </c>
      <c r="AZ280" s="12">
        <f t="shared" si="1507"/>
        <v>0</v>
      </c>
      <c r="BB280" s="7">
        <f t="shared" ref="BB280:BH280" si="1508">SUM(BB277:BB279)</f>
        <v>0</v>
      </c>
      <c r="BC280" s="7">
        <f t="shared" si="1508"/>
        <v>0</v>
      </c>
      <c r="BD280" s="7">
        <f t="shared" si="1508"/>
        <v>0</v>
      </c>
      <c r="BE280" s="7">
        <f t="shared" si="1508"/>
        <v>0</v>
      </c>
      <c r="BF280" s="7">
        <f t="shared" si="1508"/>
        <v>0</v>
      </c>
      <c r="BG280" s="7">
        <f t="shared" si="1508"/>
        <v>0</v>
      </c>
      <c r="BH280" s="12">
        <f t="shared" si="1508"/>
        <v>0</v>
      </c>
      <c r="BJ280" s="7">
        <f t="shared" ref="BJ280:BP280" si="1509">SUM(BJ277:BJ279)</f>
        <v>0</v>
      </c>
      <c r="BK280" s="7">
        <f t="shared" si="1509"/>
        <v>0</v>
      </c>
      <c r="BL280" s="7">
        <f t="shared" si="1509"/>
        <v>0</v>
      </c>
      <c r="BM280" s="7">
        <f t="shared" si="1509"/>
        <v>0</v>
      </c>
      <c r="BN280" s="7">
        <f t="shared" si="1509"/>
        <v>0</v>
      </c>
      <c r="BO280" s="7">
        <f t="shared" si="1509"/>
        <v>0</v>
      </c>
      <c r="BP280" s="12">
        <f t="shared" si="1509"/>
        <v>0</v>
      </c>
      <c r="BR280" s="589">
        <f t="shared" si="1470"/>
        <v>0</v>
      </c>
      <c r="BS280" s="589">
        <f t="shared" si="1471"/>
        <v>0</v>
      </c>
      <c r="BT280" s="589">
        <f t="shared" si="1472"/>
        <v>0</v>
      </c>
      <c r="BU280" s="589">
        <f t="shared" si="1473"/>
        <v>0</v>
      </c>
      <c r="BV280" s="589">
        <f t="shared" si="1474"/>
        <v>0</v>
      </c>
      <c r="BW280" s="589">
        <f t="shared" si="1475"/>
        <v>0</v>
      </c>
      <c r="BX280" s="589">
        <f t="shared" si="1476"/>
        <v>0</v>
      </c>
      <c r="BY280" s="590">
        <f t="shared" ca="1" si="1477"/>
        <v>0</v>
      </c>
      <c r="BZ280" s="257"/>
      <c r="CB280" s="1633">
        <f t="shared" ref="CB280:CO280" ca="1" si="1510">SUM(CB277:CB279)</f>
        <v>0</v>
      </c>
      <c r="CC280" s="1634">
        <f t="shared" ca="1" si="1510"/>
        <v>0</v>
      </c>
      <c r="CD280" s="1635">
        <f t="shared" ca="1" si="1510"/>
        <v>0</v>
      </c>
      <c r="CE280" s="1635">
        <f t="shared" ca="1" si="1510"/>
        <v>0</v>
      </c>
      <c r="CF280" s="1635">
        <f t="shared" si="1510"/>
        <v>0</v>
      </c>
      <c r="CG280" s="1636">
        <f t="shared" ca="1" si="1510"/>
        <v>0</v>
      </c>
      <c r="CH280" s="1634">
        <f t="shared" ca="1" si="1510"/>
        <v>0</v>
      </c>
      <c r="CI280" s="1635">
        <f t="shared" ca="1" si="1510"/>
        <v>0</v>
      </c>
      <c r="CJ280" s="1635">
        <f t="shared" ca="1" si="1510"/>
        <v>0</v>
      </c>
      <c r="CK280" s="1635">
        <f t="shared" si="1510"/>
        <v>0</v>
      </c>
      <c r="CL280" s="1637">
        <f t="shared" ca="1" si="1510"/>
        <v>0</v>
      </c>
      <c r="CM280" s="1634">
        <f t="shared" ca="1" si="1510"/>
        <v>0</v>
      </c>
      <c r="CN280" s="1635">
        <f t="shared" ca="1" si="1510"/>
        <v>0</v>
      </c>
      <c r="CO280" s="1636">
        <f t="shared" ca="1" si="1510"/>
        <v>0</v>
      </c>
      <c r="CP280" s="1351">
        <f t="shared" ca="1" si="1500"/>
        <v>0</v>
      </c>
      <c r="CS280" s="1231">
        <f t="shared" ref="CS280:DE280" si="1511">SUM(CS277:CS279)</f>
        <v>0</v>
      </c>
      <c r="CT280" s="7">
        <f t="shared" si="1511"/>
        <v>0</v>
      </c>
      <c r="CU280" s="573">
        <f t="shared" si="1511"/>
        <v>0</v>
      </c>
      <c r="CV280" s="1231">
        <f t="shared" si="1511"/>
        <v>0</v>
      </c>
      <c r="CW280" s="7">
        <f t="shared" si="1511"/>
        <v>0</v>
      </c>
      <c r="CX280" s="573">
        <f t="shared" si="1511"/>
        <v>0</v>
      </c>
      <c r="CY280" s="1231">
        <f t="shared" si="1511"/>
        <v>0</v>
      </c>
      <c r="CZ280" s="7">
        <f t="shared" si="1511"/>
        <v>0</v>
      </c>
      <c r="DA280" s="573">
        <f t="shared" si="1511"/>
        <v>0</v>
      </c>
      <c r="DB280" s="1231">
        <f t="shared" si="1511"/>
        <v>0</v>
      </c>
      <c r="DC280" s="7">
        <f t="shared" si="1511"/>
        <v>0</v>
      </c>
      <c r="DD280" s="573">
        <f t="shared" si="1511"/>
        <v>0</v>
      </c>
      <c r="DE280" s="1181">
        <f t="shared" si="1511"/>
        <v>0</v>
      </c>
      <c r="DG280" s="1231">
        <f t="shared" ref="DG280:DS280" si="1512">SUM(DG277:DG279)</f>
        <v>0</v>
      </c>
      <c r="DH280" s="7">
        <f t="shared" si="1512"/>
        <v>0</v>
      </c>
      <c r="DI280" s="573">
        <f t="shared" si="1512"/>
        <v>0</v>
      </c>
      <c r="DJ280" s="1231">
        <f t="shared" si="1512"/>
        <v>0</v>
      </c>
      <c r="DK280" s="7">
        <f t="shared" si="1512"/>
        <v>0</v>
      </c>
      <c r="DL280" s="573">
        <f t="shared" si="1512"/>
        <v>0</v>
      </c>
      <c r="DM280" s="1231">
        <f t="shared" si="1512"/>
        <v>0</v>
      </c>
      <c r="DN280" s="7">
        <f t="shared" si="1512"/>
        <v>0</v>
      </c>
      <c r="DO280" s="573">
        <f t="shared" si="1512"/>
        <v>0</v>
      </c>
      <c r="DP280" s="1231">
        <f t="shared" si="1512"/>
        <v>0</v>
      </c>
      <c r="DQ280" s="7">
        <f t="shared" si="1512"/>
        <v>0</v>
      </c>
      <c r="DR280" s="573">
        <f t="shared" si="1512"/>
        <v>0</v>
      </c>
      <c r="DS280" s="1181">
        <f t="shared" si="1512"/>
        <v>0</v>
      </c>
      <c r="DU280" s="1231">
        <f t="shared" ref="DU280:EG280" si="1513">SUM(DU277:DU279)</f>
        <v>0</v>
      </c>
      <c r="DV280" s="7">
        <f t="shared" si="1513"/>
        <v>0</v>
      </c>
      <c r="DW280" s="573">
        <f t="shared" si="1513"/>
        <v>0</v>
      </c>
      <c r="DX280" s="1231">
        <f t="shared" si="1513"/>
        <v>0</v>
      </c>
      <c r="DY280" s="7">
        <f t="shared" si="1513"/>
        <v>0</v>
      </c>
      <c r="DZ280" s="573">
        <f t="shared" si="1513"/>
        <v>0</v>
      </c>
      <c r="EA280" s="1231">
        <f t="shared" si="1513"/>
        <v>0</v>
      </c>
      <c r="EB280" s="7">
        <f t="shared" si="1513"/>
        <v>0</v>
      </c>
      <c r="EC280" s="573">
        <f t="shared" si="1513"/>
        <v>0</v>
      </c>
      <c r="ED280" s="1231">
        <f t="shared" si="1513"/>
        <v>0</v>
      </c>
      <c r="EE280" s="7">
        <f t="shared" si="1513"/>
        <v>0</v>
      </c>
      <c r="EF280" s="573">
        <f t="shared" si="1513"/>
        <v>0</v>
      </c>
      <c r="EG280" s="1181">
        <f t="shared" si="1513"/>
        <v>0</v>
      </c>
      <c r="EI280" s="480"/>
      <c r="EJ280" s="1848"/>
      <c r="EK280" s="487" t="s">
        <v>507</v>
      </c>
      <c r="EL280" s="488">
        <f t="shared" ref="EL280:EQ280" ca="1" si="1514">SUM(EL277:EL279)</f>
        <v>0</v>
      </c>
      <c r="EM280" s="488">
        <f t="shared" ca="1" si="1514"/>
        <v>0</v>
      </c>
      <c r="EN280" s="488">
        <f t="shared" ca="1" si="1514"/>
        <v>0</v>
      </c>
      <c r="EO280" s="488">
        <f t="shared" ca="1" si="1514"/>
        <v>0</v>
      </c>
      <c r="EP280" s="488">
        <f t="shared" ca="1" si="1514"/>
        <v>0</v>
      </c>
      <c r="EQ280" s="488">
        <f t="shared" ca="1" si="1514"/>
        <v>0</v>
      </c>
      <c r="ER280" s="489">
        <f t="shared" ca="1" si="1501"/>
        <v>0</v>
      </c>
      <c r="ES280" s="13">
        <f ca="1">SUM(ER277:ER279)</f>
        <v>0</v>
      </c>
      <c r="ET280" s="13"/>
      <c r="EU280" s="9"/>
      <c r="EV280" s="1629">
        <f t="shared" ref="EV280:FB280" si="1515">SUM(EV277:EV279)</f>
        <v>0</v>
      </c>
      <c r="EW280" s="1629">
        <f t="shared" si="1515"/>
        <v>0</v>
      </c>
      <c r="EX280" s="1629">
        <f t="shared" si="1515"/>
        <v>0</v>
      </c>
      <c r="EY280" s="1629">
        <f t="shared" si="1515"/>
        <v>0</v>
      </c>
      <c r="EZ280" s="1629">
        <f t="shared" si="1515"/>
        <v>0</v>
      </c>
      <c r="FA280" s="1629">
        <f t="shared" si="1515"/>
        <v>0</v>
      </c>
      <c r="FB280" s="1628">
        <f t="shared" si="1515"/>
        <v>0</v>
      </c>
      <c r="FC280" s="1"/>
      <c r="FD280" s="1629">
        <f t="shared" ref="FD280:FJ280" si="1516">SUM(FD277:FD279)</f>
        <v>0</v>
      </c>
      <c r="FE280" s="1629">
        <f t="shared" si="1516"/>
        <v>0</v>
      </c>
      <c r="FF280" s="1629">
        <f t="shared" si="1516"/>
        <v>0</v>
      </c>
      <c r="FG280" s="1629">
        <f t="shared" si="1516"/>
        <v>0</v>
      </c>
      <c r="FH280" s="1629">
        <f t="shared" si="1516"/>
        <v>0</v>
      </c>
      <c r="FI280" s="1629">
        <f t="shared" si="1516"/>
        <v>0</v>
      </c>
      <c r="FJ280" s="1628">
        <f t="shared" si="1516"/>
        <v>0</v>
      </c>
      <c r="FL280" s="1629">
        <f t="shared" ref="FL280:FR280" si="1517">SUM(FL277:FL279)</f>
        <v>0</v>
      </c>
      <c r="FM280" s="1629">
        <f t="shared" si="1517"/>
        <v>0</v>
      </c>
      <c r="FN280" s="1629">
        <f t="shared" si="1517"/>
        <v>0</v>
      </c>
      <c r="FO280" s="1629">
        <f t="shared" si="1517"/>
        <v>0</v>
      </c>
      <c r="FP280" s="1629">
        <f t="shared" si="1517"/>
        <v>0</v>
      </c>
      <c r="FQ280" s="1629">
        <f t="shared" si="1517"/>
        <v>0</v>
      </c>
      <c r="FR280" s="1628">
        <f t="shared" si="1517"/>
        <v>0</v>
      </c>
      <c r="FT280" s="7">
        <f t="shared" ref="FT280:FZ280" si="1518">SUM(FT277:FT279)</f>
        <v>0</v>
      </c>
      <c r="FU280" s="7">
        <f t="shared" si="1518"/>
        <v>0</v>
      </c>
      <c r="FV280" s="7">
        <f t="shared" si="1518"/>
        <v>0</v>
      </c>
      <c r="FW280" s="7">
        <f t="shared" si="1518"/>
        <v>0</v>
      </c>
      <c r="FX280" s="7">
        <f t="shared" si="1518"/>
        <v>0</v>
      </c>
      <c r="FY280" s="7">
        <f t="shared" si="1518"/>
        <v>0</v>
      </c>
      <c r="FZ280" s="12">
        <f t="shared" si="1518"/>
        <v>0</v>
      </c>
      <c r="GB280" s="7">
        <f t="shared" ref="GB280:GH280" si="1519">SUM(GB277:GB279)</f>
        <v>0</v>
      </c>
      <c r="GC280" s="7">
        <f t="shared" si="1519"/>
        <v>0</v>
      </c>
      <c r="GD280" s="7">
        <f t="shared" si="1519"/>
        <v>0</v>
      </c>
      <c r="GE280" s="7">
        <f t="shared" si="1519"/>
        <v>0</v>
      </c>
      <c r="GF280" s="7">
        <f t="shared" si="1519"/>
        <v>0</v>
      </c>
      <c r="GG280" s="7">
        <f t="shared" si="1519"/>
        <v>0</v>
      </c>
      <c r="GH280" s="12">
        <f t="shared" si="1519"/>
        <v>0</v>
      </c>
      <c r="GJ280" s="7">
        <f t="shared" ref="GJ280:GP280" si="1520">SUM(GJ277:GJ279)</f>
        <v>0</v>
      </c>
      <c r="GK280" s="7">
        <f t="shared" si="1520"/>
        <v>0</v>
      </c>
      <c r="GL280" s="7">
        <f t="shared" si="1520"/>
        <v>0</v>
      </c>
      <c r="GM280" s="7">
        <f t="shared" si="1520"/>
        <v>0</v>
      </c>
      <c r="GN280" s="7">
        <f t="shared" si="1520"/>
        <v>0</v>
      </c>
      <c r="GO280" s="7">
        <f t="shared" si="1520"/>
        <v>0</v>
      </c>
      <c r="GP280" s="12">
        <f t="shared" si="1520"/>
        <v>0</v>
      </c>
      <c r="GR280" s="7">
        <f t="shared" ref="GR280:GX280" si="1521">SUM(GR277:GR279)</f>
        <v>0</v>
      </c>
      <c r="GS280" s="7">
        <f t="shared" si="1521"/>
        <v>0</v>
      </c>
      <c r="GT280" s="7">
        <f t="shared" si="1521"/>
        <v>0</v>
      </c>
      <c r="GU280" s="7">
        <f t="shared" si="1521"/>
        <v>0</v>
      </c>
      <c r="GV280" s="7">
        <f t="shared" si="1521"/>
        <v>0</v>
      </c>
      <c r="GW280" s="7">
        <f t="shared" si="1521"/>
        <v>0</v>
      </c>
      <c r="GX280" s="12">
        <f t="shared" si="1521"/>
        <v>0</v>
      </c>
      <c r="GZ280" s="589">
        <f t="shared" si="1490"/>
        <v>0</v>
      </c>
      <c r="HA280" s="589">
        <f t="shared" si="1491"/>
        <v>0</v>
      </c>
      <c r="HB280" s="589">
        <f t="shared" si="1492"/>
        <v>0</v>
      </c>
      <c r="HC280" s="589">
        <f t="shared" si="1493"/>
        <v>0</v>
      </c>
      <c r="HD280" s="589">
        <f t="shared" si="1494"/>
        <v>0</v>
      </c>
      <c r="HE280" s="589">
        <f t="shared" si="1495"/>
        <v>0</v>
      </c>
      <c r="HF280" s="589">
        <f t="shared" si="1496"/>
        <v>0</v>
      </c>
      <c r="HG280" s="590">
        <f t="shared" ca="1" si="1497"/>
        <v>0</v>
      </c>
      <c r="HH280" s="257"/>
    </row>
    <row r="281" spans="1:216" ht="15" hidden="1" customHeight="1" x14ac:dyDescent="0.25">
      <c r="A281" s="480"/>
      <c r="B281" s="3290" t="str">
        <f>'Calc - GRAD ASST'!A412</f>
        <v>GA #15 / Sponsor Funds</v>
      </c>
      <c r="C281" s="483" t="s">
        <v>57</v>
      </c>
      <c r="D281" s="86">
        <f ca="1">'Calc - GRAD ASST'!$J$426</f>
        <v>0</v>
      </c>
      <c r="E281" s="86">
        <f ca="1">'Calc - GRAD ASST'!$J$428</f>
        <v>0</v>
      </c>
      <c r="F281" s="86">
        <f ca="1">'Calc - GRAD ASST'!$J$430</f>
        <v>0</v>
      </c>
      <c r="G281" s="86">
        <f ca="1">'Calc - GRAD ASST'!$J$432</f>
        <v>0</v>
      </c>
      <c r="H281" s="86">
        <f ca="1">'Calc - GRAD ASST'!$J$434</f>
        <v>0</v>
      </c>
      <c r="I281" s="86">
        <f ca="1">'Calc - GRAD ASST'!$J$436</f>
        <v>0</v>
      </c>
      <c r="J281" s="87">
        <f ca="1">SUM(D281:I281)</f>
        <v>0</v>
      </c>
      <c r="K281" s="9"/>
      <c r="M281" s="9"/>
      <c r="N281" s="5"/>
      <c r="O281" s="5"/>
      <c r="P281" s="5"/>
      <c r="Q281" s="5"/>
      <c r="R281" s="5"/>
      <c r="S281" s="5"/>
      <c r="T281" s="167">
        <f>SUM(N281:S281)</f>
        <v>0</v>
      </c>
      <c r="U281" s="1"/>
      <c r="V281" s="5"/>
      <c r="W281" s="5"/>
      <c r="X281" s="5"/>
      <c r="Y281" s="5"/>
      <c r="Z281" s="5"/>
      <c r="AA281" s="5"/>
      <c r="AB281" s="48">
        <f>SUM(V281:AA281)</f>
        <v>0</v>
      </c>
      <c r="AD281" s="5"/>
      <c r="AE281" s="5"/>
      <c r="AF281" s="5"/>
      <c r="AG281" s="5"/>
      <c r="AH281" s="5"/>
      <c r="AI281" s="5"/>
      <c r="AJ281" s="209">
        <f>SUM(AD281:AI281)</f>
        <v>0</v>
      </c>
      <c r="AL281" s="5"/>
      <c r="AM281" s="5"/>
      <c r="AN281" s="5"/>
      <c r="AO281" s="5"/>
      <c r="AP281" s="5"/>
      <c r="AQ281" s="5"/>
      <c r="AR281" s="181">
        <f>SUM(AL281:AQ281)</f>
        <v>0</v>
      </c>
      <c r="AT281" s="5"/>
      <c r="AU281" s="5"/>
      <c r="AV281" s="5"/>
      <c r="AW281" s="5"/>
      <c r="AX281" s="5"/>
      <c r="AY281" s="5"/>
      <c r="AZ281" s="153">
        <f>SUM(AT281:AY281)</f>
        <v>0</v>
      </c>
      <c r="BB281" s="5"/>
      <c r="BC281" s="5"/>
      <c r="BD281" s="5"/>
      <c r="BE281" s="5"/>
      <c r="BF281" s="5"/>
      <c r="BG281" s="5"/>
      <c r="BH281" s="195">
        <f>SUM(BB281:BG281)</f>
        <v>0</v>
      </c>
      <c r="BJ281" s="5"/>
      <c r="BK281" s="5"/>
      <c r="BL281" s="5"/>
      <c r="BM281" s="5"/>
      <c r="BN281" s="5"/>
      <c r="BO281" s="5"/>
      <c r="BP281" s="1630">
        <f>SUM(BJ281:BO281)</f>
        <v>0</v>
      </c>
      <c r="BR281" s="575">
        <f t="shared" si="1470"/>
        <v>0</v>
      </c>
      <c r="BS281" s="575">
        <f t="shared" si="1471"/>
        <v>0</v>
      </c>
      <c r="BT281" s="575">
        <f t="shared" si="1472"/>
        <v>0</v>
      </c>
      <c r="BU281" s="575">
        <f t="shared" si="1473"/>
        <v>0</v>
      </c>
      <c r="BV281" s="575">
        <f t="shared" si="1474"/>
        <v>0</v>
      </c>
      <c r="BW281" s="575">
        <f t="shared" si="1475"/>
        <v>0</v>
      </c>
      <c r="BX281" s="991">
        <f t="shared" si="1476"/>
        <v>0</v>
      </c>
      <c r="BY281" s="573">
        <f t="shared" ca="1" si="1477"/>
        <v>0</v>
      </c>
      <c r="BZ281" s="257"/>
      <c r="CB281" s="1322">
        <f ca="1">D281</f>
        <v>0</v>
      </c>
      <c r="CC281" s="386">
        <f ca="1">$E281/3</f>
        <v>0</v>
      </c>
      <c r="CD281" s="360">
        <f ca="1">$E281/3</f>
        <v>0</v>
      </c>
      <c r="CE281" s="360">
        <f ca="1">$E281/3</f>
        <v>0</v>
      </c>
      <c r="CF281" s="360"/>
      <c r="CG281" s="1161"/>
      <c r="CH281" s="1241">
        <f ca="1">$F281/3</f>
        <v>0</v>
      </c>
      <c r="CI281" s="1163">
        <f ca="1">$F281/3</f>
        <v>0</v>
      </c>
      <c r="CJ281" s="1163">
        <f ca="1">$F281/3</f>
        <v>0</v>
      </c>
      <c r="CK281" s="1163"/>
      <c r="CL281" s="1164"/>
      <c r="CM281" s="1165">
        <f ca="1">$G281/3</f>
        <v>0</v>
      </c>
      <c r="CN281" s="1242">
        <f ca="1">$G281/3</f>
        <v>0</v>
      </c>
      <c r="CO281" s="1167">
        <f ca="1">$G281/3</f>
        <v>0</v>
      </c>
      <c r="CP281" s="1168">
        <f t="shared" ca="1" si="1500"/>
        <v>0</v>
      </c>
      <c r="CS281" s="575"/>
      <c r="CT281" s="5"/>
      <c r="CU281" s="1180"/>
      <c r="CV281" s="575"/>
      <c r="CW281" s="5"/>
      <c r="CX281" s="1180"/>
      <c r="CY281" s="575"/>
      <c r="CZ281" s="5"/>
      <c r="DA281" s="1180"/>
      <c r="DB281" s="575"/>
      <c r="DC281" s="5"/>
      <c r="DD281" s="1180"/>
      <c r="DE281" s="1181">
        <f>SUM(CS281:DD281)</f>
        <v>0</v>
      </c>
      <c r="DG281" s="575"/>
      <c r="DH281" s="5"/>
      <c r="DI281" s="1180"/>
      <c r="DJ281" s="575"/>
      <c r="DK281" s="5"/>
      <c r="DL281" s="1180"/>
      <c r="DM281" s="575"/>
      <c r="DN281" s="5"/>
      <c r="DO281" s="1180"/>
      <c r="DP281" s="575"/>
      <c r="DQ281" s="5"/>
      <c r="DR281" s="1180"/>
      <c r="DS281" s="1181">
        <f>SUM(DG281:DR281)</f>
        <v>0</v>
      </c>
      <c r="DU281" s="575"/>
      <c r="DV281" s="5"/>
      <c r="DW281" s="1180"/>
      <c r="DX281" s="575"/>
      <c r="DY281" s="5"/>
      <c r="DZ281" s="1180"/>
      <c r="EA281" s="575"/>
      <c r="EB281" s="5"/>
      <c r="EC281" s="1180"/>
      <c r="ED281" s="575"/>
      <c r="EE281" s="5"/>
      <c r="EF281" s="1180"/>
      <c r="EG281" s="1181">
        <f>SUM(DU281:EF281)</f>
        <v>0</v>
      </c>
      <c r="EI281" s="480"/>
      <c r="EJ281" s="3290" t="str">
        <f>B281</f>
        <v>GA #15 / Sponsor Funds</v>
      </c>
      <c r="EK281" s="483" t="s">
        <v>57</v>
      </c>
      <c r="EL281" s="86">
        <f t="shared" ref="EL281:EQ283" ca="1" si="1522">ROUND(D281,0)</f>
        <v>0</v>
      </c>
      <c r="EM281" s="86">
        <f t="shared" ca="1" si="1522"/>
        <v>0</v>
      </c>
      <c r="EN281" s="86">
        <f t="shared" ca="1" si="1522"/>
        <v>0</v>
      </c>
      <c r="EO281" s="86">
        <f t="shared" ca="1" si="1522"/>
        <v>0</v>
      </c>
      <c r="EP281" s="86">
        <f t="shared" ca="1" si="1522"/>
        <v>0</v>
      </c>
      <c r="EQ281" s="86">
        <f t="shared" ca="1" si="1522"/>
        <v>0</v>
      </c>
      <c r="ER281" s="87">
        <f t="shared" ca="1" si="1501"/>
        <v>0</v>
      </c>
      <c r="ES281" s="9"/>
      <c r="EU281" s="9"/>
      <c r="EV281" s="5">
        <f t="shared" ref="EV281:FA283" si="1523">ROUND(N281,0)</f>
        <v>0</v>
      </c>
      <c r="EW281" s="5">
        <f t="shared" si="1523"/>
        <v>0</v>
      </c>
      <c r="EX281" s="5">
        <f t="shared" si="1523"/>
        <v>0</v>
      </c>
      <c r="EY281" s="5">
        <f t="shared" si="1523"/>
        <v>0</v>
      </c>
      <c r="EZ281" s="5">
        <f t="shared" si="1523"/>
        <v>0</v>
      </c>
      <c r="FA281" s="5">
        <f t="shared" si="1523"/>
        <v>0</v>
      </c>
      <c r="FB281" s="167">
        <f>SUM(EV281:FA281)</f>
        <v>0</v>
      </c>
      <c r="FC281" s="1"/>
      <c r="FD281" s="5"/>
      <c r="FE281" s="5"/>
      <c r="FF281" s="5"/>
      <c r="FG281" s="5"/>
      <c r="FH281" s="5"/>
      <c r="FI281" s="5"/>
      <c r="FJ281" s="48">
        <f>SUM(FD281:FI281)</f>
        <v>0</v>
      </c>
      <c r="FL281" s="5"/>
      <c r="FM281" s="5"/>
      <c r="FN281" s="5"/>
      <c r="FO281" s="5"/>
      <c r="FP281" s="5"/>
      <c r="FQ281" s="5"/>
      <c r="FR281" s="209">
        <f>SUM(FL281:FQ281)</f>
        <v>0</v>
      </c>
      <c r="FT281" s="5"/>
      <c r="FU281" s="5"/>
      <c r="FV281" s="5"/>
      <c r="FW281" s="5"/>
      <c r="FX281" s="5"/>
      <c r="FY281" s="5"/>
      <c r="FZ281" s="181">
        <f>SUM(FT281:FY281)</f>
        <v>0</v>
      </c>
      <c r="GB281" s="5"/>
      <c r="GC281" s="5"/>
      <c r="GD281" s="5"/>
      <c r="GE281" s="5"/>
      <c r="GF281" s="5"/>
      <c r="GG281" s="5"/>
      <c r="GH281" s="153">
        <f>SUM(GB281:GG281)</f>
        <v>0</v>
      </c>
      <c r="GJ281" s="5"/>
      <c r="GK281" s="5"/>
      <c r="GL281" s="5"/>
      <c r="GM281" s="5"/>
      <c r="GN281" s="5"/>
      <c r="GO281" s="5"/>
      <c r="GP281" s="195">
        <f>SUM(GJ281:GO281)</f>
        <v>0</v>
      </c>
      <c r="GR281" s="5"/>
      <c r="GS281" s="5"/>
      <c r="GT281" s="5"/>
      <c r="GU281" s="5"/>
      <c r="GV281" s="5"/>
      <c r="GW281" s="5"/>
      <c r="GX281" s="1630">
        <f>SUM(GR281:GW281)</f>
        <v>0</v>
      </c>
      <c r="GZ281" s="575">
        <f t="shared" si="1490"/>
        <v>0</v>
      </c>
      <c r="HA281" s="575">
        <f t="shared" si="1491"/>
        <v>0</v>
      </c>
      <c r="HB281" s="575">
        <f t="shared" si="1492"/>
        <v>0</v>
      </c>
      <c r="HC281" s="575">
        <f t="shared" si="1493"/>
        <v>0</v>
      </c>
      <c r="HD281" s="575">
        <f t="shared" si="1494"/>
        <v>0</v>
      </c>
      <c r="HE281" s="575">
        <f t="shared" si="1495"/>
        <v>0</v>
      </c>
      <c r="HF281" s="991">
        <f t="shared" si="1496"/>
        <v>0</v>
      </c>
      <c r="HG281" s="573">
        <f t="shared" ca="1" si="1497"/>
        <v>0</v>
      </c>
      <c r="HH281" s="257"/>
    </row>
    <row r="282" spans="1:216" ht="15" hidden="1" customHeight="1" x14ac:dyDescent="0.25">
      <c r="A282" s="480"/>
      <c r="B282" s="3291"/>
      <c r="C282" s="78" t="s">
        <v>96</v>
      </c>
      <c r="D282" s="29">
        <f ca="1">'Calc - GRAD ASST'!$E$426</f>
        <v>0</v>
      </c>
      <c r="E282" s="29">
        <f ca="1">'Calc - GRAD ASST'!$E$428</f>
        <v>0</v>
      </c>
      <c r="F282" s="29">
        <f ca="1">'Calc - GRAD ASST'!$E$430</f>
        <v>0</v>
      </c>
      <c r="G282" s="29">
        <f ca="1">'Calc - GRAD ASST'!$E$432</f>
        <v>0</v>
      </c>
      <c r="H282" s="29">
        <f ca="1">'Calc - GRAD ASST'!$E$434</f>
        <v>0</v>
      </c>
      <c r="I282" s="29">
        <f ca="1">'Calc - GRAD ASST'!$E$436</f>
        <v>0</v>
      </c>
      <c r="J282" s="88">
        <f ca="1">SUM(D282:I282)</f>
        <v>0</v>
      </c>
      <c r="L282" s="9"/>
      <c r="M282" s="9"/>
      <c r="N282" s="29"/>
      <c r="O282" s="29"/>
      <c r="P282" s="29"/>
      <c r="Q282" s="29"/>
      <c r="R282" s="29"/>
      <c r="S282" s="29"/>
      <c r="T282" s="167">
        <f>SUM(N282:S282)</f>
        <v>0</v>
      </c>
      <c r="U282" s="1"/>
      <c r="V282" s="29"/>
      <c r="W282" s="29"/>
      <c r="X282" s="29"/>
      <c r="Y282" s="29"/>
      <c r="Z282" s="29"/>
      <c r="AA282" s="29"/>
      <c r="AB282" s="48">
        <f>SUM(V282:AA282)</f>
        <v>0</v>
      </c>
      <c r="AD282" s="29"/>
      <c r="AE282" s="29"/>
      <c r="AF282" s="29"/>
      <c r="AG282" s="29"/>
      <c r="AH282" s="29"/>
      <c r="AI282" s="29"/>
      <c r="AJ282" s="209">
        <f>SUM(AD282:AI282)</f>
        <v>0</v>
      </c>
      <c r="AL282" s="29"/>
      <c r="AM282" s="29"/>
      <c r="AN282" s="29"/>
      <c r="AO282" s="29"/>
      <c r="AP282" s="29"/>
      <c r="AQ282" s="29"/>
      <c r="AR282" s="181">
        <f>SUM(AL282:AQ282)</f>
        <v>0</v>
      </c>
      <c r="AT282" s="29"/>
      <c r="AU282" s="29"/>
      <c r="AV282" s="29"/>
      <c r="AW282" s="29"/>
      <c r="AX282" s="29"/>
      <c r="AY282" s="29"/>
      <c r="AZ282" s="153">
        <f>SUM(AT282:AY282)</f>
        <v>0</v>
      </c>
      <c r="BB282" s="29"/>
      <c r="BC282" s="29"/>
      <c r="BD282" s="29"/>
      <c r="BE282" s="29"/>
      <c r="BF282" s="29"/>
      <c r="BG282" s="29"/>
      <c r="BH282" s="195">
        <f>SUM(BB282:BG282)</f>
        <v>0</v>
      </c>
      <c r="BJ282" s="29"/>
      <c r="BK282" s="29"/>
      <c r="BL282" s="29"/>
      <c r="BM282" s="29"/>
      <c r="BN282" s="29"/>
      <c r="BO282" s="29"/>
      <c r="BP282" s="1630">
        <f>SUM(BJ282:BO282)</f>
        <v>0</v>
      </c>
      <c r="BR282" s="575">
        <f t="shared" si="1470"/>
        <v>0</v>
      </c>
      <c r="BS282" s="575">
        <f t="shared" si="1471"/>
        <v>0</v>
      </c>
      <c r="BT282" s="575">
        <f t="shared" si="1472"/>
        <v>0</v>
      </c>
      <c r="BU282" s="575">
        <f t="shared" si="1473"/>
        <v>0</v>
      </c>
      <c r="BV282" s="575">
        <f t="shared" si="1474"/>
        <v>0</v>
      </c>
      <c r="BW282" s="575">
        <f t="shared" si="1475"/>
        <v>0</v>
      </c>
      <c r="BX282" s="991">
        <f t="shared" si="1476"/>
        <v>0</v>
      </c>
      <c r="BY282" s="573">
        <f t="shared" ca="1" si="1477"/>
        <v>0</v>
      </c>
      <c r="BZ282" s="257"/>
      <c r="CB282" s="1350">
        <f ca="1">D282</f>
        <v>0</v>
      </c>
      <c r="CC282" s="1268"/>
      <c r="CD282" s="1269"/>
      <c r="CE282" s="1269"/>
      <c r="CF282" s="1269"/>
      <c r="CG282" s="1270">
        <f ca="1">E282</f>
        <v>0</v>
      </c>
      <c r="CH282" s="1271"/>
      <c r="CI282" s="1272"/>
      <c r="CJ282" s="1272"/>
      <c r="CK282" s="1272"/>
      <c r="CL282" s="1273">
        <f ca="1">F282</f>
        <v>0</v>
      </c>
      <c r="CM282" s="1274"/>
      <c r="CN282" s="1275"/>
      <c r="CO282" s="1276"/>
      <c r="CP282" s="1224">
        <f t="shared" ca="1" si="1500"/>
        <v>0</v>
      </c>
      <c r="CS282" s="575"/>
      <c r="CT282" s="5"/>
      <c r="CU282" s="1180"/>
      <c r="CV282" s="575"/>
      <c r="CW282" s="5"/>
      <c r="CX282" s="1180"/>
      <c r="CY282" s="575"/>
      <c r="CZ282" s="5"/>
      <c r="DA282" s="1180"/>
      <c r="DB282" s="575"/>
      <c r="DC282" s="5"/>
      <c r="DD282" s="1180"/>
      <c r="DE282" s="1181">
        <f>SUM(CS282:DD282)</f>
        <v>0</v>
      </c>
      <c r="DG282" s="575"/>
      <c r="DH282" s="5"/>
      <c r="DI282" s="1180"/>
      <c r="DJ282" s="575"/>
      <c r="DK282" s="5"/>
      <c r="DL282" s="1180"/>
      <c r="DM282" s="575"/>
      <c r="DN282" s="5"/>
      <c r="DO282" s="1180"/>
      <c r="DP282" s="575"/>
      <c r="DQ282" s="5"/>
      <c r="DR282" s="1180"/>
      <c r="DS282" s="1181">
        <f>SUM(DG282:DR282)</f>
        <v>0</v>
      </c>
      <c r="DU282" s="575"/>
      <c r="DV282" s="5"/>
      <c r="DW282" s="1180"/>
      <c r="DX282" s="575"/>
      <c r="DY282" s="5"/>
      <c r="DZ282" s="1180"/>
      <c r="EA282" s="575"/>
      <c r="EB282" s="5"/>
      <c r="EC282" s="1180"/>
      <c r="ED282" s="575"/>
      <c r="EE282" s="5"/>
      <c r="EF282" s="1180"/>
      <c r="EG282" s="1181">
        <f>SUM(DU282:EF282)</f>
        <v>0</v>
      </c>
      <c r="EI282" s="480"/>
      <c r="EJ282" s="3291"/>
      <c r="EK282" s="78" t="s">
        <v>96</v>
      </c>
      <c r="EL282" s="29">
        <f t="shared" ca="1" si="1522"/>
        <v>0</v>
      </c>
      <c r="EM282" s="29">
        <f t="shared" ca="1" si="1522"/>
        <v>0</v>
      </c>
      <c r="EN282" s="29">
        <f t="shared" ca="1" si="1522"/>
        <v>0</v>
      </c>
      <c r="EO282" s="29">
        <f t="shared" ca="1" si="1522"/>
        <v>0</v>
      </c>
      <c r="EP282" s="29">
        <f t="shared" ca="1" si="1522"/>
        <v>0</v>
      </c>
      <c r="EQ282" s="29">
        <f t="shared" ca="1" si="1522"/>
        <v>0</v>
      </c>
      <c r="ER282" s="88">
        <f t="shared" ca="1" si="1501"/>
        <v>0</v>
      </c>
      <c r="ET282" s="9"/>
      <c r="EU282" s="9"/>
      <c r="EV282" s="29">
        <f t="shared" si="1523"/>
        <v>0</v>
      </c>
      <c r="EW282" s="29">
        <f t="shared" si="1523"/>
        <v>0</v>
      </c>
      <c r="EX282" s="29">
        <f t="shared" si="1523"/>
        <v>0</v>
      </c>
      <c r="EY282" s="29">
        <f t="shared" si="1523"/>
        <v>0</v>
      </c>
      <c r="EZ282" s="29">
        <f t="shared" si="1523"/>
        <v>0</v>
      </c>
      <c r="FA282" s="29">
        <f t="shared" si="1523"/>
        <v>0</v>
      </c>
      <c r="FB282" s="167">
        <f>SUM(EV282:FA282)</f>
        <v>0</v>
      </c>
      <c r="FC282" s="1"/>
      <c r="FD282" s="29"/>
      <c r="FE282" s="29"/>
      <c r="FF282" s="29"/>
      <c r="FG282" s="29"/>
      <c r="FH282" s="29"/>
      <c r="FI282" s="29"/>
      <c r="FJ282" s="48">
        <f>SUM(FD282:FI282)</f>
        <v>0</v>
      </c>
      <c r="FL282" s="29"/>
      <c r="FM282" s="29"/>
      <c r="FN282" s="29"/>
      <c r="FO282" s="29"/>
      <c r="FP282" s="29"/>
      <c r="FQ282" s="29"/>
      <c r="FR282" s="209">
        <f>SUM(FL282:FQ282)</f>
        <v>0</v>
      </c>
      <c r="FT282" s="29"/>
      <c r="FU282" s="29"/>
      <c r="FV282" s="29"/>
      <c r="FW282" s="29"/>
      <c r="FX282" s="29"/>
      <c r="FY282" s="29"/>
      <c r="FZ282" s="181">
        <f>SUM(FT282:FY282)</f>
        <v>0</v>
      </c>
      <c r="GB282" s="29"/>
      <c r="GC282" s="29"/>
      <c r="GD282" s="29"/>
      <c r="GE282" s="29"/>
      <c r="GF282" s="29"/>
      <c r="GG282" s="29"/>
      <c r="GH282" s="153">
        <f>SUM(GB282:GG282)</f>
        <v>0</v>
      </c>
      <c r="GJ282" s="29"/>
      <c r="GK282" s="29"/>
      <c r="GL282" s="29"/>
      <c r="GM282" s="29"/>
      <c r="GN282" s="29"/>
      <c r="GO282" s="29"/>
      <c r="GP282" s="195">
        <f>SUM(GJ282:GO282)</f>
        <v>0</v>
      </c>
      <c r="GR282" s="29"/>
      <c r="GS282" s="29"/>
      <c r="GT282" s="29"/>
      <c r="GU282" s="29"/>
      <c r="GV282" s="29"/>
      <c r="GW282" s="29"/>
      <c r="GX282" s="1630">
        <f>SUM(GR282:GW282)</f>
        <v>0</v>
      </c>
      <c r="GZ282" s="575">
        <f t="shared" si="1490"/>
        <v>0</v>
      </c>
      <c r="HA282" s="575">
        <f t="shared" si="1491"/>
        <v>0</v>
      </c>
      <c r="HB282" s="575">
        <f t="shared" si="1492"/>
        <v>0</v>
      </c>
      <c r="HC282" s="575">
        <f t="shared" si="1493"/>
        <v>0</v>
      </c>
      <c r="HD282" s="575">
        <f t="shared" si="1494"/>
        <v>0</v>
      </c>
      <c r="HE282" s="575">
        <f t="shared" si="1495"/>
        <v>0</v>
      </c>
      <c r="HF282" s="991">
        <f t="shared" si="1496"/>
        <v>0</v>
      </c>
      <c r="HG282" s="573">
        <f t="shared" ca="1" si="1497"/>
        <v>0</v>
      </c>
      <c r="HH282" s="257"/>
    </row>
    <row r="283" spans="1:216" ht="15" hidden="1" customHeight="1" thickBot="1" x14ac:dyDescent="0.3">
      <c r="A283" s="480"/>
      <c r="B283" s="1841">
        <f>'Calc - GRAD ASST'!C413</f>
        <v>0</v>
      </c>
      <c r="C283" s="420" t="s">
        <v>130</v>
      </c>
      <c r="D283" s="42">
        <f ca="1">'Calc - GRAD ASST'!$M$426</f>
        <v>0</v>
      </c>
      <c r="E283" s="42">
        <f ca="1">'Calc - GRAD ASST'!$M$428</f>
        <v>0</v>
      </c>
      <c r="F283" s="42">
        <f ca="1">'Calc - GRAD ASST'!$M$430</f>
        <v>0</v>
      </c>
      <c r="G283" s="42">
        <f ca="1">'Calc - GRAD ASST'!$M$432</f>
        <v>0</v>
      </c>
      <c r="H283" s="42">
        <f ca="1">'Calc - GRAD ASST'!$M$434</f>
        <v>0</v>
      </c>
      <c r="I283" s="42">
        <f ca="1">'Calc - GRAD ASST'!$M$436</f>
        <v>0</v>
      </c>
      <c r="J283" s="90">
        <f ca="1">SUM(D283:I283)</f>
        <v>0</v>
      </c>
      <c r="K283" s="9"/>
      <c r="L283" s="9"/>
      <c r="M283" s="9"/>
      <c r="N283" s="5"/>
      <c r="O283" s="5"/>
      <c r="P283" s="5"/>
      <c r="Q283" s="5"/>
      <c r="R283" s="5"/>
      <c r="S283" s="5"/>
      <c r="T283" s="167">
        <f>SUM(N283:S283)</f>
        <v>0</v>
      </c>
      <c r="U283" s="1"/>
      <c r="V283" s="5"/>
      <c r="W283" s="5"/>
      <c r="X283" s="5"/>
      <c r="Y283" s="5"/>
      <c r="Z283" s="5"/>
      <c r="AA283" s="5"/>
      <c r="AB283" s="48">
        <f>SUM(V283:AA283)</f>
        <v>0</v>
      </c>
      <c r="AD283" s="5"/>
      <c r="AE283" s="5"/>
      <c r="AF283" s="5"/>
      <c r="AG283" s="5"/>
      <c r="AH283" s="5"/>
      <c r="AI283" s="5"/>
      <c r="AJ283" s="209">
        <f>SUM(AD283:AI283)</f>
        <v>0</v>
      </c>
      <c r="AL283" s="5"/>
      <c r="AM283" s="5"/>
      <c r="AN283" s="5"/>
      <c r="AO283" s="5"/>
      <c r="AP283" s="5"/>
      <c r="AQ283" s="5"/>
      <c r="AR283" s="181">
        <f>SUM(AL283:AQ283)</f>
        <v>0</v>
      </c>
      <c r="AT283" s="5"/>
      <c r="AU283" s="5"/>
      <c r="AV283" s="5"/>
      <c r="AW283" s="5"/>
      <c r="AX283" s="5"/>
      <c r="AY283" s="5"/>
      <c r="AZ283" s="153">
        <f>SUM(AT283:AY283)</f>
        <v>0</v>
      </c>
      <c r="BB283" s="5"/>
      <c r="BC283" s="5"/>
      <c r="BD283" s="5"/>
      <c r="BE283" s="5"/>
      <c r="BF283" s="5"/>
      <c r="BG283" s="5"/>
      <c r="BH283" s="195">
        <f>SUM(BB283:BG283)</f>
        <v>0</v>
      </c>
      <c r="BJ283" s="5"/>
      <c r="BK283" s="5"/>
      <c r="BL283" s="5"/>
      <c r="BM283" s="5"/>
      <c r="BN283" s="5"/>
      <c r="BO283" s="5"/>
      <c r="BP283" s="1630">
        <f>SUM(BJ283:BO283)</f>
        <v>0</v>
      </c>
      <c r="BR283" s="575">
        <f t="shared" si="1470"/>
        <v>0</v>
      </c>
      <c r="BS283" s="575">
        <f t="shared" si="1471"/>
        <v>0</v>
      </c>
      <c r="BT283" s="575">
        <f t="shared" si="1472"/>
        <v>0</v>
      </c>
      <c r="BU283" s="575">
        <f t="shared" si="1473"/>
        <v>0</v>
      </c>
      <c r="BV283" s="575">
        <f t="shared" si="1474"/>
        <v>0</v>
      </c>
      <c r="BW283" s="575">
        <f t="shared" si="1475"/>
        <v>0</v>
      </c>
      <c r="BX283" s="991">
        <f t="shared" si="1476"/>
        <v>0</v>
      </c>
      <c r="BY283" s="573">
        <f t="shared" ca="1" si="1477"/>
        <v>0</v>
      </c>
      <c r="BZ283" s="257"/>
      <c r="CB283" s="1330">
        <f ca="1">D283</f>
        <v>0</v>
      </c>
      <c r="CC283" s="1201">
        <f ca="1">($E283-$CG283)/3</f>
        <v>0</v>
      </c>
      <c r="CD283" s="1202">
        <f ca="1">($E283-$CG283)/3</f>
        <v>0</v>
      </c>
      <c r="CE283" s="1202">
        <f ca="1">($E283-$CG283)/3</f>
        <v>0</v>
      </c>
      <c r="CF283" s="1202"/>
      <c r="CG283" s="1203">
        <f ca="1">OFFSET('Calc - GRAD ASST'!$K$20,14*29+2,0)</f>
        <v>0</v>
      </c>
      <c r="CH283" s="1251">
        <f ca="1">($F283-$CL283)/3</f>
        <v>0</v>
      </c>
      <c r="CI283" s="1205">
        <f ca="1">($F283-$CL283)/3</f>
        <v>0</v>
      </c>
      <c r="CJ283" s="1205">
        <f ca="1">($F283-$CL283)/3</f>
        <v>0</v>
      </c>
      <c r="CK283" s="1205"/>
      <c r="CL283" s="1206">
        <f ca="1">OFFSET('Calc - GRAD ASST'!$K$20,14*29+4,0)</f>
        <v>0</v>
      </c>
      <c r="CM283" s="1207">
        <f ca="1">$G283/3</f>
        <v>0</v>
      </c>
      <c r="CN283" s="1252">
        <f ca="1">$G283/3</f>
        <v>0</v>
      </c>
      <c r="CO283" s="1209">
        <f ca="1">$G283/3</f>
        <v>0</v>
      </c>
      <c r="CP283" s="1316">
        <f t="shared" ca="1" si="1500"/>
        <v>0</v>
      </c>
      <c r="CS283" s="575"/>
      <c r="CT283" s="5"/>
      <c r="CU283" s="1180"/>
      <c r="CV283" s="575"/>
      <c r="CW283" s="5"/>
      <c r="CX283" s="1180"/>
      <c r="CY283" s="575"/>
      <c r="CZ283" s="5"/>
      <c r="DA283" s="1180"/>
      <c r="DB283" s="575"/>
      <c r="DC283" s="5"/>
      <c r="DD283" s="1180"/>
      <c r="DE283" s="1181">
        <f>SUM(CS283:DD283)</f>
        <v>0</v>
      </c>
      <c r="DG283" s="575"/>
      <c r="DH283" s="5"/>
      <c r="DI283" s="1180"/>
      <c r="DJ283" s="575"/>
      <c r="DK283" s="5"/>
      <c r="DL283" s="1180"/>
      <c r="DM283" s="575"/>
      <c r="DN283" s="5"/>
      <c r="DO283" s="1180"/>
      <c r="DP283" s="575"/>
      <c r="DQ283" s="5"/>
      <c r="DR283" s="1180"/>
      <c r="DS283" s="1181">
        <f>SUM(DG283:DR283)</f>
        <v>0</v>
      </c>
      <c r="DU283" s="575"/>
      <c r="DV283" s="5"/>
      <c r="DW283" s="1180"/>
      <c r="DX283" s="575"/>
      <c r="DY283" s="5"/>
      <c r="DZ283" s="1180"/>
      <c r="EA283" s="575"/>
      <c r="EB283" s="5"/>
      <c r="EC283" s="1180"/>
      <c r="ED283" s="575"/>
      <c r="EE283" s="5"/>
      <c r="EF283" s="1180"/>
      <c r="EG283" s="1181">
        <f>SUM(DU283:EF283)</f>
        <v>0</v>
      </c>
      <c r="EI283" s="480"/>
      <c r="EJ283" s="1841">
        <f>B283</f>
        <v>0</v>
      </c>
      <c r="EK283" s="420" t="s">
        <v>130</v>
      </c>
      <c r="EL283" s="42">
        <f t="shared" ca="1" si="1522"/>
        <v>0</v>
      </c>
      <c r="EM283" s="42">
        <f t="shared" ca="1" si="1522"/>
        <v>0</v>
      </c>
      <c r="EN283" s="42">
        <f t="shared" ca="1" si="1522"/>
        <v>0</v>
      </c>
      <c r="EO283" s="42">
        <f t="shared" ca="1" si="1522"/>
        <v>0</v>
      </c>
      <c r="EP283" s="42">
        <f t="shared" ca="1" si="1522"/>
        <v>0</v>
      </c>
      <c r="EQ283" s="42">
        <f t="shared" ca="1" si="1522"/>
        <v>0</v>
      </c>
      <c r="ER283" s="90">
        <f t="shared" ca="1" si="1501"/>
        <v>0</v>
      </c>
      <c r="ES283" s="9"/>
      <c r="ET283" s="9"/>
      <c r="EU283" s="9"/>
      <c r="EV283" s="5">
        <f t="shared" si="1523"/>
        <v>0</v>
      </c>
      <c r="EW283" s="5">
        <f t="shared" si="1523"/>
        <v>0</v>
      </c>
      <c r="EX283" s="5">
        <f t="shared" si="1523"/>
        <v>0</v>
      </c>
      <c r="EY283" s="5">
        <f t="shared" si="1523"/>
        <v>0</v>
      </c>
      <c r="EZ283" s="5">
        <f t="shared" si="1523"/>
        <v>0</v>
      </c>
      <c r="FA283" s="5">
        <f t="shared" si="1523"/>
        <v>0</v>
      </c>
      <c r="FB283" s="167">
        <f>SUM(EV283:FA283)</f>
        <v>0</v>
      </c>
      <c r="FC283" s="1"/>
      <c r="FD283" s="5"/>
      <c r="FE283" s="5"/>
      <c r="FF283" s="5"/>
      <c r="FG283" s="5"/>
      <c r="FH283" s="5"/>
      <c r="FI283" s="5"/>
      <c r="FJ283" s="48">
        <f>SUM(FD283:FI283)</f>
        <v>0</v>
      </c>
      <c r="FL283" s="5"/>
      <c r="FM283" s="5"/>
      <c r="FN283" s="5"/>
      <c r="FO283" s="5"/>
      <c r="FP283" s="5"/>
      <c r="FQ283" s="5"/>
      <c r="FR283" s="209">
        <f>SUM(FL283:FQ283)</f>
        <v>0</v>
      </c>
      <c r="FT283" s="5"/>
      <c r="FU283" s="5"/>
      <c r="FV283" s="5"/>
      <c r="FW283" s="5"/>
      <c r="FX283" s="5"/>
      <c r="FY283" s="5"/>
      <c r="FZ283" s="181">
        <f>SUM(FT283:FY283)</f>
        <v>0</v>
      </c>
      <c r="GB283" s="5"/>
      <c r="GC283" s="5"/>
      <c r="GD283" s="5"/>
      <c r="GE283" s="5"/>
      <c r="GF283" s="5"/>
      <c r="GG283" s="5"/>
      <c r="GH283" s="153">
        <f>SUM(GB283:GG283)</f>
        <v>0</v>
      </c>
      <c r="GJ283" s="5"/>
      <c r="GK283" s="5"/>
      <c r="GL283" s="5"/>
      <c r="GM283" s="5"/>
      <c r="GN283" s="5"/>
      <c r="GO283" s="5"/>
      <c r="GP283" s="195">
        <f>SUM(GJ283:GO283)</f>
        <v>0</v>
      </c>
      <c r="GR283" s="5"/>
      <c r="GS283" s="5"/>
      <c r="GT283" s="5"/>
      <c r="GU283" s="5"/>
      <c r="GV283" s="5"/>
      <c r="GW283" s="5"/>
      <c r="GX283" s="1630">
        <f>SUM(GR283:GW283)</f>
        <v>0</v>
      </c>
      <c r="GZ283" s="575">
        <f t="shared" si="1490"/>
        <v>0</v>
      </c>
      <c r="HA283" s="575">
        <f t="shared" si="1491"/>
        <v>0</v>
      </c>
      <c r="HB283" s="575">
        <f t="shared" si="1492"/>
        <v>0</v>
      </c>
      <c r="HC283" s="575">
        <f t="shared" si="1493"/>
        <v>0</v>
      </c>
      <c r="HD283" s="575">
        <f t="shared" si="1494"/>
        <v>0</v>
      </c>
      <c r="HE283" s="575">
        <f t="shared" si="1495"/>
        <v>0</v>
      </c>
      <c r="HF283" s="991">
        <f t="shared" si="1496"/>
        <v>0</v>
      </c>
      <c r="HG283" s="573">
        <f t="shared" ca="1" si="1497"/>
        <v>0</v>
      </c>
      <c r="HH283" s="257"/>
    </row>
    <row r="284" spans="1:216" ht="15" hidden="1" customHeight="1" thickBot="1" x14ac:dyDescent="0.3">
      <c r="A284" s="480"/>
      <c r="B284" s="1842"/>
      <c r="C284" s="1625" t="s">
        <v>508</v>
      </c>
      <c r="D284" s="1626">
        <f t="shared" ref="D284:J284" ca="1" si="1524">SUM(D281:D283)</f>
        <v>0</v>
      </c>
      <c r="E284" s="1626">
        <f t="shared" ca="1" si="1524"/>
        <v>0</v>
      </c>
      <c r="F284" s="1626">
        <f t="shared" ca="1" si="1524"/>
        <v>0</v>
      </c>
      <c r="G284" s="1626">
        <f t="shared" ca="1" si="1524"/>
        <v>0</v>
      </c>
      <c r="H284" s="1626">
        <f t="shared" ca="1" si="1524"/>
        <v>0</v>
      </c>
      <c r="I284" s="1626">
        <f t="shared" ca="1" si="1524"/>
        <v>0</v>
      </c>
      <c r="J284" s="1627">
        <f t="shared" ca="1" si="1524"/>
        <v>0</v>
      </c>
      <c r="K284" s="13">
        <f ca="1">SUM(D284:I284)</f>
        <v>0</v>
      </c>
      <c r="L284" s="13"/>
      <c r="M284" s="9"/>
      <c r="N284" s="1629">
        <f t="shared" ref="N284:T284" si="1525">SUM(N281:N283)</f>
        <v>0</v>
      </c>
      <c r="O284" s="1629">
        <f t="shared" si="1525"/>
        <v>0</v>
      </c>
      <c r="P284" s="1629">
        <f t="shared" si="1525"/>
        <v>0</v>
      </c>
      <c r="Q284" s="1629">
        <f t="shared" si="1525"/>
        <v>0</v>
      </c>
      <c r="R284" s="1629">
        <f t="shared" si="1525"/>
        <v>0</v>
      </c>
      <c r="S284" s="1629">
        <f t="shared" si="1525"/>
        <v>0</v>
      </c>
      <c r="T284" s="1628">
        <f t="shared" si="1525"/>
        <v>0</v>
      </c>
      <c r="U284" s="1"/>
      <c r="V284" s="1629">
        <f t="shared" ref="V284:AB284" si="1526">SUM(V281:V283)</f>
        <v>0</v>
      </c>
      <c r="W284" s="1629">
        <f t="shared" si="1526"/>
        <v>0</v>
      </c>
      <c r="X284" s="1629">
        <f t="shared" si="1526"/>
        <v>0</v>
      </c>
      <c r="Y284" s="1629">
        <f t="shared" si="1526"/>
        <v>0</v>
      </c>
      <c r="Z284" s="1629">
        <f t="shared" si="1526"/>
        <v>0</v>
      </c>
      <c r="AA284" s="1629">
        <f t="shared" si="1526"/>
        <v>0</v>
      </c>
      <c r="AB284" s="1628">
        <f t="shared" si="1526"/>
        <v>0</v>
      </c>
      <c r="AD284" s="1629">
        <f t="shared" ref="AD284:AJ284" si="1527">SUM(AD281:AD283)</f>
        <v>0</v>
      </c>
      <c r="AE284" s="1629">
        <f t="shared" si="1527"/>
        <v>0</v>
      </c>
      <c r="AF284" s="1629">
        <f t="shared" si="1527"/>
        <v>0</v>
      </c>
      <c r="AG284" s="1629">
        <f t="shared" si="1527"/>
        <v>0</v>
      </c>
      <c r="AH284" s="1629">
        <f t="shared" si="1527"/>
        <v>0</v>
      </c>
      <c r="AI284" s="1629">
        <f t="shared" si="1527"/>
        <v>0</v>
      </c>
      <c r="AJ284" s="1628">
        <f t="shared" si="1527"/>
        <v>0</v>
      </c>
      <c r="AL284" s="7">
        <f t="shared" ref="AL284:AR284" si="1528">SUM(AL281:AL283)</f>
        <v>0</v>
      </c>
      <c r="AM284" s="7">
        <f t="shared" si="1528"/>
        <v>0</v>
      </c>
      <c r="AN284" s="7">
        <f t="shared" si="1528"/>
        <v>0</v>
      </c>
      <c r="AO284" s="7">
        <f t="shared" si="1528"/>
        <v>0</v>
      </c>
      <c r="AP284" s="7">
        <f t="shared" si="1528"/>
        <v>0</v>
      </c>
      <c r="AQ284" s="7">
        <f t="shared" si="1528"/>
        <v>0</v>
      </c>
      <c r="AR284" s="12">
        <f t="shared" si="1528"/>
        <v>0</v>
      </c>
      <c r="AT284" s="7">
        <f t="shared" ref="AT284:AZ284" si="1529">SUM(AT281:AT283)</f>
        <v>0</v>
      </c>
      <c r="AU284" s="7">
        <f t="shared" si="1529"/>
        <v>0</v>
      </c>
      <c r="AV284" s="7">
        <f t="shared" si="1529"/>
        <v>0</v>
      </c>
      <c r="AW284" s="7">
        <f t="shared" si="1529"/>
        <v>0</v>
      </c>
      <c r="AX284" s="7">
        <f t="shared" si="1529"/>
        <v>0</v>
      </c>
      <c r="AY284" s="7">
        <f t="shared" si="1529"/>
        <v>0</v>
      </c>
      <c r="AZ284" s="12">
        <f t="shared" si="1529"/>
        <v>0</v>
      </c>
      <c r="BB284" s="7">
        <f t="shared" ref="BB284:BH284" si="1530">SUM(BB281:BB283)</f>
        <v>0</v>
      </c>
      <c r="BC284" s="7">
        <f t="shared" si="1530"/>
        <v>0</v>
      </c>
      <c r="BD284" s="7">
        <f t="shared" si="1530"/>
        <v>0</v>
      </c>
      <c r="BE284" s="7">
        <f t="shared" si="1530"/>
        <v>0</v>
      </c>
      <c r="BF284" s="7">
        <f t="shared" si="1530"/>
        <v>0</v>
      </c>
      <c r="BG284" s="7">
        <f t="shared" si="1530"/>
        <v>0</v>
      </c>
      <c r="BH284" s="12">
        <f t="shared" si="1530"/>
        <v>0</v>
      </c>
      <c r="BJ284" s="7">
        <f t="shared" ref="BJ284:BP284" si="1531">SUM(BJ281:BJ283)</f>
        <v>0</v>
      </c>
      <c r="BK284" s="7">
        <f t="shared" si="1531"/>
        <v>0</v>
      </c>
      <c r="BL284" s="7">
        <f t="shared" si="1531"/>
        <v>0</v>
      </c>
      <c r="BM284" s="7">
        <f t="shared" si="1531"/>
        <v>0</v>
      </c>
      <c r="BN284" s="7">
        <f t="shared" si="1531"/>
        <v>0</v>
      </c>
      <c r="BO284" s="7">
        <f t="shared" si="1531"/>
        <v>0</v>
      </c>
      <c r="BP284" s="12">
        <f t="shared" si="1531"/>
        <v>0</v>
      </c>
      <c r="BR284" s="589">
        <f t="shared" si="1470"/>
        <v>0</v>
      </c>
      <c r="BS284" s="589">
        <f t="shared" si="1471"/>
        <v>0</v>
      </c>
      <c r="BT284" s="589">
        <f t="shared" si="1472"/>
        <v>0</v>
      </c>
      <c r="BU284" s="589">
        <f t="shared" si="1473"/>
        <v>0</v>
      </c>
      <c r="BV284" s="589">
        <f t="shared" si="1474"/>
        <v>0</v>
      </c>
      <c r="BW284" s="589">
        <f t="shared" si="1475"/>
        <v>0</v>
      </c>
      <c r="BX284" s="589">
        <f t="shared" si="1476"/>
        <v>0</v>
      </c>
      <c r="BY284" s="590">
        <f t="shared" ca="1" si="1477"/>
        <v>0</v>
      </c>
      <c r="BZ284" s="257"/>
      <c r="CB284" s="1299">
        <f t="shared" ref="CB284:CO284" ca="1" si="1532">SUM(CB281:CB283)</f>
        <v>0</v>
      </c>
      <c r="CC284" s="355">
        <f t="shared" ca="1" si="1532"/>
        <v>0</v>
      </c>
      <c r="CD284" s="355">
        <f t="shared" ca="1" si="1532"/>
        <v>0</v>
      </c>
      <c r="CE284" s="355">
        <f t="shared" ca="1" si="1532"/>
        <v>0</v>
      </c>
      <c r="CF284" s="355">
        <f t="shared" si="1532"/>
        <v>0</v>
      </c>
      <c r="CG284" s="631">
        <f t="shared" ca="1" si="1532"/>
        <v>0</v>
      </c>
      <c r="CH284" s="355">
        <f t="shared" ca="1" si="1532"/>
        <v>0</v>
      </c>
      <c r="CI284" s="355">
        <f t="shared" ca="1" si="1532"/>
        <v>0</v>
      </c>
      <c r="CJ284" s="355">
        <f t="shared" ca="1" si="1532"/>
        <v>0</v>
      </c>
      <c r="CK284" s="355">
        <f t="shared" si="1532"/>
        <v>0</v>
      </c>
      <c r="CL284" s="632">
        <f t="shared" ca="1" si="1532"/>
        <v>0</v>
      </c>
      <c r="CM284" s="1298">
        <f t="shared" ca="1" si="1532"/>
        <v>0</v>
      </c>
      <c r="CN284" s="355">
        <f t="shared" ca="1" si="1532"/>
        <v>0</v>
      </c>
      <c r="CO284" s="631">
        <f t="shared" ca="1" si="1532"/>
        <v>0</v>
      </c>
      <c r="CP284" s="1230">
        <f t="shared" ca="1" si="1500"/>
        <v>0</v>
      </c>
      <c r="CS284" s="1231">
        <f t="shared" ref="CS284:DE284" si="1533">SUM(CS281:CS283)</f>
        <v>0</v>
      </c>
      <c r="CT284" s="7">
        <f t="shared" si="1533"/>
        <v>0</v>
      </c>
      <c r="CU284" s="573">
        <f t="shared" si="1533"/>
        <v>0</v>
      </c>
      <c r="CV284" s="1231">
        <f t="shared" si="1533"/>
        <v>0</v>
      </c>
      <c r="CW284" s="7">
        <f t="shared" si="1533"/>
        <v>0</v>
      </c>
      <c r="CX284" s="573">
        <f t="shared" si="1533"/>
        <v>0</v>
      </c>
      <c r="CY284" s="1231">
        <f t="shared" si="1533"/>
        <v>0</v>
      </c>
      <c r="CZ284" s="7">
        <f t="shared" si="1533"/>
        <v>0</v>
      </c>
      <c r="DA284" s="573">
        <f t="shared" si="1533"/>
        <v>0</v>
      </c>
      <c r="DB284" s="1231">
        <f t="shared" si="1533"/>
        <v>0</v>
      </c>
      <c r="DC284" s="7">
        <f t="shared" si="1533"/>
        <v>0</v>
      </c>
      <c r="DD284" s="573">
        <f t="shared" si="1533"/>
        <v>0</v>
      </c>
      <c r="DE284" s="1181">
        <f t="shared" si="1533"/>
        <v>0</v>
      </c>
      <c r="DG284" s="1231">
        <f t="shared" ref="DG284:DS284" si="1534">SUM(DG281:DG283)</f>
        <v>0</v>
      </c>
      <c r="DH284" s="7">
        <f t="shared" si="1534"/>
        <v>0</v>
      </c>
      <c r="DI284" s="573">
        <f t="shared" si="1534"/>
        <v>0</v>
      </c>
      <c r="DJ284" s="1231">
        <f t="shared" si="1534"/>
        <v>0</v>
      </c>
      <c r="DK284" s="7">
        <f t="shared" si="1534"/>
        <v>0</v>
      </c>
      <c r="DL284" s="573">
        <f t="shared" si="1534"/>
        <v>0</v>
      </c>
      <c r="DM284" s="1231">
        <f t="shared" si="1534"/>
        <v>0</v>
      </c>
      <c r="DN284" s="7">
        <f t="shared" si="1534"/>
        <v>0</v>
      </c>
      <c r="DO284" s="573">
        <f t="shared" si="1534"/>
        <v>0</v>
      </c>
      <c r="DP284" s="1231">
        <f t="shared" si="1534"/>
        <v>0</v>
      </c>
      <c r="DQ284" s="7">
        <f t="shared" si="1534"/>
        <v>0</v>
      </c>
      <c r="DR284" s="573">
        <f t="shared" si="1534"/>
        <v>0</v>
      </c>
      <c r="DS284" s="1181">
        <f t="shared" si="1534"/>
        <v>0</v>
      </c>
      <c r="DU284" s="1231">
        <f t="shared" ref="DU284:EG284" si="1535">SUM(DU281:DU283)</f>
        <v>0</v>
      </c>
      <c r="DV284" s="7">
        <f t="shared" si="1535"/>
        <v>0</v>
      </c>
      <c r="DW284" s="573">
        <f t="shared" si="1535"/>
        <v>0</v>
      </c>
      <c r="DX284" s="1231">
        <f t="shared" si="1535"/>
        <v>0</v>
      </c>
      <c r="DY284" s="7">
        <f t="shared" si="1535"/>
        <v>0</v>
      </c>
      <c r="DZ284" s="573">
        <f t="shared" si="1535"/>
        <v>0</v>
      </c>
      <c r="EA284" s="1231">
        <f t="shared" si="1535"/>
        <v>0</v>
      </c>
      <c r="EB284" s="7">
        <f t="shared" si="1535"/>
        <v>0</v>
      </c>
      <c r="EC284" s="573">
        <f t="shared" si="1535"/>
        <v>0</v>
      </c>
      <c r="ED284" s="1231">
        <f t="shared" si="1535"/>
        <v>0</v>
      </c>
      <c r="EE284" s="7">
        <f t="shared" si="1535"/>
        <v>0</v>
      </c>
      <c r="EF284" s="573">
        <f t="shared" si="1535"/>
        <v>0</v>
      </c>
      <c r="EG284" s="1181">
        <f t="shared" si="1535"/>
        <v>0</v>
      </c>
      <c r="EI284" s="480"/>
      <c r="EJ284" s="1842"/>
      <c r="EK284" s="1625" t="s">
        <v>508</v>
      </c>
      <c r="EL284" s="1626">
        <f t="shared" ref="EL284:EQ284" ca="1" si="1536">SUM(EL281:EL283)</f>
        <v>0</v>
      </c>
      <c r="EM284" s="1626">
        <f t="shared" ca="1" si="1536"/>
        <v>0</v>
      </c>
      <c r="EN284" s="1626">
        <f t="shared" ca="1" si="1536"/>
        <v>0</v>
      </c>
      <c r="EO284" s="1626">
        <f t="shared" ca="1" si="1536"/>
        <v>0</v>
      </c>
      <c r="EP284" s="1626">
        <f t="shared" ca="1" si="1536"/>
        <v>0</v>
      </c>
      <c r="EQ284" s="1626">
        <f t="shared" ca="1" si="1536"/>
        <v>0</v>
      </c>
      <c r="ER284" s="1627">
        <f t="shared" ca="1" si="1501"/>
        <v>0</v>
      </c>
      <c r="ES284" s="13">
        <f ca="1">SUM(ER281:ER283)</f>
        <v>0</v>
      </c>
      <c r="ET284" s="13"/>
      <c r="EU284" s="9"/>
      <c r="EV284" s="1629">
        <f t="shared" ref="EV284:FB284" si="1537">SUM(EV281:EV283)</f>
        <v>0</v>
      </c>
      <c r="EW284" s="1629">
        <f t="shared" si="1537"/>
        <v>0</v>
      </c>
      <c r="EX284" s="1629">
        <f t="shared" si="1537"/>
        <v>0</v>
      </c>
      <c r="EY284" s="1629">
        <f t="shared" si="1537"/>
        <v>0</v>
      </c>
      <c r="EZ284" s="1629">
        <f t="shared" si="1537"/>
        <v>0</v>
      </c>
      <c r="FA284" s="1629">
        <f t="shared" si="1537"/>
        <v>0</v>
      </c>
      <c r="FB284" s="1628">
        <f t="shared" si="1537"/>
        <v>0</v>
      </c>
      <c r="FC284" s="1"/>
      <c r="FD284" s="1629">
        <f t="shared" ref="FD284:FJ284" si="1538">SUM(FD281:FD283)</f>
        <v>0</v>
      </c>
      <c r="FE284" s="1629">
        <f t="shared" si="1538"/>
        <v>0</v>
      </c>
      <c r="FF284" s="1629">
        <f t="shared" si="1538"/>
        <v>0</v>
      </c>
      <c r="FG284" s="1629">
        <f t="shared" si="1538"/>
        <v>0</v>
      </c>
      <c r="FH284" s="1629">
        <f t="shared" si="1538"/>
        <v>0</v>
      </c>
      <c r="FI284" s="1629">
        <f t="shared" si="1538"/>
        <v>0</v>
      </c>
      <c r="FJ284" s="1628">
        <f t="shared" si="1538"/>
        <v>0</v>
      </c>
      <c r="FL284" s="1629">
        <f t="shared" ref="FL284:FR284" si="1539">SUM(FL281:FL283)</f>
        <v>0</v>
      </c>
      <c r="FM284" s="1629">
        <f t="shared" si="1539"/>
        <v>0</v>
      </c>
      <c r="FN284" s="1629">
        <f t="shared" si="1539"/>
        <v>0</v>
      </c>
      <c r="FO284" s="1629">
        <f t="shared" si="1539"/>
        <v>0</v>
      </c>
      <c r="FP284" s="1629">
        <f t="shared" si="1539"/>
        <v>0</v>
      </c>
      <c r="FQ284" s="1629">
        <f t="shared" si="1539"/>
        <v>0</v>
      </c>
      <c r="FR284" s="1628">
        <f t="shared" si="1539"/>
        <v>0</v>
      </c>
      <c r="FT284" s="7">
        <f t="shared" ref="FT284:FZ284" si="1540">SUM(FT281:FT283)</f>
        <v>0</v>
      </c>
      <c r="FU284" s="7">
        <f t="shared" si="1540"/>
        <v>0</v>
      </c>
      <c r="FV284" s="7">
        <f t="shared" si="1540"/>
        <v>0</v>
      </c>
      <c r="FW284" s="7">
        <f t="shared" si="1540"/>
        <v>0</v>
      </c>
      <c r="FX284" s="7">
        <f t="shared" si="1540"/>
        <v>0</v>
      </c>
      <c r="FY284" s="7">
        <f t="shared" si="1540"/>
        <v>0</v>
      </c>
      <c r="FZ284" s="12">
        <f t="shared" si="1540"/>
        <v>0</v>
      </c>
      <c r="GB284" s="7">
        <f t="shared" ref="GB284:GH284" si="1541">SUM(GB281:GB283)</f>
        <v>0</v>
      </c>
      <c r="GC284" s="7">
        <f t="shared" si="1541"/>
        <v>0</v>
      </c>
      <c r="GD284" s="7">
        <f t="shared" si="1541"/>
        <v>0</v>
      </c>
      <c r="GE284" s="7">
        <f t="shared" si="1541"/>
        <v>0</v>
      </c>
      <c r="GF284" s="7">
        <f t="shared" si="1541"/>
        <v>0</v>
      </c>
      <c r="GG284" s="7">
        <f t="shared" si="1541"/>
        <v>0</v>
      </c>
      <c r="GH284" s="12">
        <f t="shared" si="1541"/>
        <v>0</v>
      </c>
      <c r="GJ284" s="7">
        <f t="shared" ref="GJ284:GP284" si="1542">SUM(GJ281:GJ283)</f>
        <v>0</v>
      </c>
      <c r="GK284" s="7">
        <f t="shared" si="1542"/>
        <v>0</v>
      </c>
      <c r="GL284" s="7">
        <f t="shared" si="1542"/>
        <v>0</v>
      </c>
      <c r="GM284" s="7">
        <f t="shared" si="1542"/>
        <v>0</v>
      </c>
      <c r="GN284" s="7">
        <f t="shared" si="1542"/>
        <v>0</v>
      </c>
      <c r="GO284" s="7">
        <f t="shared" si="1542"/>
        <v>0</v>
      </c>
      <c r="GP284" s="12">
        <f t="shared" si="1542"/>
        <v>0</v>
      </c>
      <c r="GR284" s="7">
        <f t="shared" ref="GR284:GX284" si="1543">SUM(GR281:GR283)</f>
        <v>0</v>
      </c>
      <c r="GS284" s="7">
        <f t="shared" si="1543"/>
        <v>0</v>
      </c>
      <c r="GT284" s="7">
        <f t="shared" si="1543"/>
        <v>0</v>
      </c>
      <c r="GU284" s="7">
        <f t="shared" si="1543"/>
        <v>0</v>
      </c>
      <c r="GV284" s="7">
        <f t="shared" si="1543"/>
        <v>0</v>
      </c>
      <c r="GW284" s="7">
        <f t="shared" si="1543"/>
        <v>0</v>
      </c>
      <c r="GX284" s="12">
        <f t="shared" si="1543"/>
        <v>0</v>
      </c>
      <c r="GZ284" s="589">
        <f t="shared" si="1490"/>
        <v>0</v>
      </c>
      <c r="HA284" s="589">
        <f t="shared" si="1491"/>
        <v>0</v>
      </c>
      <c r="HB284" s="589">
        <f t="shared" si="1492"/>
        <v>0</v>
      </c>
      <c r="HC284" s="589">
        <f t="shared" si="1493"/>
        <v>0</v>
      </c>
      <c r="HD284" s="589">
        <f t="shared" si="1494"/>
        <v>0</v>
      </c>
      <c r="HE284" s="589">
        <f t="shared" si="1495"/>
        <v>0</v>
      </c>
      <c r="HF284" s="589">
        <f t="shared" si="1496"/>
        <v>0</v>
      </c>
      <c r="HG284" s="590">
        <f t="shared" ca="1" si="1497"/>
        <v>0</v>
      </c>
      <c r="HH284" s="257"/>
    </row>
    <row r="285" spans="1:216" ht="15" customHeight="1" thickBot="1" x14ac:dyDescent="0.3">
      <c r="A285" s="72"/>
      <c r="B285" s="485"/>
      <c r="C285" s="486" t="s">
        <v>244</v>
      </c>
      <c r="D285" s="378">
        <f t="shared" ref="D285:J285" ca="1" si="1544">SUM(D228,D232,D236,D240,D244,D248,D252,D256,D260,D264,D268,D272,D276,D280,D284)</f>
        <v>0</v>
      </c>
      <c r="E285" s="378">
        <f t="shared" ca="1" si="1544"/>
        <v>0</v>
      </c>
      <c r="F285" s="378">
        <f t="shared" ca="1" si="1544"/>
        <v>0</v>
      </c>
      <c r="G285" s="378">
        <f t="shared" ca="1" si="1544"/>
        <v>0</v>
      </c>
      <c r="H285" s="378">
        <f t="shared" ca="1" si="1544"/>
        <v>0</v>
      </c>
      <c r="I285" s="378">
        <f t="shared" ca="1" si="1544"/>
        <v>0</v>
      </c>
      <c r="J285" s="378">
        <f t="shared" ca="1" si="1544"/>
        <v>0</v>
      </c>
      <c r="K285" s="13">
        <f ca="1">SUM(D285:I285)</f>
        <v>0</v>
      </c>
      <c r="L285" s="13"/>
      <c r="M285" s="9"/>
      <c r="N285" s="173">
        <f t="shared" ref="N285:T285" si="1545">SUM(N228,N232,N236,N240,N244,N248,N252,N256,N260,N264,N268,N272,N276,N280,N284)</f>
        <v>0</v>
      </c>
      <c r="O285" s="173">
        <f t="shared" si="1545"/>
        <v>0</v>
      </c>
      <c r="P285" s="173">
        <f t="shared" si="1545"/>
        <v>0</v>
      </c>
      <c r="Q285" s="173">
        <f t="shared" si="1545"/>
        <v>0</v>
      </c>
      <c r="R285" s="173">
        <f t="shared" si="1545"/>
        <v>0</v>
      </c>
      <c r="S285" s="173">
        <f t="shared" si="1545"/>
        <v>0</v>
      </c>
      <c r="T285" s="173">
        <f t="shared" si="1545"/>
        <v>0</v>
      </c>
      <c r="U285" s="1"/>
      <c r="V285" s="146">
        <f t="shared" ref="V285:AB285" si="1546">SUM(V228,V232,V236,V240,V244,V248,V252,V256,V260,V264,V268,V272,V276,V280,V284)</f>
        <v>0</v>
      </c>
      <c r="W285" s="146">
        <f t="shared" si="1546"/>
        <v>0</v>
      </c>
      <c r="X285" s="146">
        <f t="shared" si="1546"/>
        <v>0</v>
      </c>
      <c r="Y285" s="146">
        <f t="shared" si="1546"/>
        <v>0</v>
      </c>
      <c r="Z285" s="146">
        <f t="shared" si="1546"/>
        <v>0</v>
      </c>
      <c r="AA285" s="146">
        <f t="shared" si="1546"/>
        <v>0</v>
      </c>
      <c r="AB285" s="146">
        <f t="shared" si="1546"/>
        <v>0</v>
      </c>
      <c r="AD285" s="215">
        <f t="shared" ref="AD285:AJ285" si="1547">SUM(AD228,AD232,AD236,AD240,AD244,AD248,AD252,AD256,AD260,AD264,AD268,AD272,AD276,AD280,AD284)</f>
        <v>0</v>
      </c>
      <c r="AE285" s="215">
        <f t="shared" si="1547"/>
        <v>0</v>
      </c>
      <c r="AF285" s="215">
        <f t="shared" si="1547"/>
        <v>0</v>
      </c>
      <c r="AG285" s="215">
        <f t="shared" si="1547"/>
        <v>0</v>
      </c>
      <c r="AH285" s="215">
        <f t="shared" si="1547"/>
        <v>0</v>
      </c>
      <c r="AI285" s="215">
        <f t="shared" si="1547"/>
        <v>0</v>
      </c>
      <c r="AJ285" s="215">
        <f t="shared" si="1547"/>
        <v>0</v>
      </c>
      <c r="AL285" s="187">
        <f t="shared" ref="AL285:AR285" si="1548">SUM(AL228,AL232,AL236,AL240,AL244,AL248,AL252,AL256,AL260,AL264,AL268,AL272,AL276,AL280,AL284)</f>
        <v>0</v>
      </c>
      <c r="AM285" s="187">
        <f t="shared" si="1548"/>
        <v>0</v>
      </c>
      <c r="AN285" s="187">
        <f t="shared" si="1548"/>
        <v>0</v>
      </c>
      <c r="AO285" s="187">
        <f t="shared" si="1548"/>
        <v>0</v>
      </c>
      <c r="AP285" s="187">
        <f t="shared" si="1548"/>
        <v>0</v>
      </c>
      <c r="AQ285" s="187">
        <f t="shared" si="1548"/>
        <v>0</v>
      </c>
      <c r="AR285" s="187">
        <f t="shared" si="1548"/>
        <v>0</v>
      </c>
      <c r="AT285" s="159">
        <f t="shared" ref="AT285:AZ285" si="1549">SUM(AT228,AT232,AT236,AT240,AT244,AT248,AT252,AT256,AT260,AT264,AT268,AT272,AT276,AT280,AT284)</f>
        <v>0</v>
      </c>
      <c r="AU285" s="159">
        <f t="shared" si="1549"/>
        <v>0</v>
      </c>
      <c r="AV285" s="159">
        <f t="shared" si="1549"/>
        <v>0</v>
      </c>
      <c r="AW285" s="159">
        <f t="shared" si="1549"/>
        <v>0</v>
      </c>
      <c r="AX285" s="159">
        <f t="shared" si="1549"/>
        <v>0</v>
      </c>
      <c r="AY285" s="159">
        <f t="shared" si="1549"/>
        <v>0</v>
      </c>
      <c r="AZ285" s="159">
        <f t="shared" si="1549"/>
        <v>0</v>
      </c>
      <c r="BB285" s="201">
        <f t="shared" ref="BB285:BH285" si="1550">SUM(BB228,BB232,BB236,BB240,BB244,BB248,BB252,BB256,BB260,BB264,BB268,BB272,BB276,BB280,BB284)</f>
        <v>0</v>
      </c>
      <c r="BC285" s="201">
        <f t="shared" si="1550"/>
        <v>0</v>
      </c>
      <c r="BD285" s="201">
        <f t="shared" si="1550"/>
        <v>0</v>
      </c>
      <c r="BE285" s="201">
        <f t="shared" si="1550"/>
        <v>0</v>
      </c>
      <c r="BF285" s="201">
        <f t="shared" si="1550"/>
        <v>0</v>
      </c>
      <c r="BG285" s="201">
        <f t="shared" si="1550"/>
        <v>0</v>
      </c>
      <c r="BH285" s="201">
        <f t="shared" si="1550"/>
        <v>0</v>
      </c>
      <c r="BJ285" s="1631">
        <f t="shared" ref="BJ285:BP285" si="1551">SUM(BJ228,BJ232,BJ236,BJ240,BJ244,BJ248,BJ252,BJ256,BJ260,BJ264,BJ268,BJ272,BJ276,BJ280,BJ284)</f>
        <v>0</v>
      </c>
      <c r="BK285" s="1631">
        <f t="shared" si="1551"/>
        <v>0</v>
      </c>
      <c r="BL285" s="1631">
        <f t="shared" si="1551"/>
        <v>0</v>
      </c>
      <c r="BM285" s="1631">
        <f t="shared" si="1551"/>
        <v>0</v>
      </c>
      <c r="BN285" s="1631">
        <f t="shared" si="1551"/>
        <v>0</v>
      </c>
      <c r="BO285" s="1631">
        <f t="shared" si="1551"/>
        <v>0</v>
      </c>
      <c r="BP285" s="1631">
        <f t="shared" si="1551"/>
        <v>0</v>
      </c>
      <c r="BR285" s="997">
        <f t="shared" si="1470"/>
        <v>0</v>
      </c>
      <c r="BS285" s="997">
        <f t="shared" si="1471"/>
        <v>0</v>
      </c>
      <c r="BT285" s="997">
        <f t="shared" si="1472"/>
        <v>0</v>
      </c>
      <c r="BU285" s="997">
        <f t="shared" si="1473"/>
        <v>0</v>
      </c>
      <c r="BV285" s="997">
        <f t="shared" si="1474"/>
        <v>0</v>
      </c>
      <c r="BW285" s="997">
        <f t="shared" si="1475"/>
        <v>0</v>
      </c>
      <c r="BX285" s="997">
        <f t="shared" si="1476"/>
        <v>0</v>
      </c>
      <c r="BY285" s="273">
        <f t="shared" ca="1" si="1477"/>
        <v>0</v>
      </c>
      <c r="BZ285" s="260"/>
      <c r="CB285" s="1352">
        <f t="shared" ref="CB285:CO285" ca="1" si="1552">SUM(CB228,CB232,CB236,CB240,CB244,CB248,CB252,CB256,CB260,CB264,CB268,CB272,CB276,CB280,CB284)</f>
        <v>0</v>
      </c>
      <c r="CC285" s="1353">
        <f t="shared" ca="1" si="1552"/>
        <v>0</v>
      </c>
      <c r="CD285" s="1354">
        <f t="shared" ca="1" si="1552"/>
        <v>0</v>
      </c>
      <c r="CE285" s="1354">
        <f t="shared" ca="1" si="1552"/>
        <v>0</v>
      </c>
      <c r="CF285" s="1354">
        <f t="shared" si="1552"/>
        <v>0</v>
      </c>
      <c r="CG285" s="1355">
        <f t="shared" ca="1" si="1552"/>
        <v>0</v>
      </c>
      <c r="CH285" s="1353">
        <f t="shared" ca="1" si="1552"/>
        <v>0</v>
      </c>
      <c r="CI285" s="1354">
        <f t="shared" ca="1" si="1552"/>
        <v>0</v>
      </c>
      <c r="CJ285" s="1354">
        <f t="shared" ca="1" si="1552"/>
        <v>0</v>
      </c>
      <c r="CK285" s="1354">
        <f t="shared" si="1552"/>
        <v>0</v>
      </c>
      <c r="CL285" s="1356">
        <f t="shared" ca="1" si="1552"/>
        <v>0</v>
      </c>
      <c r="CM285" s="1353">
        <f t="shared" ca="1" si="1552"/>
        <v>0</v>
      </c>
      <c r="CN285" s="1354">
        <f t="shared" ca="1" si="1552"/>
        <v>0</v>
      </c>
      <c r="CO285" s="1355">
        <f t="shared" ca="1" si="1552"/>
        <v>0</v>
      </c>
      <c r="CP285" s="1352">
        <f t="shared" ca="1" si="1500"/>
        <v>0</v>
      </c>
      <c r="CS285" s="1369">
        <f t="shared" ref="CS285:DE285" si="1553">SUM(CS228,CS232,CS236,CS240,CS244,CS248,CS252,CS256,CS260,CS264,CS268,CS272,CS276,CS280,CS284)</f>
        <v>0</v>
      </c>
      <c r="CT285" s="15">
        <f t="shared" si="1553"/>
        <v>0</v>
      </c>
      <c r="CU285" s="1370">
        <f t="shared" si="1553"/>
        <v>0</v>
      </c>
      <c r="CV285" s="1369">
        <f t="shared" si="1553"/>
        <v>0</v>
      </c>
      <c r="CW285" s="15">
        <f t="shared" si="1553"/>
        <v>0</v>
      </c>
      <c r="CX285" s="1370">
        <f t="shared" si="1553"/>
        <v>0</v>
      </c>
      <c r="CY285" s="1369">
        <f t="shared" si="1553"/>
        <v>0</v>
      </c>
      <c r="CZ285" s="15">
        <f t="shared" si="1553"/>
        <v>0</v>
      </c>
      <c r="DA285" s="1370">
        <f t="shared" si="1553"/>
        <v>0</v>
      </c>
      <c r="DB285" s="1369">
        <f t="shared" si="1553"/>
        <v>0</v>
      </c>
      <c r="DC285" s="15">
        <f t="shared" si="1553"/>
        <v>0</v>
      </c>
      <c r="DD285" s="1370">
        <f t="shared" si="1553"/>
        <v>0</v>
      </c>
      <c r="DE285" s="1368">
        <f t="shared" si="1553"/>
        <v>0</v>
      </c>
      <c r="DG285" s="1369">
        <f t="shared" ref="DG285:DS285" si="1554">SUM(DG228,DG232,DG236,DG240,DG244,DG248,DG252,DG256,DG260,DG264,DG268,DG272,DG276,DG280,DG284)</f>
        <v>0</v>
      </c>
      <c r="DH285" s="15">
        <f t="shared" si="1554"/>
        <v>0</v>
      </c>
      <c r="DI285" s="1370">
        <f t="shared" si="1554"/>
        <v>0</v>
      </c>
      <c r="DJ285" s="1369">
        <f t="shared" si="1554"/>
        <v>0</v>
      </c>
      <c r="DK285" s="15">
        <f t="shared" si="1554"/>
        <v>0</v>
      </c>
      <c r="DL285" s="1370">
        <f t="shared" si="1554"/>
        <v>0</v>
      </c>
      <c r="DM285" s="1369">
        <f t="shared" si="1554"/>
        <v>0</v>
      </c>
      <c r="DN285" s="15">
        <f t="shared" si="1554"/>
        <v>0</v>
      </c>
      <c r="DO285" s="1370">
        <f t="shared" si="1554"/>
        <v>0</v>
      </c>
      <c r="DP285" s="1369">
        <f t="shared" si="1554"/>
        <v>0</v>
      </c>
      <c r="DQ285" s="15">
        <f t="shared" si="1554"/>
        <v>0</v>
      </c>
      <c r="DR285" s="1370">
        <f t="shared" si="1554"/>
        <v>0</v>
      </c>
      <c r="DS285" s="1368">
        <f t="shared" si="1554"/>
        <v>0</v>
      </c>
      <c r="DU285" s="1369">
        <f t="shared" ref="DU285:EG285" si="1555">SUM(DU228,DU232,DU236,DU240,DU244,DU248,DU252,DU256,DU260,DU264,DU268,DU272,DU276,DU280,DU284)</f>
        <v>0</v>
      </c>
      <c r="DV285" s="15">
        <f t="shared" si="1555"/>
        <v>0</v>
      </c>
      <c r="DW285" s="1370">
        <f t="shared" si="1555"/>
        <v>0</v>
      </c>
      <c r="DX285" s="1369">
        <f t="shared" si="1555"/>
        <v>0</v>
      </c>
      <c r="DY285" s="15">
        <f t="shared" si="1555"/>
        <v>0</v>
      </c>
      <c r="DZ285" s="1370">
        <f t="shared" si="1555"/>
        <v>0</v>
      </c>
      <c r="EA285" s="1369">
        <f t="shared" si="1555"/>
        <v>0</v>
      </c>
      <c r="EB285" s="15">
        <f t="shared" si="1555"/>
        <v>0</v>
      </c>
      <c r="EC285" s="1370">
        <f t="shared" si="1555"/>
        <v>0</v>
      </c>
      <c r="ED285" s="1369">
        <f t="shared" si="1555"/>
        <v>0</v>
      </c>
      <c r="EE285" s="15">
        <f t="shared" si="1555"/>
        <v>0</v>
      </c>
      <c r="EF285" s="1370">
        <f t="shared" si="1555"/>
        <v>0</v>
      </c>
      <c r="EG285" s="1368">
        <f t="shared" si="1555"/>
        <v>0</v>
      </c>
      <c r="EI285" s="72"/>
      <c r="EJ285" s="485"/>
      <c r="EK285" s="486" t="s">
        <v>244</v>
      </c>
      <c r="EL285" s="378">
        <f t="shared" ref="EL285:EQ285" ca="1" si="1556">SUM(EL228,EL232,EL236,EL240,EL244,EL248,EL252,EL256,EL260,EL264,EL268,EL272,EL276,EL280,EL284)</f>
        <v>0</v>
      </c>
      <c r="EM285" s="378">
        <f t="shared" ca="1" si="1556"/>
        <v>0</v>
      </c>
      <c r="EN285" s="378">
        <f t="shared" ca="1" si="1556"/>
        <v>0</v>
      </c>
      <c r="EO285" s="378">
        <f t="shared" ca="1" si="1556"/>
        <v>0</v>
      </c>
      <c r="EP285" s="378">
        <f t="shared" ca="1" si="1556"/>
        <v>0</v>
      </c>
      <c r="EQ285" s="378">
        <f t="shared" ca="1" si="1556"/>
        <v>0</v>
      </c>
      <c r="ER285" s="378">
        <f t="shared" ca="1" si="1501"/>
        <v>0</v>
      </c>
      <c r="ES285" s="13">
        <f ca="1">SUM(ER228,ER232,ER236,ER240,ER244,ER248,ER252,ER256,ER260,ER264,ER268,ER272,ER276,ER280,ER284)</f>
        <v>0</v>
      </c>
      <c r="ET285" s="13"/>
      <c r="EU285" s="9"/>
      <c r="EV285" s="173">
        <f t="shared" ref="EV285:FB285" si="1557">SUM(EV228,EV232,EV236,EV240,EV244,EV248,EV252,EV256,EV260,EV264,EV268,EV272,EV276,EV280,EV284)</f>
        <v>0</v>
      </c>
      <c r="EW285" s="173">
        <f t="shared" si="1557"/>
        <v>0</v>
      </c>
      <c r="EX285" s="173">
        <f t="shared" si="1557"/>
        <v>0</v>
      </c>
      <c r="EY285" s="173">
        <f t="shared" si="1557"/>
        <v>0</v>
      </c>
      <c r="EZ285" s="173">
        <f t="shared" si="1557"/>
        <v>0</v>
      </c>
      <c r="FA285" s="173">
        <f t="shared" si="1557"/>
        <v>0</v>
      </c>
      <c r="FB285" s="173">
        <f t="shared" si="1557"/>
        <v>0</v>
      </c>
      <c r="FC285" s="1"/>
      <c r="FD285" s="146">
        <f t="shared" ref="FD285:FJ285" si="1558">SUM(FD228,FD232,FD236,FD240,FD244,FD248,FD252,FD256,FD260,FD264,FD268,FD272,FD276,FD280,FD284)</f>
        <v>0</v>
      </c>
      <c r="FE285" s="146">
        <f t="shared" si="1558"/>
        <v>0</v>
      </c>
      <c r="FF285" s="146">
        <f t="shared" si="1558"/>
        <v>0</v>
      </c>
      <c r="FG285" s="146">
        <f t="shared" si="1558"/>
        <v>0</v>
      </c>
      <c r="FH285" s="146">
        <f t="shared" si="1558"/>
        <v>0</v>
      </c>
      <c r="FI285" s="146">
        <f t="shared" si="1558"/>
        <v>0</v>
      </c>
      <c r="FJ285" s="146">
        <f t="shared" si="1558"/>
        <v>0</v>
      </c>
      <c r="FL285" s="215">
        <f t="shared" ref="FL285:FR285" si="1559">SUM(FL228,FL232,FL236,FL240,FL244,FL248,FL252,FL256,FL260,FL264,FL268,FL272,FL276,FL280,FL284)</f>
        <v>0</v>
      </c>
      <c r="FM285" s="215">
        <f t="shared" si="1559"/>
        <v>0</v>
      </c>
      <c r="FN285" s="215">
        <f t="shared" si="1559"/>
        <v>0</v>
      </c>
      <c r="FO285" s="215">
        <f t="shared" si="1559"/>
        <v>0</v>
      </c>
      <c r="FP285" s="215">
        <f t="shared" si="1559"/>
        <v>0</v>
      </c>
      <c r="FQ285" s="215">
        <f t="shared" si="1559"/>
        <v>0</v>
      </c>
      <c r="FR285" s="215">
        <f t="shared" si="1559"/>
        <v>0</v>
      </c>
      <c r="FT285" s="187">
        <f t="shared" ref="FT285:FZ285" si="1560">SUM(FT228,FT232,FT236,FT240,FT244,FT248,FT252,FT256,FT260,FT264,FT268,FT272,FT276,FT280,FT284)</f>
        <v>0</v>
      </c>
      <c r="FU285" s="187">
        <f t="shared" si="1560"/>
        <v>0</v>
      </c>
      <c r="FV285" s="187">
        <f t="shared" si="1560"/>
        <v>0</v>
      </c>
      <c r="FW285" s="187">
        <f t="shared" si="1560"/>
        <v>0</v>
      </c>
      <c r="FX285" s="187">
        <f t="shared" si="1560"/>
        <v>0</v>
      </c>
      <c r="FY285" s="187">
        <f t="shared" si="1560"/>
        <v>0</v>
      </c>
      <c r="FZ285" s="187">
        <f t="shared" si="1560"/>
        <v>0</v>
      </c>
      <c r="GB285" s="159">
        <f t="shared" ref="GB285:GH285" si="1561">SUM(GB228,GB232,GB236,GB240,GB244,GB248,GB252,GB256,GB260,GB264,GB268,GB272,GB276,GB280,GB284)</f>
        <v>0</v>
      </c>
      <c r="GC285" s="159">
        <f t="shared" si="1561"/>
        <v>0</v>
      </c>
      <c r="GD285" s="159">
        <f t="shared" si="1561"/>
        <v>0</v>
      </c>
      <c r="GE285" s="159">
        <f t="shared" si="1561"/>
        <v>0</v>
      </c>
      <c r="GF285" s="159">
        <f t="shared" si="1561"/>
        <v>0</v>
      </c>
      <c r="GG285" s="159">
        <f t="shared" si="1561"/>
        <v>0</v>
      </c>
      <c r="GH285" s="159">
        <f t="shared" si="1561"/>
        <v>0</v>
      </c>
      <c r="GJ285" s="201">
        <f t="shared" ref="GJ285:GP285" si="1562">SUM(GJ228,GJ232,GJ236,GJ240,GJ244,GJ248,GJ252,GJ256,GJ260,GJ264,GJ268,GJ272,GJ276,GJ280,GJ284)</f>
        <v>0</v>
      </c>
      <c r="GK285" s="201">
        <f t="shared" si="1562"/>
        <v>0</v>
      </c>
      <c r="GL285" s="201">
        <f t="shared" si="1562"/>
        <v>0</v>
      </c>
      <c r="GM285" s="201">
        <f t="shared" si="1562"/>
        <v>0</v>
      </c>
      <c r="GN285" s="201">
        <f t="shared" si="1562"/>
        <v>0</v>
      </c>
      <c r="GO285" s="201">
        <f t="shared" si="1562"/>
        <v>0</v>
      </c>
      <c r="GP285" s="201">
        <f t="shared" si="1562"/>
        <v>0</v>
      </c>
      <c r="GR285" s="1631">
        <f t="shared" ref="GR285:GX285" si="1563">SUM(GR228,GR232,GR236,GR240,GR244,GR248,GR252,GR256,GR260,GR264,GR268,GR272,GR276,GR280,GR284)</f>
        <v>0</v>
      </c>
      <c r="GS285" s="1631">
        <f t="shared" si="1563"/>
        <v>0</v>
      </c>
      <c r="GT285" s="1631">
        <f t="shared" si="1563"/>
        <v>0</v>
      </c>
      <c r="GU285" s="1631">
        <f t="shared" si="1563"/>
        <v>0</v>
      </c>
      <c r="GV285" s="1631">
        <f t="shared" si="1563"/>
        <v>0</v>
      </c>
      <c r="GW285" s="1631">
        <f t="shared" si="1563"/>
        <v>0</v>
      </c>
      <c r="GX285" s="1631">
        <f t="shared" si="1563"/>
        <v>0</v>
      </c>
      <c r="GZ285" s="997">
        <f t="shared" si="1490"/>
        <v>0</v>
      </c>
      <c r="HA285" s="997">
        <f t="shared" si="1491"/>
        <v>0</v>
      </c>
      <c r="HB285" s="997">
        <f t="shared" si="1492"/>
        <v>0</v>
      </c>
      <c r="HC285" s="997">
        <f t="shared" si="1493"/>
        <v>0</v>
      </c>
      <c r="HD285" s="997">
        <f t="shared" si="1494"/>
        <v>0</v>
      </c>
      <c r="HE285" s="997">
        <f t="shared" si="1495"/>
        <v>0</v>
      </c>
      <c r="HF285" s="997">
        <f t="shared" si="1496"/>
        <v>0</v>
      </c>
      <c r="HG285" s="273">
        <f t="shared" ca="1" si="1497"/>
        <v>0</v>
      </c>
      <c r="HH285" s="260"/>
    </row>
    <row r="286" spans="1:216" ht="15" customHeight="1" x14ac:dyDescent="0.25">
      <c r="A286" s="72"/>
      <c r="B286" s="76"/>
      <c r="C286" s="471" t="s">
        <v>56</v>
      </c>
      <c r="D286" s="47">
        <f t="shared" ref="D286:J286" ca="1" si="1564">SUM(D215:D224)+D285</f>
        <v>0</v>
      </c>
      <c r="E286" s="47">
        <f t="shared" ca="1" si="1564"/>
        <v>0</v>
      </c>
      <c r="F286" s="47">
        <f t="shared" ca="1" si="1564"/>
        <v>0</v>
      </c>
      <c r="G286" s="47">
        <f t="shared" ca="1" si="1564"/>
        <v>0</v>
      </c>
      <c r="H286" s="47">
        <f t="shared" ca="1" si="1564"/>
        <v>0</v>
      </c>
      <c r="I286" s="47">
        <f t="shared" ca="1" si="1564"/>
        <v>0</v>
      </c>
      <c r="J286" s="47">
        <f t="shared" ca="1" si="1564"/>
        <v>0</v>
      </c>
      <c r="K286" s="13">
        <f ca="1">SUM(D286:I286)</f>
        <v>0</v>
      </c>
      <c r="L286" s="13"/>
      <c r="M286" s="9"/>
      <c r="N286" s="174">
        <f t="shared" ref="N286:T286" si="1565">SUM(N215:N224,N285)</f>
        <v>0</v>
      </c>
      <c r="O286" s="174">
        <f t="shared" si="1565"/>
        <v>0</v>
      </c>
      <c r="P286" s="174">
        <f t="shared" si="1565"/>
        <v>0</v>
      </c>
      <c r="Q286" s="174">
        <f t="shared" si="1565"/>
        <v>0</v>
      </c>
      <c r="R286" s="174">
        <f t="shared" si="1565"/>
        <v>0</v>
      </c>
      <c r="S286" s="174">
        <f t="shared" si="1565"/>
        <v>0</v>
      </c>
      <c r="T286" s="174">
        <f t="shared" si="1565"/>
        <v>0</v>
      </c>
      <c r="U286" s="1"/>
      <c r="V286" s="47">
        <f t="shared" ref="V286:AB286" si="1566">SUM(V215:V224,V285)</f>
        <v>0</v>
      </c>
      <c r="W286" s="47">
        <f t="shared" si="1566"/>
        <v>0</v>
      </c>
      <c r="X286" s="47">
        <f t="shared" si="1566"/>
        <v>0</v>
      </c>
      <c r="Y286" s="47">
        <f t="shared" si="1566"/>
        <v>0</v>
      </c>
      <c r="Z286" s="47">
        <f t="shared" si="1566"/>
        <v>0</v>
      </c>
      <c r="AA286" s="47">
        <f t="shared" si="1566"/>
        <v>0</v>
      </c>
      <c r="AB286" s="47">
        <f t="shared" si="1566"/>
        <v>0</v>
      </c>
      <c r="AD286" s="216">
        <f t="shared" ref="AD286:AJ286" si="1567">SUM(AD215:AD224,AD285)</f>
        <v>0</v>
      </c>
      <c r="AE286" s="216">
        <f t="shared" si="1567"/>
        <v>0</v>
      </c>
      <c r="AF286" s="216">
        <f t="shared" si="1567"/>
        <v>0</v>
      </c>
      <c r="AG286" s="216">
        <f t="shared" si="1567"/>
        <v>0</v>
      </c>
      <c r="AH286" s="216">
        <f t="shared" si="1567"/>
        <v>0</v>
      </c>
      <c r="AI286" s="216">
        <f t="shared" si="1567"/>
        <v>0</v>
      </c>
      <c r="AJ286" s="216">
        <f t="shared" si="1567"/>
        <v>0</v>
      </c>
      <c r="AL286" s="188">
        <f t="shared" ref="AL286:AR286" si="1568">SUM(AL215:AL224,AL285)</f>
        <v>0</v>
      </c>
      <c r="AM286" s="188">
        <f t="shared" si="1568"/>
        <v>0</v>
      </c>
      <c r="AN286" s="188">
        <f t="shared" si="1568"/>
        <v>0</v>
      </c>
      <c r="AO286" s="188">
        <f t="shared" si="1568"/>
        <v>0</v>
      </c>
      <c r="AP286" s="188">
        <f t="shared" si="1568"/>
        <v>0</v>
      </c>
      <c r="AQ286" s="188">
        <f t="shared" si="1568"/>
        <v>0</v>
      </c>
      <c r="AR286" s="188">
        <f t="shared" si="1568"/>
        <v>0</v>
      </c>
      <c r="AT286" s="160">
        <f t="shared" ref="AT286:AZ286" si="1569">SUM(AT215:AT224,AT285)</f>
        <v>0</v>
      </c>
      <c r="AU286" s="160">
        <f t="shared" si="1569"/>
        <v>0</v>
      </c>
      <c r="AV286" s="160">
        <f t="shared" si="1569"/>
        <v>0</v>
      </c>
      <c r="AW286" s="160">
        <f t="shared" si="1569"/>
        <v>0</v>
      </c>
      <c r="AX286" s="160">
        <f t="shared" si="1569"/>
        <v>0</v>
      </c>
      <c r="AY286" s="160">
        <f t="shared" si="1569"/>
        <v>0</v>
      </c>
      <c r="AZ286" s="160">
        <f t="shared" si="1569"/>
        <v>0</v>
      </c>
      <c r="BB286" s="202">
        <f t="shared" ref="BB286:BH286" si="1570">SUM(BB215:BB224,BB285)</f>
        <v>0</v>
      </c>
      <c r="BC286" s="202">
        <f t="shared" si="1570"/>
        <v>0</v>
      </c>
      <c r="BD286" s="202">
        <f t="shared" si="1570"/>
        <v>0</v>
      </c>
      <c r="BE286" s="202">
        <f t="shared" si="1570"/>
        <v>0</v>
      </c>
      <c r="BF286" s="202">
        <f t="shared" si="1570"/>
        <v>0</v>
      </c>
      <c r="BG286" s="202">
        <f t="shared" si="1570"/>
        <v>0</v>
      </c>
      <c r="BH286" s="202">
        <f t="shared" si="1570"/>
        <v>0</v>
      </c>
      <c r="BJ286" s="1632">
        <f t="shared" ref="BJ286:BP286" si="1571">SUM(BJ215:BJ224,BJ285)</f>
        <v>0</v>
      </c>
      <c r="BK286" s="1632">
        <f t="shared" si="1571"/>
        <v>0</v>
      </c>
      <c r="BL286" s="1632">
        <f t="shared" si="1571"/>
        <v>0</v>
      </c>
      <c r="BM286" s="1632">
        <f t="shared" si="1571"/>
        <v>0</v>
      </c>
      <c r="BN286" s="1632">
        <f t="shared" si="1571"/>
        <v>0</v>
      </c>
      <c r="BO286" s="1632">
        <f t="shared" si="1571"/>
        <v>0</v>
      </c>
      <c r="BP286" s="1113">
        <f t="shared" si="1571"/>
        <v>0</v>
      </c>
      <c r="BR286" s="998">
        <f t="shared" si="1470"/>
        <v>0</v>
      </c>
      <c r="BS286" s="998">
        <f t="shared" si="1471"/>
        <v>0</v>
      </c>
      <c r="BT286" s="998">
        <f t="shared" si="1472"/>
        <v>0</v>
      </c>
      <c r="BU286" s="998">
        <f t="shared" si="1473"/>
        <v>0</v>
      </c>
      <c r="BV286" s="998">
        <f t="shared" si="1474"/>
        <v>0</v>
      </c>
      <c r="BW286" s="998">
        <f t="shared" si="1475"/>
        <v>0</v>
      </c>
      <c r="BX286" s="998">
        <f t="shared" si="1476"/>
        <v>0</v>
      </c>
      <c r="BY286" s="274">
        <f t="shared" ca="1" si="1477"/>
        <v>0</v>
      </c>
      <c r="BZ286" s="262"/>
      <c r="CB286" s="1357">
        <f t="shared" ref="CB286:CO286" ca="1" si="1572">SUM(CB215:CB224,CB285)</f>
        <v>0</v>
      </c>
      <c r="CC286" s="1358">
        <f t="shared" ca="1" si="1572"/>
        <v>0</v>
      </c>
      <c r="CD286" s="1359">
        <f t="shared" ca="1" si="1572"/>
        <v>0</v>
      </c>
      <c r="CE286" s="1359">
        <f t="shared" ca="1" si="1572"/>
        <v>0</v>
      </c>
      <c r="CF286" s="1359">
        <f t="shared" si="1572"/>
        <v>0</v>
      </c>
      <c r="CG286" s="1360">
        <f t="shared" ca="1" si="1572"/>
        <v>0</v>
      </c>
      <c r="CH286" s="1358">
        <f t="shared" ca="1" si="1572"/>
        <v>0</v>
      </c>
      <c r="CI286" s="1359">
        <f t="shared" ca="1" si="1572"/>
        <v>0</v>
      </c>
      <c r="CJ286" s="1359">
        <f t="shared" ca="1" si="1572"/>
        <v>0</v>
      </c>
      <c r="CK286" s="1359">
        <f t="shared" si="1572"/>
        <v>0</v>
      </c>
      <c r="CL286" s="1361">
        <f t="shared" ca="1" si="1572"/>
        <v>0</v>
      </c>
      <c r="CM286" s="1358">
        <f t="shared" ca="1" si="1572"/>
        <v>0</v>
      </c>
      <c r="CN286" s="1359">
        <f t="shared" ca="1" si="1572"/>
        <v>0</v>
      </c>
      <c r="CO286" s="1360">
        <f t="shared" ca="1" si="1572"/>
        <v>0</v>
      </c>
      <c r="CP286" s="1357">
        <f t="shared" ca="1" si="1500"/>
        <v>0</v>
      </c>
      <c r="CS286" s="1362">
        <f t="shared" ref="CS286:DE286" si="1573">SUM(CS215:CS224)+CS285</f>
        <v>0</v>
      </c>
      <c r="CT286" s="144">
        <f t="shared" si="1573"/>
        <v>0</v>
      </c>
      <c r="CU286" s="1363">
        <f t="shared" si="1573"/>
        <v>0</v>
      </c>
      <c r="CV286" s="1362">
        <f t="shared" si="1573"/>
        <v>0</v>
      </c>
      <c r="CW286" s="144">
        <f t="shared" si="1573"/>
        <v>0</v>
      </c>
      <c r="CX286" s="1363">
        <f t="shared" si="1573"/>
        <v>0</v>
      </c>
      <c r="CY286" s="1362">
        <f t="shared" si="1573"/>
        <v>0</v>
      </c>
      <c r="CZ286" s="144">
        <f t="shared" si="1573"/>
        <v>0</v>
      </c>
      <c r="DA286" s="1363">
        <f t="shared" si="1573"/>
        <v>0</v>
      </c>
      <c r="DB286" s="1362">
        <f t="shared" si="1573"/>
        <v>0</v>
      </c>
      <c r="DC286" s="144">
        <f t="shared" si="1573"/>
        <v>0</v>
      </c>
      <c r="DD286" s="1363">
        <f t="shared" si="1573"/>
        <v>0</v>
      </c>
      <c r="DE286" s="1364">
        <f t="shared" si="1573"/>
        <v>0</v>
      </c>
      <c r="DG286" s="1362">
        <f t="shared" ref="DG286:DS286" si="1574">SUM(DG215:DG224)+DG285</f>
        <v>0</v>
      </c>
      <c r="DH286" s="144">
        <f t="shared" si="1574"/>
        <v>0</v>
      </c>
      <c r="DI286" s="1363">
        <f t="shared" si="1574"/>
        <v>0</v>
      </c>
      <c r="DJ286" s="1362">
        <f t="shared" si="1574"/>
        <v>0</v>
      </c>
      <c r="DK286" s="144">
        <f t="shared" si="1574"/>
        <v>0</v>
      </c>
      <c r="DL286" s="1363">
        <f t="shared" si="1574"/>
        <v>0</v>
      </c>
      <c r="DM286" s="1362">
        <f t="shared" si="1574"/>
        <v>0</v>
      </c>
      <c r="DN286" s="144">
        <f t="shared" si="1574"/>
        <v>0</v>
      </c>
      <c r="DO286" s="1363">
        <f t="shared" si="1574"/>
        <v>0</v>
      </c>
      <c r="DP286" s="1362">
        <f t="shared" si="1574"/>
        <v>0</v>
      </c>
      <c r="DQ286" s="144">
        <f t="shared" si="1574"/>
        <v>0</v>
      </c>
      <c r="DR286" s="1363">
        <f t="shared" si="1574"/>
        <v>0</v>
      </c>
      <c r="DS286" s="1364">
        <f t="shared" si="1574"/>
        <v>0</v>
      </c>
      <c r="DU286" s="1362">
        <f t="shared" ref="DU286:EG286" si="1575">SUM(DU215:DU224)+DU285</f>
        <v>0</v>
      </c>
      <c r="DV286" s="144">
        <f t="shared" si="1575"/>
        <v>0</v>
      </c>
      <c r="DW286" s="1363">
        <f t="shared" si="1575"/>
        <v>0</v>
      </c>
      <c r="DX286" s="1362">
        <f t="shared" si="1575"/>
        <v>0</v>
      </c>
      <c r="DY286" s="144">
        <f t="shared" si="1575"/>
        <v>0</v>
      </c>
      <c r="DZ286" s="1363">
        <f t="shared" si="1575"/>
        <v>0</v>
      </c>
      <c r="EA286" s="1362">
        <f t="shared" si="1575"/>
        <v>0</v>
      </c>
      <c r="EB286" s="144">
        <f t="shared" si="1575"/>
        <v>0</v>
      </c>
      <c r="EC286" s="1363">
        <f t="shared" si="1575"/>
        <v>0</v>
      </c>
      <c r="ED286" s="1362">
        <f t="shared" si="1575"/>
        <v>0</v>
      </c>
      <c r="EE286" s="144">
        <f t="shared" si="1575"/>
        <v>0</v>
      </c>
      <c r="EF286" s="1363">
        <f t="shared" si="1575"/>
        <v>0</v>
      </c>
      <c r="EG286" s="1364">
        <f t="shared" si="1575"/>
        <v>0</v>
      </c>
      <c r="EI286" s="75"/>
      <c r="EJ286" s="76"/>
      <c r="EK286" s="471" t="s">
        <v>56</v>
      </c>
      <c r="EL286" s="47">
        <f t="shared" ref="EL286:EQ286" ca="1" si="1576">SUM(EL215:EL224)+EL285</f>
        <v>0</v>
      </c>
      <c r="EM286" s="47">
        <f t="shared" ca="1" si="1576"/>
        <v>0</v>
      </c>
      <c r="EN286" s="47">
        <f t="shared" ca="1" si="1576"/>
        <v>0</v>
      </c>
      <c r="EO286" s="47">
        <f t="shared" ca="1" si="1576"/>
        <v>0</v>
      </c>
      <c r="EP286" s="47">
        <f t="shared" ca="1" si="1576"/>
        <v>0</v>
      </c>
      <c r="EQ286" s="47">
        <f t="shared" ca="1" si="1576"/>
        <v>0</v>
      </c>
      <c r="ER286" s="47">
        <f t="shared" ca="1" si="1501"/>
        <v>0</v>
      </c>
      <c r="ES286" s="13">
        <f ca="1">SUM(ER215:ER224)+ER285</f>
        <v>0</v>
      </c>
      <c r="ET286" s="13"/>
      <c r="EU286" s="9"/>
      <c r="EV286" s="174">
        <f t="shared" ref="EV286:FB286" si="1577">SUM(EV215:EV224,EV285)</f>
        <v>0</v>
      </c>
      <c r="EW286" s="174">
        <f t="shared" si="1577"/>
        <v>0</v>
      </c>
      <c r="EX286" s="174">
        <f t="shared" si="1577"/>
        <v>0</v>
      </c>
      <c r="EY286" s="174">
        <f t="shared" si="1577"/>
        <v>0</v>
      </c>
      <c r="EZ286" s="174">
        <f t="shared" si="1577"/>
        <v>0</v>
      </c>
      <c r="FA286" s="174">
        <f t="shared" si="1577"/>
        <v>0</v>
      </c>
      <c r="FB286" s="174">
        <f t="shared" si="1577"/>
        <v>0</v>
      </c>
      <c r="FC286" s="1"/>
      <c r="FD286" s="47">
        <f t="shared" ref="FD286:FJ286" si="1578">SUM(FD215:FD224,FD285)</f>
        <v>0</v>
      </c>
      <c r="FE286" s="47">
        <f t="shared" si="1578"/>
        <v>0</v>
      </c>
      <c r="FF286" s="47">
        <f t="shared" si="1578"/>
        <v>0</v>
      </c>
      <c r="FG286" s="47">
        <f t="shared" si="1578"/>
        <v>0</v>
      </c>
      <c r="FH286" s="47">
        <f t="shared" si="1578"/>
        <v>0</v>
      </c>
      <c r="FI286" s="47">
        <f t="shared" si="1578"/>
        <v>0</v>
      </c>
      <c r="FJ286" s="47">
        <f t="shared" si="1578"/>
        <v>0</v>
      </c>
      <c r="FL286" s="216">
        <f t="shared" ref="FL286:FR286" si="1579">SUM(FL215:FL224,FL285)</f>
        <v>0</v>
      </c>
      <c r="FM286" s="216">
        <f t="shared" si="1579"/>
        <v>0</v>
      </c>
      <c r="FN286" s="216">
        <f t="shared" si="1579"/>
        <v>0</v>
      </c>
      <c r="FO286" s="216">
        <f t="shared" si="1579"/>
        <v>0</v>
      </c>
      <c r="FP286" s="216">
        <f t="shared" si="1579"/>
        <v>0</v>
      </c>
      <c r="FQ286" s="216">
        <f t="shared" si="1579"/>
        <v>0</v>
      </c>
      <c r="FR286" s="216">
        <f t="shared" si="1579"/>
        <v>0</v>
      </c>
      <c r="FT286" s="188">
        <f t="shared" ref="FT286:FZ286" si="1580">SUM(FT215:FT224,FT285)</f>
        <v>0</v>
      </c>
      <c r="FU286" s="188">
        <f t="shared" si="1580"/>
        <v>0</v>
      </c>
      <c r="FV286" s="188">
        <f t="shared" si="1580"/>
        <v>0</v>
      </c>
      <c r="FW286" s="188">
        <f t="shared" si="1580"/>
        <v>0</v>
      </c>
      <c r="FX286" s="188">
        <f t="shared" si="1580"/>
        <v>0</v>
      </c>
      <c r="FY286" s="188">
        <f t="shared" si="1580"/>
        <v>0</v>
      </c>
      <c r="FZ286" s="188">
        <f t="shared" si="1580"/>
        <v>0</v>
      </c>
      <c r="GB286" s="160">
        <f t="shared" ref="GB286:GH286" si="1581">SUM(GB215:GB224,GB285)</f>
        <v>0</v>
      </c>
      <c r="GC286" s="160">
        <f t="shared" si="1581"/>
        <v>0</v>
      </c>
      <c r="GD286" s="160">
        <f t="shared" si="1581"/>
        <v>0</v>
      </c>
      <c r="GE286" s="160">
        <f t="shared" si="1581"/>
        <v>0</v>
      </c>
      <c r="GF286" s="160">
        <f t="shared" si="1581"/>
        <v>0</v>
      </c>
      <c r="GG286" s="160">
        <f t="shared" si="1581"/>
        <v>0</v>
      </c>
      <c r="GH286" s="160">
        <f t="shared" si="1581"/>
        <v>0</v>
      </c>
      <c r="GJ286" s="202">
        <f t="shared" ref="GJ286:GP286" si="1582">SUM(GJ215:GJ224,GJ285)</f>
        <v>0</v>
      </c>
      <c r="GK286" s="202">
        <f t="shared" si="1582"/>
        <v>0</v>
      </c>
      <c r="GL286" s="202">
        <f t="shared" si="1582"/>
        <v>0</v>
      </c>
      <c r="GM286" s="202">
        <f t="shared" si="1582"/>
        <v>0</v>
      </c>
      <c r="GN286" s="202">
        <f t="shared" si="1582"/>
        <v>0</v>
      </c>
      <c r="GO286" s="202">
        <f t="shared" si="1582"/>
        <v>0</v>
      </c>
      <c r="GP286" s="202">
        <f t="shared" si="1582"/>
        <v>0</v>
      </c>
      <c r="GR286" s="1632">
        <f t="shared" ref="GR286:GX286" si="1583">SUM(GR215:GR224,GR285)</f>
        <v>0</v>
      </c>
      <c r="GS286" s="1632">
        <f t="shared" si="1583"/>
        <v>0</v>
      </c>
      <c r="GT286" s="1632">
        <f t="shared" si="1583"/>
        <v>0</v>
      </c>
      <c r="GU286" s="1632">
        <f t="shared" si="1583"/>
        <v>0</v>
      </c>
      <c r="GV286" s="1632">
        <f t="shared" si="1583"/>
        <v>0</v>
      </c>
      <c r="GW286" s="1632">
        <f t="shared" si="1583"/>
        <v>0</v>
      </c>
      <c r="GX286" s="1113">
        <f t="shared" si="1583"/>
        <v>0</v>
      </c>
      <c r="GZ286" s="998">
        <f t="shared" si="1490"/>
        <v>0</v>
      </c>
      <c r="HA286" s="998">
        <f t="shared" si="1491"/>
        <v>0</v>
      </c>
      <c r="HB286" s="998">
        <f t="shared" si="1492"/>
        <v>0</v>
      </c>
      <c r="HC286" s="998">
        <f t="shared" si="1493"/>
        <v>0</v>
      </c>
      <c r="HD286" s="998">
        <f t="shared" si="1494"/>
        <v>0</v>
      </c>
      <c r="HE286" s="998">
        <f t="shared" si="1495"/>
        <v>0</v>
      </c>
      <c r="HF286" s="998">
        <f t="shared" si="1496"/>
        <v>0</v>
      </c>
      <c r="HG286" s="274">
        <f t="shared" ca="1" si="1497"/>
        <v>0</v>
      </c>
      <c r="HH286" s="262"/>
    </row>
    <row r="287" spans="1:216" ht="15" customHeight="1" x14ac:dyDescent="0.25">
      <c r="A287" s="72"/>
      <c r="B287" s="2511"/>
      <c r="C287" s="2512" t="s">
        <v>782</v>
      </c>
      <c r="D287" s="2513">
        <f t="shared" ref="D287:J287" ca="1" si="1584">SUM(D180:D183,D215:D224)</f>
        <v>900</v>
      </c>
      <c r="E287" s="2513">
        <f t="shared" ca="1" si="1584"/>
        <v>0</v>
      </c>
      <c r="F287" s="2513">
        <f t="shared" ca="1" si="1584"/>
        <v>0</v>
      </c>
      <c r="G287" s="2513">
        <f t="shared" ca="1" si="1584"/>
        <v>0</v>
      </c>
      <c r="H287" s="2513">
        <f t="shared" ca="1" si="1584"/>
        <v>0</v>
      </c>
      <c r="I287" s="2513">
        <f t="shared" ca="1" si="1584"/>
        <v>0</v>
      </c>
      <c r="J287" s="2513">
        <f t="shared" ca="1" si="1584"/>
        <v>900</v>
      </c>
      <c r="K287" s="13">
        <f ca="1">SUM(D287:I287)</f>
        <v>900</v>
      </c>
      <c r="L287" s="13"/>
      <c r="M287" s="9"/>
      <c r="N287" s="174">
        <f t="shared" ref="N287:T287" si="1585">SUM(N214:N223,N284)</f>
        <v>0</v>
      </c>
      <c r="O287" s="174">
        <f t="shared" si="1585"/>
        <v>0</v>
      </c>
      <c r="P287" s="174">
        <f t="shared" si="1585"/>
        <v>0</v>
      </c>
      <c r="Q287" s="174">
        <f t="shared" si="1585"/>
        <v>0</v>
      </c>
      <c r="R287" s="174">
        <f t="shared" si="1585"/>
        <v>0</v>
      </c>
      <c r="S287" s="174">
        <f t="shared" si="1585"/>
        <v>0</v>
      </c>
      <c r="T287" s="174">
        <f t="shared" si="1585"/>
        <v>0</v>
      </c>
      <c r="U287" s="1"/>
      <c r="V287" s="47">
        <f t="shared" ref="V287:AB287" si="1586">SUM(V214:V223,V284)</f>
        <v>0</v>
      </c>
      <c r="W287" s="47">
        <f t="shared" si="1586"/>
        <v>0</v>
      </c>
      <c r="X287" s="47">
        <f t="shared" si="1586"/>
        <v>0</v>
      </c>
      <c r="Y287" s="47">
        <f t="shared" si="1586"/>
        <v>0</v>
      </c>
      <c r="Z287" s="47">
        <f t="shared" si="1586"/>
        <v>0</v>
      </c>
      <c r="AA287" s="47">
        <f t="shared" si="1586"/>
        <v>0</v>
      </c>
      <c r="AB287" s="47">
        <f t="shared" si="1586"/>
        <v>0</v>
      </c>
      <c r="AD287" s="216">
        <f t="shared" ref="AD287:AJ287" si="1587">SUM(AD214:AD223,AD284)</f>
        <v>0</v>
      </c>
      <c r="AE287" s="216">
        <f t="shared" si="1587"/>
        <v>0</v>
      </c>
      <c r="AF287" s="216">
        <f t="shared" si="1587"/>
        <v>0</v>
      </c>
      <c r="AG287" s="216">
        <f t="shared" si="1587"/>
        <v>0</v>
      </c>
      <c r="AH287" s="216">
        <f t="shared" si="1587"/>
        <v>0</v>
      </c>
      <c r="AI287" s="216">
        <f t="shared" si="1587"/>
        <v>0</v>
      </c>
      <c r="AJ287" s="216">
        <f t="shared" si="1587"/>
        <v>0</v>
      </c>
      <c r="AL287" s="188">
        <f t="shared" ref="AL287:AR287" si="1588">SUM(AL214:AL223,AL284)</f>
        <v>0</v>
      </c>
      <c r="AM287" s="188">
        <f t="shared" si="1588"/>
        <v>0</v>
      </c>
      <c r="AN287" s="188">
        <f t="shared" si="1588"/>
        <v>0</v>
      </c>
      <c r="AO287" s="188">
        <f t="shared" si="1588"/>
        <v>0</v>
      </c>
      <c r="AP287" s="188">
        <f t="shared" si="1588"/>
        <v>0</v>
      </c>
      <c r="AQ287" s="188">
        <f t="shared" si="1588"/>
        <v>0</v>
      </c>
      <c r="AR287" s="188">
        <f t="shared" si="1588"/>
        <v>0</v>
      </c>
      <c r="AT287" s="160">
        <f t="shared" ref="AT287:AZ287" si="1589">SUM(AT214:AT223,AT284)</f>
        <v>0</v>
      </c>
      <c r="AU287" s="160">
        <f t="shared" si="1589"/>
        <v>0</v>
      </c>
      <c r="AV287" s="160">
        <f t="shared" si="1589"/>
        <v>0</v>
      </c>
      <c r="AW287" s="160">
        <f t="shared" si="1589"/>
        <v>0</v>
      </c>
      <c r="AX287" s="160">
        <f t="shared" si="1589"/>
        <v>0</v>
      </c>
      <c r="AY287" s="160">
        <f t="shared" si="1589"/>
        <v>0</v>
      </c>
      <c r="AZ287" s="160">
        <f t="shared" si="1589"/>
        <v>0</v>
      </c>
      <c r="BB287" s="202">
        <f t="shared" ref="BB287:BH287" si="1590">SUM(BB214:BB223,BB284)</f>
        <v>0</v>
      </c>
      <c r="BC287" s="202">
        <f t="shared" si="1590"/>
        <v>0</v>
      </c>
      <c r="BD287" s="202">
        <f t="shared" si="1590"/>
        <v>0</v>
      </c>
      <c r="BE287" s="202">
        <f t="shared" si="1590"/>
        <v>0</v>
      </c>
      <c r="BF287" s="202">
        <f t="shared" si="1590"/>
        <v>0</v>
      </c>
      <c r="BG287" s="202">
        <f t="shared" si="1590"/>
        <v>0</v>
      </c>
      <c r="BH287" s="202">
        <f t="shared" si="1590"/>
        <v>0</v>
      </c>
      <c r="BJ287" s="1632">
        <f t="shared" ref="BJ287:BP287" si="1591">SUM(BJ214:BJ223,BJ284)</f>
        <v>0</v>
      </c>
      <c r="BK287" s="1632">
        <f t="shared" si="1591"/>
        <v>0</v>
      </c>
      <c r="BL287" s="1632">
        <f t="shared" si="1591"/>
        <v>0</v>
      </c>
      <c r="BM287" s="1632">
        <f t="shared" si="1591"/>
        <v>0</v>
      </c>
      <c r="BN287" s="1632">
        <f t="shared" si="1591"/>
        <v>0</v>
      </c>
      <c r="BO287" s="1632">
        <f t="shared" si="1591"/>
        <v>0</v>
      </c>
      <c r="BP287" s="1113">
        <f t="shared" si="1591"/>
        <v>0</v>
      </c>
      <c r="BR287" s="998">
        <f t="shared" si="1470"/>
        <v>0</v>
      </c>
      <c r="BS287" s="998">
        <f t="shared" si="1471"/>
        <v>0</v>
      </c>
      <c r="BT287" s="998">
        <f t="shared" si="1472"/>
        <v>0</v>
      </c>
      <c r="BU287" s="998">
        <f t="shared" si="1473"/>
        <v>0</v>
      </c>
      <c r="BV287" s="998">
        <f t="shared" si="1474"/>
        <v>0</v>
      </c>
      <c r="BW287" s="998">
        <f t="shared" si="1475"/>
        <v>0</v>
      </c>
      <c r="BX287" s="998">
        <f t="shared" si="1476"/>
        <v>0</v>
      </c>
      <c r="BY287" s="274">
        <f t="shared" ca="1" si="1477"/>
        <v>900</v>
      </c>
      <c r="BZ287" s="262"/>
      <c r="CB287" s="1357">
        <f t="shared" ref="CB287:CO287" ca="1" si="1592">SUM(CB214:CB223,CB284)</f>
        <v>0</v>
      </c>
      <c r="CC287" s="1358">
        <f t="shared" ca="1" si="1592"/>
        <v>0</v>
      </c>
      <c r="CD287" s="1359">
        <f t="shared" ca="1" si="1592"/>
        <v>0</v>
      </c>
      <c r="CE287" s="1359">
        <f t="shared" ca="1" si="1592"/>
        <v>0</v>
      </c>
      <c r="CF287" s="1359">
        <f t="shared" si="1592"/>
        <v>0</v>
      </c>
      <c r="CG287" s="1360">
        <f t="shared" ca="1" si="1592"/>
        <v>0</v>
      </c>
      <c r="CH287" s="1358">
        <f t="shared" ca="1" si="1592"/>
        <v>0</v>
      </c>
      <c r="CI287" s="1359">
        <f t="shared" ca="1" si="1592"/>
        <v>0</v>
      </c>
      <c r="CJ287" s="1359">
        <f t="shared" ca="1" si="1592"/>
        <v>0</v>
      </c>
      <c r="CK287" s="1359">
        <f t="shared" si="1592"/>
        <v>0</v>
      </c>
      <c r="CL287" s="1361">
        <f t="shared" ca="1" si="1592"/>
        <v>0</v>
      </c>
      <c r="CM287" s="1358">
        <f t="shared" ca="1" si="1592"/>
        <v>0</v>
      </c>
      <c r="CN287" s="1359">
        <f t="shared" ca="1" si="1592"/>
        <v>0</v>
      </c>
      <c r="CO287" s="1360">
        <f t="shared" ca="1" si="1592"/>
        <v>0</v>
      </c>
      <c r="CP287" s="1357">
        <f t="shared" ca="1" si="1500"/>
        <v>0</v>
      </c>
      <c r="CS287" s="1362">
        <f t="shared" ref="CS287:DE287" si="1593">SUM(CS214:CS223)+CS284</f>
        <v>0</v>
      </c>
      <c r="CT287" s="144">
        <f t="shared" si="1593"/>
        <v>0</v>
      </c>
      <c r="CU287" s="1363">
        <f t="shared" si="1593"/>
        <v>0</v>
      </c>
      <c r="CV287" s="1362">
        <f t="shared" si="1593"/>
        <v>0</v>
      </c>
      <c r="CW287" s="144">
        <f t="shared" si="1593"/>
        <v>0</v>
      </c>
      <c r="CX287" s="1363">
        <f t="shared" si="1593"/>
        <v>0</v>
      </c>
      <c r="CY287" s="1362">
        <f t="shared" si="1593"/>
        <v>0</v>
      </c>
      <c r="CZ287" s="144">
        <f t="shared" si="1593"/>
        <v>0</v>
      </c>
      <c r="DA287" s="1363">
        <f t="shared" si="1593"/>
        <v>0</v>
      </c>
      <c r="DB287" s="1362">
        <f t="shared" si="1593"/>
        <v>0</v>
      </c>
      <c r="DC287" s="144">
        <f t="shared" si="1593"/>
        <v>0</v>
      </c>
      <c r="DD287" s="1363">
        <f t="shared" si="1593"/>
        <v>0</v>
      </c>
      <c r="DE287" s="1364">
        <f t="shared" si="1593"/>
        <v>0</v>
      </c>
      <c r="DG287" s="1362">
        <f t="shared" ref="DG287:DS287" si="1594">SUM(DG214:DG223)+DG284</f>
        <v>0</v>
      </c>
      <c r="DH287" s="144">
        <f t="shared" si="1594"/>
        <v>0</v>
      </c>
      <c r="DI287" s="1363">
        <f t="shared" si="1594"/>
        <v>0</v>
      </c>
      <c r="DJ287" s="1362">
        <f t="shared" si="1594"/>
        <v>0</v>
      </c>
      <c r="DK287" s="144">
        <f t="shared" si="1594"/>
        <v>0</v>
      </c>
      <c r="DL287" s="1363">
        <f t="shared" si="1594"/>
        <v>0</v>
      </c>
      <c r="DM287" s="1362">
        <f t="shared" si="1594"/>
        <v>0</v>
      </c>
      <c r="DN287" s="144">
        <f t="shared" si="1594"/>
        <v>0</v>
      </c>
      <c r="DO287" s="1363">
        <f t="shared" si="1594"/>
        <v>0</v>
      </c>
      <c r="DP287" s="1362">
        <f t="shared" si="1594"/>
        <v>0</v>
      </c>
      <c r="DQ287" s="144">
        <f t="shared" si="1594"/>
        <v>0</v>
      </c>
      <c r="DR287" s="1363">
        <f t="shared" si="1594"/>
        <v>0</v>
      </c>
      <c r="DS287" s="1364">
        <f t="shared" si="1594"/>
        <v>0</v>
      </c>
      <c r="DU287" s="1362">
        <f t="shared" ref="DU287:EG287" si="1595">SUM(DU214:DU223)+DU284</f>
        <v>0</v>
      </c>
      <c r="DV287" s="144">
        <f t="shared" si="1595"/>
        <v>0</v>
      </c>
      <c r="DW287" s="1363">
        <f t="shared" si="1595"/>
        <v>0</v>
      </c>
      <c r="DX287" s="1362">
        <f t="shared" si="1595"/>
        <v>0</v>
      </c>
      <c r="DY287" s="144">
        <f t="shared" si="1595"/>
        <v>0</v>
      </c>
      <c r="DZ287" s="1363">
        <f t="shared" si="1595"/>
        <v>0</v>
      </c>
      <c r="EA287" s="1362">
        <f t="shared" si="1595"/>
        <v>0</v>
      </c>
      <c r="EB287" s="144">
        <f t="shared" si="1595"/>
        <v>0</v>
      </c>
      <c r="EC287" s="1363">
        <f t="shared" si="1595"/>
        <v>0</v>
      </c>
      <c r="ED287" s="1362">
        <f t="shared" si="1595"/>
        <v>0</v>
      </c>
      <c r="EE287" s="144">
        <f t="shared" si="1595"/>
        <v>0</v>
      </c>
      <c r="EF287" s="1363">
        <f t="shared" si="1595"/>
        <v>0</v>
      </c>
      <c r="EG287" s="1364">
        <f t="shared" si="1595"/>
        <v>0</v>
      </c>
      <c r="EI287" s="75"/>
      <c r="EJ287" s="2511"/>
      <c r="EK287" s="2512" t="s">
        <v>782</v>
      </c>
      <c r="EL287" s="2513">
        <f t="shared" ref="EL287:EQ287" ca="1" si="1596">SUM(EL180:EL183,EL215:EL224)</f>
        <v>900</v>
      </c>
      <c r="EM287" s="2513">
        <f t="shared" ca="1" si="1596"/>
        <v>0</v>
      </c>
      <c r="EN287" s="2513">
        <f t="shared" ca="1" si="1596"/>
        <v>0</v>
      </c>
      <c r="EO287" s="2513">
        <f t="shared" ca="1" si="1596"/>
        <v>0</v>
      </c>
      <c r="EP287" s="2513">
        <f t="shared" ca="1" si="1596"/>
        <v>0</v>
      </c>
      <c r="EQ287" s="2513">
        <f t="shared" ca="1" si="1596"/>
        <v>0</v>
      </c>
      <c r="ER287" s="2513">
        <f t="shared" ca="1" si="1501"/>
        <v>900</v>
      </c>
      <c r="ES287" s="13">
        <f ca="1">SUM(ER180:ER183,ER215:ER224)</f>
        <v>900</v>
      </c>
      <c r="ET287" s="13"/>
      <c r="EU287" s="9"/>
      <c r="EV287" s="174">
        <f t="shared" ref="EV287:FB287" si="1597">SUM(EV214:EV223,EV284)</f>
        <v>0</v>
      </c>
      <c r="EW287" s="174">
        <f t="shared" si="1597"/>
        <v>0</v>
      </c>
      <c r="EX287" s="174">
        <f t="shared" si="1597"/>
        <v>0</v>
      </c>
      <c r="EY287" s="174">
        <f t="shared" si="1597"/>
        <v>0</v>
      </c>
      <c r="EZ287" s="174">
        <f t="shared" si="1597"/>
        <v>0</v>
      </c>
      <c r="FA287" s="174">
        <f t="shared" si="1597"/>
        <v>0</v>
      </c>
      <c r="FB287" s="174">
        <f t="shared" si="1597"/>
        <v>0</v>
      </c>
      <c r="FC287" s="1"/>
      <c r="FD287" s="47">
        <f t="shared" ref="FD287:FJ287" si="1598">SUM(FD214:FD223,FD284)</f>
        <v>0</v>
      </c>
      <c r="FE287" s="47">
        <f t="shared" si="1598"/>
        <v>0</v>
      </c>
      <c r="FF287" s="47">
        <f t="shared" si="1598"/>
        <v>0</v>
      </c>
      <c r="FG287" s="47">
        <f t="shared" si="1598"/>
        <v>0</v>
      </c>
      <c r="FH287" s="47">
        <f t="shared" si="1598"/>
        <v>0</v>
      </c>
      <c r="FI287" s="47">
        <f t="shared" si="1598"/>
        <v>0</v>
      </c>
      <c r="FJ287" s="47">
        <f t="shared" si="1598"/>
        <v>0</v>
      </c>
      <c r="FL287" s="216">
        <f t="shared" ref="FL287:FR287" si="1599">SUM(FL214:FL223,FL284)</f>
        <v>0</v>
      </c>
      <c r="FM287" s="216">
        <f t="shared" si="1599"/>
        <v>0</v>
      </c>
      <c r="FN287" s="216">
        <f t="shared" si="1599"/>
        <v>0</v>
      </c>
      <c r="FO287" s="216">
        <f t="shared" si="1599"/>
        <v>0</v>
      </c>
      <c r="FP287" s="216">
        <f t="shared" si="1599"/>
        <v>0</v>
      </c>
      <c r="FQ287" s="216">
        <f t="shared" si="1599"/>
        <v>0</v>
      </c>
      <c r="FR287" s="216">
        <f t="shared" si="1599"/>
        <v>0</v>
      </c>
      <c r="FT287" s="188">
        <f t="shared" ref="FT287:FZ287" si="1600">SUM(FT214:FT223,FT284)</f>
        <v>0</v>
      </c>
      <c r="FU287" s="188">
        <f t="shared" si="1600"/>
        <v>0</v>
      </c>
      <c r="FV287" s="188">
        <f t="shared" si="1600"/>
        <v>0</v>
      </c>
      <c r="FW287" s="188">
        <f t="shared" si="1600"/>
        <v>0</v>
      </c>
      <c r="FX287" s="188">
        <f t="shared" si="1600"/>
        <v>0</v>
      </c>
      <c r="FY287" s="188">
        <f t="shared" si="1600"/>
        <v>0</v>
      </c>
      <c r="FZ287" s="188">
        <f t="shared" si="1600"/>
        <v>0</v>
      </c>
      <c r="GB287" s="160">
        <f t="shared" ref="GB287:GH287" si="1601">SUM(GB214:GB223,GB284)</f>
        <v>0</v>
      </c>
      <c r="GC287" s="160">
        <f t="shared" si="1601"/>
        <v>0</v>
      </c>
      <c r="GD287" s="160">
        <f t="shared" si="1601"/>
        <v>0</v>
      </c>
      <c r="GE287" s="160">
        <f t="shared" si="1601"/>
        <v>0</v>
      </c>
      <c r="GF287" s="160">
        <f t="shared" si="1601"/>
        <v>0</v>
      </c>
      <c r="GG287" s="160">
        <f t="shared" si="1601"/>
        <v>0</v>
      </c>
      <c r="GH287" s="160">
        <f t="shared" si="1601"/>
        <v>0</v>
      </c>
      <c r="GJ287" s="202">
        <f t="shared" ref="GJ287:GP287" si="1602">SUM(GJ214:GJ223,GJ284)</f>
        <v>0</v>
      </c>
      <c r="GK287" s="202">
        <f t="shared" si="1602"/>
        <v>0</v>
      </c>
      <c r="GL287" s="202">
        <f t="shared" si="1602"/>
        <v>0</v>
      </c>
      <c r="GM287" s="202">
        <f t="shared" si="1602"/>
        <v>0</v>
      </c>
      <c r="GN287" s="202">
        <f t="shared" si="1602"/>
        <v>0</v>
      </c>
      <c r="GO287" s="202">
        <f t="shared" si="1602"/>
        <v>0</v>
      </c>
      <c r="GP287" s="202">
        <f t="shared" si="1602"/>
        <v>0</v>
      </c>
      <c r="GR287" s="1632">
        <f t="shared" ref="GR287:GX287" si="1603">SUM(GR214:GR223,GR284)</f>
        <v>0</v>
      </c>
      <c r="GS287" s="1632">
        <f t="shared" si="1603"/>
        <v>0</v>
      </c>
      <c r="GT287" s="1632">
        <f t="shared" si="1603"/>
        <v>0</v>
      </c>
      <c r="GU287" s="1632">
        <f t="shared" si="1603"/>
        <v>0</v>
      </c>
      <c r="GV287" s="1632">
        <f t="shared" si="1603"/>
        <v>0</v>
      </c>
      <c r="GW287" s="1632">
        <f t="shared" si="1603"/>
        <v>0</v>
      </c>
      <c r="GX287" s="1113">
        <f t="shared" si="1603"/>
        <v>0</v>
      </c>
      <c r="GZ287" s="998">
        <f t="shared" si="1490"/>
        <v>0</v>
      </c>
      <c r="HA287" s="998">
        <f t="shared" si="1491"/>
        <v>0</v>
      </c>
      <c r="HB287" s="998">
        <f t="shared" si="1492"/>
        <v>0</v>
      </c>
      <c r="HC287" s="998">
        <f t="shared" si="1493"/>
        <v>0</v>
      </c>
      <c r="HD287" s="998">
        <f t="shared" si="1494"/>
        <v>0</v>
      </c>
      <c r="HE287" s="998">
        <f t="shared" si="1495"/>
        <v>0</v>
      </c>
      <c r="HF287" s="998">
        <f t="shared" si="1496"/>
        <v>0</v>
      </c>
      <c r="HG287" s="274">
        <f t="shared" ca="1" si="1497"/>
        <v>900</v>
      </c>
      <c r="HH287" s="262"/>
    </row>
    <row r="288" spans="1:216" ht="15" customHeight="1" thickBot="1" x14ac:dyDescent="0.3">
      <c r="A288" s="33" t="s">
        <v>7</v>
      </c>
      <c r="B288" s="62"/>
      <c r="C288" s="469" t="s">
        <v>22</v>
      </c>
      <c r="D288" s="7">
        <f t="shared" ref="D288:J288" ca="1" si="1604">SUM(D286,D180:D183,D214)</f>
        <v>900</v>
      </c>
      <c r="E288" s="7">
        <f t="shared" ca="1" si="1604"/>
        <v>0</v>
      </c>
      <c r="F288" s="7">
        <f t="shared" ca="1" si="1604"/>
        <v>0</v>
      </c>
      <c r="G288" s="7">
        <f t="shared" ca="1" si="1604"/>
        <v>0</v>
      </c>
      <c r="H288" s="7">
        <f t="shared" ca="1" si="1604"/>
        <v>0</v>
      </c>
      <c r="I288" s="7">
        <f t="shared" ca="1" si="1604"/>
        <v>0</v>
      </c>
      <c r="J288" s="7">
        <f t="shared" ca="1" si="1604"/>
        <v>900</v>
      </c>
      <c r="K288" s="13">
        <f ca="1">SUM(D288:I288)</f>
        <v>900</v>
      </c>
      <c r="L288"/>
      <c r="M288" s="9"/>
      <c r="N288" s="171">
        <f t="shared" ref="N288:T288" si="1605">SUM(N286,N180:N183,N214)</f>
        <v>0</v>
      </c>
      <c r="O288" s="171">
        <f t="shared" si="1605"/>
        <v>0</v>
      </c>
      <c r="P288" s="171">
        <f t="shared" si="1605"/>
        <v>0</v>
      </c>
      <c r="Q288" s="171">
        <f t="shared" si="1605"/>
        <v>0</v>
      </c>
      <c r="R288" s="171">
        <f t="shared" si="1605"/>
        <v>0</v>
      </c>
      <c r="S288" s="171">
        <f t="shared" si="1605"/>
        <v>0</v>
      </c>
      <c r="T288" s="171">
        <f t="shared" si="1605"/>
        <v>0</v>
      </c>
      <c r="U288" s="1"/>
      <c r="V288" s="144">
        <f t="shared" ref="V288:AB288" si="1606">SUM(V286,V180:V183,V214)</f>
        <v>0</v>
      </c>
      <c r="W288" s="144">
        <f t="shared" si="1606"/>
        <v>0</v>
      </c>
      <c r="X288" s="144">
        <f t="shared" si="1606"/>
        <v>0</v>
      </c>
      <c r="Y288" s="144">
        <f t="shared" si="1606"/>
        <v>0</v>
      </c>
      <c r="Z288" s="144">
        <f t="shared" si="1606"/>
        <v>0</v>
      </c>
      <c r="AA288" s="144">
        <f t="shared" si="1606"/>
        <v>0</v>
      </c>
      <c r="AB288" s="144">
        <f t="shared" si="1606"/>
        <v>0</v>
      </c>
      <c r="AD288" s="213">
        <f t="shared" ref="AD288:AJ288" si="1607">SUM(AD286,AD180:AD183,AD214)</f>
        <v>0</v>
      </c>
      <c r="AE288" s="213">
        <f t="shared" si="1607"/>
        <v>0</v>
      </c>
      <c r="AF288" s="213">
        <f t="shared" si="1607"/>
        <v>0</v>
      </c>
      <c r="AG288" s="213">
        <f t="shared" si="1607"/>
        <v>0</v>
      </c>
      <c r="AH288" s="213">
        <f t="shared" si="1607"/>
        <v>0</v>
      </c>
      <c r="AI288" s="213">
        <f t="shared" si="1607"/>
        <v>0</v>
      </c>
      <c r="AJ288" s="213">
        <f t="shared" si="1607"/>
        <v>0</v>
      </c>
      <c r="AL288" s="185">
        <f t="shared" ref="AL288:AR288" si="1608">SUM(AL286,AL180:AL183,AL214)</f>
        <v>0</v>
      </c>
      <c r="AM288" s="185">
        <f t="shared" si="1608"/>
        <v>0</v>
      </c>
      <c r="AN288" s="185">
        <f t="shared" si="1608"/>
        <v>0</v>
      </c>
      <c r="AO288" s="185">
        <f t="shared" si="1608"/>
        <v>0</v>
      </c>
      <c r="AP288" s="185">
        <f t="shared" si="1608"/>
        <v>0</v>
      </c>
      <c r="AQ288" s="185">
        <f t="shared" si="1608"/>
        <v>0</v>
      </c>
      <c r="AR288" s="185">
        <f t="shared" si="1608"/>
        <v>0</v>
      </c>
      <c r="AT288" s="157">
        <f t="shared" ref="AT288:AZ288" si="1609">SUM(AT286,AT180:AT183,AT214)</f>
        <v>0</v>
      </c>
      <c r="AU288" s="157">
        <f t="shared" si="1609"/>
        <v>0</v>
      </c>
      <c r="AV288" s="157">
        <f t="shared" si="1609"/>
        <v>0</v>
      </c>
      <c r="AW288" s="157">
        <f t="shared" si="1609"/>
        <v>0</v>
      </c>
      <c r="AX288" s="157">
        <f t="shared" si="1609"/>
        <v>0</v>
      </c>
      <c r="AY288" s="157">
        <f t="shared" si="1609"/>
        <v>0</v>
      </c>
      <c r="AZ288" s="157">
        <f t="shared" si="1609"/>
        <v>0</v>
      </c>
      <c r="BB288" s="199">
        <f t="shared" ref="BB288:BH288" si="1610">SUM(BB286,BB180:BB183,BB214)</f>
        <v>0</v>
      </c>
      <c r="BC288" s="199">
        <f t="shared" si="1610"/>
        <v>0</v>
      </c>
      <c r="BD288" s="199">
        <f t="shared" si="1610"/>
        <v>0</v>
      </c>
      <c r="BE288" s="199">
        <f t="shared" si="1610"/>
        <v>0</v>
      </c>
      <c r="BF288" s="199">
        <f t="shared" si="1610"/>
        <v>0</v>
      </c>
      <c r="BG288" s="199">
        <f t="shared" si="1610"/>
        <v>0</v>
      </c>
      <c r="BH288" s="199">
        <f t="shared" si="1610"/>
        <v>0</v>
      </c>
      <c r="BJ288" s="1108">
        <f t="shared" ref="BJ288:BP288" si="1611">SUM(BJ286,BJ180:BJ183,BJ214)</f>
        <v>0</v>
      </c>
      <c r="BK288" s="1108">
        <f t="shared" si="1611"/>
        <v>0</v>
      </c>
      <c r="BL288" s="1108">
        <f t="shared" si="1611"/>
        <v>0</v>
      </c>
      <c r="BM288" s="1108">
        <f t="shared" si="1611"/>
        <v>0</v>
      </c>
      <c r="BN288" s="1108">
        <f t="shared" si="1611"/>
        <v>0</v>
      </c>
      <c r="BO288" s="1108">
        <f t="shared" si="1611"/>
        <v>0</v>
      </c>
      <c r="BP288" s="1108">
        <f t="shared" si="1611"/>
        <v>0</v>
      </c>
      <c r="BR288" s="993">
        <f t="shared" si="1470"/>
        <v>0</v>
      </c>
      <c r="BS288" s="993">
        <f t="shared" si="1471"/>
        <v>0</v>
      </c>
      <c r="BT288" s="993">
        <f t="shared" si="1472"/>
        <v>0</v>
      </c>
      <c r="BU288" s="993">
        <f t="shared" si="1473"/>
        <v>0</v>
      </c>
      <c r="BV288" s="993">
        <f t="shared" si="1474"/>
        <v>0</v>
      </c>
      <c r="BW288" s="993">
        <f t="shared" si="1475"/>
        <v>0</v>
      </c>
      <c r="BX288" s="993">
        <f t="shared" si="1476"/>
        <v>0</v>
      </c>
      <c r="BY288" s="275">
        <f t="shared" ca="1" si="1477"/>
        <v>900</v>
      </c>
      <c r="BZ288" s="259"/>
      <c r="CB288" s="1062">
        <f t="shared" ref="CB288:CO288" ca="1" si="1612">SUM(CB180:CB183,CB214,CB286)</f>
        <v>900</v>
      </c>
      <c r="CC288" s="1215">
        <f t="shared" ca="1" si="1612"/>
        <v>0</v>
      </c>
      <c r="CD288" s="1216">
        <f t="shared" ca="1" si="1612"/>
        <v>0</v>
      </c>
      <c r="CE288" s="1216">
        <f t="shared" ca="1" si="1612"/>
        <v>0</v>
      </c>
      <c r="CF288" s="1216">
        <f t="shared" si="1612"/>
        <v>0</v>
      </c>
      <c r="CG288" s="275">
        <f t="shared" ca="1" si="1612"/>
        <v>0</v>
      </c>
      <c r="CH288" s="1215">
        <f t="shared" ca="1" si="1612"/>
        <v>0</v>
      </c>
      <c r="CI288" s="1216">
        <f t="shared" ca="1" si="1612"/>
        <v>0</v>
      </c>
      <c r="CJ288" s="1216">
        <f t="shared" ca="1" si="1612"/>
        <v>0</v>
      </c>
      <c r="CK288" s="1216">
        <f t="shared" si="1612"/>
        <v>0</v>
      </c>
      <c r="CL288" s="1365">
        <f t="shared" ca="1" si="1612"/>
        <v>0</v>
      </c>
      <c r="CM288" s="1215">
        <f t="shared" ca="1" si="1612"/>
        <v>0</v>
      </c>
      <c r="CN288" s="1216">
        <f t="shared" ca="1" si="1612"/>
        <v>0</v>
      </c>
      <c r="CO288" s="275">
        <f t="shared" ca="1" si="1612"/>
        <v>0</v>
      </c>
      <c r="CP288" s="1062">
        <f t="shared" ca="1" si="1500"/>
        <v>900</v>
      </c>
      <c r="CS288" s="1215">
        <f t="shared" ref="CS288:DE288" si="1613">SUM(CS286,CS180:CS183,CS214)</f>
        <v>0</v>
      </c>
      <c r="CT288" s="1216">
        <f t="shared" si="1613"/>
        <v>0</v>
      </c>
      <c r="CU288" s="275">
        <f t="shared" si="1613"/>
        <v>0</v>
      </c>
      <c r="CV288" s="1215">
        <f t="shared" si="1613"/>
        <v>0</v>
      </c>
      <c r="CW288" s="1216">
        <f t="shared" si="1613"/>
        <v>0</v>
      </c>
      <c r="CX288" s="275">
        <f t="shared" si="1613"/>
        <v>0</v>
      </c>
      <c r="CY288" s="1215">
        <f t="shared" si="1613"/>
        <v>0</v>
      </c>
      <c r="CZ288" s="1216">
        <f t="shared" si="1613"/>
        <v>0</v>
      </c>
      <c r="DA288" s="275">
        <f t="shared" si="1613"/>
        <v>0</v>
      </c>
      <c r="DB288" s="1215">
        <f t="shared" si="1613"/>
        <v>0</v>
      </c>
      <c r="DC288" s="1216">
        <f t="shared" si="1613"/>
        <v>0</v>
      </c>
      <c r="DD288" s="275">
        <f t="shared" si="1613"/>
        <v>0</v>
      </c>
      <c r="DE288" s="1062">
        <f t="shared" si="1613"/>
        <v>0</v>
      </c>
      <c r="DG288" s="1215">
        <f t="shared" ref="DG288:DS288" si="1614">SUM(DG286,DG180:DG183,DG214)</f>
        <v>0</v>
      </c>
      <c r="DH288" s="1216">
        <f t="shared" si="1614"/>
        <v>0</v>
      </c>
      <c r="DI288" s="275">
        <f t="shared" si="1614"/>
        <v>0</v>
      </c>
      <c r="DJ288" s="1215">
        <f t="shared" si="1614"/>
        <v>0</v>
      </c>
      <c r="DK288" s="1216">
        <f t="shared" si="1614"/>
        <v>0</v>
      </c>
      <c r="DL288" s="275">
        <f t="shared" si="1614"/>
        <v>0</v>
      </c>
      <c r="DM288" s="1215">
        <f t="shared" si="1614"/>
        <v>0</v>
      </c>
      <c r="DN288" s="1216">
        <f t="shared" si="1614"/>
        <v>0</v>
      </c>
      <c r="DO288" s="275">
        <f t="shared" si="1614"/>
        <v>0</v>
      </c>
      <c r="DP288" s="1215">
        <f t="shared" si="1614"/>
        <v>0</v>
      </c>
      <c r="DQ288" s="1216">
        <f t="shared" si="1614"/>
        <v>0</v>
      </c>
      <c r="DR288" s="275">
        <f t="shared" si="1614"/>
        <v>0</v>
      </c>
      <c r="DS288" s="1062">
        <f t="shared" si="1614"/>
        <v>0</v>
      </c>
      <c r="DU288" s="1215">
        <f t="shared" ref="DU288:EG288" si="1615">SUM(DU286,DU180:DU183,DU214)</f>
        <v>0</v>
      </c>
      <c r="DV288" s="1216">
        <f t="shared" si="1615"/>
        <v>0</v>
      </c>
      <c r="DW288" s="275">
        <f t="shared" si="1615"/>
        <v>0</v>
      </c>
      <c r="DX288" s="1215">
        <f t="shared" si="1615"/>
        <v>0</v>
      </c>
      <c r="DY288" s="1216">
        <f t="shared" si="1615"/>
        <v>0</v>
      </c>
      <c r="DZ288" s="275">
        <f t="shared" si="1615"/>
        <v>0</v>
      </c>
      <c r="EA288" s="1215">
        <f t="shared" si="1615"/>
        <v>0</v>
      </c>
      <c r="EB288" s="1216">
        <f t="shared" si="1615"/>
        <v>0</v>
      </c>
      <c r="EC288" s="275">
        <f t="shared" si="1615"/>
        <v>0</v>
      </c>
      <c r="ED288" s="1215">
        <f t="shared" si="1615"/>
        <v>0</v>
      </c>
      <c r="EE288" s="1216">
        <f t="shared" si="1615"/>
        <v>0</v>
      </c>
      <c r="EF288" s="275">
        <f t="shared" si="1615"/>
        <v>0</v>
      </c>
      <c r="EG288" s="1062">
        <f t="shared" si="1615"/>
        <v>0</v>
      </c>
      <c r="EI288" s="33" t="s">
        <v>7</v>
      </c>
      <c r="EJ288" s="62"/>
      <c r="EK288" s="469" t="s">
        <v>22</v>
      </c>
      <c r="EL288" s="7">
        <f t="shared" ref="EL288:EQ288" ca="1" si="1616">SUM(EL286,EL180:EL183,EL214)</f>
        <v>900</v>
      </c>
      <c r="EM288" s="7">
        <f t="shared" ca="1" si="1616"/>
        <v>0</v>
      </c>
      <c r="EN288" s="7">
        <f t="shared" ca="1" si="1616"/>
        <v>0</v>
      </c>
      <c r="EO288" s="7">
        <f t="shared" ca="1" si="1616"/>
        <v>0</v>
      </c>
      <c r="EP288" s="7">
        <f t="shared" ca="1" si="1616"/>
        <v>0</v>
      </c>
      <c r="EQ288" s="7">
        <f t="shared" ca="1" si="1616"/>
        <v>0</v>
      </c>
      <c r="ER288" s="7">
        <f t="shared" ca="1" si="1501"/>
        <v>900</v>
      </c>
      <c r="ES288" s="13">
        <f ca="1">SUM(ER286,ER180:ER183,ER214)</f>
        <v>900</v>
      </c>
      <c r="ET288"/>
      <c r="EU288" s="9"/>
      <c r="EV288" s="171">
        <f t="shared" ref="EV288:FB288" si="1617">SUM(EV286,EV180:EV183,EV214)</f>
        <v>0</v>
      </c>
      <c r="EW288" s="171">
        <f t="shared" si="1617"/>
        <v>0</v>
      </c>
      <c r="EX288" s="171">
        <f t="shared" si="1617"/>
        <v>0</v>
      </c>
      <c r="EY288" s="171">
        <f t="shared" si="1617"/>
        <v>0</v>
      </c>
      <c r="EZ288" s="171">
        <f t="shared" si="1617"/>
        <v>0</v>
      </c>
      <c r="FA288" s="171">
        <f t="shared" si="1617"/>
        <v>0</v>
      </c>
      <c r="FB288" s="171">
        <f t="shared" si="1617"/>
        <v>0</v>
      </c>
      <c r="FC288" s="1"/>
      <c r="FD288" s="144">
        <f t="shared" ref="FD288:FJ288" si="1618">SUM(FD286,FD180:FD183,FD214)</f>
        <v>0</v>
      </c>
      <c r="FE288" s="144">
        <f t="shared" si="1618"/>
        <v>0</v>
      </c>
      <c r="FF288" s="144">
        <f t="shared" si="1618"/>
        <v>0</v>
      </c>
      <c r="FG288" s="144">
        <f t="shared" si="1618"/>
        <v>0</v>
      </c>
      <c r="FH288" s="144">
        <f t="shared" si="1618"/>
        <v>0</v>
      </c>
      <c r="FI288" s="144">
        <f t="shared" si="1618"/>
        <v>0</v>
      </c>
      <c r="FJ288" s="144">
        <f t="shared" si="1618"/>
        <v>0</v>
      </c>
      <c r="FL288" s="213">
        <f t="shared" ref="FL288:FR288" si="1619">SUM(FL286,FL180:FL183,FL214)</f>
        <v>0</v>
      </c>
      <c r="FM288" s="213">
        <f t="shared" si="1619"/>
        <v>0</v>
      </c>
      <c r="FN288" s="213">
        <f t="shared" si="1619"/>
        <v>0</v>
      </c>
      <c r="FO288" s="213">
        <f t="shared" si="1619"/>
        <v>0</v>
      </c>
      <c r="FP288" s="213">
        <f t="shared" si="1619"/>
        <v>0</v>
      </c>
      <c r="FQ288" s="213">
        <f t="shared" si="1619"/>
        <v>0</v>
      </c>
      <c r="FR288" s="213">
        <f t="shared" si="1619"/>
        <v>0</v>
      </c>
      <c r="FT288" s="185">
        <f t="shared" ref="FT288:FZ288" si="1620">SUM(FT286,FT180:FT183,FT214)</f>
        <v>0</v>
      </c>
      <c r="FU288" s="185">
        <f t="shared" si="1620"/>
        <v>0</v>
      </c>
      <c r="FV288" s="185">
        <f t="shared" si="1620"/>
        <v>0</v>
      </c>
      <c r="FW288" s="185">
        <f t="shared" si="1620"/>
        <v>0</v>
      </c>
      <c r="FX288" s="185">
        <f t="shared" si="1620"/>
        <v>0</v>
      </c>
      <c r="FY288" s="185">
        <f t="shared" si="1620"/>
        <v>0</v>
      </c>
      <c r="FZ288" s="185">
        <f t="shared" si="1620"/>
        <v>0</v>
      </c>
      <c r="GB288" s="157">
        <f t="shared" ref="GB288:GH288" si="1621">SUM(GB286,GB180:GB183,GB214)</f>
        <v>0</v>
      </c>
      <c r="GC288" s="157">
        <f t="shared" si="1621"/>
        <v>0</v>
      </c>
      <c r="GD288" s="157">
        <f t="shared" si="1621"/>
        <v>0</v>
      </c>
      <c r="GE288" s="157">
        <f t="shared" si="1621"/>
        <v>0</v>
      </c>
      <c r="GF288" s="157">
        <f t="shared" si="1621"/>
        <v>0</v>
      </c>
      <c r="GG288" s="157">
        <f t="shared" si="1621"/>
        <v>0</v>
      </c>
      <c r="GH288" s="157">
        <f t="shared" si="1621"/>
        <v>0</v>
      </c>
      <c r="GJ288" s="199">
        <f t="shared" ref="GJ288:GP288" si="1622">SUM(GJ286,GJ180:GJ183,GJ214)</f>
        <v>0</v>
      </c>
      <c r="GK288" s="199">
        <f t="shared" si="1622"/>
        <v>0</v>
      </c>
      <c r="GL288" s="199">
        <f t="shared" si="1622"/>
        <v>0</v>
      </c>
      <c r="GM288" s="199">
        <f t="shared" si="1622"/>
        <v>0</v>
      </c>
      <c r="GN288" s="199">
        <f t="shared" si="1622"/>
        <v>0</v>
      </c>
      <c r="GO288" s="199">
        <f t="shared" si="1622"/>
        <v>0</v>
      </c>
      <c r="GP288" s="199">
        <f t="shared" si="1622"/>
        <v>0</v>
      </c>
      <c r="GR288" s="1108">
        <f t="shared" ref="GR288:GX288" si="1623">SUM(GR286,GR180:GR183,GR214)</f>
        <v>0</v>
      </c>
      <c r="GS288" s="1108">
        <f t="shared" si="1623"/>
        <v>0</v>
      </c>
      <c r="GT288" s="1108">
        <f t="shared" si="1623"/>
        <v>0</v>
      </c>
      <c r="GU288" s="1108">
        <f t="shared" si="1623"/>
        <v>0</v>
      </c>
      <c r="GV288" s="1108">
        <f t="shared" si="1623"/>
        <v>0</v>
      </c>
      <c r="GW288" s="1108">
        <f t="shared" si="1623"/>
        <v>0</v>
      </c>
      <c r="GX288" s="1108">
        <f t="shared" si="1623"/>
        <v>0</v>
      </c>
      <c r="GZ288" s="993">
        <f t="shared" si="1490"/>
        <v>0</v>
      </c>
      <c r="HA288" s="993">
        <f t="shared" si="1491"/>
        <v>0</v>
      </c>
      <c r="HB288" s="993">
        <f t="shared" si="1492"/>
        <v>0</v>
      </c>
      <c r="HC288" s="993">
        <f t="shared" si="1493"/>
        <v>0</v>
      </c>
      <c r="HD288" s="993">
        <f t="shared" si="1494"/>
        <v>0</v>
      </c>
      <c r="HE288" s="993">
        <f t="shared" si="1495"/>
        <v>0</v>
      </c>
      <c r="HF288" s="993">
        <f t="shared" si="1496"/>
        <v>0</v>
      </c>
      <c r="HG288" s="275">
        <f t="shared" ca="1" si="1497"/>
        <v>900</v>
      </c>
      <c r="HH288" s="259"/>
    </row>
    <row r="289" spans="1:216" ht="15" customHeight="1" thickBot="1" x14ac:dyDescent="0.3">
      <c r="A289" s="33"/>
      <c r="B289" s="78"/>
      <c r="C289" s="78"/>
      <c r="D289" s="78"/>
      <c r="E289" s="78"/>
      <c r="F289" s="78"/>
      <c r="G289" s="78"/>
      <c r="H289" s="78"/>
      <c r="I289" s="78"/>
      <c r="J289" s="78"/>
      <c r="K289"/>
      <c r="L289" s="13"/>
      <c r="M289" s="9"/>
      <c r="N289" s="78"/>
      <c r="O289" s="78"/>
      <c r="P289" s="78"/>
      <c r="Q289" s="78"/>
      <c r="R289" s="78"/>
      <c r="S289" s="78"/>
      <c r="T289" s="73"/>
      <c r="U289" s="1"/>
      <c r="V289" s="78"/>
      <c r="W289" s="78"/>
      <c r="X289" s="78"/>
      <c r="Y289" s="78"/>
      <c r="Z289" s="78"/>
      <c r="AA289" s="78"/>
      <c r="AB289" s="73"/>
      <c r="AD289" s="78"/>
      <c r="AE289" s="78"/>
      <c r="AF289" s="78"/>
      <c r="AG289" s="78"/>
      <c r="AH289" s="78"/>
      <c r="AI289" s="78"/>
      <c r="AJ289" s="73"/>
      <c r="AL289" s="78"/>
      <c r="AM289" s="78"/>
      <c r="AN289" s="78"/>
      <c r="AO289" s="78"/>
      <c r="AP289" s="78"/>
      <c r="AQ289" s="78"/>
      <c r="AR289" s="73"/>
      <c r="AT289" s="78"/>
      <c r="AU289" s="78"/>
      <c r="AV289" s="78"/>
      <c r="AW289" s="78"/>
      <c r="AX289" s="78"/>
      <c r="AY289" s="78"/>
      <c r="AZ289" s="73"/>
      <c r="BB289" s="78"/>
      <c r="BC289" s="78"/>
      <c r="BD289" s="78"/>
      <c r="BE289" s="78"/>
      <c r="BF289" s="78"/>
      <c r="BG289" s="78"/>
      <c r="BH289" s="73"/>
      <c r="BJ289" s="78"/>
      <c r="BK289" s="78"/>
      <c r="BL289" s="78"/>
      <c r="BM289" s="78"/>
      <c r="BN289" s="78"/>
      <c r="BO289" s="78"/>
      <c r="BP289" s="73"/>
      <c r="BR289" s="23"/>
      <c r="BS289" s="23"/>
      <c r="BT289" s="23"/>
      <c r="BU289" s="23"/>
      <c r="BV289" s="23"/>
      <c r="BW289" s="23"/>
      <c r="BX289" s="23"/>
      <c r="BY289" s="1"/>
      <c r="BZ289" s="1"/>
      <c r="CB289" s="1217"/>
      <c r="CC289" s="1217"/>
      <c r="CD289" s="1217"/>
      <c r="CE289" s="1217"/>
      <c r="CF289" s="1217"/>
      <c r="CG289" s="1217"/>
      <c r="CH289" s="1217"/>
      <c r="CI289" s="1217"/>
      <c r="CJ289" s="1217"/>
      <c r="CK289" s="1217"/>
      <c r="CL289" s="1217"/>
      <c r="CM289" s="1217"/>
      <c r="CN289" s="1217"/>
      <c r="CO289" s="1217"/>
      <c r="CP289" s="1217"/>
      <c r="EI289" s="33"/>
      <c r="EJ289" s="78"/>
      <c r="EK289" s="78"/>
      <c r="EL289" s="78"/>
      <c r="EM289" s="78"/>
      <c r="EN289" s="78"/>
      <c r="EO289" s="78"/>
      <c r="EP289" s="78"/>
      <c r="EQ289" s="78"/>
      <c r="ER289" s="78"/>
      <c r="ES289"/>
      <c r="ET289" s="13"/>
      <c r="EU289" s="9"/>
      <c r="EV289" s="78"/>
      <c r="EW289" s="78"/>
      <c r="EX289" s="78"/>
      <c r="EY289" s="78"/>
      <c r="EZ289" s="78"/>
      <c r="FA289" s="78"/>
      <c r="FB289" s="73"/>
      <c r="FC289" s="1"/>
      <c r="FD289" s="78"/>
      <c r="FE289" s="78"/>
      <c r="FF289" s="78"/>
      <c r="FG289" s="78"/>
      <c r="FH289" s="78"/>
      <c r="FI289" s="78"/>
      <c r="FJ289" s="73"/>
      <c r="FL289" s="78"/>
      <c r="FM289" s="78"/>
      <c r="FN289" s="78"/>
      <c r="FO289" s="78"/>
      <c r="FP289" s="78"/>
      <c r="FQ289" s="78"/>
      <c r="FR289" s="73"/>
      <c r="FT289" s="78"/>
      <c r="FU289" s="78"/>
      <c r="FV289" s="78"/>
      <c r="FW289" s="78"/>
      <c r="FX289" s="78"/>
      <c r="FY289" s="78"/>
      <c r="FZ289" s="73"/>
      <c r="GB289" s="78"/>
      <c r="GC289" s="78"/>
      <c r="GD289" s="78"/>
      <c r="GE289" s="78"/>
      <c r="GF289" s="78"/>
      <c r="GG289" s="78"/>
      <c r="GH289" s="73"/>
      <c r="GJ289" s="78"/>
      <c r="GK289" s="78"/>
      <c r="GL289" s="78"/>
      <c r="GM289" s="78"/>
      <c r="GN289" s="78"/>
      <c r="GO289" s="78"/>
      <c r="GP289" s="73"/>
      <c r="GR289" s="78"/>
      <c r="GS289" s="78"/>
      <c r="GT289" s="78"/>
      <c r="GU289" s="78"/>
      <c r="GV289" s="78"/>
      <c r="GW289" s="78"/>
      <c r="GX289" s="73"/>
      <c r="GZ289" s="23"/>
      <c r="HA289" s="23"/>
      <c r="HB289" s="23"/>
      <c r="HC289" s="23"/>
      <c r="HD289" s="23"/>
      <c r="HE289" s="23"/>
      <c r="HF289" s="23"/>
      <c r="HG289" s="1"/>
      <c r="HH289" s="1"/>
    </row>
    <row r="290" spans="1:216" ht="15" customHeight="1" x14ac:dyDescent="0.25">
      <c r="A290" s="405" t="s">
        <v>53</v>
      </c>
      <c r="B290" s="77" t="s">
        <v>52</v>
      </c>
      <c r="C290" s="79"/>
      <c r="D290" s="7">
        <f t="shared" ref="D290:J290" ca="1" si="1624">SUM(D156,D165,D170,D177,D288)</f>
        <v>50000.337972000001</v>
      </c>
      <c r="E290" s="7">
        <f t="shared" ca="1" si="1624"/>
        <v>0</v>
      </c>
      <c r="F290" s="7">
        <f t="shared" ca="1" si="1624"/>
        <v>0</v>
      </c>
      <c r="G290" s="7">
        <f t="shared" ca="1" si="1624"/>
        <v>0</v>
      </c>
      <c r="H290" s="7">
        <f t="shared" ca="1" si="1624"/>
        <v>0</v>
      </c>
      <c r="I290" s="7">
        <f t="shared" ca="1" si="1624"/>
        <v>0</v>
      </c>
      <c r="J290" s="12">
        <f t="shared" ca="1" si="1624"/>
        <v>50000.337972000001</v>
      </c>
      <c r="K290" s="13">
        <f ca="1">SUM(D290:I290)</f>
        <v>50000.337972000001</v>
      </c>
      <c r="L290" s="13"/>
      <c r="M290" s="9"/>
      <c r="N290" s="171">
        <f t="shared" ref="N290:T290" ca="1" si="1625">SUM(N156,N165,N170,N177,N288)</f>
        <v>0</v>
      </c>
      <c r="O290" s="171">
        <f t="shared" ca="1" si="1625"/>
        <v>0</v>
      </c>
      <c r="P290" s="171">
        <f t="shared" ca="1" si="1625"/>
        <v>0</v>
      </c>
      <c r="Q290" s="171">
        <f t="shared" ca="1" si="1625"/>
        <v>0</v>
      </c>
      <c r="R290" s="171">
        <f t="shared" ca="1" si="1625"/>
        <v>0</v>
      </c>
      <c r="S290" s="171">
        <f t="shared" ca="1" si="1625"/>
        <v>0</v>
      </c>
      <c r="T290" s="171">
        <f t="shared" ca="1" si="1625"/>
        <v>0</v>
      </c>
      <c r="U290" s="1"/>
      <c r="V290" s="144">
        <f t="shared" ref="V290:AB290" ca="1" si="1626">SUM(V156,V165,V170,V177,V288)</f>
        <v>0</v>
      </c>
      <c r="W290" s="144">
        <f t="shared" ca="1" si="1626"/>
        <v>0</v>
      </c>
      <c r="X290" s="144">
        <f t="shared" ca="1" si="1626"/>
        <v>0</v>
      </c>
      <c r="Y290" s="144">
        <f t="shared" ca="1" si="1626"/>
        <v>0</v>
      </c>
      <c r="Z290" s="144">
        <f t="shared" ca="1" si="1626"/>
        <v>0</v>
      </c>
      <c r="AA290" s="144">
        <f t="shared" ca="1" si="1626"/>
        <v>0</v>
      </c>
      <c r="AB290" s="144">
        <f t="shared" ca="1" si="1626"/>
        <v>0</v>
      </c>
      <c r="AD290" s="213">
        <f t="shared" ref="AD290:AJ290" ca="1" si="1627">SUM(AD156,AD165,AD170,AD177,AD288)</f>
        <v>0</v>
      </c>
      <c r="AE290" s="213">
        <f t="shared" ca="1" si="1627"/>
        <v>0</v>
      </c>
      <c r="AF290" s="213">
        <f t="shared" ca="1" si="1627"/>
        <v>0</v>
      </c>
      <c r="AG290" s="213">
        <f t="shared" ca="1" si="1627"/>
        <v>0</v>
      </c>
      <c r="AH290" s="213">
        <f t="shared" ca="1" si="1627"/>
        <v>0</v>
      </c>
      <c r="AI290" s="213">
        <f t="shared" ca="1" si="1627"/>
        <v>0</v>
      </c>
      <c r="AJ290" s="213">
        <f t="shared" ca="1" si="1627"/>
        <v>0</v>
      </c>
      <c r="AL290" s="185">
        <f t="shared" ref="AL290:AR290" ca="1" si="1628">SUM(AL156,AL165,AL170,AL177,AL288)</f>
        <v>0</v>
      </c>
      <c r="AM290" s="185">
        <f t="shared" ca="1" si="1628"/>
        <v>0</v>
      </c>
      <c r="AN290" s="185">
        <f t="shared" ca="1" si="1628"/>
        <v>0</v>
      </c>
      <c r="AO290" s="185">
        <f t="shared" ca="1" si="1628"/>
        <v>0</v>
      </c>
      <c r="AP290" s="185">
        <f t="shared" ca="1" si="1628"/>
        <v>0</v>
      </c>
      <c r="AQ290" s="185">
        <f t="shared" ca="1" si="1628"/>
        <v>0</v>
      </c>
      <c r="AR290" s="185">
        <f t="shared" ca="1" si="1628"/>
        <v>0</v>
      </c>
      <c r="AT290" s="157">
        <f t="shared" ref="AT290:AZ290" ca="1" si="1629">SUM(AT156,AT165,AT170,AT177,AT288)</f>
        <v>0</v>
      </c>
      <c r="AU290" s="157">
        <f t="shared" ca="1" si="1629"/>
        <v>0</v>
      </c>
      <c r="AV290" s="157">
        <f t="shared" ca="1" si="1629"/>
        <v>0</v>
      </c>
      <c r="AW290" s="157">
        <f t="shared" ca="1" si="1629"/>
        <v>0</v>
      </c>
      <c r="AX290" s="157">
        <f t="shared" ca="1" si="1629"/>
        <v>0</v>
      </c>
      <c r="AY290" s="157">
        <f t="shared" ca="1" si="1629"/>
        <v>0</v>
      </c>
      <c r="AZ290" s="157">
        <f t="shared" ca="1" si="1629"/>
        <v>0</v>
      </c>
      <c r="BB290" s="199">
        <f t="shared" ref="BB290:BH290" ca="1" si="1630">SUM(BB156,BB165,BB170,BB177,BB288)</f>
        <v>0</v>
      </c>
      <c r="BC290" s="199">
        <f t="shared" ca="1" si="1630"/>
        <v>0</v>
      </c>
      <c r="BD290" s="199">
        <f t="shared" ca="1" si="1630"/>
        <v>0</v>
      </c>
      <c r="BE290" s="199">
        <f t="shared" ca="1" si="1630"/>
        <v>0</v>
      </c>
      <c r="BF290" s="199">
        <f t="shared" ca="1" si="1630"/>
        <v>0</v>
      </c>
      <c r="BG290" s="199">
        <f t="shared" ca="1" si="1630"/>
        <v>0</v>
      </c>
      <c r="BH290" s="199">
        <f t="shared" ca="1" si="1630"/>
        <v>0</v>
      </c>
      <c r="BI290" s="672" t="s">
        <v>480</v>
      </c>
      <c r="BJ290" s="981">
        <f t="shared" ref="BJ290:BO290" ca="1" si="1631">IFERROR(SUM(N290*ISNUMBER(MATCH($N$10,Unit,0)),V290*ISNUMBER(MATCH($V$10,Unit,0)),AD290*ISNUMBER(MATCH($AD$10,Unit,0)),AL290*ISNUMBER(MATCH($AL$10,Unit,0)),AT290*ISNUMBER(MATCH($AT$10,Unit,0)),BB290*ISNUMBER(MATCH($BB$10,Unit,0))),0)</f>
        <v>0</v>
      </c>
      <c r="BK290" s="981">
        <f t="shared" ca="1" si="1631"/>
        <v>0</v>
      </c>
      <c r="BL290" s="981">
        <f t="shared" ca="1" si="1631"/>
        <v>0</v>
      </c>
      <c r="BM290" s="981">
        <f t="shared" ca="1" si="1631"/>
        <v>0</v>
      </c>
      <c r="BN290" s="981">
        <f t="shared" ca="1" si="1631"/>
        <v>0</v>
      </c>
      <c r="BO290" s="981">
        <f t="shared" ca="1" si="1631"/>
        <v>0</v>
      </c>
      <c r="BP290" s="1108">
        <f ca="1">SUM(BJ290:BO290)</f>
        <v>0</v>
      </c>
      <c r="BR290" s="990">
        <f t="shared" ref="BR290:BW292" ca="1" si="1632">SUM(N290,V290,AD290,AL290,AT290,BB290)</f>
        <v>0</v>
      </c>
      <c r="BS290" s="990">
        <f t="shared" ca="1" si="1632"/>
        <v>0</v>
      </c>
      <c r="BT290" s="990">
        <f t="shared" ca="1" si="1632"/>
        <v>0</v>
      </c>
      <c r="BU290" s="990">
        <f t="shared" ca="1" si="1632"/>
        <v>0</v>
      </c>
      <c r="BV290" s="990">
        <f t="shared" ca="1" si="1632"/>
        <v>0</v>
      </c>
      <c r="BW290" s="990">
        <f t="shared" ca="1" si="1632"/>
        <v>0</v>
      </c>
      <c r="BX290" s="990">
        <f ca="1">SUM(BR290:BW290)</f>
        <v>0</v>
      </c>
      <c r="BY290" s="276">
        <f ca="1">SUM(J290+BX290)</f>
        <v>50000.337972000001</v>
      </c>
      <c r="BZ290" s="259"/>
      <c r="CB290" s="1065">
        <f t="shared" ref="CB290:CO290" ca="1" si="1633">SUM(CB156,CB165,CB170,CB177,CB288)</f>
        <v>24709.87</v>
      </c>
      <c r="CC290" s="1366">
        <f t="shared" ca="1" si="1633"/>
        <v>0</v>
      </c>
      <c r="CD290" s="1367">
        <f t="shared" ca="1" si="1633"/>
        <v>0</v>
      </c>
      <c r="CE290" s="1367">
        <f t="shared" ca="1" si="1633"/>
        <v>0</v>
      </c>
      <c r="CF290" s="1075">
        <f t="shared" ca="1" si="1633"/>
        <v>0</v>
      </c>
      <c r="CG290" s="1065">
        <f t="shared" ca="1" si="1633"/>
        <v>0</v>
      </c>
      <c r="CH290" s="1366">
        <f t="shared" ca="1" si="1633"/>
        <v>0</v>
      </c>
      <c r="CI290" s="1367">
        <f t="shared" ca="1" si="1633"/>
        <v>0</v>
      </c>
      <c r="CJ290" s="1367">
        <f t="shared" ca="1" si="1633"/>
        <v>0</v>
      </c>
      <c r="CK290" s="1075">
        <f t="shared" ca="1" si="1633"/>
        <v>0</v>
      </c>
      <c r="CL290" s="1065">
        <f t="shared" ca="1" si="1633"/>
        <v>0</v>
      </c>
      <c r="CM290" s="1366">
        <f t="shared" ca="1" si="1633"/>
        <v>0</v>
      </c>
      <c r="CN290" s="1367">
        <f t="shared" ca="1" si="1633"/>
        <v>0</v>
      </c>
      <c r="CO290" s="1367">
        <f t="shared" ca="1" si="1633"/>
        <v>0</v>
      </c>
      <c r="CP290" s="1168">
        <f ca="1">SUM(CB290:CO290)</f>
        <v>24709.87</v>
      </c>
      <c r="CS290" s="1366">
        <f t="shared" ref="CS290:DE290" si="1634">SUM(CS156,CS165,CS170,CS177,CS288)</f>
        <v>0</v>
      </c>
      <c r="CT290" s="1367">
        <f t="shared" si="1634"/>
        <v>0</v>
      </c>
      <c r="CU290" s="276">
        <f t="shared" si="1634"/>
        <v>0</v>
      </c>
      <c r="CV290" s="1366">
        <f t="shared" si="1634"/>
        <v>0</v>
      </c>
      <c r="CW290" s="1367">
        <f t="shared" si="1634"/>
        <v>0</v>
      </c>
      <c r="CX290" s="276">
        <f t="shared" si="1634"/>
        <v>0</v>
      </c>
      <c r="CY290" s="1366">
        <f t="shared" si="1634"/>
        <v>0</v>
      </c>
      <c r="CZ290" s="1367">
        <f t="shared" si="1634"/>
        <v>0</v>
      </c>
      <c r="DA290" s="276">
        <f t="shared" si="1634"/>
        <v>0</v>
      </c>
      <c r="DB290" s="1366">
        <f t="shared" si="1634"/>
        <v>0</v>
      </c>
      <c r="DC290" s="1367">
        <f t="shared" si="1634"/>
        <v>0</v>
      </c>
      <c r="DD290" s="276">
        <f t="shared" si="1634"/>
        <v>0</v>
      </c>
      <c r="DE290" s="1065">
        <f t="shared" si="1634"/>
        <v>0</v>
      </c>
      <c r="DG290" s="1366">
        <f t="shared" ref="DG290:DS290" si="1635">SUM(DG156,DG165,DG170,DG177,DG288)</f>
        <v>0</v>
      </c>
      <c r="DH290" s="1367">
        <f t="shared" si="1635"/>
        <v>0</v>
      </c>
      <c r="DI290" s="276">
        <f t="shared" si="1635"/>
        <v>0</v>
      </c>
      <c r="DJ290" s="1366">
        <f t="shared" si="1635"/>
        <v>0</v>
      </c>
      <c r="DK290" s="1367">
        <f t="shared" si="1635"/>
        <v>0</v>
      </c>
      <c r="DL290" s="276">
        <f t="shared" si="1635"/>
        <v>0</v>
      </c>
      <c r="DM290" s="1366">
        <f t="shared" si="1635"/>
        <v>0</v>
      </c>
      <c r="DN290" s="1367">
        <f t="shared" si="1635"/>
        <v>0</v>
      </c>
      <c r="DO290" s="276">
        <f t="shared" si="1635"/>
        <v>0</v>
      </c>
      <c r="DP290" s="1366">
        <f t="shared" si="1635"/>
        <v>0</v>
      </c>
      <c r="DQ290" s="1367">
        <f t="shared" si="1635"/>
        <v>0</v>
      </c>
      <c r="DR290" s="276">
        <f t="shared" si="1635"/>
        <v>0</v>
      </c>
      <c r="DS290" s="1065">
        <f t="shared" si="1635"/>
        <v>0</v>
      </c>
      <c r="DU290" s="1366">
        <f t="shared" ref="DU290:EG290" si="1636">SUM(DU156,DU165,DU170,DU177,DU288)</f>
        <v>0</v>
      </c>
      <c r="DV290" s="1367">
        <f t="shared" si="1636"/>
        <v>0</v>
      </c>
      <c r="DW290" s="276">
        <f t="shared" si="1636"/>
        <v>0</v>
      </c>
      <c r="DX290" s="1366">
        <f t="shared" si="1636"/>
        <v>0</v>
      </c>
      <c r="DY290" s="1367">
        <f t="shared" si="1636"/>
        <v>0</v>
      </c>
      <c r="DZ290" s="276">
        <f t="shared" si="1636"/>
        <v>0</v>
      </c>
      <c r="EA290" s="1366">
        <f t="shared" si="1636"/>
        <v>0</v>
      </c>
      <c r="EB290" s="1367">
        <f t="shared" si="1636"/>
        <v>0</v>
      </c>
      <c r="EC290" s="276">
        <f t="shared" si="1636"/>
        <v>0</v>
      </c>
      <c r="ED290" s="1366">
        <f t="shared" si="1636"/>
        <v>0</v>
      </c>
      <c r="EE290" s="1367">
        <f t="shared" si="1636"/>
        <v>0</v>
      </c>
      <c r="EF290" s="276">
        <f t="shared" si="1636"/>
        <v>0</v>
      </c>
      <c r="EG290" s="1065">
        <f t="shared" si="1636"/>
        <v>0</v>
      </c>
      <c r="EI290" s="405" t="s">
        <v>53</v>
      </c>
      <c r="EJ290" s="77" t="s">
        <v>52</v>
      </c>
      <c r="EK290" s="79"/>
      <c r="EL290" s="7">
        <f t="shared" ref="EL290:EQ290" ca="1" si="1637">SUM(EL156,EL165,EL170,EL177,EL288)</f>
        <v>50000</v>
      </c>
      <c r="EM290" s="7">
        <f t="shared" ca="1" si="1637"/>
        <v>0</v>
      </c>
      <c r="EN290" s="7">
        <f t="shared" ca="1" si="1637"/>
        <v>0</v>
      </c>
      <c r="EO290" s="7">
        <f t="shared" ca="1" si="1637"/>
        <v>0</v>
      </c>
      <c r="EP290" s="7">
        <f t="shared" ca="1" si="1637"/>
        <v>0</v>
      </c>
      <c r="EQ290" s="7">
        <f t="shared" ca="1" si="1637"/>
        <v>0</v>
      </c>
      <c r="ER290" s="12">
        <f ca="1">SUM(EL290:EQ290)</f>
        <v>50000</v>
      </c>
      <c r="ES290" s="13">
        <f ca="1">SUM(ER156,ER165,ER170,ER177,ER288)</f>
        <v>50000</v>
      </c>
      <c r="ET290" s="13"/>
      <c r="EU290" s="9"/>
      <c r="EV290" s="171">
        <f t="shared" ref="EV290:FB290" ca="1" si="1638">SUM(EV156,EV165,EV170,EV177,EV288)</f>
        <v>0</v>
      </c>
      <c r="EW290" s="171">
        <f t="shared" ca="1" si="1638"/>
        <v>0</v>
      </c>
      <c r="EX290" s="171">
        <f t="shared" ca="1" si="1638"/>
        <v>0</v>
      </c>
      <c r="EY290" s="171">
        <f t="shared" ca="1" si="1638"/>
        <v>0</v>
      </c>
      <c r="EZ290" s="171">
        <f t="shared" ca="1" si="1638"/>
        <v>0</v>
      </c>
      <c r="FA290" s="171">
        <f t="shared" ca="1" si="1638"/>
        <v>0</v>
      </c>
      <c r="FB290" s="171">
        <f t="shared" ca="1" si="1638"/>
        <v>0</v>
      </c>
      <c r="FC290" s="1"/>
      <c r="FD290" s="144">
        <f t="shared" ref="FD290:FJ290" ca="1" si="1639">SUM(FD156,FD165,FD170,FD177,FD288)</f>
        <v>0</v>
      </c>
      <c r="FE290" s="144">
        <f t="shared" ca="1" si="1639"/>
        <v>0</v>
      </c>
      <c r="FF290" s="144">
        <f t="shared" ca="1" si="1639"/>
        <v>0</v>
      </c>
      <c r="FG290" s="144">
        <f t="shared" ca="1" si="1639"/>
        <v>0</v>
      </c>
      <c r="FH290" s="144">
        <f t="shared" ca="1" si="1639"/>
        <v>0</v>
      </c>
      <c r="FI290" s="144">
        <f t="shared" ca="1" si="1639"/>
        <v>0</v>
      </c>
      <c r="FJ290" s="144">
        <f t="shared" ca="1" si="1639"/>
        <v>0</v>
      </c>
      <c r="FL290" s="213">
        <f t="shared" ref="FL290:FR290" ca="1" si="1640">SUM(FL156,FL165,FL170,FL177,FL288)</f>
        <v>0</v>
      </c>
      <c r="FM290" s="213">
        <f t="shared" ca="1" si="1640"/>
        <v>0</v>
      </c>
      <c r="FN290" s="213">
        <f t="shared" ca="1" si="1640"/>
        <v>0</v>
      </c>
      <c r="FO290" s="213">
        <f t="shared" ca="1" si="1640"/>
        <v>0</v>
      </c>
      <c r="FP290" s="213">
        <f t="shared" ca="1" si="1640"/>
        <v>0</v>
      </c>
      <c r="FQ290" s="213">
        <f t="shared" ca="1" si="1640"/>
        <v>0</v>
      </c>
      <c r="FR290" s="213">
        <f t="shared" ca="1" si="1640"/>
        <v>0</v>
      </c>
      <c r="FT290" s="185">
        <f t="shared" ref="FT290:FZ290" ca="1" si="1641">SUM(FT156,FT165,FT170,FT177,FT288)</f>
        <v>0</v>
      </c>
      <c r="FU290" s="185">
        <f t="shared" ca="1" si="1641"/>
        <v>0</v>
      </c>
      <c r="FV290" s="185">
        <f t="shared" ca="1" si="1641"/>
        <v>0</v>
      </c>
      <c r="FW290" s="185">
        <f t="shared" ca="1" si="1641"/>
        <v>0</v>
      </c>
      <c r="FX290" s="185">
        <f t="shared" ca="1" si="1641"/>
        <v>0</v>
      </c>
      <c r="FY290" s="185">
        <f t="shared" ca="1" si="1641"/>
        <v>0</v>
      </c>
      <c r="FZ290" s="185">
        <f t="shared" ca="1" si="1641"/>
        <v>0</v>
      </c>
      <c r="GB290" s="157">
        <f t="shared" ref="GB290:GH290" ca="1" si="1642">SUM(GB156,GB165,GB170,GB177,GB288)</f>
        <v>0</v>
      </c>
      <c r="GC290" s="157">
        <f t="shared" ca="1" si="1642"/>
        <v>0</v>
      </c>
      <c r="GD290" s="157">
        <f t="shared" ca="1" si="1642"/>
        <v>0</v>
      </c>
      <c r="GE290" s="157">
        <f t="shared" ca="1" si="1642"/>
        <v>0</v>
      </c>
      <c r="GF290" s="157">
        <f t="shared" ca="1" si="1642"/>
        <v>0</v>
      </c>
      <c r="GG290" s="157">
        <f t="shared" ca="1" si="1642"/>
        <v>0</v>
      </c>
      <c r="GH290" s="157">
        <f t="shared" ca="1" si="1642"/>
        <v>0</v>
      </c>
      <c r="GJ290" s="199">
        <f t="shared" ref="GJ290:GP290" ca="1" si="1643">SUM(GJ156,GJ165,GJ170,GJ177,GJ288)</f>
        <v>0</v>
      </c>
      <c r="GK290" s="199">
        <f t="shared" ca="1" si="1643"/>
        <v>0</v>
      </c>
      <c r="GL290" s="199">
        <f t="shared" ca="1" si="1643"/>
        <v>0</v>
      </c>
      <c r="GM290" s="199">
        <f t="shared" ca="1" si="1643"/>
        <v>0</v>
      </c>
      <c r="GN290" s="199">
        <f t="shared" ca="1" si="1643"/>
        <v>0</v>
      </c>
      <c r="GO290" s="199">
        <f t="shared" ca="1" si="1643"/>
        <v>0</v>
      </c>
      <c r="GP290" s="199">
        <f t="shared" ca="1" si="1643"/>
        <v>0</v>
      </c>
      <c r="GQ290" s="672" t="s">
        <v>480</v>
      </c>
      <c r="GR290" s="981">
        <f t="shared" ref="GR290:GW290" ca="1" si="1644">IFERROR(SUM(EV290*ISNUMBER(MATCH($N$10,Unit,0)),FD290*ISNUMBER(MATCH($V$10,Unit,0)),FL290*ISNUMBER(MATCH($AD$10,Unit,0)),FT290*ISNUMBER(MATCH($AL$10,Unit,0)),GB290*ISNUMBER(MATCH($AT$10,Unit,0)),GJ290*ISNUMBER(MATCH($BB$10,Unit,0))),0)</f>
        <v>0</v>
      </c>
      <c r="GS290" s="981">
        <f t="shared" ca="1" si="1644"/>
        <v>0</v>
      </c>
      <c r="GT290" s="981">
        <f t="shared" ca="1" si="1644"/>
        <v>0</v>
      </c>
      <c r="GU290" s="981">
        <f t="shared" ca="1" si="1644"/>
        <v>0</v>
      </c>
      <c r="GV290" s="981">
        <f t="shared" ca="1" si="1644"/>
        <v>0</v>
      </c>
      <c r="GW290" s="981">
        <f t="shared" ca="1" si="1644"/>
        <v>0</v>
      </c>
      <c r="GX290" s="1108">
        <f ca="1">SUM(GR290:GW290)</f>
        <v>0</v>
      </c>
      <c r="GZ290" s="990">
        <f t="shared" ref="GZ290:HE292" ca="1" si="1645">SUM(EV290,FD290,FL290,FT290,GB290,GJ290)</f>
        <v>0</v>
      </c>
      <c r="HA290" s="990">
        <f t="shared" ca="1" si="1645"/>
        <v>0</v>
      </c>
      <c r="HB290" s="990">
        <f t="shared" ca="1" si="1645"/>
        <v>0</v>
      </c>
      <c r="HC290" s="990">
        <f t="shared" ca="1" si="1645"/>
        <v>0</v>
      </c>
      <c r="HD290" s="990">
        <f t="shared" ca="1" si="1645"/>
        <v>0</v>
      </c>
      <c r="HE290" s="990">
        <f t="shared" ca="1" si="1645"/>
        <v>0</v>
      </c>
      <c r="HF290" s="990">
        <f ca="1">SUM(GZ290:HE290)</f>
        <v>0</v>
      </c>
      <c r="HG290" s="276">
        <f ca="1">SUM(ER290+HF290)</f>
        <v>50000</v>
      </c>
      <c r="HH290" s="259"/>
    </row>
    <row r="291" spans="1:216" ht="15" customHeight="1" x14ac:dyDescent="0.25">
      <c r="A291" s="30"/>
      <c r="B291" s="74" t="s">
        <v>357</v>
      </c>
      <c r="C291" s="80"/>
      <c r="D291" s="15">
        <f t="shared" ref="D291:I291" ca="1" si="1646">SUM(D165,D177,SUMIF($C$184:$C$213,"Remaining*",D$184:D$213),D217,D285)*-1</f>
        <v>0</v>
      </c>
      <c r="E291" s="15">
        <f t="shared" ca="1" si="1646"/>
        <v>0</v>
      </c>
      <c r="F291" s="15">
        <f t="shared" ca="1" si="1646"/>
        <v>0</v>
      </c>
      <c r="G291" s="15">
        <f t="shared" ca="1" si="1646"/>
        <v>0</v>
      </c>
      <c r="H291" s="15">
        <f t="shared" ca="1" si="1646"/>
        <v>0</v>
      </c>
      <c r="I291" s="15">
        <f t="shared" ca="1" si="1646"/>
        <v>0</v>
      </c>
      <c r="J291" s="16">
        <f ca="1">SUM(D291:I291)</f>
        <v>0</v>
      </c>
      <c r="K291" s="13"/>
      <c r="L291" s="13"/>
      <c r="M291" s="9"/>
      <c r="N291" s="172">
        <f t="shared" ref="N291:S291" si="1647">SUM(N165,N177,SUMIF($C$184:$C$213,"Remaining*",N$184:N$213),N285)*-1</f>
        <v>0</v>
      </c>
      <c r="O291" s="172">
        <f t="shared" si="1647"/>
        <v>0</v>
      </c>
      <c r="P291" s="172">
        <f t="shared" si="1647"/>
        <v>0</v>
      </c>
      <c r="Q291" s="172">
        <f t="shared" si="1647"/>
        <v>0</v>
      </c>
      <c r="R291" s="172">
        <f t="shared" si="1647"/>
        <v>0</v>
      </c>
      <c r="S291" s="172">
        <f t="shared" si="1647"/>
        <v>0</v>
      </c>
      <c r="T291" s="172">
        <f>SUM(N291:S291)</f>
        <v>0</v>
      </c>
      <c r="U291" s="1"/>
      <c r="V291" s="145">
        <f t="shared" ref="V291:AA291" si="1648">SUM(V165,V177,SUMIF($C$184:$C$213,"Remaining*",V$184:V$213),V285)*-1</f>
        <v>0</v>
      </c>
      <c r="W291" s="145">
        <f t="shared" si="1648"/>
        <v>0</v>
      </c>
      <c r="X291" s="145">
        <f t="shared" si="1648"/>
        <v>0</v>
      </c>
      <c r="Y291" s="145">
        <f t="shared" si="1648"/>
        <v>0</v>
      </c>
      <c r="Z291" s="145">
        <f t="shared" si="1648"/>
        <v>0</v>
      </c>
      <c r="AA291" s="145">
        <f t="shared" si="1648"/>
        <v>0</v>
      </c>
      <c r="AB291" s="145">
        <f>SUM(V291:AA291)</f>
        <v>0</v>
      </c>
      <c r="AD291" s="214">
        <f t="shared" ref="AD291:AI291" si="1649">SUM(AD165,AD177,SUMIF($C$184:$C$213,"Remaining*",AD$184:AD$213),AD285)*-1</f>
        <v>0</v>
      </c>
      <c r="AE291" s="214">
        <f t="shared" si="1649"/>
        <v>0</v>
      </c>
      <c r="AF291" s="214">
        <f t="shared" si="1649"/>
        <v>0</v>
      </c>
      <c r="AG291" s="214">
        <f t="shared" si="1649"/>
        <v>0</v>
      </c>
      <c r="AH291" s="214">
        <f t="shared" si="1649"/>
        <v>0</v>
      </c>
      <c r="AI291" s="214">
        <f t="shared" si="1649"/>
        <v>0</v>
      </c>
      <c r="AJ291" s="214">
        <f>SUM(AD291:AI291)</f>
        <v>0</v>
      </c>
      <c r="AL291" s="186">
        <f t="shared" ref="AL291:AQ291" si="1650">SUM(AL165,AL177,SUMIF($C$184:$C$213,"Remaining*",AL$184:AL$213),AL285)*-1</f>
        <v>0</v>
      </c>
      <c r="AM291" s="186">
        <f t="shared" si="1650"/>
        <v>0</v>
      </c>
      <c r="AN291" s="186">
        <f t="shared" si="1650"/>
        <v>0</v>
      </c>
      <c r="AO291" s="186">
        <f t="shared" si="1650"/>
        <v>0</v>
      </c>
      <c r="AP291" s="186">
        <f t="shared" si="1650"/>
        <v>0</v>
      </c>
      <c r="AQ291" s="186">
        <f t="shared" si="1650"/>
        <v>0</v>
      </c>
      <c r="AR291" s="186">
        <f>SUM(AL291:AQ291)</f>
        <v>0</v>
      </c>
      <c r="AT291" s="158">
        <f t="shared" ref="AT291:AY291" si="1651">SUM(AT165,AT177,SUMIF($C$184:$C$213,"Remaining*",AT$184:AT$213),AT285)*-1</f>
        <v>0</v>
      </c>
      <c r="AU291" s="158">
        <f t="shared" si="1651"/>
        <v>0</v>
      </c>
      <c r="AV291" s="158">
        <f t="shared" si="1651"/>
        <v>0</v>
      </c>
      <c r="AW291" s="158">
        <f t="shared" si="1651"/>
        <v>0</v>
      </c>
      <c r="AX291" s="158">
        <f t="shared" si="1651"/>
        <v>0</v>
      </c>
      <c r="AY291" s="158">
        <f t="shared" si="1651"/>
        <v>0</v>
      </c>
      <c r="AZ291" s="158">
        <f>SUM(AT291:AY291)</f>
        <v>0</v>
      </c>
      <c r="BB291" s="200">
        <f t="shared" ref="BB291:BG291" si="1652">SUM(BB165,BB177,SUMIF($C$184:$C$213,"Remaining*",BB$184:BB$213),BB285)*-1</f>
        <v>0</v>
      </c>
      <c r="BC291" s="200">
        <f t="shared" si="1652"/>
        <v>0</v>
      </c>
      <c r="BD291" s="200">
        <f t="shared" si="1652"/>
        <v>0</v>
      </c>
      <c r="BE291" s="200">
        <f t="shared" si="1652"/>
        <v>0</v>
      </c>
      <c r="BF291" s="200">
        <f t="shared" si="1652"/>
        <v>0</v>
      </c>
      <c r="BG291" s="200">
        <f t="shared" si="1652"/>
        <v>0</v>
      </c>
      <c r="BH291" s="200">
        <f>SUM(BB291:BG291)</f>
        <v>0</v>
      </c>
      <c r="BJ291" s="982">
        <f t="shared" ref="BJ291:BO291" si="1653">SUM(BJ165,BJ177,SUMIF($C$184:$C$213,"Remaining*",BJ$184:BJ$213),BJ285)*-1</f>
        <v>0</v>
      </c>
      <c r="BK291" s="982">
        <f t="shared" si="1653"/>
        <v>0</v>
      </c>
      <c r="BL291" s="982">
        <f t="shared" si="1653"/>
        <v>0</v>
      </c>
      <c r="BM291" s="982">
        <f t="shared" si="1653"/>
        <v>0</v>
      </c>
      <c r="BN291" s="982">
        <f t="shared" si="1653"/>
        <v>0</v>
      </c>
      <c r="BO291" s="982">
        <f t="shared" si="1653"/>
        <v>0</v>
      </c>
      <c r="BP291" s="1114">
        <f>SUM(BJ291:BO291)</f>
        <v>0</v>
      </c>
      <c r="BR291" s="999">
        <f t="shared" si="1632"/>
        <v>0</v>
      </c>
      <c r="BS291" s="999">
        <f t="shared" si="1632"/>
        <v>0</v>
      </c>
      <c r="BT291" s="999">
        <f t="shared" si="1632"/>
        <v>0</v>
      </c>
      <c r="BU291" s="999">
        <f t="shared" si="1632"/>
        <v>0</v>
      </c>
      <c r="BV291" s="999">
        <f t="shared" si="1632"/>
        <v>0</v>
      </c>
      <c r="BW291" s="999">
        <f t="shared" si="1632"/>
        <v>0</v>
      </c>
      <c r="BX291" s="999">
        <f>SUM(BR291:BW291)</f>
        <v>0</v>
      </c>
      <c r="BY291" s="277">
        <f ca="1">SUM(J291+BX291)</f>
        <v>0</v>
      </c>
      <c r="BZ291" s="218"/>
      <c r="CB291" s="1368">
        <f t="shared" ref="CB291:CO291" ca="1" si="1654">SUM(CB165,CB177,SUMIF($C$184:$C$213,"Remaining*",CB$184:CB$213),CB285)*-1</f>
        <v>0</v>
      </c>
      <c r="CC291" s="1369">
        <f t="shared" ca="1" si="1654"/>
        <v>0</v>
      </c>
      <c r="CD291" s="15">
        <f t="shared" ca="1" si="1654"/>
        <v>0</v>
      </c>
      <c r="CE291" s="15">
        <f t="shared" ca="1" si="1654"/>
        <v>0</v>
      </c>
      <c r="CF291" s="1371">
        <f t="shared" si="1654"/>
        <v>0</v>
      </c>
      <c r="CG291" s="1368">
        <f t="shared" ca="1" si="1654"/>
        <v>0</v>
      </c>
      <c r="CH291" s="1369">
        <f t="shared" ca="1" si="1654"/>
        <v>0</v>
      </c>
      <c r="CI291" s="15">
        <f t="shared" ca="1" si="1654"/>
        <v>0</v>
      </c>
      <c r="CJ291" s="15">
        <f t="shared" ca="1" si="1654"/>
        <v>0</v>
      </c>
      <c r="CK291" s="1371">
        <f t="shared" si="1654"/>
        <v>0</v>
      </c>
      <c r="CL291" s="1368">
        <f t="shared" ca="1" si="1654"/>
        <v>0</v>
      </c>
      <c r="CM291" s="1369">
        <f t="shared" ca="1" si="1654"/>
        <v>0</v>
      </c>
      <c r="CN291" s="15">
        <f t="shared" ca="1" si="1654"/>
        <v>0</v>
      </c>
      <c r="CO291" s="15">
        <f t="shared" ca="1" si="1654"/>
        <v>0</v>
      </c>
      <c r="CP291" s="1372">
        <f ca="1">SUM(CB291:CO291)</f>
        <v>0</v>
      </c>
      <c r="CS291" s="1373">
        <f t="shared" ref="CS291:DE291" si="1655">SUM(CS165,CS177,SUMIF($C$184:$C$213,"Remaining*",CS$184:CS$213),CS285)*-1</f>
        <v>0</v>
      </c>
      <c r="CT291" s="16">
        <f t="shared" si="1655"/>
        <v>0</v>
      </c>
      <c r="CU291" s="277">
        <f t="shared" si="1655"/>
        <v>0</v>
      </c>
      <c r="CV291" s="1373">
        <f t="shared" si="1655"/>
        <v>0</v>
      </c>
      <c r="CW291" s="16">
        <f t="shared" si="1655"/>
        <v>0</v>
      </c>
      <c r="CX291" s="277">
        <f t="shared" si="1655"/>
        <v>0</v>
      </c>
      <c r="CY291" s="1373">
        <f t="shared" si="1655"/>
        <v>0</v>
      </c>
      <c r="CZ291" s="16">
        <f t="shared" si="1655"/>
        <v>0</v>
      </c>
      <c r="DA291" s="277">
        <f t="shared" si="1655"/>
        <v>0</v>
      </c>
      <c r="DB291" s="1373">
        <f t="shared" si="1655"/>
        <v>0</v>
      </c>
      <c r="DC291" s="16">
        <f t="shared" si="1655"/>
        <v>0</v>
      </c>
      <c r="DD291" s="277">
        <f t="shared" si="1655"/>
        <v>0</v>
      </c>
      <c r="DE291" s="1372">
        <f t="shared" si="1655"/>
        <v>0</v>
      </c>
      <c r="DG291" s="1373">
        <f t="shared" ref="DG291:DS291" si="1656">SUM(DG165,DG177,SUMIF($C$184:$C$213,"Remaining*",DG$184:DG$213),DG285)*-1</f>
        <v>0</v>
      </c>
      <c r="DH291" s="16">
        <f t="shared" si="1656"/>
        <v>0</v>
      </c>
      <c r="DI291" s="277">
        <f t="shared" si="1656"/>
        <v>0</v>
      </c>
      <c r="DJ291" s="1373">
        <f t="shared" si="1656"/>
        <v>0</v>
      </c>
      <c r="DK291" s="16">
        <f t="shared" si="1656"/>
        <v>0</v>
      </c>
      <c r="DL291" s="277">
        <f t="shared" si="1656"/>
        <v>0</v>
      </c>
      <c r="DM291" s="1373">
        <f t="shared" si="1656"/>
        <v>0</v>
      </c>
      <c r="DN291" s="16">
        <f t="shared" si="1656"/>
        <v>0</v>
      </c>
      <c r="DO291" s="277">
        <f t="shared" si="1656"/>
        <v>0</v>
      </c>
      <c r="DP291" s="1373">
        <f t="shared" si="1656"/>
        <v>0</v>
      </c>
      <c r="DQ291" s="16">
        <f t="shared" si="1656"/>
        <v>0</v>
      </c>
      <c r="DR291" s="277">
        <f t="shared" si="1656"/>
        <v>0</v>
      </c>
      <c r="DS291" s="1372">
        <f t="shared" si="1656"/>
        <v>0</v>
      </c>
      <c r="DU291" s="1373">
        <f t="shared" ref="DU291:EG291" si="1657">SUM(DU165,DU177,SUMIF($C$184:$C$213,"Remaining*",DU$184:DU$213),DU285)*-1</f>
        <v>0</v>
      </c>
      <c r="DV291" s="16">
        <f t="shared" si="1657"/>
        <v>0</v>
      </c>
      <c r="DW291" s="277">
        <f t="shared" si="1657"/>
        <v>0</v>
      </c>
      <c r="DX291" s="1373">
        <f t="shared" si="1657"/>
        <v>0</v>
      </c>
      <c r="DY291" s="16">
        <f t="shared" si="1657"/>
        <v>0</v>
      </c>
      <c r="DZ291" s="277">
        <f t="shared" si="1657"/>
        <v>0</v>
      </c>
      <c r="EA291" s="1373">
        <f t="shared" si="1657"/>
        <v>0</v>
      </c>
      <c r="EB291" s="16">
        <f t="shared" si="1657"/>
        <v>0</v>
      </c>
      <c r="EC291" s="277">
        <f t="shared" si="1657"/>
        <v>0</v>
      </c>
      <c r="ED291" s="1373">
        <f t="shared" si="1657"/>
        <v>0</v>
      </c>
      <c r="EE291" s="16">
        <f t="shared" si="1657"/>
        <v>0</v>
      </c>
      <c r="EF291" s="277">
        <f t="shared" si="1657"/>
        <v>0</v>
      </c>
      <c r="EG291" s="1372">
        <f t="shared" si="1657"/>
        <v>0</v>
      </c>
      <c r="EI291" s="30"/>
      <c r="EJ291" s="74" t="s">
        <v>357</v>
      </c>
      <c r="EK291" s="80"/>
      <c r="EL291" s="15">
        <f ca="1">SUM(EL165,EL177,SUMIF($EK$184:$EK$213,"Remaining*",EL$184:EL$213),EL217,EL285)*-1</f>
        <v>0</v>
      </c>
      <c r="EM291" s="15">
        <f ca="1">SUM(EM165,EM177,SUMIF($EK$184:$EK$213,"Remaining*",EM$184:EM$213),EM217, EM285)*-1</f>
        <v>0</v>
      </c>
      <c r="EN291" s="15">
        <f ca="1">SUM(EN165,EN177,SUMIF($EK$184:$EK$213,"Remaining*",EN$184:EN$213),EN217,EN285)*-1</f>
        <v>0</v>
      </c>
      <c r="EO291" s="15">
        <f ca="1">SUM(EO165,EO177,SUMIF($EK$184:$EK$213,"Remaining*",EO$184:EO$213),EO217,EO285)*-1</f>
        <v>0</v>
      </c>
      <c r="EP291" s="15">
        <f ca="1">SUM(EP165,EP177,SUMIF($EK$184:$EK$213,"Remaining*",EP$184:EP$213),EP217,EP285)*-1</f>
        <v>0</v>
      </c>
      <c r="EQ291" s="15">
        <f ca="1">SUM(EQ165,EQ177,SUMIF($EK$184:$EK$213,"Remaining*",EQ$184:EQ$213),EQ217,EQ285)*-1</f>
        <v>0</v>
      </c>
      <c r="ER291" s="16">
        <f ca="1">SUM(EL291:EQ291)</f>
        <v>0</v>
      </c>
      <c r="ES291" s="13"/>
      <c r="ET291" s="13"/>
      <c r="EU291" s="9"/>
      <c r="EV291" s="172">
        <f t="shared" ref="EV291:FA291" si="1658">SUM(EV165,EV177,SUMIF($C$184:$C$213,"Remaining*",EV$184:EV$213),EV285)*-1</f>
        <v>0</v>
      </c>
      <c r="EW291" s="172">
        <f t="shared" si="1658"/>
        <v>0</v>
      </c>
      <c r="EX291" s="172">
        <f t="shared" si="1658"/>
        <v>0</v>
      </c>
      <c r="EY291" s="172">
        <f t="shared" si="1658"/>
        <v>0</v>
      </c>
      <c r="EZ291" s="172">
        <f t="shared" si="1658"/>
        <v>0</v>
      </c>
      <c r="FA291" s="172">
        <f t="shared" si="1658"/>
        <v>0</v>
      </c>
      <c r="FB291" s="172">
        <f>SUM(EV291:FA291)</f>
        <v>0</v>
      </c>
      <c r="FC291" s="1"/>
      <c r="FD291" s="145">
        <f t="shared" ref="FD291:FI291" si="1659">SUM(FD165,FD177,SUMIF($C$184:$C$213,"Remaining*",FD$184:FD$213),FD285)*-1</f>
        <v>0</v>
      </c>
      <c r="FE291" s="145">
        <f t="shared" si="1659"/>
        <v>0</v>
      </c>
      <c r="FF291" s="145">
        <f t="shared" si="1659"/>
        <v>0</v>
      </c>
      <c r="FG291" s="145">
        <f t="shared" si="1659"/>
        <v>0</v>
      </c>
      <c r="FH291" s="145">
        <f t="shared" si="1659"/>
        <v>0</v>
      </c>
      <c r="FI291" s="145">
        <f t="shared" si="1659"/>
        <v>0</v>
      </c>
      <c r="FJ291" s="145">
        <f>SUM(FD291:FI291)</f>
        <v>0</v>
      </c>
      <c r="FL291" s="214">
        <f t="shared" ref="FL291:FQ291" si="1660">SUM(FL165,FL177,SUMIF($C$184:$C$213,"Remaining*",FL$184:FL$213),FL285)*-1</f>
        <v>0</v>
      </c>
      <c r="FM291" s="214">
        <f t="shared" si="1660"/>
        <v>0</v>
      </c>
      <c r="FN291" s="214">
        <f t="shared" si="1660"/>
        <v>0</v>
      </c>
      <c r="FO291" s="214">
        <f t="shared" si="1660"/>
        <v>0</v>
      </c>
      <c r="FP291" s="214">
        <f t="shared" si="1660"/>
        <v>0</v>
      </c>
      <c r="FQ291" s="214">
        <f t="shared" si="1660"/>
        <v>0</v>
      </c>
      <c r="FR291" s="214">
        <f>SUM(FL291:FQ291)</f>
        <v>0</v>
      </c>
      <c r="FT291" s="186">
        <f t="shared" ref="FT291:FY291" si="1661">SUM(FT165,FT177,SUMIF($C$184:$C$213,"Remaining*",FT$184:FT$213),FT285)*-1</f>
        <v>0</v>
      </c>
      <c r="FU291" s="186">
        <f t="shared" si="1661"/>
        <v>0</v>
      </c>
      <c r="FV291" s="186">
        <f t="shared" si="1661"/>
        <v>0</v>
      </c>
      <c r="FW291" s="186">
        <f t="shared" si="1661"/>
        <v>0</v>
      </c>
      <c r="FX291" s="186">
        <f t="shared" si="1661"/>
        <v>0</v>
      </c>
      <c r="FY291" s="186">
        <f t="shared" si="1661"/>
        <v>0</v>
      </c>
      <c r="FZ291" s="186">
        <f>SUM(FT291:FY291)</f>
        <v>0</v>
      </c>
      <c r="GB291" s="158">
        <f t="shared" ref="GB291:GG291" si="1662">SUM(GB165,GB177,SUMIF($C$184:$C$213,"Remaining*",GB$184:GB$213),GB285)*-1</f>
        <v>0</v>
      </c>
      <c r="GC291" s="158">
        <f t="shared" si="1662"/>
        <v>0</v>
      </c>
      <c r="GD291" s="158">
        <f t="shared" si="1662"/>
        <v>0</v>
      </c>
      <c r="GE291" s="158">
        <f t="shared" si="1662"/>
        <v>0</v>
      </c>
      <c r="GF291" s="158">
        <f t="shared" si="1662"/>
        <v>0</v>
      </c>
      <c r="GG291" s="158">
        <f t="shared" si="1662"/>
        <v>0</v>
      </c>
      <c r="GH291" s="158">
        <f>SUM(GB291:GG291)</f>
        <v>0</v>
      </c>
      <c r="GJ291" s="200">
        <f t="shared" ref="GJ291:GO291" si="1663">SUM(GJ165,GJ177,SUMIF($C$184:$C$213,"Remaining*",GJ$184:GJ$213),GJ285)*-1</f>
        <v>0</v>
      </c>
      <c r="GK291" s="200">
        <f t="shared" si="1663"/>
        <v>0</v>
      </c>
      <c r="GL291" s="200">
        <f t="shared" si="1663"/>
        <v>0</v>
      </c>
      <c r="GM291" s="200">
        <f t="shared" si="1663"/>
        <v>0</v>
      </c>
      <c r="GN291" s="200">
        <f t="shared" si="1663"/>
        <v>0</v>
      </c>
      <c r="GO291" s="200">
        <f t="shared" si="1663"/>
        <v>0</v>
      </c>
      <c r="GP291" s="200">
        <f>SUM(GJ291:GO291)</f>
        <v>0</v>
      </c>
      <c r="GR291" s="982">
        <f t="shared" ref="GR291:GW291" si="1664">SUM(GR165,GR177,SUMIF($C$184:$C$213,"Remaining*",GR$184:GR$213),GR285)*-1</f>
        <v>0</v>
      </c>
      <c r="GS291" s="982">
        <f t="shared" si="1664"/>
        <v>0</v>
      </c>
      <c r="GT291" s="982">
        <f t="shared" si="1664"/>
        <v>0</v>
      </c>
      <c r="GU291" s="982">
        <f t="shared" si="1664"/>
        <v>0</v>
      </c>
      <c r="GV291" s="982">
        <f t="shared" si="1664"/>
        <v>0</v>
      </c>
      <c r="GW291" s="982">
        <f t="shared" si="1664"/>
        <v>0</v>
      </c>
      <c r="GX291" s="1114">
        <f>SUM(GR291:GW291)</f>
        <v>0</v>
      </c>
      <c r="GZ291" s="999">
        <f t="shared" si="1645"/>
        <v>0</v>
      </c>
      <c r="HA291" s="999">
        <f t="shared" si="1645"/>
        <v>0</v>
      </c>
      <c r="HB291" s="999">
        <f t="shared" si="1645"/>
        <v>0</v>
      </c>
      <c r="HC291" s="999">
        <f t="shared" si="1645"/>
        <v>0</v>
      </c>
      <c r="HD291" s="999">
        <f t="shared" si="1645"/>
        <v>0</v>
      </c>
      <c r="HE291" s="999">
        <f t="shared" si="1645"/>
        <v>0</v>
      </c>
      <c r="HF291" s="999">
        <f>SUM(GZ291:HE291)</f>
        <v>0</v>
      </c>
      <c r="HG291" s="277">
        <f ca="1">SUM(ER291+HF291)</f>
        <v>0</v>
      </c>
      <c r="HH291" s="218"/>
    </row>
    <row r="292" spans="1:216" ht="15" customHeight="1" thickBot="1" x14ac:dyDescent="0.3">
      <c r="A292" s="43"/>
      <c r="B292" s="670" t="s">
        <v>354</v>
      </c>
      <c r="C292" s="669" t="str">
        <f>'DATA INPUT'!E126</f>
        <v>Modified Total Direct Costs (MTDC)</v>
      </c>
      <c r="D292" s="44">
        <f ca="1">IF($C$292='Reference Sheet'!$A$26,SUM(D290:D291),(D290-SUMIF($C$184:$C$213,"Remaining*",D$184:D$213)))</f>
        <v>50000.337972000001</v>
      </c>
      <c r="E292" s="44">
        <f ca="1">IF($C$292='Reference Sheet'!$A$26,SUM(E290:E291),(E290-SUMIF($C$184:$C$213,"Remaining*",E$184:E$213)))</f>
        <v>0</v>
      </c>
      <c r="F292" s="44">
        <f ca="1">IF($C$292='Reference Sheet'!$A$26,SUM(F290:F291),(F290-SUMIF($C$184:$C$213,"Remaining*",F$184:F$213)))</f>
        <v>0</v>
      </c>
      <c r="G292" s="44">
        <f ca="1">IF($C$292='Reference Sheet'!$A$26,SUM(G290:G291),(G290-SUMIF($C$184:$C$213,"Remaining*",G$184:G$213)))</f>
        <v>0</v>
      </c>
      <c r="H292" s="44">
        <f ca="1">IF($C$292='Reference Sheet'!$A$26,SUM(H290:H291),(H290-SUMIF($C$184:$C$213,"Remaining*",H$184:H$213)))</f>
        <v>0</v>
      </c>
      <c r="I292" s="44">
        <f ca="1">IF($C$292='Reference Sheet'!$A$26,SUM(I290:I291),(I290-SUMIF($C$184:$C$213,"Remaining*",I$184:I$213)))</f>
        <v>0</v>
      </c>
      <c r="J292" s="44">
        <f ca="1">SUM(D292:I292)</f>
        <v>50000.337972000001</v>
      </c>
      <c r="K292" s="13"/>
      <c r="L292" s="13"/>
      <c r="M292" s="9"/>
      <c r="N292" s="175">
        <f ca="1">IF($C$292='Reference Sheet'!$A$26,SUM(N290:N291),(N290-SUMIF($C$184:$C$213,"Remaining*",N$184:N$213)))</f>
        <v>0</v>
      </c>
      <c r="O292" s="175">
        <f ca="1">IF($C$292='Reference Sheet'!$A$26,SUM(O290:O291),(O290-SUMIF($C$184:$C$213,"Remaining*",O$184:O$213)))</f>
        <v>0</v>
      </c>
      <c r="P292" s="175">
        <f ca="1">IF($C$292='Reference Sheet'!$A$26,SUM(P290:P291),(P290-SUMIF($C$184:$C$213,"Remaining*",P$184:P$213)))</f>
        <v>0</v>
      </c>
      <c r="Q292" s="175">
        <f ca="1">IF($C$292='Reference Sheet'!$A$26,SUM(Q290:Q291),(Q290-SUMIF($C$184:$C$213,"Remaining*",Q$184:Q$213)))</f>
        <v>0</v>
      </c>
      <c r="R292" s="175">
        <f ca="1">IF($C$292='Reference Sheet'!$A$26,SUM(R290:R291),(R290-SUMIF($C$184:$C$213,"Remaining*",R$184:R$213)))</f>
        <v>0</v>
      </c>
      <c r="S292" s="175">
        <f ca="1">IF($C$292='Reference Sheet'!$A$26,SUM(S290:S291),(S290-SUMIF($C$184:$C$213,"Remaining*",S$184:S$213)))</f>
        <v>0</v>
      </c>
      <c r="T292" s="175">
        <f ca="1">SUM(N292:S292)</f>
        <v>0</v>
      </c>
      <c r="U292" s="1"/>
      <c r="V292" s="147">
        <f ca="1">IF($C$292='Reference Sheet'!$A$26,SUM(V290:V291),(V290-SUMIF($C$184:$C$213,"Remaining*",V$184:V$213)))</f>
        <v>0</v>
      </c>
      <c r="W292" s="147">
        <f ca="1">IF($C$292='Reference Sheet'!$A$26,SUM(W290:W291),(W290-SUMIF($C$184:$C$213,"Remaining*",W$184:W$213)))</f>
        <v>0</v>
      </c>
      <c r="X292" s="147">
        <f ca="1">IF($C$292='Reference Sheet'!$A$26,SUM(X290:X291),(X290-SUMIF($C$184:$C$213,"Remaining*",X$184:X$213)))</f>
        <v>0</v>
      </c>
      <c r="Y292" s="147">
        <f ca="1">IF($C$292='Reference Sheet'!$A$26,SUM(Y290:Y291),(Y290-SUMIF($C$184:$C$213,"Remaining*",Y$184:Y$213)))</f>
        <v>0</v>
      </c>
      <c r="Z292" s="147">
        <f ca="1">IF($C$292='Reference Sheet'!$A$26,SUM(Z290:Z291),(Z290-SUMIF($C$184:$C$213,"Remaining*",Z$184:Z$213)))</f>
        <v>0</v>
      </c>
      <c r="AA292" s="147">
        <f ca="1">IF($C$292='Reference Sheet'!$A$26,SUM(AA290:AA291),(AA290-SUMIF($C$184:$C$213,"Remaining*",AA$184:AA$213)))</f>
        <v>0</v>
      </c>
      <c r="AB292" s="147">
        <f ca="1">SUM(V292:AA292)</f>
        <v>0</v>
      </c>
      <c r="AD292" s="217">
        <f ca="1">IF($C$292='Reference Sheet'!$A$26,SUM(AD290:AD291),(AD290-SUMIF($C$184:$C$213,"Remaining*",AD$184:AD$213)))</f>
        <v>0</v>
      </c>
      <c r="AE292" s="217">
        <f ca="1">IF($C$292='Reference Sheet'!$A$26,SUM(AE290:AE291),(AE290-SUMIF($C$184:$C$213,"Remaining*",AE$184:AE$213)))</f>
        <v>0</v>
      </c>
      <c r="AF292" s="217">
        <f ca="1">IF($C$292='Reference Sheet'!$A$26,SUM(AF290:AF291),(AF290-SUMIF($C$184:$C$213,"Remaining*",AF$184:AF$213)))</f>
        <v>0</v>
      </c>
      <c r="AG292" s="217">
        <f ca="1">IF($C$292='Reference Sheet'!$A$26,SUM(AG290:AG291),(AG290-SUMIF($C$184:$C$213,"Remaining*",AG$184:AG$213)))</f>
        <v>0</v>
      </c>
      <c r="AH292" s="217">
        <f ca="1">IF($C$292='Reference Sheet'!$A$26,SUM(AH290:AH291),(AH290-SUMIF($C$184:$C$213,"Remaining*",AH$184:AH$213)))</f>
        <v>0</v>
      </c>
      <c r="AI292" s="217">
        <f ca="1">IF($C$292='Reference Sheet'!$A$26,SUM(AI290:AI291),(AI290-SUMIF($C$184:$C$213,"Remaining*",AI$184:AI$213)))</f>
        <v>0</v>
      </c>
      <c r="AJ292" s="217">
        <f ca="1">SUM(AD292:AI292)</f>
        <v>0</v>
      </c>
      <c r="AL292" s="189">
        <f ca="1">IF($C$292='Reference Sheet'!$A$26,SUM(AL290:AL291),(AL290-SUMIF($C$184:$C$213,"Remaining*",AL$184:AL$213)))</f>
        <v>0</v>
      </c>
      <c r="AM292" s="189">
        <f ca="1">IF($C$292='Reference Sheet'!$A$26,SUM(AM290:AM291),(AM290-SUMIF($C$184:$C$213,"Remaining*",AM$184:AM$213)))</f>
        <v>0</v>
      </c>
      <c r="AN292" s="189">
        <f ca="1">IF($C$292='Reference Sheet'!$A$26,SUM(AN290:AN291),(AN290-SUMIF($C$184:$C$213,"Remaining*",AN$184:AN$213)))</f>
        <v>0</v>
      </c>
      <c r="AO292" s="189">
        <f ca="1">IF($C$292='Reference Sheet'!$A$26,SUM(AO290:AO291),(AO290-SUMIF($C$184:$C$213,"Remaining*",AO$184:AO$213)))</f>
        <v>0</v>
      </c>
      <c r="AP292" s="189">
        <f ca="1">IF($C$292='Reference Sheet'!$A$26,SUM(AP290:AP291),(AP290-SUMIF($C$184:$C$213,"Remaining*",AP$184:AP$213)))</f>
        <v>0</v>
      </c>
      <c r="AQ292" s="189">
        <f ca="1">IF($C$292='Reference Sheet'!$A$26,SUM(AQ290:AQ291),(AQ290-SUMIF($C$184:$C$213,"Remaining*",AQ$184:AQ$213)))</f>
        <v>0</v>
      </c>
      <c r="AR292" s="189">
        <f ca="1">SUM(AL292:AQ292)</f>
        <v>0</v>
      </c>
      <c r="AT292" s="161">
        <f ca="1">IF($C$292='Reference Sheet'!$A$26,SUM(AT290:AT291),(AT290-SUMIF($C$184:$C$213,"Remaining*",AT$184:AT$213)))</f>
        <v>0</v>
      </c>
      <c r="AU292" s="161">
        <f ca="1">IF($C$292='Reference Sheet'!$A$26,SUM(AU290:AU291),(AU290-SUMIF($C$184:$C$213,"Remaining*",AU$184:AU$213)))</f>
        <v>0</v>
      </c>
      <c r="AV292" s="161">
        <f ca="1">IF($C$292='Reference Sheet'!$A$26,SUM(AV290:AV291),(AV290-SUMIF($C$184:$C$213,"Remaining*",AV$184:AV$213)))</f>
        <v>0</v>
      </c>
      <c r="AW292" s="161">
        <f ca="1">IF($C$292='Reference Sheet'!$A$26,SUM(AW290:AW291),(AW290-SUMIF($C$184:$C$213,"Remaining*",AW$184:AW$213)))</f>
        <v>0</v>
      </c>
      <c r="AX292" s="161">
        <f ca="1">IF($C$292='Reference Sheet'!$A$26,SUM(AX290:AX291),(AX290-SUMIF($C$184:$C$213,"Remaining*",AX$184:AX$213)))</f>
        <v>0</v>
      </c>
      <c r="AY292" s="161">
        <f ca="1">IF($C$292='Reference Sheet'!$A$26,SUM(AY290:AY291),(AY290-SUMIF($C$184:$C$213,"Remaining*",AY$184:AY$213)))</f>
        <v>0</v>
      </c>
      <c r="AZ292" s="161">
        <f ca="1">SUM(AT292:AY292)</f>
        <v>0</v>
      </c>
      <c r="BB292" s="203">
        <f ca="1">IF($C$292='Reference Sheet'!$A$26,SUM(BB290:BB291),(BB290-SUMIF($C$184:$C$213,"Remaining*",BB$184:BB$213)))</f>
        <v>0</v>
      </c>
      <c r="BC292" s="203">
        <f ca="1">IF($C$292='Reference Sheet'!$A$26,SUM(BC290:BC291),(BC290-SUMIF($C$184:$C$213,"Remaining*",BC$184:BC$213)))</f>
        <v>0</v>
      </c>
      <c r="BD292" s="203">
        <f ca="1">IF($C$292='Reference Sheet'!$A$26,SUM(BD290:BD291),(BD290-SUMIF($C$184:$C$213,"Remaining*",BD$184:BD$213)))</f>
        <v>0</v>
      </c>
      <c r="BE292" s="203">
        <f ca="1">IF($C$292='Reference Sheet'!$A$26,SUM(BE290:BE291),(BE290-SUMIF($C$184:$C$213,"Remaining*",BE$184:BE$213)))</f>
        <v>0</v>
      </c>
      <c r="BF292" s="203">
        <f ca="1">IF($C$292='Reference Sheet'!$A$26,SUM(BF290:BF291),(BF290-SUMIF($C$184:$C$213,"Remaining*",BF$184:BF$213)))</f>
        <v>0</v>
      </c>
      <c r="BG292" s="203">
        <f ca="1">IF($C$292='Reference Sheet'!$A$26,SUM(BG290:BG291),(BG290-SUMIF($C$184:$C$213,"Remaining*",BG$184:BG$213)))</f>
        <v>0</v>
      </c>
      <c r="BH292" s="203">
        <f ca="1">SUM(BB292:BG292)</f>
        <v>0</v>
      </c>
      <c r="BJ292" s="965">
        <f ca="1">IF($C$292='Reference Sheet'!$A$26,SUM(BJ290:BJ291),(BJ290-SUMIF($C$184:$C$213,"Remaining*",BJ$184:BJ$213)))</f>
        <v>0</v>
      </c>
      <c r="BK292" s="965">
        <f ca="1">IF($C$292='Reference Sheet'!$A$26,SUM(BK290:BK291),(BK290-SUMIF($C$184:$C$213,"Remaining*",BK$184:BK$213)))</f>
        <v>0</v>
      </c>
      <c r="BL292" s="965">
        <f ca="1">IF($C$292='Reference Sheet'!$A$26,SUM(BL290:BL291),(BL290-SUMIF($C$184:$C$213,"Remaining*",BL$184:BL$213)))</f>
        <v>0</v>
      </c>
      <c r="BM292" s="965">
        <f ca="1">IF($C$292='Reference Sheet'!$A$26,SUM(BM290:BM291),(BM290-SUMIF($C$184:$C$213,"Remaining*",BM$184:BM$213)))</f>
        <v>0</v>
      </c>
      <c r="BN292" s="965">
        <f ca="1">IF($C$292='Reference Sheet'!$A$26,SUM(BN290:BN291),(BN290-SUMIF($C$184:$C$213,"Remaining*",BN$184:BN$213)))</f>
        <v>0</v>
      </c>
      <c r="BO292" s="965">
        <f ca="1">IF($C$292='Reference Sheet'!$A$26,SUM(BO290:BO291),(BO290-SUMIF($C$184:$C$213,"Remaining*",BO$184:BO$213)))</f>
        <v>0</v>
      </c>
      <c r="BP292" s="1115">
        <f ca="1">SUM(BJ292:BO292)</f>
        <v>0</v>
      </c>
      <c r="BR292" s="1000">
        <f t="shared" ca="1" si="1632"/>
        <v>0</v>
      </c>
      <c r="BS292" s="1000">
        <f t="shared" ca="1" si="1632"/>
        <v>0</v>
      </c>
      <c r="BT292" s="1000">
        <f t="shared" ca="1" si="1632"/>
        <v>0</v>
      </c>
      <c r="BU292" s="1000">
        <f t="shared" ca="1" si="1632"/>
        <v>0</v>
      </c>
      <c r="BV292" s="1000">
        <f t="shared" ca="1" si="1632"/>
        <v>0</v>
      </c>
      <c r="BW292" s="1000">
        <f t="shared" ca="1" si="1632"/>
        <v>0</v>
      </c>
      <c r="BX292" s="1000">
        <f ca="1">SUM(BR292:BW292)</f>
        <v>0</v>
      </c>
      <c r="BY292" s="278">
        <f ca="1">SUM(J292+BX292)</f>
        <v>50000.337972000001</v>
      </c>
      <c r="BZ292" s="263"/>
      <c r="CB292" s="1374">
        <f ca="1">IF($C$292='Reference Sheet'!$A$26,SUM(CB290:CB291),(CB290-SUMIF($C$184:$C$213,"Remaining*",CB$184:CB$213)))</f>
        <v>24709.87</v>
      </c>
      <c r="CC292" s="1375">
        <f ca="1">IF($C$292='Reference Sheet'!$A$26,SUM(CC290:CC291),(CC290-SUMIF($C$184:$C$213,"Remaining*",CC$184:CC$213)))</f>
        <v>0</v>
      </c>
      <c r="CD292" s="44">
        <f ca="1">IF($C$292='Reference Sheet'!$A$26,SUM(CD290:CD291),(CD290-SUMIF($C$184:$C$213,"Remaining*",CD$184:CD$213)))</f>
        <v>0</v>
      </c>
      <c r="CE292" s="44">
        <f ca="1">IF($C$292='Reference Sheet'!$A$26,SUM(CE290:CE291),(CE290-SUMIF($C$184:$C$213,"Remaining*",CE$184:CE$213)))</f>
        <v>0</v>
      </c>
      <c r="CF292" s="1376">
        <f ca="1">IF($C$292='Reference Sheet'!$A$26,SUM(CF290:CF291),(CF290-SUMIF($C$184:$C$213,"Remaining*",CF$184:CF$213)))</f>
        <v>0</v>
      </c>
      <c r="CG292" s="1374">
        <f ca="1">IF($C$292='Reference Sheet'!$A$26,SUM(CG290:CG291),(CG290-SUMIF($C$184:$C$213,"Remaining*",CG$184:CG$213)))</f>
        <v>0</v>
      </c>
      <c r="CH292" s="1375">
        <f ca="1">IF($C$292='Reference Sheet'!$A$26,SUM(CH290:CH291),(CH290-SUMIF($C$184:$C$213,"Remaining*",CH$184:CH$213)))</f>
        <v>0</v>
      </c>
      <c r="CI292" s="44">
        <f ca="1">IF($C$292='Reference Sheet'!$A$26,SUM(CI290:CI291),(CI290-SUMIF($C$184:$C$213,"Remaining*",CI$184:CI$213)))</f>
        <v>0</v>
      </c>
      <c r="CJ292" s="44">
        <f ca="1">IF($C$292='Reference Sheet'!$A$26,SUM(CJ290:CJ291),(CJ290-SUMIF($C$184:$C$213,"Remaining*",CJ$184:CJ$213)))</f>
        <v>0</v>
      </c>
      <c r="CK292" s="1376">
        <f ca="1">IF($C$292='Reference Sheet'!$A$26,SUM(CK290:CK291),(CK290-SUMIF($C$184:$C$213,"Remaining*",CK$184:CK$213)))</f>
        <v>0</v>
      </c>
      <c r="CL292" s="1374">
        <f ca="1">IF($C$292='Reference Sheet'!$A$26,SUM(CL290:CL291),(CL290-SUMIF($C$184:$C$213,"Remaining*",CL$184:CL$213)))</f>
        <v>0</v>
      </c>
      <c r="CM292" s="1375">
        <f ca="1">IF($C$292='Reference Sheet'!$A$26,SUM(CM290:CM291),(CM290-SUMIF($C$184:$C$213,"Remaining*",CM$184:CM$213)))</f>
        <v>0</v>
      </c>
      <c r="CN292" s="44">
        <f ca="1">IF($C$292='Reference Sheet'!$A$26,SUM(CN290:CN291),(CN290-SUMIF($C$184:$C$213,"Remaining*",CN$184:CN$213)))</f>
        <v>0</v>
      </c>
      <c r="CO292" s="44">
        <f ca="1">IF($C$292='Reference Sheet'!$A$26,SUM(CO290:CO291),(CO290-SUMIF($C$184:$C$213,"Remaining*",CO$184:CO$213)))</f>
        <v>0</v>
      </c>
      <c r="CP292" s="1374">
        <f ca="1">SUM(CB292:CO292)</f>
        <v>24709.87</v>
      </c>
      <c r="CS292" s="1377">
        <f>IF($C$292='Reference Sheet'!$A$26,SUM(CS290:CS291),(CS290-SUMIF($C$184:$C$213,"Remaining*",CS$184:CS$213)))</f>
        <v>0</v>
      </c>
      <c r="CT292" s="1378">
        <f>IF($C$292='Reference Sheet'!$A$26,SUM(CT290:CT291),(CT290-SUMIF($C$184:$C$213,"Remaining*",CT$184:CT$213)))</f>
        <v>0</v>
      </c>
      <c r="CU292" s="1379">
        <f>IF($C$292='Reference Sheet'!$A$26,SUM(CU290:CU291),(CU290-SUMIF($C$184:$C$213,"Remaining*",CU$184:CU$213)))</f>
        <v>0</v>
      </c>
      <c r="CV292" s="1377">
        <f>IF($C$292='Reference Sheet'!$A$26,SUM(CV290:CV291),(CV290-SUMIF($C$184:$C$213,"Remaining*",CV$184:CV$213)))</f>
        <v>0</v>
      </c>
      <c r="CW292" s="1378">
        <f>IF($C$292='Reference Sheet'!$A$26,SUM(CW290:CW291),(CW290-SUMIF($C$184:$C$213,"Remaining*",CW$184:CW$213)))</f>
        <v>0</v>
      </c>
      <c r="CX292" s="1379">
        <f>IF($C$292='Reference Sheet'!$A$26,SUM(CX290:CX291),(CX290-SUMIF($C$184:$C$213,"Remaining*",CX$184:CX$213)))</f>
        <v>0</v>
      </c>
      <c r="CY292" s="1377">
        <f>IF($C$292='Reference Sheet'!$A$26,SUM(CY290:CY291),(CY290-SUMIF($C$184:$C$213,"Remaining*",CY$184:CY$213)))</f>
        <v>0</v>
      </c>
      <c r="CZ292" s="1378">
        <f>IF($C$292='Reference Sheet'!$A$26,SUM(CZ290:CZ291),(CZ290-SUMIF($C$184:$C$213,"Remaining*",CZ$184:CZ$213)))</f>
        <v>0</v>
      </c>
      <c r="DA292" s="1379">
        <f>IF($C$292='Reference Sheet'!$A$26,SUM(DA290:DA291),(DA290-SUMIF($C$184:$C$213,"Remaining*",DA$184:DA$213)))</f>
        <v>0</v>
      </c>
      <c r="DB292" s="1377">
        <f>IF($C$292='Reference Sheet'!$A$26,SUM(DB290:DB291),(DB290-SUMIF($C$184:$C$213,"Remaining*",DB$184:DB$213)))</f>
        <v>0</v>
      </c>
      <c r="DC292" s="1378">
        <f>IF($C$292='Reference Sheet'!$A$26,SUM(DC290:DC291),(DC290-SUMIF($C$184:$C$213,"Remaining*",DC$184:DC$213)))</f>
        <v>0</v>
      </c>
      <c r="DD292" s="1379">
        <f>IF($C$292='Reference Sheet'!$A$26,SUM(DD290:DD291),(DD290-SUMIF($C$184:$C$213,"Remaining*",DD$184:DD$213)))</f>
        <v>0</v>
      </c>
      <c r="DE292" s="1380">
        <f>SUM(DE290:DE291)</f>
        <v>0</v>
      </c>
      <c r="DG292" s="1377">
        <f>IF($C$292='Reference Sheet'!$A$26,SUM(DG290:DG291),(DG290-SUMIF($C$184:$C$213,"Remaining*",DG$184:DG$213)))</f>
        <v>0</v>
      </c>
      <c r="DH292" s="1378">
        <f>IF($C$292='Reference Sheet'!$A$26,SUM(DH290:DH291),(DH290-SUMIF($C$184:$C$213,"Remaining*",DH$184:DH$213)))</f>
        <v>0</v>
      </c>
      <c r="DI292" s="1379">
        <f>IF($C$292='Reference Sheet'!$A$26,SUM(DI290:DI291),(DI290-SUMIF($C$184:$C$213,"Remaining*",DI$184:DI$213)))</f>
        <v>0</v>
      </c>
      <c r="DJ292" s="1377">
        <f>IF($C$292='Reference Sheet'!$A$26,SUM(DJ290:DJ291),(DJ290-SUMIF($C$184:$C$213,"Remaining*",DJ$184:DJ$213)))</f>
        <v>0</v>
      </c>
      <c r="DK292" s="1378">
        <f>IF($C$292='Reference Sheet'!$A$26,SUM(DK290:DK291),(DK290-SUMIF($C$184:$C$213,"Remaining*",DK$184:DK$213)))</f>
        <v>0</v>
      </c>
      <c r="DL292" s="1379">
        <f>IF($C$292='Reference Sheet'!$A$26,SUM(DL290:DL291),(DL290-SUMIF($C$184:$C$213,"Remaining*",DL$184:DL$213)))</f>
        <v>0</v>
      </c>
      <c r="DM292" s="1377">
        <f>IF($C$292='Reference Sheet'!$A$26,SUM(DM290:DM291),(DM290-SUMIF($C$184:$C$213,"Remaining*",DM$184:DM$213)))</f>
        <v>0</v>
      </c>
      <c r="DN292" s="1378">
        <f>IF($C$292='Reference Sheet'!$A$26,SUM(DN290:DN291),(DN290-SUMIF($C$184:$C$213,"Remaining*",DN$184:DN$213)))</f>
        <v>0</v>
      </c>
      <c r="DO292" s="1379">
        <f>IF($C$292='Reference Sheet'!$A$26,SUM(DO290:DO291),(DO290-SUMIF($C$184:$C$213,"Remaining*",DO$184:DO$213)))</f>
        <v>0</v>
      </c>
      <c r="DP292" s="1377">
        <f>IF($C$292='Reference Sheet'!$A$26,SUM(DP290:DP291),(DP290-SUMIF($C$184:$C$213,"Remaining*",DP$184:DP$213)))</f>
        <v>0</v>
      </c>
      <c r="DQ292" s="1378">
        <f>IF($C$292='Reference Sheet'!$A$26,SUM(DQ290:DQ291),(DQ290-SUMIF($C$184:$C$213,"Remaining*",DQ$184:DQ$213)))</f>
        <v>0</v>
      </c>
      <c r="DR292" s="1379">
        <f>IF($C$292='Reference Sheet'!$A$26,SUM(DR290:DR291),(DR290-SUMIF($C$184:$C$213,"Remaining*",DR$184:DR$213)))</f>
        <v>0</v>
      </c>
      <c r="DS292" s="1380">
        <f>SUM(DS290:DS291)</f>
        <v>0</v>
      </c>
      <c r="DU292" s="1377">
        <f>IF($C$292='Reference Sheet'!$A$26,SUM(DU290:DU291),(DU290-SUMIF($C$184:$C$213,"Remaining*",DU$184:DU$213)))</f>
        <v>0</v>
      </c>
      <c r="DV292" s="1378">
        <f>IF($C$292='Reference Sheet'!$A$26,SUM(DV290:DV291),(DV290-SUMIF($C$184:$C$213,"Remaining*",DV$184:DV$213)))</f>
        <v>0</v>
      </c>
      <c r="DW292" s="1379">
        <f>IF($C$292='Reference Sheet'!$A$26,SUM(DW290:DW291),(DW290-SUMIF($C$184:$C$213,"Remaining*",DW$184:DW$213)))</f>
        <v>0</v>
      </c>
      <c r="DX292" s="1377">
        <f>IF($C$292='Reference Sheet'!$A$26,SUM(DX290:DX291),(DX290-SUMIF($C$184:$C$213,"Remaining*",DX$184:DX$213)))</f>
        <v>0</v>
      </c>
      <c r="DY292" s="1378">
        <f>IF($C$292='Reference Sheet'!$A$26,SUM(DY290:DY291),(DY290-SUMIF($C$184:$C$213,"Remaining*",DY$184:DY$213)))</f>
        <v>0</v>
      </c>
      <c r="DZ292" s="1379">
        <f>IF($C$292='Reference Sheet'!$A$26,SUM(DZ290:DZ291),(DZ290-SUMIF($C$184:$C$213,"Remaining*",DZ$184:DZ$213)))</f>
        <v>0</v>
      </c>
      <c r="EA292" s="1377">
        <f>IF($C$292='Reference Sheet'!$A$26,SUM(EA290:EA291),(EA290-SUMIF($C$184:$C$213,"Remaining*",EA$184:EA$213)))</f>
        <v>0</v>
      </c>
      <c r="EB292" s="1378">
        <f>IF($C$292='Reference Sheet'!$A$26,SUM(EB290:EB291),(EB290-SUMIF($C$184:$C$213,"Remaining*",EB$184:EB$213)))</f>
        <v>0</v>
      </c>
      <c r="EC292" s="1379">
        <f>IF($C$292='Reference Sheet'!$A$26,SUM(EC290:EC291),(EC290-SUMIF($C$184:$C$213,"Remaining*",EC$184:EC$213)))</f>
        <v>0</v>
      </c>
      <c r="ED292" s="1377">
        <f>IF($C$292='Reference Sheet'!$A$26,SUM(ED290:ED291),(ED290-SUMIF($C$184:$C$213,"Remaining*",ED$184:ED$213)))</f>
        <v>0</v>
      </c>
      <c r="EE292" s="1378">
        <f>IF($C$292='Reference Sheet'!$A$26,SUM(EE290:EE291),(EE290-SUMIF($C$184:$C$213,"Remaining*",EE$184:EE$213)))</f>
        <v>0</v>
      </c>
      <c r="EF292" s="1379">
        <f>IF($C$292='Reference Sheet'!$A$26,SUM(EF290:EF291),(EF290-SUMIF($C$184:$C$213,"Remaining*",EF$184:EF$213)))</f>
        <v>0</v>
      </c>
      <c r="EG292" s="1380">
        <f>SUM(EG290:EG291)</f>
        <v>0</v>
      </c>
      <c r="EI292" s="43"/>
      <c r="EJ292" s="670" t="s">
        <v>354</v>
      </c>
      <c r="EK292" s="669" t="str">
        <f>C292</f>
        <v>Modified Total Direct Costs (MTDC)</v>
      </c>
      <c r="EL292" s="44">
        <f ca="1">IF($C$292='Reference Sheet'!$A$26,SUM(EL290:EL291),(EL290-SUMIF($C$184:$C$213,"Remaining*",EL$184:EL$213)))</f>
        <v>50000</v>
      </c>
      <c r="EM292" s="44">
        <f ca="1">IF($C$292='Reference Sheet'!$A$26,SUM(EM290:EM291),(EM290-SUMIF($C$184:$C$213,"Remaining*",EM$184:EM$213)))</f>
        <v>0</v>
      </c>
      <c r="EN292" s="44">
        <f ca="1">IF($C$292='Reference Sheet'!$A$26,SUM(EN290:EN291),(EN290-SUMIF($C$184:$C$213,"Remaining*",EN$184:EN$213)))</f>
        <v>0</v>
      </c>
      <c r="EO292" s="44">
        <f ca="1">IF($C$292='Reference Sheet'!$A$26,SUM(EO290:EO291),(EO290-SUMIF($C$184:$C$213,"Remaining*",EO$184:EO$213)))</f>
        <v>0</v>
      </c>
      <c r="EP292" s="44">
        <f ca="1">IF($C$292='Reference Sheet'!$A$26,SUM(EP290:EP291),(EP290-SUMIF($C$184:$C$213,"Remaining*",EP$184:EP$213)))</f>
        <v>0</v>
      </c>
      <c r="EQ292" s="44">
        <f ca="1">IF($C$292='Reference Sheet'!$A$26,SUM(EQ290:EQ291),(EQ290-SUMIF($C$184:$C$213,"Remaining*",EQ$184:EQ$213)))</f>
        <v>0</v>
      </c>
      <c r="ER292" s="44">
        <f ca="1">SUM(EL292:EQ292)</f>
        <v>50000</v>
      </c>
      <c r="ES292" s="13"/>
      <c r="ET292" s="13"/>
      <c r="EU292" s="9"/>
      <c r="EV292" s="175">
        <f ca="1">IF($C$292='Reference Sheet'!$A$26,SUM(EV290:EV291),(EV290-SUMIF($C$184:$C$213,"Remaining*",EV$184:EV$213)))</f>
        <v>0</v>
      </c>
      <c r="EW292" s="175">
        <f ca="1">IF($C$292='Reference Sheet'!$A$26,SUM(EW290:EW291),(EW290-SUMIF($C$184:$C$213,"Remaining*",EW$184:EW$213)))</f>
        <v>0</v>
      </c>
      <c r="EX292" s="175">
        <f ca="1">IF($C$292='Reference Sheet'!$A$26,SUM(EX290:EX291),(EX290-SUMIF($C$184:$C$213,"Remaining*",EX$184:EX$213)))</f>
        <v>0</v>
      </c>
      <c r="EY292" s="175">
        <f ca="1">IF($C$292='Reference Sheet'!$A$26,SUM(EY290:EY291),(EY290-SUMIF($C$184:$C$213,"Remaining*",EY$184:EY$213)))</f>
        <v>0</v>
      </c>
      <c r="EZ292" s="175">
        <f ca="1">IF($C$292='Reference Sheet'!$A$26,SUM(EZ290:EZ291),(EZ290-SUMIF($C$184:$C$213,"Remaining*",EZ$184:EZ$213)))</f>
        <v>0</v>
      </c>
      <c r="FA292" s="175">
        <f ca="1">IF($C$292='Reference Sheet'!$A$26,SUM(FA290:FA291),(FA290-SUMIF($C$184:$C$213,"Remaining*",FA$184:FA$213)))</f>
        <v>0</v>
      </c>
      <c r="FB292" s="175">
        <f ca="1">SUM(EV292:FA292)</f>
        <v>0</v>
      </c>
      <c r="FC292" s="1"/>
      <c r="FD292" s="147">
        <f ca="1">IF($C$292='Reference Sheet'!$A$26,SUM(FD290:FD291),(FD290-SUMIF($C$184:$C$213,"Remaining*",FD$184:FD$213)))</f>
        <v>0</v>
      </c>
      <c r="FE292" s="147">
        <f ca="1">IF($C$292='Reference Sheet'!$A$26,SUM(FE290:FE291),(FE290-SUMIF($C$184:$C$213,"Remaining*",FE$184:FE$213)))</f>
        <v>0</v>
      </c>
      <c r="FF292" s="147">
        <f ca="1">IF($C$292='Reference Sheet'!$A$26,SUM(FF290:FF291),(FF290-SUMIF($C$184:$C$213,"Remaining*",FF$184:FF$213)))</f>
        <v>0</v>
      </c>
      <c r="FG292" s="147">
        <f ca="1">IF($C$292='Reference Sheet'!$A$26,SUM(FG290:FG291),(FG290-SUMIF($C$184:$C$213,"Remaining*",FG$184:FG$213)))</f>
        <v>0</v>
      </c>
      <c r="FH292" s="147">
        <f ca="1">IF($C$292='Reference Sheet'!$A$26,SUM(FH290:FH291),(FH290-SUMIF($C$184:$C$213,"Remaining*",FH$184:FH$213)))</f>
        <v>0</v>
      </c>
      <c r="FI292" s="147">
        <f ca="1">IF($C$292='Reference Sheet'!$A$26,SUM(FI290:FI291),(FI290-SUMIF($C$184:$C$213,"Remaining*",FI$184:FI$213)))</f>
        <v>0</v>
      </c>
      <c r="FJ292" s="147">
        <f ca="1">SUM(FD292:FI292)</f>
        <v>0</v>
      </c>
      <c r="FL292" s="217">
        <f ca="1">IF($C$292='Reference Sheet'!$A$26,SUM(FL290:FL291),(FL290-SUMIF($C$184:$C$213,"Remaining*",FL$184:FL$213)))</f>
        <v>0</v>
      </c>
      <c r="FM292" s="217">
        <f ca="1">IF($C$292='Reference Sheet'!$A$26,SUM(FM290:FM291),(FM290-SUMIF($C$184:$C$213,"Remaining*",FM$184:FM$213)))</f>
        <v>0</v>
      </c>
      <c r="FN292" s="217">
        <f ca="1">IF($C$292='Reference Sheet'!$A$26,SUM(FN290:FN291),(FN290-SUMIF($C$184:$C$213,"Remaining*",FN$184:FN$213)))</f>
        <v>0</v>
      </c>
      <c r="FO292" s="217">
        <f ca="1">IF($C$292='Reference Sheet'!$A$26,SUM(FO290:FO291),(FO290-SUMIF($C$184:$C$213,"Remaining*",FO$184:FO$213)))</f>
        <v>0</v>
      </c>
      <c r="FP292" s="217">
        <f ca="1">IF($C$292='Reference Sheet'!$A$26,SUM(FP290:FP291),(FP290-SUMIF($C$184:$C$213,"Remaining*",FP$184:FP$213)))</f>
        <v>0</v>
      </c>
      <c r="FQ292" s="217">
        <f ca="1">IF($C$292='Reference Sheet'!$A$26,SUM(FQ290:FQ291),(FQ290-SUMIF($C$184:$C$213,"Remaining*",FQ$184:FQ$213)))</f>
        <v>0</v>
      </c>
      <c r="FR292" s="217">
        <f ca="1">SUM(FL292:FQ292)</f>
        <v>0</v>
      </c>
      <c r="FT292" s="189">
        <f ca="1">IF($C$292='Reference Sheet'!$A$26,SUM(FT290:FT291),(FT290-SUMIF($C$184:$C$213,"Remaining*",FT$184:FT$213)))</f>
        <v>0</v>
      </c>
      <c r="FU292" s="189">
        <f ca="1">IF($C$292='Reference Sheet'!$A$26,SUM(FU290:FU291),(FU290-SUMIF($C$184:$C$213,"Remaining*",FU$184:FU$213)))</f>
        <v>0</v>
      </c>
      <c r="FV292" s="189">
        <f ca="1">IF($C$292='Reference Sheet'!$A$26,SUM(FV290:FV291),(FV290-SUMIF($C$184:$C$213,"Remaining*",FV$184:FV$213)))</f>
        <v>0</v>
      </c>
      <c r="FW292" s="189">
        <f ca="1">IF($C$292='Reference Sheet'!$A$26,SUM(FW290:FW291),(FW290-SUMIF($C$184:$C$213,"Remaining*",FW$184:FW$213)))</f>
        <v>0</v>
      </c>
      <c r="FX292" s="189">
        <f ca="1">IF($C$292='Reference Sheet'!$A$26,SUM(FX290:FX291),(FX290-SUMIF($C$184:$C$213,"Remaining*",FX$184:FX$213)))</f>
        <v>0</v>
      </c>
      <c r="FY292" s="189">
        <f ca="1">IF($C$292='Reference Sheet'!$A$26,SUM(FY290:FY291),(FY290-SUMIF($C$184:$C$213,"Remaining*",FY$184:FY$213)))</f>
        <v>0</v>
      </c>
      <c r="FZ292" s="189">
        <f ca="1">SUM(FT292:FY292)</f>
        <v>0</v>
      </c>
      <c r="GB292" s="161">
        <f ca="1">IF($C$292='Reference Sheet'!$A$26,SUM(GB290:GB291),(GB290-SUMIF($C$184:$C$213,"Remaining*",GB$184:GB$213)))</f>
        <v>0</v>
      </c>
      <c r="GC292" s="161">
        <f ca="1">IF($C$292='Reference Sheet'!$A$26,SUM(GC290:GC291),(GC290-SUMIF($C$184:$C$213,"Remaining*",GC$184:GC$213)))</f>
        <v>0</v>
      </c>
      <c r="GD292" s="161">
        <f ca="1">IF($C$292='Reference Sheet'!$A$26,SUM(GD290:GD291),(GD290-SUMIF($C$184:$C$213,"Remaining*",GD$184:GD$213)))</f>
        <v>0</v>
      </c>
      <c r="GE292" s="161">
        <f ca="1">IF($C$292='Reference Sheet'!$A$26,SUM(GE290:GE291),(GE290-SUMIF($C$184:$C$213,"Remaining*",GE$184:GE$213)))</f>
        <v>0</v>
      </c>
      <c r="GF292" s="161">
        <f ca="1">IF($C$292='Reference Sheet'!$A$26,SUM(GF290:GF291),(GF290-SUMIF($C$184:$C$213,"Remaining*",GF$184:GF$213)))</f>
        <v>0</v>
      </c>
      <c r="GG292" s="161">
        <f ca="1">IF($C$292='Reference Sheet'!$A$26,SUM(GG290:GG291),(GG290-SUMIF($C$184:$C$213,"Remaining*",GG$184:GG$213)))</f>
        <v>0</v>
      </c>
      <c r="GH292" s="161">
        <f ca="1">SUM(GB292:GG292)</f>
        <v>0</v>
      </c>
      <c r="GJ292" s="203">
        <f ca="1">IF($C$292='Reference Sheet'!$A$26,SUM(GJ290:GJ291),(GJ290-SUMIF($C$184:$C$213,"Remaining*",GJ$184:GJ$213)))</f>
        <v>0</v>
      </c>
      <c r="GK292" s="203">
        <f ca="1">IF($C$292='Reference Sheet'!$A$26,SUM(GK290:GK291),(GK290-SUMIF($C$184:$C$213,"Remaining*",GK$184:GK$213)))</f>
        <v>0</v>
      </c>
      <c r="GL292" s="203">
        <f ca="1">IF($C$292='Reference Sheet'!$A$26,SUM(GL290:GL291),(GL290-SUMIF($C$184:$C$213,"Remaining*",GL$184:GL$213)))</f>
        <v>0</v>
      </c>
      <c r="GM292" s="203">
        <f ca="1">IF($C$292='Reference Sheet'!$A$26,SUM(GM290:GM291),(GM290-SUMIF($C$184:$C$213,"Remaining*",GM$184:GM$213)))</f>
        <v>0</v>
      </c>
      <c r="GN292" s="203">
        <f ca="1">IF($C$292='Reference Sheet'!$A$26,SUM(GN290:GN291),(GN290-SUMIF($C$184:$C$213,"Remaining*",GN$184:GN$213)))</f>
        <v>0</v>
      </c>
      <c r="GO292" s="203">
        <f ca="1">IF($C$292='Reference Sheet'!$A$26,SUM(GO290:GO291),(GO290-SUMIF($C$184:$C$213,"Remaining*",GO$184:GO$213)))</f>
        <v>0</v>
      </c>
      <c r="GP292" s="203">
        <f ca="1">SUM(GJ292:GO292)</f>
        <v>0</v>
      </c>
      <c r="GR292" s="965">
        <f ca="1">IF($C$292='Reference Sheet'!$A$26,SUM(GR290:GR291),(GR290-SUMIF($C$184:$C$213,"Remaining*",GR$184:GR$213)))</f>
        <v>0</v>
      </c>
      <c r="GS292" s="965">
        <f ca="1">IF($C$292='Reference Sheet'!$A$26,SUM(GS290:GS291),(GS290-SUMIF($C$184:$C$213,"Remaining*",GS$184:GS$213)))</f>
        <v>0</v>
      </c>
      <c r="GT292" s="965">
        <f ca="1">IF($C$292='Reference Sheet'!$A$26,SUM(GT290:GT291),(GT290-SUMIF($C$184:$C$213,"Remaining*",GT$184:GT$213)))</f>
        <v>0</v>
      </c>
      <c r="GU292" s="965">
        <f ca="1">IF($C$292='Reference Sheet'!$A$26,SUM(GU290:GU291),(GU290-SUMIF($C$184:$C$213,"Remaining*",GU$184:GU$213)))</f>
        <v>0</v>
      </c>
      <c r="GV292" s="965">
        <f ca="1">IF($C$292='Reference Sheet'!$A$26,SUM(GV290:GV291),(GV290-SUMIF($C$184:$C$213,"Remaining*",GV$184:GV$213)))</f>
        <v>0</v>
      </c>
      <c r="GW292" s="965">
        <f ca="1">IF($C$292='Reference Sheet'!$A$26,SUM(GW290:GW291),(GW290-SUMIF($C$184:$C$213,"Remaining*",GW$184:GW$213)))</f>
        <v>0</v>
      </c>
      <c r="GX292" s="1115">
        <f ca="1">SUM(GR292:GW292)</f>
        <v>0</v>
      </c>
      <c r="GZ292" s="1000">
        <f t="shared" ca="1" si="1645"/>
        <v>0</v>
      </c>
      <c r="HA292" s="1000">
        <f t="shared" ca="1" si="1645"/>
        <v>0</v>
      </c>
      <c r="HB292" s="1000">
        <f t="shared" ca="1" si="1645"/>
        <v>0</v>
      </c>
      <c r="HC292" s="1000">
        <f t="shared" ca="1" si="1645"/>
        <v>0</v>
      </c>
      <c r="HD292" s="1000">
        <f t="shared" ca="1" si="1645"/>
        <v>0</v>
      </c>
      <c r="HE292" s="1000">
        <f t="shared" ca="1" si="1645"/>
        <v>0</v>
      </c>
      <c r="HF292" s="1000">
        <f ca="1">SUM(GZ292:HE292)</f>
        <v>0</v>
      </c>
      <c r="HG292" s="278">
        <f ca="1">SUM(ER292+HF292)</f>
        <v>50000</v>
      </c>
      <c r="HH292" s="263"/>
    </row>
    <row r="293" spans="1:216" ht="15" customHeight="1" thickTop="1" thickBot="1" x14ac:dyDescent="0.3">
      <c r="A293" s="46" t="s">
        <v>54</v>
      </c>
      <c r="B293" s="81" t="s">
        <v>132</v>
      </c>
      <c r="C293" s="82"/>
      <c r="D293" s="31">
        <f t="shared" ref="D293:I293" ca="1" si="1665">D292*D294</f>
        <v>0</v>
      </c>
      <c r="E293" s="31">
        <f t="shared" ca="1" si="1665"/>
        <v>0</v>
      </c>
      <c r="F293" s="31">
        <f t="shared" ca="1" si="1665"/>
        <v>0</v>
      </c>
      <c r="G293" s="31">
        <f t="shared" ca="1" si="1665"/>
        <v>0</v>
      </c>
      <c r="H293" s="31">
        <f t="shared" ca="1" si="1665"/>
        <v>0</v>
      </c>
      <c r="I293" s="31">
        <f t="shared" ca="1" si="1665"/>
        <v>0</v>
      </c>
      <c r="J293" s="31">
        <f ca="1">SUM(D293:I293)</f>
        <v>0</v>
      </c>
      <c r="K293" s="13"/>
      <c r="L293" s="13"/>
      <c r="M293" s="9"/>
      <c r="N293" s="1381">
        <f t="shared" ref="N293:T293" ca="1" si="1666">N292*N294</f>
        <v>0</v>
      </c>
      <c r="O293" s="1381">
        <f t="shared" ca="1" si="1666"/>
        <v>0</v>
      </c>
      <c r="P293" s="1381">
        <f t="shared" ca="1" si="1666"/>
        <v>0</v>
      </c>
      <c r="Q293" s="1381">
        <f t="shared" ca="1" si="1666"/>
        <v>0</v>
      </c>
      <c r="R293" s="1381">
        <f t="shared" ca="1" si="1666"/>
        <v>0</v>
      </c>
      <c r="S293" s="1381">
        <f t="shared" ca="1" si="1666"/>
        <v>0</v>
      </c>
      <c r="T293" s="1381">
        <f t="shared" ca="1" si="1666"/>
        <v>0</v>
      </c>
      <c r="U293" s="1"/>
      <c r="V293" s="1382">
        <f t="shared" ref="V293:AB293" ca="1" si="1667">V292*V294</f>
        <v>0</v>
      </c>
      <c r="W293" s="1382">
        <f t="shared" ca="1" si="1667"/>
        <v>0</v>
      </c>
      <c r="X293" s="1382">
        <f t="shared" ca="1" si="1667"/>
        <v>0</v>
      </c>
      <c r="Y293" s="1382">
        <f t="shared" ca="1" si="1667"/>
        <v>0</v>
      </c>
      <c r="Z293" s="1382">
        <f t="shared" ca="1" si="1667"/>
        <v>0</v>
      </c>
      <c r="AA293" s="1382">
        <f t="shared" ca="1" si="1667"/>
        <v>0</v>
      </c>
      <c r="AB293" s="1382">
        <f t="shared" ca="1" si="1667"/>
        <v>0</v>
      </c>
      <c r="AD293" s="1383">
        <f t="shared" ref="AD293:AJ293" ca="1" si="1668">AD292*AD294</f>
        <v>0</v>
      </c>
      <c r="AE293" s="1383">
        <f t="shared" ca="1" si="1668"/>
        <v>0</v>
      </c>
      <c r="AF293" s="1383">
        <f t="shared" ca="1" si="1668"/>
        <v>0</v>
      </c>
      <c r="AG293" s="1383">
        <f t="shared" ca="1" si="1668"/>
        <v>0</v>
      </c>
      <c r="AH293" s="1383">
        <f t="shared" ca="1" si="1668"/>
        <v>0</v>
      </c>
      <c r="AI293" s="1383">
        <f t="shared" ca="1" si="1668"/>
        <v>0</v>
      </c>
      <c r="AJ293" s="1383">
        <f t="shared" ca="1" si="1668"/>
        <v>0</v>
      </c>
      <c r="AL293" s="1384">
        <f t="shared" ref="AL293:AR293" ca="1" si="1669">AL292*AL294</f>
        <v>0</v>
      </c>
      <c r="AM293" s="1384">
        <f t="shared" ca="1" si="1669"/>
        <v>0</v>
      </c>
      <c r="AN293" s="1384">
        <f t="shared" ca="1" si="1669"/>
        <v>0</v>
      </c>
      <c r="AO293" s="1384">
        <f t="shared" ca="1" si="1669"/>
        <v>0</v>
      </c>
      <c r="AP293" s="1384">
        <f t="shared" ca="1" si="1669"/>
        <v>0</v>
      </c>
      <c r="AQ293" s="1384">
        <f t="shared" ca="1" si="1669"/>
        <v>0</v>
      </c>
      <c r="AR293" s="1384">
        <f t="shared" ca="1" si="1669"/>
        <v>0</v>
      </c>
      <c r="AT293" s="1385">
        <f t="shared" ref="AT293:AZ293" ca="1" si="1670">AT292*AT294</f>
        <v>0</v>
      </c>
      <c r="AU293" s="1385">
        <f t="shared" ca="1" si="1670"/>
        <v>0</v>
      </c>
      <c r="AV293" s="1385">
        <f t="shared" ca="1" si="1670"/>
        <v>0</v>
      </c>
      <c r="AW293" s="1385">
        <f t="shared" ca="1" si="1670"/>
        <v>0</v>
      </c>
      <c r="AX293" s="1385">
        <f t="shared" ca="1" si="1670"/>
        <v>0</v>
      </c>
      <c r="AY293" s="1385">
        <f t="shared" ca="1" si="1670"/>
        <v>0</v>
      </c>
      <c r="AZ293" s="1385">
        <f t="shared" ca="1" si="1670"/>
        <v>0</v>
      </c>
      <c r="BB293" s="1386">
        <f t="shared" ref="BB293:BH293" ca="1" si="1671">BB292*BB294</f>
        <v>0</v>
      </c>
      <c r="BC293" s="1386">
        <f t="shared" ca="1" si="1671"/>
        <v>0</v>
      </c>
      <c r="BD293" s="1386">
        <f t="shared" ca="1" si="1671"/>
        <v>0</v>
      </c>
      <c r="BE293" s="1386">
        <f t="shared" ca="1" si="1671"/>
        <v>0</v>
      </c>
      <c r="BF293" s="1386">
        <f t="shared" ca="1" si="1671"/>
        <v>0</v>
      </c>
      <c r="BG293" s="1386">
        <f t="shared" ca="1" si="1671"/>
        <v>0</v>
      </c>
      <c r="BH293" s="1386">
        <f t="shared" ca="1" si="1671"/>
        <v>0</v>
      </c>
      <c r="BI293" s="1116" t="s">
        <v>459</v>
      </c>
      <c r="BJ293" s="1117">
        <f t="shared" ref="BJ293:BO293" si="1672">IF(BJ305&lt;0,0,BJ305)</f>
        <v>0</v>
      </c>
      <c r="BK293" s="1118">
        <f t="shared" si="1672"/>
        <v>0</v>
      </c>
      <c r="BL293" s="1118">
        <f t="shared" si="1672"/>
        <v>0</v>
      </c>
      <c r="BM293" s="1118">
        <f t="shared" si="1672"/>
        <v>0</v>
      </c>
      <c r="BN293" s="1118">
        <f t="shared" si="1672"/>
        <v>0</v>
      </c>
      <c r="BO293" s="1118">
        <f t="shared" si="1672"/>
        <v>0</v>
      </c>
      <c r="BP293" s="1119">
        <f>SUM(BJ293:BO293)</f>
        <v>0</v>
      </c>
      <c r="BQ293" s="984"/>
      <c r="BR293" s="1001">
        <f t="shared" ref="BR293:BW293" ca="1" si="1673">SUM(N293,V293,AD293,AL293,AT293,BB293) + BJ293</f>
        <v>0</v>
      </c>
      <c r="BS293" s="1001">
        <f t="shared" ca="1" si="1673"/>
        <v>0</v>
      </c>
      <c r="BT293" s="1001">
        <f t="shared" ca="1" si="1673"/>
        <v>0</v>
      </c>
      <c r="BU293" s="1001">
        <f t="shared" ca="1" si="1673"/>
        <v>0</v>
      </c>
      <c r="BV293" s="1001">
        <f t="shared" ca="1" si="1673"/>
        <v>0</v>
      </c>
      <c r="BW293" s="1001">
        <f t="shared" ca="1" si="1673"/>
        <v>0</v>
      </c>
      <c r="BX293" s="1001">
        <f ca="1">SUM(BR293:BW293)</f>
        <v>0</v>
      </c>
      <c r="BY293" s="279">
        <f ca="1">SUM(J293+BX293)</f>
        <v>0</v>
      </c>
      <c r="BZ293" s="264"/>
      <c r="CB293" s="1387">
        <f t="shared" ref="CB293:CO293" ca="1" si="1674">CB292*CB294</f>
        <v>0</v>
      </c>
      <c r="CC293" s="2362">
        <f t="shared" ca="1" si="1674"/>
        <v>0</v>
      </c>
      <c r="CD293" s="31">
        <f t="shared" ca="1" si="1674"/>
        <v>0</v>
      </c>
      <c r="CE293" s="31">
        <f t="shared" ca="1" si="1674"/>
        <v>0</v>
      </c>
      <c r="CF293" s="2363">
        <f t="shared" ca="1" si="1674"/>
        <v>0</v>
      </c>
      <c r="CG293" s="1387">
        <f t="shared" ca="1" si="1674"/>
        <v>0</v>
      </c>
      <c r="CH293" s="2362">
        <f t="shared" ca="1" si="1674"/>
        <v>0</v>
      </c>
      <c r="CI293" s="31">
        <f t="shared" ca="1" si="1674"/>
        <v>0</v>
      </c>
      <c r="CJ293" s="31">
        <f t="shared" ca="1" si="1674"/>
        <v>0</v>
      </c>
      <c r="CK293" s="2363">
        <f t="shared" ca="1" si="1674"/>
        <v>0</v>
      </c>
      <c r="CL293" s="1387">
        <f t="shared" ca="1" si="1674"/>
        <v>0</v>
      </c>
      <c r="CM293" s="2362">
        <f t="shared" ca="1" si="1674"/>
        <v>0</v>
      </c>
      <c r="CN293" s="31">
        <f t="shared" ca="1" si="1674"/>
        <v>0</v>
      </c>
      <c r="CO293" s="31">
        <f t="shared" ca="1" si="1674"/>
        <v>0</v>
      </c>
      <c r="CP293" s="1387">
        <f ca="1">SUM(CB293:CO293)</f>
        <v>0</v>
      </c>
      <c r="CS293" s="1388">
        <f t="shared" ref="CS293:DE293" si="1675">CS292*CS294</f>
        <v>0</v>
      </c>
      <c r="CT293" s="1388">
        <f t="shared" si="1675"/>
        <v>0</v>
      </c>
      <c r="CU293" s="1388">
        <f t="shared" si="1675"/>
        <v>0</v>
      </c>
      <c r="CV293" s="1388">
        <f t="shared" si="1675"/>
        <v>0</v>
      </c>
      <c r="CW293" s="1388">
        <f t="shared" si="1675"/>
        <v>0</v>
      </c>
      <c r="CX293" s="1388">
        <f t="shared" si="1675"/>
        <v>0</v>
      </c>
      <c r="CY293" s="1388">
        <f t="shared" si="1675"/>
        <v>0</v>
      </c>
      <c r="CZ293" s="1388">
        <f t="shared" si="1675"/>
        <v>0</v>
      </c>
      <c r="DA293" s="1388">
        <f t="shared" si="1675"/>
        <v>0</v>
      </c>
      <c r="DB293" s="1388">
        <f t="shared" si="1675"/>
        <v>0</v>
      </c>
      <c r="DC293" s="1388">
        <f t="shared" si="1675"/>
        <v>0</v>
      </c>
      <c r="DD293" s="1388">
        <f t="shared" si="1675"/>
        <v>0</v>
      </c>
      <c r="DE293" s="1388">
        <f t="shared" si="1675"/>
        <v>0</v>
      </c>
      <c r="DG293" s="1388">
        <f t="shared" ref="DG293:DS293" si="1676">DG292*DG294</f>
        <v>0</v>
      </c>
      <c r="DH293" s="1388">
        <f t="shared" si="1676"/>
        <v>0</v>
      </c>
      <c r="DI293" s="1388">
        <f t="shared" si="1676"/>
        <v>0</v>
      </c>
      <c r="DJ293" s="1388">
        <f t="shared" si="1676"/>
        <v>0</v>
      </c>
      <c r="DK293" s="1388">
        <f t="shared" si="1676"/>
        <v>0</v>
      </c>
      <c r="DL293" s="1388">
        <f t="shared" si="1676"/>
        <v>0</v>
      </c>
      <c r="DM293" s="1388">
        <f t="shared" si="1676"/>
        <v>0</v>
      </c>
      <c r="DN293" s="1388">
        <f t="shared" si="1676"/>
        <v>0</v>
      </c>
      <c r="DO293" s="1388">
        <f t="shared" si="1676"/>
        <v>0</v>
      </c>
      <c r="DP293" s="1388">
        <f t="shared" si="1676"/>
        <v>0</v>
      </c>
      <c r="DQ293" s="1388">
        <f t="shared" si="1676"/>
        <v>0</v>
      </c>
      <c r="DR293" s="1388">
        <f t="shared" si="1676"/>
        <v>0</v>
      </c>
      <c r="DS293" s="1388">
        <f t="shared" si="1676"/>
        <v>0</v>
      </c>
      <c r="DU293" s="1388">
        <f t="shared" ref="DU293:EG293" si="1677">DU292*DU294</f>
        <v>0</v>
      </c>
      <c r="DV293" s="1388">
        <f t="shared" si="1677"/>
        <v>0</v>
      </c>
      <c r="DW293" s="1388">
        <f t="shared" si="1677"/>
        <v>0</v>
      </c>
      <c r="DX293" s="1388">
        <f t="shared" si="1677"/>
        <v>0</v>
      </c>
      <c r="DY293" s="1388">
        <f t="shared" si="1677"/>
        <v>0</v>
      </c>
      <c r="DZ293" s="1388">
        <f t="shared" si="1677"/>
        <v>0</v>
      </c>
      <c r="EA293" s="1388">
        <f t="shared" si="1677"/>
        <v>0</v>
      </c>
      <c r="EB293" s="1388">
        <f t="shared" si="1677"/>
        <v>0</v>
      </c>
      <c r="EC293" s="1388">
        <f t="shared" si="1677"/>
        <v>0</v>
      </c>
      <c r="ED293" s="1388">
        <f t="shared" si="1677"/>
        <v>0</v>
      </c>
      <c r="EE293" s="1388">
        <f t="shared" si="1677"/>
        <v>0</v>
      </c>
      <c r="EF293" s="1388">
        <f t="shared" si="1677"/>
        <v>0</v>
      </c>
      <c r="EG293" s="1388">
        <f t="shared" si="1677"/>
        <v>0</v>
      </c>
      <c r="EI293" s="46" t="s">
        <v>54</v>
      </c>
      <c r="EJ293" s="81" t="s">
        <v>132</v>
      </c>
      <c r="EK293" s="82"/>
      <c r="EL293" s="31">
        <f t="shared" ref="EL293:EQ293" ca="1" si="1678">ROUND(EL292*EL294,0)</f>
        <v>0</v>
      </c>
      <c r="EM293" s="31">
        <f t="shared" ca="1" si="1678"/>
        <v>0</v>
      </c>
      <c r="EN293" s="31">
        <f t="shared" ca="1" si="1678"/>
        <v>0</v>
      </c>
      <c r="EO293" s="31">
        <f t="shared" ca="1" si="1678"/>
        <v>0</v>
      </c>
      <c r="EP293" s="31">
        <f t="shared" ca="1" si="1678"/>
        <v>0</v>
      </c>
      <c r="EQ293" s="31">
        <f t="shared" ca="1" si="1678"/>
        <v>0</v>
      </c>
      <c r="ER293" s="31">
        <f ca="1">SUM(EL293:EQ293)</f>
        <v>0</v>
      </c>
      <c r="ES293" s="13"/>
      <c r="ET293" s="13"/>
      <c r="EU293" s="9"/>
      <c r="EV293" s="1381">
        <f t="shared" ref="EV293:FA293" ca="1" si="1679">ROUND(EV292*EV294,0)</f>
        <v>0</v>
      </c>
      <c r="EW293" s="1381">
        <f t="shared" ca="1" si="1679"/>
        <v>0</v>
      </c>
      <c r="EX293" s="1381">
        <f t="shared" ca="1" si="1679"/>
        <v>0</v>
      </c>
      <c r="EY293" s="1381">
        <f t="shared" ca="1" si="1679"/>
        <v>0</v>
      </c>
      <c r="EZ293" s="1381">
        <f t="shared" ca="1" si="1679"/>
        <v>0</v>
      </c>
      <c r="FA293" s="1381">
        <f t="shared" ca="1" si="1679"/>
        <v>0</v>
      </c>
      <c r="FB293" s="1381">
        <f ca="1">SUM(EV293:FA293)</f>
        <v>0</v>
      </c>
      <c r="FC293" s="1"/>
      <c r="FD293" s="1382">
        <f t="shared" ref="FD293:FI293" ca="1" si="1680">ROUND(FD292*FD294,0)</f>
        <v>0</v>
      </c>
      <c r="FE293" s="1382">
        <f t="shared" ca="1" si="1680"/>
        <v>0</v>
      </c>
      <c r="FF293" s="1382">
        <f t="shared" ca="1" si="1680"/>
        <v>0</v>
      </c>
      <c r="FG293" s="1382">
        <f t="shared" ca="1" si="1680"/>
        <v>0</v>
      </c>
      <c r="FH293" s="1382">
        <f t="shared" ca="1" si="1680"/>
        <v>0</v>
      </c>
      <c r="FI293" s="1382">
        <f t="shared" ca="1" si="1680"/>
        <v>0</v>
      </c>
      <c r="FJ293" s="1382">
        <f ca="1">SUM(FD293:FI293)</f>
        <v>0</v>
      </c>
      <c r="FL293" s="1383">
        <f t="shared" ref="FL293:FQ293" ca="1" si="1681">ROUND(FL292*FL294,0)</f>
        <v>0</v>
      </c>
      <c r="FM293" s="1383">
        <f t="shared" ca="1" si="1681"/>
        <v>0</v>
      </c>
      <c r="FN293" s="1383">
        <f t="shared" ca="1" si="1681"/>
        <v>0</v>
      </c>
      <c r="FO293" s="1383">
        <f t="shared" ca="1" si="1681"/>
        <v>0</v>
      </c>
      <c r="FP293" s="1383">
        <f t="shared" ca="1" si="1681"/>
        <v>0</v>
      </c>
      <c r="FQ293" s="1383">
        <f t="shared" ca="1" si="1681"/>
        <v>0</v>
      </c>
      <c r="FR293" s="1383">
        <f ca="1">SUM(FL293:FQ293)</f>
        <v>0</v>
      </c>
      <c r="FT293" s="1384">
        <f t="shared" ref="FT293:FY293" ca="1" si="1682">ROUND(FT292*FT294,0)</f>
        <v>0</v>
      </c>
      <c r="FU293" s="1384">
        <f t="shared" ca="1" si="1682"/>
        <v>0</v>
      </c>
      <c r="FV293" s="1384">
        <f t="shared" ca="1" si="1682"/>
        <v>0</v>
      </c>
      <c r="FW293" s="1384">
        <f t="shared" ca="1" si="1682"/>
        <v>0</v>
      </c>
      <c r="FX293" s="1384">
        <f t="shared" ca="1" si="1682"/>
        <v>0</v>
      </c>
      <c r="FY293" s="1384">
        <f t="shared" ca="1" si="1682"/>
        <v>0</v>
      </c>
      <c r="FZ293" s="1384">
        <f ca="1">SUM(FT293:FY293)</f>
        <v>0</v>
      </c>
      <c r="GB293" s="1385">
        <f t="shared" ref="GB293:GG293" ca="1" si="1683">ROUND(GB292*GB294,0)</f>
        <v>0</v>
      </c>
      <c r="GC293" s="1385">
        <f t="shared" ca="1" si="1683"/>
        <v>0</v>
      </c>
      <c r="GD293" s="1385">
        <f t="shared" ca="1" si="1683"/>
        <v>0</v>
      </c>
      <c r="GE293" s="1385">
        <f t="shared" ca="1" si="1683"/>
        <v>0</v>
      </c>
      <c r="GF293" s="1385">
        <f t="shared" ca="1" si="1683"/>
        <v>0</v>
      </c>
      <c r="GG293" s="1385">
        <f t="shared" ca="1" si="1683"/>
        <v>0</v>
      </c>
      <c r="GH293" s="1385">
        <f ca="1">SUM(GB293:GG293)</f>
        <v>0</v>
      </c>
      <c r="GJ293" s="1386">
        <f t="shared" ref="GJ293:GO293" ca="1" si="1684">ROUND(GJ292*GJ294,0)</f>
        <v>0</v>
      </c>
      <c r="GK293" s="1386">
        <f t="shared" ca="1" si="1684"/>
        <v>0</v>
      </c>
      <c r="GL293" s="1386">
        <f t="shared" ca="1" si="1684"/>
        <v>0</v>
      </c>
      <c r="GM293" s="1386">
        <f t="shared" ca="1" si="1684"/>
        <v>0</v>
      </c>
      <c r="GN293" s="1386">
        <f t="shared" ca="1" si="1684"/>
        <v>0</v>
      </c>
      <c r="GO293" s="1386">
        <f t="shared" ca="1" si="1684"/>
        <v>0</v>
      </c>
      <c r="GP293" s="1386">
        <f ca="1">SUM(GJ293:GO293)</f>
        <v>0</v>
      </c>
      <c r="GQ293" s="1116" t="s">
        <v>459</v>
      </c>
      <c r="GR293" s="1117">
        <f t="shared" ref="GR293:GW293" ca="1" si="1685">IF(GR305&lt;0,0,GR305)</f>
        <v>0</v>
      </c>
      <c r="GS293" s="1118">
        <f t="shared" ca="1" si="1685"/>
        <v>0</v>
      </c>
      <c r="GT293" s="1118">
        <f t="shared" ca="1" si="1685"/>
        <v>0</v>
      </c>
      <c r="GU293" s="1118">
        <f t="shared" ca="1" si="1685"/>
        <v>0</v>
      </c>
      <c r="GV293" s="1118">
        <f t="shared" ca="1" si="1685"/>
        <v>0</v>
      </c>
      <c r="GW293" s="1118">
        <f t="shared" ca="1" si="1685"/>
        <v>0</v>
      </c>
      <c r="GX293" s="1119">
        <f ca="1">SUM(GR293:GW293)</f>
        <v>0</v>
      </c>
      <c r="GY293" s="984"/>
      <c r="GZ293" s="1001">
        <f t="shared" ref="GZ293:HE293" ca="1" si="1686">SUM(EV293,FD293,FL293,FT293,GB293,GJ293) + GR293</f>
        <v>0</v>
      </c>
      <c r="HA293" s="1001">
        <f t="shared" ca="1" si="1686"/>
        <v>0</v>
      </c>
      <c r="HB293" s="1001">
        <f t="shared" ca="1" si="1686"/>
        <v>0</v>
      </c>
      <c r="HC293" s="1001">
        <f t="shared" ca="1" si="1686"/>
        <v>0</v>
      </c>
      <c r="HD293" s="1001">
        <f t="shared" ca="1" si="1686"/>
        <v>0</v>
      </c>
      <c r="HE293" s="1001">
        <f t="shared" ca="1" si="1686"/>
        <v>0</v>
      </c>
      <c r="HF293" s="1001">
        <f ca="1">SUM(GZ293:HE293)</f>
        <v>0</v>
      </c>
      <c r="HG293" s="279">
        <f ca="1">SUM(ER293+HF293)</f>
        <v>0</v>
      </c>
      <c r="HH293" s="264"/>
    </row>
    <row r="294" spans="1:216" ht="15" customHeight="1" x14ac:dyDescent="0.25">
      <c r="A294" s="46"/>
      <c r="B294" s="81" t="s">
        <v>648</v>
      </c>
      <c r="C294" s="512">
        <f>'DATA INPUT'!F125</f>
        <v>0</v>
      </c>
      <c r="D294" s="458">
        <f t="shared" ref="D294:I294" si="1687">C294</f>
        <v>0</v>
      </c>
      <c r="E294" s="458">
        <f t="shared" si="1687"/>
        <v>0</v>
      </c>
      <c r="F294" s="458">
        <f t="shared" si="1687"/>
        <v>0</v>
      </c>
      <c r="G294" s="458">
        <f t="shared" si="1687"/>
        <v>0</v>
      </c>
      <c r="H294" s="458">
        <f t="shared" si="1687"/>
        <v>0</v>
      </c>
      <c r="I294" s="458">
        <f t="shared" si="1687"/>
        <v>0</v>
      </c>
      <c r="J294" s="458">
        <f>AVERAGE(D294:I294)</f>
        <v>0</v>
      </c>
      <c r="K294" s="13" t="s">
        <v>262</v>
      </c>
      <c r="L294" s="13"/>
      <c r="M294" s="9"/>
      <c r="N294" s="598">
        <f t="shared" ref="N294:T294" si="1688">$C$294</f>
        <v>0</v>
      </c>
      <c r="O294" s="598">
        <f t="shared" si="1688"/>
        <v>0</v>
      </c>
      <c r="P294" s="598">
        <f t="shared" si="1688"/>
        <v>0</v>
      </c>
      <c r="Q294" s="598">
        <f t="shared" si="1688"/>
        <v>0</v>
      </c>
      <c r="R294" s="598">
        <f t="shared" si="1688"/>
        <v>0</v>
      </c>
      <c r="S294" s="598">
        <f t="shared" si="1688"/>
        <v>0</v>
      </c>
      <c r="T294" s="598">
        <f t="shared" si="1688"/>
        <v>0</v>
      </c>
      <c r="U294" s="1"/>
      <c r="V294" s="599">
        <f t="shared" ref="V294:AB294" si="1689">$C$294</f>
        <v>0</v>
      </c>
      <c r="W294" s="599">
        <f t="shared" si="1689"/>
        <v>0</v>
      </c>
      <c r="X294" s="599">
        <f t="shared" si="1689"/>
        <v>0</v>
      </c>
      <c r="Y294" s="599">
        <f t="shared" si="1689"/>
        <v>0</v>
      </c>
      <c r="Z294" s="599">
        <f t="shared" si="1689"/>
        <v>0</v>
      </c>
      <c r="AA294" s="599">
        <f t="shared" si="1689"/>
        <v>0</v>
      </c>
      <c r="AB294" s="599">
        <f t="shared" si="1689"/>
        <v>0</v>
      </c>
      <c r="AD294" s="600">
        <f t="shared" ref="AD294:AJ294" si="1690">$C$294</f>
        <v>0</v>
      </c>
      <c r="AE294" s="600">
        <f t="shared" si="1690"/>
        <v>0</v>
      </c>
      <c r="AF294" s="600">
        <f t="shared" si="1690"/>
        <v>0</v>
      </c>
      <c r="AG294" s="600">
        <f t="shared" si="1690"/>
        <v>0</v>
      </c>
      <c r="AH294" s="600">
        <f t="shared" si="1690"/>
        <v>0</v>
      </c>
      <c r="AI294" s="600">
        <f t="shared" si="1690"/>
        <v>0</v>
      </c>
      <c r="AJ294" s="600">
        <f t="shared" si="1690"/>
        <v>0</v>
      </c>
      <c r="AL294" s="601">
        <f t="shared" ref="AL294:AR294" si="1691">$C$294</f>
        <v>0</v>
      </c>
      <c r="AM294" s="601">
        <f t="shared" si="1691"/>
        <v>0</v>
      </c>
      <c r="AN294" s="601">
        <f t="shared" si="1691"/>
        <v>0</v>
      </c>
      <c r="AO294" s="601">
        <f t="shared" si="1691"/>
        <v>0</v>
      </c>
      <c r="AP294" s="601">
        <f t="shared" si="1691"/>
        <v>0</v>
      </c>
      <c r="AQ294" s="601">
        <f t="shared" si="1691"/>
        <v>0</v>
      </c>
      <c r="AR294" s="601">
        <f t="shared" si="1691"/>
        <v>0</v>
      </c>
      <c r="AT294" s="602">
        <f t="shared" ref="AT294:AZ294" si="1692">$C$294</f>
        <v>0</v>
      </c>
      <c r="AU294" s="602">
        <f t="shared" si="1692"/>
        <v>0</v>
      </c>
      <c r="AV294" s="602">
        <f t="shared" si="1692"/>
        <v>0</v>
      </c>
      <c r="AW294" s="602">
        <f t="shared" si="1692"/>
        <v>0</v>
      </c>
      <c r="AX294" s="602">
        <f t="shared" si="1692"/>
        <v>0</v>
      </c>
      <c r="AY294" s="602">
        <f t="shared" si="1692"/>
        <v>0</v>
      </c>
      <c r="AZ294" s="602">
        <f t="shared" si="1692"/>
        <v>0</v>
      </c>
      <c r="BB294" s="603">
        <f t="shared" ref="BB294:BH294" si="1693">$C$294</f>
        <v>0</v>
      </c>
      <c r="BC294" s="603">
        <f t="shared" si="1693"/>
        <v>0</v>
      </c>
      <c r="BD294" s="603">
        <f t="shared" si="1693"/>
        <v>0</v>
      </c>
      <c r="BE294" s="603">
        <f t="shared" si="1693"/>
        <v>0</v>
      </c>
      <c r="BF294" s="603">
        <f t="shared" si="1693"/>
        <v>0</v>
      </c>
      <c r="BG294" s="603">
        <f t="shared" si="1693"/>
        <v>0</v>
      </c>
      <c r="BH294" s="603">
        <f t="shared" si="1693"/>
        <v>0</v>
      </c>
      <c r="BJ294" s="983">
        <f>IF('DATA INPUT'!H125="No",0,IF(ISNUMBER(MATCH($C$294,FA_Rate,0)),$C$294,'Reference Sheet'!$B$31))</f>
        <v>0</v>
      </c>
      <c r="BK294" s="983">
        <f t="shared" ref="BK294:BP294" si="1694">BJ294</f>
        <v>0</v>
      </c>
      <c r="BL294" s="983">
        <f t="shared" si="1694"/>
        <v>0</v>
      </c>
      <c r="BM294" s="983">
        <f t="shared" si="1694"/>
        <v>0</v>
      </c>
      <c r="BN294" s="983">
        <f t="shared" si="1694"/>
        <v>0</v>
      </c>
      <c r="BO294" s="983">
        <f t="shared" si="1694"/>
        <v>0</v>
      </c>
      <c r="BP294" s="983">
        <f t="shared" si="1694"/>
        <v>0</v>
      </c>
      <c r="BQ294" s="984"/>
      <c r="BR294" s="1001"/>
      <c r="BS294" s="1001"/>
      <c r="BT294" s="1001"/>
      <c r="BU294" s="1001"/>
      <c r="BV294" s="1001"/>
      <c r="BW294" s="1001"/>
      <c r="BX294" s="1001"/>
      <c r="BY294" s="2376">
        <f>C294</f>
        <v>0</v>
      </c>
      <c r="BZ294" s="264"/>
      <c r="CB294" s="606">
        <f t="shared" ref="CB294:CP294" si="1695">$C$294</f>
        <v>0</v>
      </c>
      <c r="CC294" s="591">
        <f t="shared" si="1695"/>
        <v>0</v>
      </c>
      <c r="CD294" s="604">
        <f t="shared" si="1695"/>
        <v>0</v>
      </c>
      <c r="CE294" s="604">
        <f t="shared" si="1695"/>
        <v>0</v>
      </c>
      <c r="CF294" s="605">
        <f t="shared" si="1695"/>
        <v>0</v>
      </c>
      <c r="CG294" s="606">
        <f t="shared" si="1695"/>
        <v>0</v>
      </c>
      <c r="CH294" s="591">
        <f t="shared" si="1695"/>
        <v>0</v>
      </c>
      <c r="CI294" s="604">
        <f t="shared" si="1695"/>
        <v>0</v>
      </c>
      <c r="CJ294" s="604">
        <f t="shared" si="1695"/>
        <v>0</v>
      </c>
      <c r="CK294" s="605">
        <f t="shared" si="1695"/>
        <v>0</v>
      </c>
      <c r="CL294" s="606">
        <f t="shared" si="1695"/>
        <v>0</v>
      </c>
      <c r="CM294" s="591">
        <f t="shared" si="1695"/>
        <v>0</v>
      </c>
      <c r="CN294" s="604">
        <f t="shared" si="1695"/>
        <v>0</v>
      </c>
      <c r="CO294" s="604">
        <f t="shared" si="1695"/>
        <v>0</v>
      </c>
      <c r="CP294" s="606">
        <f t="shared" si="1695"/>
        <v>0</v>
      </c>
      <c r="CQ294" s="2659"/>
      <c r="CR294" s="2659"/>
      <c r="CS294" s="591">
        <f t="shared" ref="CS294:DE294" si="1696">$C$294</f>
        <v>0</v>
      </c>
      <c r="CT294" s="604">
        <f t="shared" si="1696"/>
        <v>0</v>
      </c>
      <c r="CU294" s="2376">
        <f t="shared" si="1696"/>
        <v>0</v>
      </c>
      <c r="CV294" s="591">
        <f t="shared" si="1696"/>
        <v>0</v>
      </c>
      <c r="CW294" s="604">
        <f t="shared" si="1696"/>
        <v>0</v>
      </c>
      <c r="CX294" s="2376">
        <f t="shared" si="1696"/>
        <v>0</v>
      </c>
      <c r="CY294" s="591">
        <f t="shared" si="1696"/>
        <v>0</v>
      </c>
      <c r="CZ294" s="604">
        <f t="shared" si="1696"/>
        <v>0</v>
      </c>
      <c r="DA294" s="2376">
        <f t="shared" si="1696"/>
        <v>0</v>
      </c>
      <c r="DB294" s="591">
        <f t="shared" si="1696"/>
        <v>0</v>
      </c>
      <c r="DC294" s="604">
        <f t="shared" si="1696"/>
        <v>0</v>
      </c>
      <c r="DD294" s="2376">
        <f t="shared" si="1696"/>
        <v>0</v>
      </c>
      <c r="DE294" s="606">
        <f t="shared" si="1696"/>
        <v>0</v>
      </c>
      <c r="DF294" s="2659"/>
      <c r="DG294" s="591">
        <f t="shared" ref="DG294:DS295" si="1697">$C$294</f>
        <v>0</v>
      </c>
      <c r="DH294" s="604">
        <f t="shared" si="1697"/>
        <v>0</v>
      </c>
      <c r="DI294" s="2376">
        <f t="shared" si="1697"/>
        <v>0</v>
      </c>
      <c r="DJ294" s="591">
        <f t="shared" si="1697"/>
        <v>0</v>
      </c>
      <c r="DK294" s="604">
        <f t="shared" si="1697"/>
        <v>0</v>
      </c>
      <c r="DL294" s="2376">
        <f t="shared" si="1697"/>
        <v>0</v>
      </c>
      <c r="DM294" s="591">
        <f t="shared" si="1697"/>
        <v>0</v>
      </c>
      <c r="DN294" s="604">
        <f t="shared" si="1697"/>
        <v>0</v>
      </c>
      <c r="DO294" s="2376">
        <f t="shared" si="1697"/>
        <v>0</v>
      </c>
      <c r="DP294" s="591">
        <f t="shared" si="1697"/>
        <v>0</v>
      </c>
      <c r="DQ294" s="604">
        <f t="shared" si="1697"/>
        <v>0</v>
      </c>
      <c r="DR294" s="2376">
        <f t="shared" si="1697"/>
        <v>0</v>
      </c>
      <c r="DS294" s="606">
        <f t="shared" si="1697"/>
        <v>0</v>
      </c>
      <c r="DT294" s="2659"/>
      <c r="DU294" s="591">
        <f t="shared" ref="DU294:EG294" si="1698">$C$294</f>
        <v>0</v>
      </c>
      <c r="DV294" s="604">
        <f t="shared" si="1698"/>
        <v>0</v>
      </c>
      <c r="DW294" s="2376">
        <f t="shared" si="1698"/>
        <v>0</v>
      </c>
      <c r="DX294" s="591">
        <f t="shared" si="1698"/>
        <v>0</v>
      </c>
      <c r="DY294" s="604">
        <f t="shared" si="1698"/>
        <v>0</v>
      </c>
      <c r="DZ294" s="2376">
        <f t="shared" si="1698"/>
        <v>0</v>
      </c>
      <c r="EA294" s="591">
        <f t="shared" si="1698"/>
        <v>0</v>
      </c>
      <c r="EB294" s="604">
        <f t="shared" si="1698"/>
        <v>0</v>
      </c>
      <c r="EC294" s="2376">
        <f t="shared" si="1698"/>
        <v>0</v>
      </c>
      <c r="ED294" s="591">
        <f t="shared" si="1698"/>
        <v>0</v>
      </c>
      <c r="EE294" s="604">
        <f t="shared" si="1698"/>
        <v>0</v>
      </c>
      <c r="EF294" s="2376">
        <f t="shared" si="1698"/>
        <v>0</v>
      </c>
      <c r="EG294" s="606">
        <f t="shared" si="1698"/>
        <v>0</v>
      </c>
      <c r="EI294" s="46"/>
      <c r="EJ294" s="81" t="s">
        <v>648</v>
      </c>
      <c r="EK294" s="512">
        <f t="shared" ref="EK294:EQ294" si="1699">C294</f>
        <v>0</v>
      </c>
      <c r="EL294" s="458">
        <f t="shared" si="1699"/>
        <v>0</v>
      </c>
      <c r="EM294" s="458">
        <f t="shared" si="1699"/>
        <v>0</v>
      </c>
      <c r="EN294" s="458">
        <f t="shared" si="1699"/>
        <v>0</v>
      </c>
      <c r="EO294" s="458">
        <f t="shared" si="1699"/>
        <v>0</v>
      </c>
      <c r="EP294" s="458">
        <f t="shared" si="1699"/>
        <v>0</v>
      </c>
      <c r="EQ294" s="458">
        <f t="shared" si="1699"/>
        <v>0</v>
      </c>
      <c r="ER294" s="458">
        <f>AVERAGE(EL294:EQ294)</f>
        <v>0</v>
      </c>
      <c r="ES294" s="13" t="s">
        <v>262</v>
      </c>
      <c r="ET294" s="13"/>
      <c r="EU294" s="9"/>
      <c r="EV294" s="598">
        <f t="shared" ref="EV294:FB294" si="1700">$C$294</f>
        <v>0</v>
      </c>
      <c r="EW294" s="598">
        <f t="shared" si="1700"/>
        <v>0</v>
      </c>
      <c r="EX294" s="598">
        <f t="shared" si="1700"/>
        <v>0</v>
      </c>
      <c r="EY294" s="598">
        <f t="shared" si="1700"/>
        <v>0</v>
      </c>
      <c r="EZ294" s="598">
        <f t="shared" si="1700"/>
        <v>0</v>
      </c>
      <c r="FA294" s="598">
        <f t="shared" si="1700"/>
        <v>0</v>
      </c>
      <c r="FB294" s="598">
        <f t="shared" si="1700"/>
        <v>0</v>
      </c>
      <c r="FC294" s="1"/>
      <c r="FD294" s="599">
        <f t="shared" ref="FD294:FJ294" si="1701">$C$294</f>
        <v>0</v>
      </c>
      <c r="FE294" s="599">
        <f t="shared" si="1701"/>
        <v>0</v>
      </c>
      <c r="FF294" s="599">
        <f t="shared" si="1701"/>
        <v>0</v>
      </c>
      <c r="FG294" s="599">
        <f t="shared" si="1701"/>
        <v>0</v>
      </c>
      <c r="FH294" s="599">
        <f t="shared" si="1701"/>
        <v>0</v>
      </c>
      <c r="FI294" s="599">
        <f t="shared" si="1701"/>
        <v>0</v>
      </c>
      <c r="FJ294" s="599">
        <f t="shared" si="1701"/>
        <v>0</v>
      </c>
      <c r="FL294" s="600">
        <f t="shared" ref="FL294:FR294" si="1702">$C$294</f>
        <v>0</v>
      </c>
      <c r="FM294" s="600">
        <f t="shared" si="1702"/>
        <v>0</v>
      </c>
      <c r="FN294" s="600">
        <f t="shared" si="1702"/>
        <v>0</v>
      </c>
      <c r="FO294" s="600">
        <f t="shared" si="1702"/>
        <v>0</v>
      </c>
      <c r="FP294" s="600">
        <f t="shared" si="1702"/>
        <v>0</v>
      </c>
      <c r="FQ294" s="600">
        <f t="shared" si="1702"/>
        <v>0</v>
      </c>
      <c r="FR294" s="600">
        <f t="shared" si="1702"/>
        <v>0</v>
      </c>
      <c r="FT294" s="601">
        <f t="shared" ref="FT294:FZ294" si="1703">$C$294</f>
        <v>0</v>
      </c>
      <c r="FU294" s="601">
        <f t="shared" si="1703"/>
        <v>0</v>
      </c>
      <c r="FV294" s="601">
        <f t="shared" si="1703"/>
        <v>0</v>
      </c>
      <c r="FW294" s="601">
        <f t="shared" si="1703"/>
        <v>0</v>
      </c>
      <c r="FX294" s="601">
        <f t="shared" si="1703"/>
        <v>0</v>
      </c>
      <c r="FY294" s="601">
        <f t="shared" si="1703"/>
        <v>0</v>
      </c>
      <c r="FZ294" s="601">
        <f t="shared" si="1703"/>
        <v>0</v>
      </c>
      <c r="GB294" s="602">
        <f t="shared" ref="GB294:GH294" si="1704">$C$294</f>
        <v>0</v>
      </c>
      <c r="GC294" s="602">
        <f t="shared" si="1704"/>
        <v>0</v>
      </c>
      <c r="GD294" s="602">
        <f t="shared" si="1704"/>
        <v>0</v>
      </c>
      <c r="GE294" s="602">
        <f t="shared" si="1704"/>
        <v>0</v>
      </c>
      <c r="GF294" s="602">
        <f t="shared" si="1704"/>
        <v>0</v>
      </c>
      <c r="GG294" s="602">
        <f t="shared" si="1704"/>
        <v>0</v>
      </c>
      <c r="GH294" s="602">
        <f t="shared" si="1704"/>
        <v>0</v>
      </c>
      <c r="GJ294" s="603">
        <f t="shared" ref="GJ294:GP294" si="1705">$C$294</f>
        <v>0</v>
      </c>
      <c r="GK294" s="603">
        <f t="shared" si="1705"/>
        <v>0</v>
      </c>
      <c r="GL294" s="603">
        <f t="shared" si="1705"/>
        <v>0</v>
      </c>
      <c r="GM294" s="603">
        <f t="shared" si="1705"/>
        <v>0</v>
      </c>
      <c r="GN294" s="603">
        <f t="shared" si="1705"/>
        <v>0</v>
      </c>
      <c r="GO294" s="603">
        <f t="shared" si="1705"/>
        <v>0</v>
      </c>
      <c r="GP294" s="603">
        <f t="shared" si="1705"/>
        <v>0</v>
      </c>
      <c r="GR294" s="983">
        <f>IF('DATA INPUT'!EP125="No",0,IF(ISNUMBER(MATCH($C$294,FA_Rate,0)),$C$294,'Reference Sheet'!$B$31))</f>
        <v>0.495</v>
      </c>
      <c r="GS294" s="983">
        <f t="shared" ref="GS294:GX294" si="1706">GR294</f>
        <v>0.495</v>
      </c>
      <c r="GT294" s="983">
        <f t="shared" si="1706"/>
        <v>0.495</v>
      </c>
      <c r="GU294" s="983">
        <f t="shared" si="1706"/>
        <v>0.495</v>
      </c>
      <c r="GV294" s="983">
        <f t="shared" si="1706"/>
        <v>0.495</v>
      </c>
      <c r="GW294" s="983">
        <f t="shared" si="1706"/>
        <v>0.495</v>
      </c>
      <c r="GX294" s="983">
        <f t="shared" si="1706"/>
        <v>0.495</v>
      </c>
      <c r="GY294" s="984"/>
      <c r="GZ294" s="1001"/>
      <c r="HA294" s="1001"/>
      <c r="HB294" s="1001"/>
      <c r="HC294" s="1001"/>
      <c r="HD294" s="1001"/>
      <c r="HE294" s="1001"/>
      <c r="HF294" s="1001"/>
      <c r="HG294" s="2376">
        <f>EK294</f>
        <v>0</v>
      </c>
      <c r="HH294" s="264"/>
    </row>
    <row r="295" spans="1:216" ht="15" customHeight="1" thickBot="1" x14ac:dyDescent="0.3">
      <c r="A295" s="30"/>
      <c r="B295" s="83" t="s">
        <v>487</v>
      </c>
      <c r="C295" s="84"/>
      <c r="D295" s="11">
        <f t="shared" ref="D295:I295" ca="1" si="1707">SUM(D290,D293)</f>
        <v>50000.337972000001</v>
      </c>
      <c r="E295" s="11">
        <f t="shared" ca="1" si="1707"/>
        <v>0</v>
      </c>
      <c r="F295" s="11">
        <f t="shared" ca="1" si="1707"/>
        <v>0</v>
      </c>
      <c r="G295" s="11">
        <f t="shared" ca="1" si="1707"/>
        <v>0</v>
      </c>
      <c r="H295" s="11">
        <f t="shared" ca="1" si="1707"/>
        <v>0</v>
      </c>
      <c r="I295" s="11">
        <f t="shared" ca="1" si="1707"/>
        <v>0</v>
      </c>
      <c r="J295" s="18">
        <f ca="1">SUM(D295:I295)</f>
        <v>50000.337972000001</v>
      </c>
      <c r="K295" s="13"/>
      <c r="L295"/>
      <c r="M295" s="1389"/>
      <c r="N295" s="168">
        <f t="shared" ref="N295:S295" ca="1" si="1708">SUM(N290,N293)</f>
        <v>0</v>
      </c>
      <c r="O295" s="168">
        <f t="shared" ca="1" si="1708"/>
        <v>0</v>
      </c>
      <c r="P295" s="168">
        <f t="shared" ca="1" si="1708"/>
        <v>0</v>
      </c>
      <c r="Q295" s="168">
        <f t="shared" ca="1" si="1708"/>
        <v>0</v>
      </c>
      <c r="R295" s="168">
        <f t="shared" ca="1" si="1708"/>
        <v>0</v>
      </c>
      <c r="S295" s="168">
        <f t="shared" ca="1" si="1708"/>
        <v>0</v>
      </c>
      <c r="T295" s="170">
        <f ca="1">SUM(N295:S295)</f>
        <v>0</v>
      </c>
      <c r="V295" s="141">
        <f t="shared" ref="V295:AA295" ca="1" si="1709">SUM(V290,V293)</f>
        <v>0</v>
      </c>
      <c r="W295" s="141">
        <f t="shared" ca="1" si="1709"/>
        <v>0</v>
      </c>
      <c r="X295" s="141">
        <f t="shared" ca="1" si="1709"/>
        <v>0</v>
      </c>
      <c r="Y295" s="141">
        <f t="shared" ca="1" si="1709"/>
        <v>0</v>
      </c>
      <c r="Z295" s="141">
        <f t="shared" ca="1" si="1709"/>
        <v>0</v>
      </c>
      <c r="AA295" s="141">
        <f t="shared" ca="1" si="1709"/>
        <v>0</v>
      </c>
      <c r="AB295" s="143">
        <f ca="1">SUM(V295:AA295)</f>
        <v>0</v>
      </c>
      <c r="AD295" s="210">
        <f t="shared" ref="AD295:AI295" ca="1" si="1710">SUM(AD290,AD293)</f>
        <v>0</v>
      </c>
      <c r="AE295" s="210">
        <f t="shared" ca="1" si="1710"/>
        <v>0</v>
      </c>
      <c r="AF295" s="210">
        <f t="shared" ca="1" si="1710"/>
        <v>0</v>
      </c>
      <c r="AG295" s="210">
        <f t="shared" ca="1" si="1710"/>
        <v>0</v>
      </c>
      <c r="AH295" s="210">
        <f t="shared" ca="1" si="1710"/>
        <v>0</v>
      </c>
      <c r="AI295" s="210">
        <f t="shared" ca="1" si="1710"/>
        <v>0</v>
      </c>
      <c r="AJ295" s="212">
        <f ca="1">SUM(AD295:AI295)</f>
        <v>0</v>
      </c>
      <c r="AL295" s="182">
        <f t="shared" ref="AL295:AQ295" ca="1" si="1711">SUM(AL290,AL293)</f>
        <v>0</v>
      </c>
      <c r="AM295" s="182">
        <f t="shared" ca="1" si="1711"/>
        <v>0</v>
      </c>
      <c r="AN295" s="182">
        <f t="shared" ca="1" si="1711"/>
        <v>0</v>
      </c>
      <c r="AO295" s="182">
        <f t="shared" ca="1" si="1711"/>
        <v>0</v>
      </c>
      <c r="AP295" s="182">
        <f t="shared" ca="1" si="1711"/>
        <v>0</v>
      </c>
      <c r="AQ295" s="182">
        <f t="shared" ca="1" si="1711"/>
        <v>0</v>
      </c>
      <c r="AR295" s="184">
        <f ca="1">SUM(AL295:AQ295)</f>
        <v>0</v>
      </c>
      <c r="AT295" s="154">
        <f t="shared" ref="AT295:AY295" ca="1" si="1712">SUM(AT290,AT293)</f>
        <v>0</v>
      </c>
      <c r="AU295" s="154">
        <f t="shared" ca="1" si="1712"/>
        <v>0</v>
      </c>
      <c r="AV295" s="154">
        <f t="shared" ca="1" si="1712"/>
        <v>0</v>
      </c>
      <c r="AW295" s="154">
        <f t="shared" ca="1" si="1712"/>
        <v>0</v>
      </c>
      <c r="AX295" s="154">
        <f t="shared" ca="1" si="1712"/>
        <v>0</v>
      </c>
      <c r="AY295" s="154">
        <f t="shared" ca="1" si="1712"/>
        <v>0</v>
      </c>
      <c r="AZ295" s="156">
        <f ca="1">SUM(AT295:AY295)</f>
        <v>0</v>
      </c>
      <c r="BB295" s="196">
        <f t="shared" ref="BB295:BG295" ca="1" si="1713">SUM(BB290,BB293)</f>
        <v>0</v>
      </c>
      <c r="BC295" s="196">
        <f t="shared" ca="1" si="1713"/>
        <v>0</v>
      </c>
      <c r="BD295" s="196">
        <f t="shared" ca="1" si="1713"/>
        <v>0</v>
      </c>
      <c r="BE295" s="196">
        <f t="shared" ca="1" si="1713"/>
        <v>0</v>
      </c>
      <c r="BF295" s="196">
        <f t="shared" ca="1" si="1713"/>
        <v>0</v>
      </c>
      <c r="BG295" s="196">
        <f t="shared" ca="1" si="1713"/>
        <v>0</v>
      </c>
      <c r="BH295" s="198">
        <f ca="1">SUM(BB295:BG295)</f>
        <v>0</v>
      </c>
      <c r="BJ295" s="871"/>
      <c r="BK295" s="871"/>
      <c r="BL295" s="871"/>
      <c r="BM295" s="871"/>
      <c r="BN295" s="871"/>
      <c r="BO295" s="871"/>
      <c r="BP295" s="872"/>
      <c r="BR295" s="1002">
        <f t="shared" ref="BR295:BX295" ca="1" si="1714">SUM(BR290,BR293)</f>
        <v>0</v>
      </c>
      <c r="BS295" s="1002">
        <f t="shared" ca="1" si="1714"/>
        <v>0</v>
      </c>
      <c r="BT295" s="1002">
        <f t="shared" ca="1" si="1714"/>
        <v>0</v>
      </c>
      <c r="BU295" s="1002">
        <f t="shared" ca="1" si="1714"/>
        <v>0</v>
      </c>
      <c r="BV295" s="1002">
        <f t="shared" ca="1" si="1714"/>
        <v>0</v>
      </c>
      <c r="BW295" s="1002">
        <f t="shared" ca="1" si="1714"/>
        <v>0</v>
      </c>
      <c r="BX295" s="1002">
        <f t="shared" ca="1" si="1714"/>
        <v>0</v>
      </c>
      <c r="BY295" s="270">
        <f ca="1">SUM($J$295+$BX$295+$BY$305)</f>
        <v>50000.337972000001</v>
      </c>
      <c r="BZ295" s="1156" t="s">
        <v>483</v>
      </c>
      <c r="CB295" s="1390">
        <f t="shared" ref="CB295:CO295" ca="1" si="1715">SUM(CB290,CB293)</f>
        <v>24709.87</v>
      </c>
      <c r="CC295" s="1391">
        <f t="shared" ca="1" si="1715"/>
        <v>0</v>
      </c>
      <c r="CD295" s="1392">
        <f t="shared" ca="1" si="1715"/>
        <v>0</v>
      </c>
      <c r="CE295" s="1392">
        <f t="shared" ca="1" si="1715"/>
        <v>0</v>
      </c>
      <c r="CF295" s="1393">
        <f t="shared" ca="1" si="1715"/>
        <v>0</v>
      </c>
      <c r="CG295" s="1390">
        <f t="shared" ca="1" si="1715"/>
        <v>0</v>
      </c>
      <c r="CH295" s="1391">
        <f t="shared" ca="1" si="1715"/>
        <v>0</v>
      </c>
      <c r="CI295" s="1392">
        <f t="shared" ca="1" si="1715"/>
        <v>0</v>
      </c>
      <c r="CJ295" s="1392">
        <f t="shared" ca="1" si="1715"/>
        <v>0</v>
      </c>
      <c r="CK295" s="1393">
        <f t="shared" ca="1" si="1715"/>
        <v>0</v>
      </c>
      <c r="CL295" s="1390">
        <f t="shared" ca="1" si="1715"/>
        <v>0</v>
      </c>
      <c r="CM295" s="1391">
        <f t="shared" ca="1" si="1715"/>
        <v>0</v>
      </c>
      <c r="CN295" s="1392">
        <f t="shared" ca="1" si="1715"/>
        <v>0</v>
      </c>
      <c r="CO295" s="1392">
        <f t="shared" ca="1" si="1715"/>
        <v>0</v>
      </c>
      <c r="CP295" s="1394">
        <f ca="1">SUM(CB295:CO295)</f>
        <v>24709.87</v>
      </c>
      <c r="CS295" s="1215">
        <f t="shared" ref="CS295:DE295" si="1716">SUM(CS290,CS293)</f>
        <v>0</v>
      </c>
      <c r="CT295" s="1216">
        <f t="shared" si="1716"/>
        <v>0</v>
      </c>
      <c r="CU295" s="275">
        <f t="shared" si="1716"/>
        <v>0</v>
      </c>
      <c r="CV295" s="1215">
        <f t="shared" si="1716"/>
        <v>0</v>
      </c>
      <c r="CW295" s="1216">
        <f t="shared" si="1716"/>
        <v>0</v>
      </c>
      <c r="CX295" s="275">
        <f t="shared" si="1716"/>
        <v>0</v>
      </c>
      <c r="CY295" s="1215">
        <f t="shared" si="1716"/>
        <v>0</v>
      </c>
      <c r="CZ295" s="1216">
        <f t="shared" si="1716"/>
        <v>0</v>
      </c>
      <c r="DA295" s="275">
        <f t="shared" si="1716"/>
        <v>0</v>
      </c>
      <c r="DB295" s="1215">
        <f t="shared" si="1716"/>
        <v>0</v>
      </c>
      <c r="DC295" s="1216">
        <f t="shared" si="1716"/>
        <v>0</v>
      </c>
      <c r="DD295" s="275">
        <f t="shared" si="1716"/>
        <v>0</v>
      </c>
      <c r="DE295" s="1062">
        <f t="shared" si="1716"/>
        <v>0</v>
      </c>
      <c r="DG295" s="607">
        <f t="shared" si="1697"/>
        <v>0</v>
      </c>
      <c r="DH295" s="608">
        <f t="shared" si="1697"/>
        <v>0</v>
      </c>
      <c r="DI295" s="609">
        <f t="shared" si="1697"/>
        <v>0</v>
      </c>
      <c r="DJ295" s="607">
        <f t="shared" si="1697"/>
        <v>0</v>
      </c>
      <c r="DK295" s="608">
        <f t="shared" si="1697"/>
        <v>0</v>
      </c>
      <c r="DL295" s="609">
        <f t="shared" si="1697"/>
        <v>0</v>
      </c>
      <c r="DM295" s="607">
        <f t="shared" si="1697"/>
        <v>0</v>
      </c>
      <c r="DN295" s="608">
        <f t="shared" si="1697"/>
        <v>0</v>
      </c>
      <c r="DO295" s="609">
        <f t="shared" si="1697"/>
        <v>0</v>
      </c>
      <c r="DP295" s="607">
        <f t="shared" si="1697"/>
        <v>0</v>
      </c>
      <c r="DQ295" s="608">
        <f t="shared" si="1697"/>
        <v>0</v>
      </c>
      <c r="DR295" s="609">
        <f t="shared" si="1697"/>
        <v>0</v>
      </c>
      <c r="DS295" s="610">
        <f t="shared" si="1697"/>
        <v>0</v>
      </c>
      <c r="DU295" s="1215">
        <f t="shared" ref="DU295:EG295" si="1717">SUM(DU290,DU293)</f>
        <v>0</v>
      </c>
      <c r="DV295" s="1216">
        <f t="shared" si="1717"/>
        <v>0</v>
      </c>
      <c r="DW295" s="275">
        <f t="shared" si="1717"/>
        <v>0</v>
      </c>
      <c r="DX295" s="1215">
        <f t="shared" si="1717"/>
        <v>0</v>
      </c>
      <c r="DY295" s="1216">
        <f t="shared" si="1717"/>
        <v>0</v>
      </c>
      <c r="DZ295" s="275">
        <f t="shared" si="1717"/>
        <v>0</v>
      </c>
      <c r="EA295" s="1215">
        <f t="shared" si="1717"/>
        <v>0</v>
      </c>
      <c r="EB295" s="1216">
        <f t="shared" si="1717"/>
        <v>0</v>
      </c>
      <c r="EC295" s="275">
        <f t="shared" si="1717"/>
        <v>0</v>
      </c>
      <c r="ED295" s="1215">
        <f t="shared" si="1717"/>
        <v>0</v>
      </c>
      <c r="EE295" s="1216">
        <f t="shared" si="1717"/>
        <v>0</v>
      </c>
      <c r="EF295" s="275">
        <f t="shared" si="1717"/>
        <v>0</v>
      </c>
      <c r="EG295" s="1062">
        <f t="shared" si="1717"/>
        <v>0</v>
      </c>
      <c r="EI295" s="30"/>
      <c r="EJ295" s="83" t="s">
        <v>487</v>
      </c>
      <c r="EK295" s="84"/>
      <c r="EL295" s="11">
        <f t="shared" ref="EL295:EQ295" ca="1" si="1718">SUM(EL290,EL293)</f>
        <v>50000</v>
      </c>
      <c r="EM295" s="11">
        <f t="shared" ca="1" si="1718"/>
        <v>0</v>
      </c>
      <c r="EN295" s="11">
        <f t="shared" ca="1" si="1718"/>
        <v>0</v>
      </c>
      <c r="EO295" s="11">
        <f t="shared" ca="1" si="1718"/>
        <v>0</v>
      </c>
      <c r="EP295" s="11">
        <f t="shared" ca="1" si="1718"/>
        <v>0</v>
      </c>
      <c r="EQ295" s="11">
        <f t="shared" ca="1" si="1718"/>
        <v>0</v>
      </c>
      <c r="ER295" s="18">
        <f ca="1">SUM(EL295:EQ295)</f>
        <v>50000</v>
      </c>
      <c r="ES295" s="13"/>
      <c r="ET295"/>
      <c r="EU295" s="1389"/>
      <c r="EV295" s="168">
        <f t="shared" ref="EV295:FA295" ca="1" si="1719">SUM(EV290,EV293)</f>
        <v>0</v>
      </c>
      <c r="EW295" s="168">
        <f t="shared" ca="1" si="1719"/>
        <v>0</v>
      </c>
      <c r="EX295" s="168">
        <f t="shared" ca="1" si="1719"/>
        <v>0</v>
      </c>
      <c r="EY295" s="168">
        <f t="shared" ca="1" si="1719"/>
        <v>0</v>
      </c>
      <c r="EZ295" s="168">
        <f t="shared" ca="1" si="1719"/>
        <v>0</v>
      </c>
      <c r="FA295" s="168">
        <f t="shared" ca="1" si="1719"/>
        <v>0</v>
      </c>
      <c r="FB295" s="170">
        <f ca="1">SUM(EV295:FA295)</f>
        <v>0</v>
      </c>
      <c r="FD295" s="141">
        <f t="shared" ref="FD295:FI295" ca="1" si="1720">SUM(FD290,FD293)</f>
        <v>0</v>
      </c>
      <c r="FE295" s="141">
        <f t="shared" ca="1" si="1720"/>
        <v>0</v>
      </c>
      <c r="FF295" s="141">
        <f t="shared" ca="1" si="1720"/>
        <v>0</v>
      </c>
      <c r="FG295" s="141">
        <f t="shared" ca="1" si="1720"/>
        <v>0</v>
      </c>
      <c r="FH295" s="141">
        <f t="shared" ca="1" si="1720"/>
        <v>0</v>
      </c>
      <c r="FI295" s="141">
        <f t="shared" ca="1" si="1720"/>
        <v>0</v>
      </c>
      <c r="FJ295" s="143">
        <f ca="1">SUM(FD295:FI295)</f>
        <v>0</v>
      </c>
      <c r="FL295" s="210">
        <f t="shared" ref="FL295:FQ295" ca="1" si="1721">SUM(FL290,FL293)</f>
        <v>0</v>
      </c>
      <c r="FM295" s="210">
        <f t="shared" ca="1" si="1721"/>
        <v>0</v>
      </c>
      <c r="FN295" s="210">
        <f t="shared" ca="1" si="1721"/>
        <v>0</v>
      </c>
      <c r="FO295" s="210">
        <f t="shared" ca="1" si="1721"/>
        <v>0</v>
      </c>
      <c r="FP295" s="210">
        <f t="shared" ca="1" si="1721"/>
        <v>0</v>
      </c>
      <c r="FQ295" s="210">
        <f t="shared" ca="1" si="1721"/>
        <v>0</v>
      </c>
      <c r="FR295" s="212">
        <f ca="1">SUM(FL295:FQ295)</f>
        <v>0</v>
      </c>
      <c r="FT295" s="182">
        <f t="shared" ref="FT295:FY295" ca="1" si="1722">SUM(FT290,FT293)</f>
        <v>0</v>
      </c>
      <c r="FU295" s="182">
        <f t="shared" ca="1" si="1722"/>
        <v>0</v>
      </c>
      <c r="FV295" s="182">
        <f t="shared" ca="1" si="1722"/>
        <v>0</v>
      </c>
      <c r="FW295" s="182">
        <f t="shared" ca="1" si="1722"/>
        <v>0</v>
      </c>
      <c r="FX295" s="182">
        <f t="shared" ca="1" si="1722"/>
        <v>0</v>
      </c>
      <c r="FY295" s="182">
        <f t="shared" ca="1" si="1722"/>
        <v>0</v>
      </c>
      <c r="FZ295" s="184">
        <f ca="1">SUM(FT295:FY295)</f>
        <v>0</v>
      </c>
      <c r="GB295" s="154">
        <f t="shared" ref="GB295:GG295" ca="1" si="1723">SUM(GB290,GB293)</f>
        <v>0</v>
      </c>
      <c r="GC295" s="154">
        <f t="shared" ca="1" si="1723"/>
        <v>0</v>
      </c>
      <c r="GD295" s="154">
        <f t="shared" ca="1" si="1723"/>
        <v>0</v>
      </c>
      <c r="GE295" s="154">
        <f t="shared" ca="1" si="1723"/>
        <v>0</v>
      </c>
      <c r="GF295" s="154">
        <f t="shared" ca="1" si="1723"/>
        <v>0</v>
      </c>
      <c r="GG295" s="154">
        <f t="shared" ca="1" si="1723"/>
        <v>0</v>
      </c>
      <c r="GH295" s="156">
        <f ca="1">SUM(GB295:GG295)</f>
        <v>0</v>
      </c>
      <c r="GJ295" s="196">
        <f t="shared" ref="GJ295:GO295" ca="1" si="1724">SUM(GJ290,GJ293)</f>
        <v>0</v>
      </c>
      <c r="GK295" s="196">
        <f t="shared" ca="1" si="1724"/>
        <v>0</v>
      </c>
      <c r="GL295" s="196">
        <f t="shared" ca="1" si="1724"/>
        <v>0</v>
      </c>
      <c r="GM295" s="196">
        <f t="shared" ca="1" si="1724"/>
        <v>0</v>
      </c>
      <c r="GN295" s="196">
        <f t="shared" ca="1" si="1724"/>
        <v>0</v>
      </c>
      <c r="GO295" s="196">
        <f t="shared" ca="1" si="1724"/>
        <v>0</v>
      </c>
      <c r="GP295" s="198">
        <f ca="1">SUM(GJ295:GO295)</f>
        <v>0</v>
      </c>
      <c r="GR295" s="871"/>
      <c r="GS295" s="871"/>
      <c r="GT295" s="871"/>
      <c r="GU295" s="871"/>
      <c r="GV295" s="871"/>
      <c r="GW295" s="871"/>
      <c r="GX295" s="872"/>
      <c r="GZ295" s="1002">
        <f t="shared" ref="GZ295:HF295" ca="1" si="1725">SUM(GZ290,GZ293)</f>
        <v>0</v>
      </c>
      <c r="HA295" s="1002">
        <f t="shared" ca="1" si="1725"/>
        <v>0</v>
      </c>
      <c r="HB295" s="1002">
        <f t="shared" ca="1" si="1725"/>
        <v>0</v>
      </c>
      <c r="HC295" s="1002">
        <f t="shared" ca="1" si="1725"/>
        <v>0</v>
      </c>
      <c r="HD295" s="1002">
        <f t="shared" ca="1" si="1725"/>
        <v>0</v>
      </c>
      <c r="HE295" s="1002">
        <f t="shared" ca="1" si="1725"/>
        <v>0</v>
      </c>
      <c r="HF295" s="1002">
        <f t="shared" ca="1" si="1725"/>
        <v>0</v>
      </c>
      <c r="HG295" s="2630">
        <f ca="1">SUM($ER$295+$HF$295+$HG$305)</f>
        <v>50000</v>
      </c>
      <c r="HH295" s="1156" t="s">
        <v>483</v>
      </c>
    </row>
    <row r="296" spans="1:216" ht="15" customHeight="1" x14ac:dyDescent="0.25">
      <c r="A296"/>
      <c r="B296"/>
      <c r="C296" s="2629" t="s">
        <v>843</v>
      </c>
      <c r="D296"/>
      <c r="E296"/>
      <c r="F296"/>
      <c r="G296"/>
      <c r="H296"/>
      <c r="I296"/>
      <c r="J296"/>
      <c r="K296"/>
      <c r="L296"/>
      <c r="M296"/>
      <c r="N296"/>
      <c r="O296"/>
      <c r="P296"/>
      <c r="Q296"/>
      <c r="R296"/>
      <c r="S296"/>
      <c r="T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s="672" t="s">
        <v>481</v>
      </c>
      <c r="BJ296"/>
      <c r="BK296"/>
      <c r="BL296"/>
      <c r="BM296"/>
      <c r="BN296"/>
      <c r="BO296"/>
      <c r="BP296"/>
      <c r="BR296" s="1559" t="str">
        <f>IF($C$8&gt;0,BR$302-(D$295+IF($C$9='Reference Sheet'!$A$21,BR$305,0)),"")</f>
        <v/>
      </c>
      <c r="BS296" s="1559" t="str">
        <f>IF($C$8&gt;0,BS$302-(E$295+IF($C$9='Reference Sheet'!$A$21,BS$305,0)),"")</f>
        <v/>
      </c>
      <c r="BT296" s="1559" t="str">
        <f>IF($C$8&gt;0,BT$302-(F$295+IF($C$9='Reference Sheet'!$A$21,BT$305,0)),"")</f>
        <v/>
      </c>
      <c r="BU296" s="1559" t="str">
        <f>IF($C$8&gt;0,BU$302-(G$295+IF($C$9='Reference Sheet'!$A$21,BU$305,0)),"")</f>
        <v/>
      </c>
      <c r="BV296" s="1559" t="str">
        <f>IF($C$8&gt;0,BV$302-(H$295+IF($C$9='Reference Sheet'!$A$21,BV$305,0)),"")</f>
        <v/>
      </c>
      <c r="BW296" s="1559" t="str">
        <f>IF($C$8&gt;0,BW$302-(I$295+IF($C$9='Reference Sheet'!$A$21,BW$305,0)),"")</f>
        <v/>
      </c>
      <c r="BX296" s="1783" t="str">
        <f>IF($C$8&gt;0,SUM(BR296:BW296),"")</f>
        <v/>
      </c>
      <c r="BY296" s="1560" t="str">
        <f>IF($C$8&gt;0,"Required cost share by year","")</f>
        <v/>
      </c>
      <c r="BZ296" s="19"/>
      <c r="EI296"/>
      <c r="EJ296"/>
      <c r="EK296"/>
      <c r="EL296"/>
      <c r="EM296"/>
      <c r="EN296"/>
      <c r="EO296"/>
      <c r="EP296"/>
      <c r="EQ296"/>
      <c r="ER296"/>
      <c r="ES296"/>
      <c r="ET296"/>
      <c r="EU296"/>
      <c r="EV296"/>
      <c r="EW296"/>
      <c r="EX296"/>
      <c r="EY296"/>
      <c r="EZ296"/>
      <c r="FA296"/>
      <c r="FB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s="672" t="s">
        <v>481</v>
      </c>
      <c r="GR296"/>
      <c r="GS296"/>
      <c r="GT296"/>
      <c r="GU296"/>
      <c r="GV296"/>
      <c r="GW296"/>
      <c r="GX296"/>
      <c r="GZ296" s="1559" t="str">
        <f>IF($C$8&gt;0,GZ$302-(EL$295+IF($C$9='Reference Sheet'!$A$21,GZ$305,0)),"")</f>
        <v/>
      </c>
      <c r="HA296" s="1559" t="str">
        <f>IF($C$8&gt;0,HA$302-(EM$295+IF($C$9='Reference Sheet'!$A$21,HA$305,0)),"")</f>
        <v/>
      </c>
      <c r="HB296" s="1559" t="str">
        <f>IF($C$8&gt;0,HB$302-(EN$295+IF($C$9='Reference Sheet'!$A$21,HB$305,0)),"")</f>
        <v/>
      </c>
      <c r="HC296" s="1559" t="str">
        <f>IF($C$8&gt;0,HC$302-(EO$295+IF($C$9='Reference Sheet'!$A$21,HC$305,0)),"")</f>
        <v/>
      </c>
      <c r="HD296" s="1559" t="str">
        <f>IF($C$8&gt;0,HD$302-(EP$295+IF($C$9='Reference Sheet'!$A$21,HD$305,0)),"")</f>
        <v/>
      </c>
      <c r="HE296" s="1559" t="str">
        <f>IF($C$8&gt;0,HE$302-(EQ$295+IF($C$9='Reference Sheet'!$A$21,HE$305,0)),"")</f>
        <v/>
      </c>
      <c r="HF296" s="1783">
        <f>SUM(GZ296:HE296)</f>
        <v>0</v>
      </c>
      <c r="HG296" s="1560" t="s">
        <v>845</v>
      </c>
      <c r="HH296" s="19"/>
    </row>
    <row r="297" spans="1:216" ht="15" customHeight="1" thickBot="1" x14ac:dyDescent="0.3">
      <c r="C297" s="975" t="s">
        <v>455</v>
      </c>
      <c r="D297" s="961">
        <f ca="1">SUM(D290:D291)*$BJ$294</f>
        <v>0</v>
      </c>
      <c r="E297" s="961">
        <f ca="1">SUM(E290:E291)*$BK$294</f>
        <v>0</v>
      </c>
      <c r="F297" s="961">
        <f ca="1">SUM(F290:F291)*$BL$294</f>
        <v>0</v>
      </c>
      <c r="G297" s="961">
        <f ca="1">SUM(G290:G291)*$BM$294</f>
        <v>0</v>
      </c>
      <c r="H297" s="961">
        <f ca="1">SUM(H290:H291)*$BN$294</f>
        <v>0</v>
      </c>
      <c r="I297" s="961">
        <f ca="1">SUM(I290:I291)*$BO$294</f>
        <v>0</v>
      </c>
      <c r="J297" s="963">
        <f ca="1">SUM(D297:I297)</f>
        <v>0</v>
      </c>
      <c r="K297"/>
      <c r="L297"/>
      <c r="M297" s="975" t="s">
        <v>453</v>
      </c>
      <c r="N297" s="961">
        <f ca="1">SUM(N290:N291)*$BJ$294</f>
        <v>0</v>
      </c>
      <c r="O297" s="961">
        <f ca="1">SUM(O290:O291)*$BK$294</f>
        <v>0</v>
      </c>
      <c r="P297" s="961">
        <f ca="1">SUM(P290:P291)*$BL$294</f>
        <v>0</v>
      </c>
      <c r="Q297" s="961">
        <f ca="1">SUM(Q290:Q291)*$BM$294</f>
        <v>0</v>
      </c>
      <c r="R297" s="961">
        <f ca="1">SUM(R290:R291)*$BN$294</f>
        <v>0</v>
      </c>
      <c r="S297" s="961">
        <f ca="1">SUM(S290:S291)*$BO$294</f>
        <v>0</v>
      </c>
      <c r="T297" s="963">
        <f ca="1">SUM(N297:S297)</f>
        <v>0</v>
      </c>
      <c r="U297" s="975" t="s">
        <v>453</v>
      </c>
      <c r="V297" s="961">
        <f ca="1">SUM(V290:V291)*$BJ$294</f>
        <v>0</v>
      </c>
      <c r="W297" s="961">
        <f ca="1">SUM(W290:W291)*$BK$294</f>
        <v>0</v>
      </c>
      <c r="X297" s="961">
        <f ca="1">SUM(X290:X291)*$BL$294</f>
        <v>0</v>
      </c>
      <c r="Y297" s="961">
        <f ca="1">SUM(Y290:Y291)*$BM$294</f>
        <v>0</v>
      </c>
      <c r="Z297" s="961">
        <f ca="1">SUM(Z290:Z291)*$BN$294</f>
        <v>0</v>
      </c>
      <c r="AA297" s="961">
        <f ca="1">SUM(AA290:AA291)*$BO$294</f>
        <v>0</v>
      </c>
      <c r="AB297" s="963">
        <f ca="1">SUM(V297:AA297)</f>
        <v>0</v>
      </c>
      <c r="AC297" s="975" t="s">
        <v>453</v>
      </c>
      <c r="AD297" s="961">
        <f ca="1">SUM(AD290:AD291)*$BJ$294</f>
        <v>0</v>
      </c>
      <c r="AE297" s="961">
        <f ca="1">SUM(AE290:AE291)*$BK$294</f>
        <v>0</v>
      </c>
      <c r="AF297" s="961">
        <f ca="1">SUM(AF290:AF291)*$BL$294</f>
        <v>0</v>
      </c>
      <c r="AG297" s="961">
        <f ca="1">SUM(AG290:AG291)*$BM$294</f>
        <v>0</v>
      </c>
      <c r="AH297" s="961">
        <f ca="1">SUM(AH290:AH291)*$BN$294</f>
        <v>0</v>
      </c>
      <c r="AI297" s="961">
        <f ca="1">SUM(AI290:AI291)*$BO$294</f>
        <v>0</v>
      </c>
      <c r="AJ297" s="963">
        <f ca="1">SUM(AD297:AI297)</f>
        <v>0</v>
      </c>
      <c r="AK297" s="975" t="s">
        <v>453</v>
      </c>
      <c r="AL297" s="961">
        <f ca="1">SUM(AL290:AL291)*$BJ$294</f>
        <v>0</v>
      </c>
      <c r="AM297" s="961">
        <f ca="1">SUM(AM290:AM291)*$BK$294</f>
        <v>0</v>
      </c>
      <c r="AN297" s="961">
        <f ca="1">SUM(AN290:AN291)*$BL$294</f>
        <v>0</v>
      </c>
      <c r="AO297" s="961">
        <f ca="1">SUM(AO290:AO291)*$BM$294</f>
        <v>0</v>
      </c>
      <c r="AP297" s="961">
        <f ca="1">SUM(AP290:AP291)*$BN$294</f>
        <v>0</v>
      </c>
      <c r="AQ297" s="961">
        <f ca="1">SUM(AQ290:AQ291)*$BO$294</f>
        <v>0</v>
      </c>
      <c r="AR297" s="963">
        <f ca="1">SUM(AL297:AQ297)</f>
        <v>0</v>
      </c>
      <c r="AS297" s="975" t="s">
        <v>453</v>
      </c>
      <c r="AT297" s="961">
        <f ca="1">SUM(AT290:AT291)*$BJ$294</f>
        <v>0</v>
      </c>
      <c r="AU297" s="961">
        <f ca="1">SUM(AU290:AU291)*$BK$294</f>
        <v>0</v>
      </c>
      <c r="AV297" s="961">
        <f ca="1">SUM(AV290:AV291)*$BL$294</f>
        <v>0</v>
      </c>
      <c r="AW297" s="961">
        <f ca="1">SUM(AW290:AW291)*$BM$294</f>
        <v>0</v>
      </c>
      <c r="AX297" s="961">
        <f ca="1">SUM(AX290:AX291)*$BN$294</f>
        <v>0</v>
      </c>
      <c r="AY297" s="961">
        <f ca="1">SUM(AY290:AY291)*$BO$294</f>
        <v>0</v>
      </c>
      <c r="AZ297" s="963">
        <f ca="1">SUM(AT297:AY297)</f>
        <v>0</v>
      </c>
      <c r="BA297" s="975" t="s">
        <v>453</v>
      </c>
      <c r="BB297" s="961">
        <f ca="1">SUM(BB290:BB291)*$BJ$294</f>
        <v>0</v>
      </c>
      <c r="BC297" s="961">
        <f ca="1">SUM(BC290:BC291)*$BK$294</f>
        <v>0</v>
      </c>
      <c r="BD297" s="961">
        <f ca="1">SUM(BD290:BD291)*$BL$294</f>
        <v>0</v>
      </c>
      <c r="BE297" s="961">
        <f ca="1">SUM(BE290:BE291)*$BM$294</f>
        <v>0</v>
      </c>
      <c r="BF297" s="961">
        <f ca="1">SUM(BF290:BF291)*$BN$294</f>
        <v>0</v>
      </c>
      <c r="BG297" s="961">
        <f ca="1">SUM(BG290:BG291)*$BO$294</f>
        <v>0</v>
      </c>
      <c r="BH297" s="963">
        <f ca="1">SUM(BB297:BG297)</f>
        <v>0</v>
      </c>
      <c r="BI297" s="975" t="s">
        <v>460</v>
      </c>
      <c r="BJ297" s="961">
        <f t="shared" ref="BJ297:BO297" ca="1" si="1726">SUM(BJ290:BJ291)*BJ294</f>
        <v>0</v>
      </c>
      <c r="BK297" s="961">
        <f t="shared" ca="1" si="1726"/>
        <v>0</v>
      </c>
      <c r="BL297" s="961">
        <f t="shared" ca="1" si="1726"/>
        <v>0</v>
      </c>
      <c r="BM297" s="961">
        <f t="shared" ca="1" si="1726"/>
        <v>0</v>
      </c>
      <c r="BN297" s="961">
        <f t="shared" ca="1" si="1726"/>
        <v>0</v>
      </c>
      <c r="BO297" s="961">
        <f t="shared" ca="1" si="1726"/>
        <v>0</v>
      </c>
      <c r="BP297" s="963">
        <f ca="1">SUM(BJ297:BO297)</f>
        <v>0</v>
      </c>
      <c r="BR297" s="873">
        <f t="shared" ref="BR297:BW297" ca="1" si="1727">IFERROR(BR295/D295,0)</f>
        <v>0</v>
      </c>
      <c r="BS297" s="873">
        <f t="shared" ca="1" si="1727"/>
        <v>0</v>
      </c>
      <c r="BT297" s="873">
        <f t="shared" ca="1" si="1727"/>
        <v>0</v>
      </c>
      <c r="BU297" s="873">
        <f t="shared" ca="1" si="1727"/>
        <v>0</v>
      </c>
      <c r="BV297" s="873">
        <f t="shared" ca="1" si="1727"/>
        <v>0</v>
      </c>
      <c r="BW297" s="873">
        <f t="shared" ca="1" si="1727"/>
        <v>0</v>
      </c>
      <c r="BX297" s="875">
        <f ca="1">IFERROR($BX$295/$J$295,0)</f>
        <v>0</v>
      </c>
      <c r="BY297" s="1563" t="s">
        <v>381</v>
      </c>
      <c r="BZ297" s="14" t="s">
        <v>484</v>
      </c>
      <c r="EJ297" s="40"/>
      <c r="EK297" s="975" t="s">
        <v>455</v>
      </c>
      <c r="EL297" s="961">
        <f ca="1">SUM(EL290:EL291)*$BJ$294</f>
        <v>0</v>
      </c>
      <c r="EM297" s="961">
        <f ca="1">SUM(EM290:EM291)*$BK$294</f>
        <v>0</v>
      </c>
      <c r="EN297" s="961">
        <f ca="1">SUM(EN290:EN291)*$BL$294</f>
        <v>0</v>
      </c>
      <c r="EO297" s="961">
        <f ca="1">SUM(EO290:EO291)*$BM$294</f>
        <v>0</v>
      </c>
      <c r="EP297" s="961">
        <f ca="1">SUM(EP290:EP291)*$BN$294</f>
        <v>0</v>
      </c>
      <c r="EQ297" s="961">
        <f ca="1">SUM(EQ290:EQ291)*$BO$294</f>
        <v>0</v>
      </c>
      <c r="ER297" s="963">
        <f ca="1">SUM(EL297:EQ297)</f>
        <v>0</v>
      </c>
      <c r="ES297"/>
      <c r="ET297"/>
      <c r="EU297" s="975" t="s">
        <v>453</v>
      </c>
      <c r="EV297" s="961">
        <f ca="1">SUM(EV290:EV291)*$BJ$294</f>
        <v>0</v>
      </c>
      <c r="EW297" s="961">
        <f ca="1">SUM(EW290:EW291)*$BK$294</f>
        <v>0</v>
      </c>
      <c r="EX297" s="961">
        <f ca="1">SUM(EX290:EX291)*$BL$294</f>
        <v>0</v>
      </c>
      <c r="EY297" s="961">
        <f ca="1">SUM(EY290:EY291)*$BM$294</f>
        <v>0</v>
      </c>
      <c r="EZ297" s="961">
        <f ca="1">SUM(EZ290:EZ291)*$BN$294</f>
        <v>0</v>
      </c>
      <c r="FA297" s="961">
        <f ca="1">SUM(FA290:FA291)*$BO$294</f>
        <v>0</v>
      </c>
      <c r="FB297" s="963">
        <f ca="1">SUM(EV297:FA297)</f>
        <v>0</v>
      </c>
      <c r="FC297" s="975" t="s">
        <v>453</v>
      </c>
      <c r="FD297" s="961">
        <f ca="1">SUM(FD290:FD291)*$BJ$294</f>
        <v>0</v>
      </c>
      <c r="FE297" s="961">
        <f ca="1">SUM(FE290:FE291)*$BK$294</f>
        <v>0</v>
      </c>
      <c r="FF297" s="961">
        <f ca="1">SUM(FF290:FF291)*$BL$294</f>
        <v>0</v>
      </c>
      <c r="FG297" s="961">
        <f ca="1">SUM(FG290:FG291)*$BM$294</f>
        <v>0</v>
      </c>
      <c r="FH297" s="961">
        <f ca="1">SUM(FH290:FH291)*$BN$294</f>
        <v>0</v>
      </c>
      <c r="FI297" s="961">
        <f ca="1">SUM(FI290:FI291)*$BO$294</f>
        <v>0</v>
      </c>
      <c r="FJ297" s="963">
        <f ca="1">SUM(FD297:FI297)</f>
        <v>0</v>
      </c>
      <c r="FK297" s="975" t="s">
        <v>453</v>
      </c>
      <c r="FL297" s="961">
        <f ca="1">SUM(FL290:FL291)*$BJ$294</f>
        <v>0</v>
      </c>
      <c r="FM297" s="961">
        <f ca="1">SUM(FM290:FM291)*$BK$294</f>
        <v>0</v>
      </c>
      <c r="FN297" s="961">
        <f ca="1">SUM(FN290:FN291)*$BL$294</f>
        <v>0</v>
      </c>
      <c r="FO297" s="961">
        <f ca="1">SUM(FO290:FO291)*$BM$294</f>
        <v>0</v>
      </c>
      <c r="FP297" s="961">
        <f ca="1">SUM(FP290:FP291)*$BN$294</f>
        <v>0</v>
      </c>
      <c r="FQ297" s="961">
        <f ca="1">SUM(FQ290:FQ291)*$BO$294</f>
        <v>0</v>
      </c>
      <c r="FR297" s="963">
        <f ca="1">SUM(FL297:FQ297)</f>
        <v>0</v>
      </c>
      <c r="FS297" s="975" t="s">
        <v>453</v>
      </c>
      <c r="FT297" s="961">
        <f ca="1">SUM(FT290:FT291)*$BJ$294</f>
        <v>0</v>
      </c>
      <c r="FU297" s="961">
        <f ca="1">SUM(FU290:FU291)*$BK$294</f>
        <v>0</v>
      </c>
      <c r="FV297" s="961">
        <f ca="1">SUM(FV290:FV291)*$BL$294</f>
        <v>0</v>
      </c>
      <c r="FW297" s="961">
        <f ca="1">SUM(FW290:FW291)*$BM$294</f>
        <v>0</v>
      </c>
      <c r="FX297" s="961">
        <f ca="1">SUM(FX290:FX291)*$BN$294</f>
        <v>0</v>
      </c>
      <c r="FY297" s="961">
        <f ca="1">SUM(FY290:FY291)*$BO$294</f>
        <v>0</v>
      </c>
      <c r="FZ297" s="963">
        <f ca="1">SUM(FT297:FY297)</f>
        <v>0</v>
      </c>
      <c r="GA297" s="975" t="s">
        <v>453</v>
      </c>
      <c r="GB297" s="961">
        <f ca="1">SUM(GB290:GB291)*$BJ$294</f>
        <v>0</v>
      </c>
      <c r="GC297" s="961">
        <f ca="1">SUM(GC290:GC291)*$BK$294</f>
        <v>0</v>
      </c>
      <c r="GD297" s="961">
        <f ca="1">SUM(GD290:GD291)*$BL$294</f>
        <v>0</v>
      </c>
      <c r="GE297" s="961">
        <f ca="1">SUM(GE290:GE291)*$BM$294</f>
        <v>0</v>
      </c>
      <c r="GF297" s="961">
        <f ca="1">SUM(GF290:GF291)*$BN$294</f>
        <v>0</v>
      </c>
      <c r="GG297" s="961">
        <f ca="1">SUM(GG290:GG291)*$BO$294</f>
        <v>0</v>
      </c>
      <c r="GH297" s="963">
        <f ca="1">SUM(GB297:GG297)</f>
        <v>0</v>
      </c>
      <c r="GI297" s="975" t="s">
        <v>453</v>
      </c>
      <c r="GJ297" s="961">
        <f ca="1">SUM(GJ290:GJ291)*$BJ$294</f>
        <v>0</v>
      </c>
      <c r="GK297" s="961">
        <f ca="1">SUM(GK290:GK291)*$BK$294</f>
        <v>0</v>
      </c>
      <c r="GL297" s="961">
        <f ca="1">SUM(GL290:GL291)*$BL$294</f>
        <v>0</v>
      </c>
      <c r="GM297" s="961">
        <f ca="1">SUM(GM290:GM291)*$BM$294</f>
        <v>0</v>
      </c>
      <c r="GN297" s="961">
        <f ca="1">SUM(GN290:GN291)*$BN$294</f>
        <v>0</v>
      </c>
      <c r="GO297" s="961">
        <f ca="1">SUM(GO290:GO291)*$BO$294</f>
        <v>0</v>
      </c>
      <c r="GP297" s="963">
        <f ca="1">SUM(GJ297:GO297)</f>
        <v>0</v>
      </c>
      <c r="GQ297" s="975" t="s">
        <v>460</v>
      </c>
      <c r="GR297" s="961">
        <f t="shared" ref="GR297:GW297" ca="1" si="1728">SUM(GR290:GR291)*GR294</f>
        <v>0</v>
      </c>
      <c r="GS297" s="961">
        <f t="shared" ca="1" si="1728"/>
        <v>0</v>
      </c>
      <c r="GT297" s="961">
        <f t="shared" ca="1" si="1728"/>
        <v>0</v>
      </c>
      <c r="GU297" s="961">
        <f t="shared" ca="1" si="1728"/>
        <v>0</v>
      </c>
      <c r="GV297" s="961">
        <f t="shared" ca="1" si="1728"/>
        <v>0</v>
      </c>
      <c r="GW297" s="961">
        <f t="shared" ca="1" si="1728"/>
        <v>0</v>
      </c>
      <c r="GX297" s="963">
        <f ca="1">SUM(GR297:GW297)</f>
        <v>0</v>
      </c>
      <c r="GZ297" s="873">
        <f t="shared" ref="GZ297:HE297" ca="1" si="1729">IFERROR(GZ295/EL295,0)</f>
        <v>0</v>
      </c>
      <c r="HA297" s="873">
        <f t="shared" ca="1" si="1729"/>
        <v>0</v>
      </c>
      <c r="HB297" s="873">
        <f t="shared" ca="1" si="1729"/>
        <v>0</v>
      </c>
      <c r="HC297" s="873">
        <f t="shared" ca="1" si="1729"/>
        <v>0</v>
      </c>
      <c r="HD297" s="873">
        <f t="shared" ca="1" si="1729"/>
        <v>0</v>
      </c>
      <c r="HE297" s="873">
        <f t="shared" ca="1" si="1729"/>
        <v>0</v>
      </c>
      <c r="HF297" s="875">
        <f ca="1">IFERROR($BX$295/$J$295,0)</f>
        <v>0</v>
      </c>
      <c r="HG297" s="1563" t="s">
        <v>381</v>
      </c>
      <c r="HH297" s="14" t="s">
        <v>484</v>
      </c>
    </row>
    <row r="298" spans="1:216" ht="15" customHeight="1" thickBot="1" x14ac:dyDescent="0.3">
      <c r="A298"/>
      <c r="C298" s="975" t="s">
        <v>456</v>
      </c>
      <c r="D298" s="961">
        <f t="shared" ref="D298:I298" ca="1" si="1730">D293</f>
        <v>0</v>
      </c>
      <c r="E298" s="961">
        <f t="shared" ca="1" si="1730"/>
        <v>0</v>
      </c>
      <c r="F298" s="961">
        <f t="shared" ca="1" si="1730"/>
        <v>0</v>
      </c>
      <c r="G298" s="961">
        <f t="shared" ca="1" si="1730"/>
        <v>0</v>
      </c>
      <c r="H298" s="961">
        <f t="shared" ca="1" si="1730"/>
        <v>0</v>
      </c>
      <c r="I298" s="961">
        <f t="shared" ca="1" si="1730"/>
        <v>0</v>
      </c>
      <c r="J298" s="963">
        <f ca="1">SUM(D298:I298)</f>
        <v>0</v>
      </c>
      <c r="M298" s="975" t="s">
        <v>454</v>
      </c>
      <c r="N298" s="961">
        <f t="shared" ref="N298:S298" ca="1" si="1731">N293</f>
        <v>0</v>
      </c>
      <c r="O298" s="961">
        <f t="shared" ca="1" si="1731"/>
        <v>0</v>
      </c>
      <c r="P298" s="961">
        <f t="shared" ca="1" si="1731"/>
        <v>0</v>
      </c>
      <c r="Q298" s="961">
        <f t="shared" ca="1" si="1731"/>
        <v>0</v>
      </c>
      <c r="R298" s="961">
        <f t="shared" ca="1" si="1731"/>
        <v>0</v>
      </c>
      <c r="S298" s="961">
        <f t="shared" ca="1" si="1731"/>
        <v>0</v>
      </c>
      <c r="T298" s="963">
        <f ca="1">SUM(N298:S298)</f>
        <v>0</v>
      </c>
      <c r="U298" s="975" t="s">
        <v>454</v>
      </c>
      <c r="V298" s="961">
        <f t="shared" ref="V298:AA298" ca="1" si="1732">V293</f>
        <v>0</v>
      </c>
      <c r="W298" s="961">
        <f t="shared" ca="1" si="1732"/>
        <v>0</v>
      </c>
      <c r="X298" s="961">
        <f t="shared" ca="1" si="1732"/>
        <v>0</v>
      </c>
      <c r="Y298" s="961">
        <f t="shared" ca="1" si="1732"/>
        <v>0</v>
      </c>
      <c r="Z298" s="961">
        <f t="shared" ca="1" si="1732"/>
        <v>0</v>
      </c>
      <c r="AA298" s="961">
        <f t="shared" ca="1" si="1732"/>
        <v>0</v>
      </c>
      <c r="AB298" s="963">
        <f ca="1">SUM(V298:AA298)</f>
        <v>0</v>
      </c>
      <c r="AC298" s="975" t="s">
        <v>454</v>
      </c>
      <c r="AD298" s="961">
        <f t="shared" ref="AD298:AI298" ca="1" si="1733">AD293</f>
        <v>0</v>
      </c>
      <c r="AE298" s="961">
        <f t="shared" ca="1" si="1733"/>
        <v>0</v>
      </c>
      <c r="AF298" s="961">
        <f t="shared" ca="1" si="1733"/>
        <v>0</v>
      </c>
      <c r="AG298" s="961">
        <f t="shared" ca="1" si="1733"/>
        <v>0</v>
      </c>
      <c r="AH298" s="961">
        <f t="shared" ca="1" si="1733"/>
        <v>0</v>
      </c>
      <c r="AI298" s="961">
        <f t="shared" ca="1" si="1733"/>
        <v>0</v>
      </c>
      <c r="AJ298" s="963">
        <f ca="1">SUM(AD298:AI298)</f>
        <v>0</v>
      </c>
      <c r="AK298" s="975" t="s">
        <v>454</v>
      </c>
      <c r="AL298" s="961">
        <f t="shared" ref="AL298:AQ298" ca="1" si="1734">AL293</f>
        <v>0</v>
      </c>
      <c r="AM298" s="961">
        <f t="shared" ca="1" si="1734"/>
        <v>0</v>
      </c>
      <c r="AN298" s="961">
        <f t="shared" ca="1" si="1734"/>
        <v>0</v>
      </c>
      <c r="AO298" s="961">
        <f t="shared" ca="1" si="1734"/>
        <v>0</v>
      </c>
      <c r="AP298" s="961">
        <f t="shared" ca="1" si="1734"/>
        <v>0</v>
      </c>
      <c r="AQ298" s="961">
        <f t="shared" ca="1" si="1734"/>
        <v>0</v>
      </c>
      <c r="AR298" s="963">
        <f ca="1">SUM(AL298:AQ298)</f>
        <v>0</v>
      </c>
      <c r="AS298" s="975" t="s">
        <v>454</v>
      </c>
      <c r="AT298" s="961">
        <f t="shared" ref="AT298:AY298" ca="1" si="1735">AT293</f>
        <v>0</v>
      </c>
      <c r="AU298" s="961">
        <f t="shared" ca="1" si="1735"/>
        <v>0</v>
      </c>
      <c r="AV298" s="961">
        <f t="shared" ca="1" si="1735"/>
        <v>0</v>
      </c>
      <c r="AW298" s="961">
        <f t="shared" ca="1" si="1735"/>
        <v>0</v>
      </c>
      <c r="AX298" s="961">
        <f t="shared" ca="1" si="1735"/>
        <v>0</v>
      </c>
      <c r="AY298" s="961">
        <f t="shared" ca="1" si="1735"/>
        <v>0</v>
      </c>
      <c r="AZ298" s="963">
        <f ca="1">SUM(AT298:AY298)</f>
        <v>0</v>
      </c>
      <c r="BA298" s="975" t="s">
        <v>454</v>
      </c>
      <c r="BB298" s="961">
        <f t="shared" ref="BB298:BG298" ca="1" si="1736">BB293</f>
        <v>0</v>
      </c>
      <c r="BC298" s="961">
        <f t="shared" ca="1" si="1736"/>
        <v>0</v>
      </c>
      <c r="BD298" s="961">
        <f t="shared" ca="1" si="1736"/>
        <v>0</v>
      </c>
      <c r="BE298" s="961">
        <f t="shared" ca="1" si="1736"/>
        <v>0</v>
      </c>
      <c r="BF298" s="961">
        <f t="shared" ca="1" si="1736"/>
        <v>0</v>
      </c>
      <c r="BG298" s="961">
        <f t="shared" ca="1" si="1736"/>
        <v>0</v>
      </c>
      <c r="BH298" s="963">
        <f ca="1">SUM(BB298:BG298)</f>
        <v>0</v>
      </c>
      <c r="BI298" s="1003" t="s">
        <v>461</v>
      </c>
      <c r="BJ298" s="1004">
        <f t="shared" ref="BJ298:BO298" ca="1" si="1737">IFERROR(SUM(N298*ISNUMBER(MATCH($N$10,Unit,0)),V298*ISNUMBER(MATCH($V$10,Unit,0)),AD298*ISNUMBER(MATCH($AD$10,Unit,0)),AL298*ISNUMBER(MATCH($AL$10,Unit,0)),AT298*ISNUMBER(MATCH($AT$10,Unit,0)),BB298*ISNUMBER(MATCH($BB$10,Unit,0))),0)</f>
        <v>0</v>
      </c>
      <c r="BK298" s="1004">
        <f t="shared" ca="1" si="1737"/>
        <v>0</v>
      </c>
      <c r="BL298" s="1004">
        <f t="shared" ca="1" si="1737"/>
        <v>0</v>
      </c>
      <c r="BM298" s="1004">
        <f t="shared" ca="1" si="1737"/>
        <v>0</v>
      </c>
      <c r="BN298" s="1004">
        <f t="shared" ca="1" si="1737"/>
        <v>0</v>
      </c>
      <c r="BO298" s="1004">
        <f t="shared" ca="1" si="1737"/>
        <v>0</v>
      </c>
      <c r="BP298" s="1005">
        <f ca="1">SUM(BJ298:BO298)</f>
        <v>0</v>
      </c>
      <c r="BR298" s="874">
        <f t="shared" ref="BR298:BW298" ca="1" si="1738">IFERROR(BR295/(D295+BR295+BR305),0)</f>
        <v>0</v>
      </c>
      <c r="BS298" s="874">
        <f t="shared" ca="1" si="1738"/>
        <v>0</v>
      </c>
      <c r="BT298" s="874">
        <f t="shared" ca="1" si="1738"/>
        <v>0</v>
      </c>
      <c r="BU298" s="874">
        <f t="shared" ca="1" si="1738"/>
        <v>0</v>
      </c>
      <c r="BV298" s="874">
        <f t="shared" ca="1" si="1738"/>
        <v>0</v>
      </c>
      <c r="BW298" s="874">
        <f t="shared" ca="1" si="1738"/>
        <v>0</v>
      </c>
      <c r="BX298" s="876">
        <f ca="1">IFERROR($BX$295/($BY$295),0)</f>
        <v>0</v>
      </c>
      <c r="BY298" s="1563" t="s">
        <v>382</v>
      </c>
      <c r="BZ298" s="1156" t="s">
        <v>483</v>
      </c>
      <c r="CC298" s="3298" t="s">
        <v>182</v>
      </c>
      <c r="CD298" s="3298"/>
      <c r="CE298" s="3298"/>
      <c r="CF298" s="3298"/>
      <c r="CG298" s="3298"/>
      <c r="CI298" s="3299" t="s">
        <v>183</v>
      </c>
      <c r="CJ298" s="3300"/>
      <c r="CK298" s="3300"/>
      <c r="CL298" s="3301"/>
      <c r="CS298"/>
      <c r="CT298"/>
      <c r="CY298" s="3285" t="s">
        <v>169</v>
      </c>
      <c r="CZ298" s="3286"/>
      <c r="DA298" s="3286"/>
      <c r="DB298" s="3287"/>
      <c r="DC298"/>
      <c r="DD298"/>
      <c r="DE298"/>
      <c r="DF298"/>
      <c r="DG298"/>
      <c r="EI298"/>
      <c r="EK298" s="975" t="s">
        <v>456</v>
      </c>
      <c r="EL298" s="961">
        <f t="shared" ref="EL298:EQ298" ca="1" si="1739">EL293</f>
        <v>0</v>
      </c>
      <c r="EM298" s="961">
        <f t="shared" ca="1" si="1739"/>
        <v>0</v>
      </c>
      <c r="EN298" s="961">
        <f t="shared" ca="1" si="1739"/>
        <v>0</v>
      </c>
      <c r="EO298" s="961">
        <f t="shared" ca="1" si="1739"/>
        <v>0</v>
      </c>
      <c r="EP298" s="961">
        <f t="shared" ca="1" si="1739"/>
        <v>0</v>
      </c>
      <c r="EQ298" s="961">
        <f t="shared" ca="1" si="1739"/>
        <v>0</v>
      </c>
      <c r="ER298" s="963">
        <f ca="1">SUM(EL298:EQ298)</f>
        <v>0</v>
      </c>
      <c r="EU298" s="975" t="s">
        <v>454</v>
      </c>
      <c r="EV298" s="961">
        <f t="shared" ref="EV298:FA298" ca="1" si="1740">EV293</f>
        <v>0</v>
      </c>
      <c r="EW298" s="961">
        <f t="shared" ca="1" si="1740"/>
        <v>0</v>
      </c>
      <c r="EX298" s="961">
        <f t="shared" ca="1" si="1740"/>
        <v>0</v>
      </c>
      <c r="EY298" s="961">
        <f t="shared" ca="1" si="1740"/>
        <v>0</v>
      </c>
      <c r="EZ298" s="961">
        <f t="shared" ca="1" si="1740"/>
        <v>0</v>
      </c>
      <c r="FA298" s="961">
        <f t="shared" ca="1" si="1740"/>
        <v>0</v>
      </c>
      <c r="FB298" s="963">
        <f ca="1">SUM(EV298:FA298)</f>
        <v>0</v>
      </c>
      <c r="FC298" s="975" t="s">
        <v>454</v>
      </c>
      <c r="FD298" s="961">
        <f t="shared" ref="FD298:FI298" ca="1" si="1741">FD293</f>
        <v>0</v>
      </c>
      <c r="FE298" s="961">
        <f t="shared" ca="1" si="1741"/>
        <v>0</v>
      </c>
      <c r="FF298" s="961">
        <f t="shared" ca="1" si="1741"/>
        <v>0</v>
      </c>
      <c r="FG298" s="961">
        <f t="shared" ca="1" si="1741"/>
        <v>0</v>
      </c>
      <c r="FH298" s="961">
        <f t="shared" ca="1" si="1741"/>
        <v>0</v>
      </c>
      <c r="FI298" s="961">
        <f t="shared" ca="1" si="1741"/>
        <v>0</v>
      </c>
      <c r="FJ298" s="963">
        <f ca="1">SUM(FD298:FI298)</f>
        <v>0</v>
      </c>
      <c r="FK298" s="975" t="s">
        <v>454</v>
      </c>
      <c r="FL298" s="961">
        <f t="shared" ref="FL298:FQ298" ca="1" si="1742">FL293</f>
        <v>0</v>
      </c>
      <c r="FM298" s="961">
        <f t="shared" ca="1" si="1742"/>
        <v>0</v>
      </c>
      <c r="FN298" s="961">
        <f t="shared" ca="1" si="1742"/>
        <v>0</v>
      </c>
      <c r="FO298" s="961">
        <f t="shared" ca="1" si="1742"/>
        <v>0</v>
      </c>
      <c r="FP298" s="961">
        <f t="shared" ca="1" si="1742"/>
        <v>0</v>
      </c>
      <c r="FQ298" s="961">
        <f t="shared" ca="1" si="1742"/>
        <v>0</v>
      </c>
      <c r="FR298" s="963">
        <f ca="1">SUM(FL298:FQ298)</f>
        <v>0</v>
      </c>
      <c r="FS298" s="975" t="s">
        <v>454</v>
      </c>
      <c r="FT298" s="961">
        <f t="shared" ref="FT298:FY298" ca="1" si="1743">FT293</f>
        <v>0</v>
      </c>
      <c r="FU298" s="961">
        <f t="shared" ca="1" si="1743"/>
        <v>0</v>
      </c>
      <c r="FV298" s="961">
        <f t="shared" ca="1" si="1743"/>
        <v>0</v>
      </c>
      <c r="FW298" s="961">
        <f t="shared" ca="1" si="1743"/>
        <v>0</v>
      </c>
      <c r="FX298" s="961">
        <f t="shared" ca="1" si="1743"/>
        <v>0</v>
      </c>
      <c r="FY298" s="961">
        <f t="shared" ca="1" si="1743"/>
        <v>0</v>
      </c>
      <c r="FZ298" s="963">
        <f ca="1">SUM(FT298:FY298)</f>
        <v>0</v>
      </c>
      <c r="GA298" s="975" t="s">
        <v>454</v>
      </c>
      <c r="GB298" s="961">
        <f t="shared" ref="GB298:GG298" ca="1" si="1744">GB293</f>
        <v>0</v>
      </c>
      <c r="GC298" s="961">
        <f t="shared" ca="1" si="1744"/>
        <v>0</v>
      </c>
      <c r="GD298" s="961">
        <f t="shared" ca="1" si="1744"/>
        <v>0</v>
      </c>
      <c r="GE298" s="961">
        <f t="shared" ca="1" si="1744"/>
        <v>0</v>
      </c>
      <c r="GF298" s="961">
        <f t="shared" ca="1" si="1744"/>
        <v>0</v>
      </c>
      <c r="GG298" s="961">
        <f t="shared" ca="1" si="1744"/>
        <v>0</v>
      </c>
      <c r="GH298" s="963">
        <f ca="1">SUM(GB298:GG298)</f>
        <v>0</v>
      </c>
      <c r="GI298" s="975" t="s">
        <v>454</v>
      </c>
      <c r="GJ298" s="961">
        <f t="shared" ref="GJ298:GO298" ca="1" si="1745">GJ293</f>
        <v>0</v>
      </c>
      <c r="GK298" s="961">
        <f t="shared" ca="1" si="1745"/>
        <v>0</v>
      </c>
      <c r="GL298" s="961">
        <f t="shared" ca="1" si="1745"/>
        <v>0</v>
      </c>
      <c r="GM298" s="961">
        <f t="shared" ca="1" si="1745"/>
        <v>0</v>
      </c>
      <c r="GN298" s="961">
        <f t="shared" ca="1" si="1745"/>
        <v>0</v>
      </c>
      <c r="GO298" s="961">
        <f t="shared" ca="1" si="1745"/>
        <v>0</v>
      </c>
      <c r="GP298" s="963">
        <f ca="1">SUM(GJ298:GO298)</f>
        <v>0</v>
      </c>
      <c r="GQ298" s="1003" t="s">
        <v>461</v>
      </c>
      <c r="GR298" s="1004">
        <f t="shared" ref="GR298:GW298" ca="1" si="1746">IFERROR(SUM(EV298*ISNUMBER(MATCH($N$10,Unit,0)),FD298*ISNUMBER(MATCH($V$10,Unit,0)),FL298*ISNUMBER(MATCH($AD$10,Unit,0)),FT298*ISNUMBER(MATCH($AL$10,Unit,0)),GB298*ISNUMBER(MATCH($AT$10,Unit,0)),GJ298*ISNUMBER(MATCH($BB$10,Unit,0))),0)</f>
        <v>0</v>
      </c>
      <c r="GS298" s="1004">
        <f t="shared" ca="1" si="1746"/>
        <v>0</v>
      </c>
      <c r="GT298" s="1004">
        <f t="shared" ca="1" si="1746"/>
        <v>0</v>
      </c>
      <c r="GU298" s="1004">
        <f t="shared" ca="1" si="1746"/>
        <v>0</v>
      </c>
      <c r="GV298" s="1004">
        <f t="shared" ca="1" si="1746"/>
        <v>0</v>
      </c>
      <c r="GW298" s="1004">
        <f t="shared" ca="1" si="1746"/>
        <v>0</v>
      </c>
      <c r="GX298" s="1005">
        <f ca="1">SUM(GR298:GW298)</f>
        <v>0</v>
      </c>
      <c r="GZ298" s="874">
        <f t="shared" ref="GZ298:HE298" ca="1" si="1747">IFERROR(GZ295/(EL295+GZ295+GZ305),0)</f>
        <v>0</v>
      </c>
      <c r="HA298" s="874">
        <f t="shared" ca="1" si="1747"/>
        <v>0</v>
      </c>
      <c r="HB298" s="874">
        <f t="shared" ca="1" si="1747"/>
        <v>0</v>
      </c>
      <c r="HC298" s="874">
        <f t="shared" ca="1" si="1747"/>
        <v>0</v>
      </c>
      <c r="HD298" s="874">
        <f t="shared" ca="1" si="1747"/>
        <v>0</v>
      </c>
      <c r="HE298" s="874">
        <f t="shared" ca="1" si="1747"/>
        <v>0</v>
      </c>
      <c r="HF298" s="876">
        <f ca="1">IFERROR($BX$295/($BY$295),0)</f>
        <v>0</v>
      </c>
      <c r="HG298" s="1563" t="s">
        <v>382</v>
      </c>
      <c r="HH298" s="1156" t="s">
        <v>483</v>
      </c>
    </row>
    <row r="299" spans="1:216" ht="15" customHeight="1" thickBot="1" x14ac:dyDescent="0.3">
      <c r="C299" s="2628" t="s">
        <v>457</v>
      </c>
      <c r="D299" s="962">
        <f>IF('DATA INPUT'!$H$125="No",0,D297-D298)</f>
        <v>0</v>
      </c>
      <c r="E299" s="962">
        <f>IF('DATA INPUT'!$H$125="No",0,E297-E298)</f>
        <v>0</v>
      </c>
      <c r="F299" s="962">
        <f>IF('DATA INPUT'!$H$125="No",0,F297-F298)</f>
        <v>0</v>
      </c>
      <c r="G299" s="962">
        <f>IF('DATA INPUT'!$H$125="No",0,G297-G298)</f>
        <v>0</v>
      </c>
      <c r="H299" s="962">
        <f>IF('DATA INPUT'!$H$125="No",0,H297-H298)</f>
        <v>0</v>
      </c>
      <c r="I299" s="962">
        <f>IF('DATA INPUT'!$H$125="No",0,I297-I298)</f>
        <v>0</v>
      </c>
      <c r="J299" s="966">
        <f ca="1">J297-J298</f>
        <v>0</v>
      </c>
      <c r="M299" s="980" t="s">
        <v>449</v>
      </c>
      <c r="N299" s="962">
        <f t="shared" ref="N299:T299" ca="1" si="1748">N297-N298</f>
        <v>0</v>
      </c>
      <c r="O299" s="962">
        <f t="shared" ca="1" si="1748"/>
        <v>0</v>
      </c>
      <c r="P299" s="962">
        <f t="shared" ca="1" si="1748"/>
        <v>0</v>
      </c>
      <c r="Q299" s="962">
        <f t="shared" ca="1" si="1748"/>
        <v>0</v>
      </c>
      <c r="R299" s="962">
        <f t="shared" ca="1" si="1748"/>
        <v>0</v>
      </c>
      <c r="S299" s="964">
        <f t="shared" ca="1" si="1748"/>
        <v>0</v>
      </c>
      <c r="T299" s="966">
        <f t="shared" ca="1" si="1748"/>
        <v>0</v>
      </c>
      <c r="U299" s="980" t="s">
        <v>449</v>
      </c>
      <c r="V299" s="962">
        <f t="shared" ref="V299:AB299" ca="1" si="1749">V297-V298</f>
        <v>0</v>
      </c>
      <c r="W299" s="962">
        <f t="shared" ca="1" si="1749"/>
        <v>0</v>
      </c>
      <c r="X299" s="962">
        <f t="shared" ca="1" si="1749"/>
        <v>0</v>
      </c>
      <c r="Y299" s="962">
        <f t="shared" ca="1" si="1749"/>
        <v>0</v>
      </c>
      <c r="Z299" s="962">
        <f t="shared" ca="1" si="1749"/>
        <v>0</v>
      </c>
      <c r="AA299" s="964">
        <f t="shared" ca="1" si="1749"/>
        <v>0</v>
      </c>
      <c r="AB299" s="966">
        <f t="shared" ca="1" si="1749"/>
        <v>0</v>
      </c>
      <c r="AC299" s="980" t="s">
        <v>449</v>
      </c>
      <c r="AD299" s="962">
        <f t="shared" ref="AD299:AJ299" ca="1" si="1750">AD297-AD298</f>
        <v>0</v>
      </c>
      <c r="AE299" s="962">
        <f t="shared" ca="1" si="1750"/>
        <v>0</v>
      </c>
      <c r="AF299" s="962">
        <f t="shared" ca="1" si="1750"/>
        <v>0</v>
      </c>
      <c r="AG299" s="962">
        <f t="shared" ca="1" si="1750"/>
        <v>0</v>
      </c>
      <c r="AH299" s="962">
        <f t="shared" ca="1" si="1750"/>
        <v>0</v>
      </c>
      <c r="AI299" s="964">
        <f t="shared" ca="1" si="1750"/>
        <v>0</v>
      </c>
      <c r="AJ299" s="966">
        <f t="shared" ca="1" si="1750"/>
        <v>0</v>
      </c>
      <c r="AK299" s="980" t="s">
        <v>449</v>
      </c>
      <c r="AL299" s="962">
        <f t="shared" ref="AL299:AR299" ca="1" si="1751">AL297-AL298</f>
        <v>0</v>
      </c>
      <c r="AM299" s="962">
        <f t="shared" ca="1" si="1751"/>
        <v>0</v>
      </c>
      <c r="AN299" s="962">
        <f t="shared" ca="1" si="1751"/>
        <v>0</v>
      </c>
      <c r="AO299" s="962">
        <f t="shared" ca="1" si="1751"/>
        <v>0</v>
      </c>
      <c r="AP299" s="962">
        <f t="shared" ca="1" si="1751"/>
        <v>0</v>
      </c>
      <c r="AQ299" s="964">
        <f t="shared" ca="1" si="1751"/>
        <v>0</v>
      </c>
      <c r="AR299" s="966">
        <f t="shared" ca="1" si="1751"/>
        <v>0</v>
      </c>
      <c r="AS299" s="980" t="s">
        <v>449</v>
      </c>
      <c r="AT299" s="962">
        <f t="shared" ref="AT299:AZ299" ca="1" si="1752">AT297-AT298</f>
        <v>0</v>
      </c>
      <c r="AU299" s="962">
        <f t="shared" ca="1" si="1752"/>
        <v>0</v>
      </c>
      <c r="AV299" s="962">
        <f t="shared" ca="1" si="1752"/>
        <v>0</v>
      </c>
      <c r="AW299" s="962">
        <f t="shared" ca="1" si="1752"/>
        <v>0</v>
      </c>
      <c r="AX299" s="962">
        <f t="shared" ca="1" si="1752"/>
        <v>0</v>
      </c>
      <c r="AY299" s="964">
        <f t="shared" ca="1" si="1752"/>
        <v>0</v>
      </c>
      <c r="AZ299" s="966">
        <f t="shared" ca="1" si="1752"/>
        <v>0</v>
      </c>
      <c r="BA299" s="980" t="s">
        <v>449</v>
      </c>
      <c r="BB299" s="962">
        <f t="shared" ref="BB299:BH299" ca="1" si="1753">BB297-BB298</f>
        <v>0</v>
      </c>
      <c r="BC299" s="962">
        <f t="shared" ca="1" si="1753"/>
        <v>0</v>
      </c>
      <c r="BD299" s="962">
        <f t="shared" ca="1" si="1753"/>
        <v>0</v>
      </c>
      <c r="BE299" s="962">
        <f t="shared" ca="1" si="1753"/>
        <v>0</v>
      </c>
      <c r="BF299" s="962">
        <f t="shared" ca="1" si="1753"/>
        <v>0</v>
      </c>
      <c r="BG299" s="964">
        <f t="shared" ca="1" si="1753"/>
        <v>0</v>
      </c>
      <c r="BH299" s="966">
        <f t="shared" ca="1" si="1753"/>
        <v>0</v>
      </c>
      <c r="BI299" s="976" t="s">
        <v>458</v>
      </c>
      <c r="BJ299" s="972">
        <f>IF('DATA INPUT'!$H$125="No",0,BJ297-BJ298)</f>
        <v>0</v>
      </c>
      <c r="BK299" s="972">
        <f>IF('DATA INPUT'!$H$125="No",0,BK297-BK298)</f>
        <v>0</v>
      </c>
      <c r="BL299" s="972">
        <f>IF('DATA INPUT'!$H$125="No",0,BL297-BL298)</f>
        <v>0</v>
      </c>
      <c r="BM299" s="972">
        <f>IF('DATA INPUT'!$H$125="No",0,BM297-BM298)</f>
        <v>0</v>
      </c>
      <c r="BN299" s="972">
        <f>IF('DATA INPUT'!$H$125="No",0,BN297-BN298)</f>
        <v>0</v>
      </c>
      <c r="BO299" s="972">
        <f>IF('DATA INPUT'!$H$125="No",0,BO297-BO298)</f>
        <v>0</v>
      </c>
      <c r="BP299" s="970">
        <f>SUM(BJ299:BO299)</f>
        <v>0</v>
      </c>
      <c r="CC299" s="2348" t="s">
        <v>148</v>
      </c>
      <c r="CD299" s="2348" t="s">
        <v>149</v>
      </c>
      <c r="CE299" s="2348" t="s">
        <v>150</v>
      </c>
      <c r="CF299" s="2348" t="s">
        <v>151</v>
      </c>
      <c r="CG299" s="2348" t="s">
        <v>170</v>
      </c>
      <c r="CI299" s="280" t="s">
        <v>106</v>
      </c>
      <c r="CJ299" s="280" t="s">
        <v>0</v>
      </c>
      <c r="CK299" s="280" t="s">
        <v>1</v>
      </c>
      <c r="CL299" s="280" t="s">
        <v>170</v>
      </c>
      <c r="CS299"/>
      <c r="CT299"/>
      <c r="CU299"/>
      <c r="CV299"/>
      <c r="CW299"/>
      <c r="CX299"/>
      <c r="CY299"/>
      <c r="CZ299"/>
      <c r="DA299"/>
      <c r="DB299"/>
      <c r="DC299"/>
      <c r="DD299"/>
      <c r="DE299"/>
      <c r="DF299"/>
      <c r="DG299"/>
      <c r="EK299" s="980" t="s">
        <v>457</v>
      </c>
      <c r="EL299" s="962">
        <f t="shared" ref="EL299:ER299" ca="1" si="1754">EL297-EL298</f>
        <v>0</v>
      </c>
      <c r="EM299" s="962">
        <f t="shared" ca="1" si="1754"/>
        <v>0</v>
      </c>
      <c r="EN299" s="962">
        <f t="shared" ca="1" si="1754"/>
        <v>0</v>
      </c>
      <c r="EO299" s="962">
        <f t="shared" ca="1" si="1754"/>
        <v>0</v>
      </c>
      <c r="EP299" s="962">
        <f t="shared" ca="1" si="1754"/>
        <v>0</v>
      </c>
      <c r="EQ299" s="964">
        <f t="shared" ca="1" si="1754"/>
        <v>0</v>
      </c>
      <c r="ER299" s="966">
        <f t="shared" ca="1" si="1754"/>
        <v>0</v>
      </c>
      <c r="EU299" s="980" t="s">
        <v>449</v>
      </c>
      <c r="EV299" s="962">
        <f t="shared" ref="EV299:FB299" ca="1" si="1755">EV297-EV298</f>
        <v>0</v>
      </c>
      <c r="EW299" s="962">
        <f t="shared" ca="1" si="1755"/>
        <v>0</v>
      </c>
      <c r="EX299" s="962">
        <f t="shared" ca="1" si="1755"/>
        <v>0</v>
      </c>
      <c r="EY299" s="962">
        <f t="shared" ca="1" si="1755"/>
        <v>0</v>
      </c>
      <c r="EZ299" s="962">
        <f t="shared" ca="1" si="1755"/>
        <v>0</v>
      </c>
      <c r="FA299" s="964">
        <f t="shared" ca="1" si="1755"/>
        <v>0</v>
      </c>
      <c r="FB299" s="966">
        <f t="shared" ca="1" si="1755"/>
        <v>0</v>
      </c>
      <c r="FC299" s="980" t="s">
        <v>449</v>
      </c>
      <c r="FD299" s="962">
        <f t="shared" ref="FD299:FJ299" ca="1" si="1756">FD297-FD298</f>
        <v>0</v>
      </c>
      <c r="FE299" s="962">
        <f t="shared" ca="1" si="1756"/>
        <v>0</v>
      </c>
      <c r="FF299" s="962">
        <f t="shared" ca="1" si="1756"/>
        <v>0</v>
      </c>
      <c r="FG299" s="962">
        <f t="shared" ca="1" si="1756"/>
        <v>0</v>
      </c>
      <c r="FH299" s="962">
        <f t="shared" ca="1" si="1756"/>
        <v>0</v>
      </c>
      <c r="FI299" s="964">
        <f t="shared" ca="1" si="1756"/>
        <v>0</v>
      </c>
      <c r="FJ299" s="966">
        <f t="shared" ca="1" si="1756"/>
        <v>0</v>
      </c>
      <c r="FK299" s="980" t="s">
        <v>449</v>
      </c>
      <c r="FL299" s="962">
        <f t="shared" ref="FL299:FR299" ca="1" si="1757">FL297-FL298</f>
        <v>0</v>
      </c>
      <c r="FM299" s="962">
        <f t="shared" ca="1" si="1757"/>
        <v>0</v>
      </c>
      <c r="FN299" s="962">
        <f t="shared" ca="1" si="1757"/>
        <v>0</v>
      </c>
      <c r="FO299" s="962">
        <f t="shared" ca="1" si="1757"/>
        <v>0</v>
      </c>
      <c r="FP299" s="962">
        <f t="shared" ca="1" si="1757"/>
        <v>0</v>
      </c>
      <c r="FQ299" s="964">
        <f t="shared" ca="1" si="1757"/>
        <v>0</v>
      </c>
      <c r="FR299" s="966">
        <f t="shared" ca="1" si="1757"/>
        <v>0</v>
      </c>
      <c r="FS299" s="980" t="s">
        <v>449</v>
      </c>
      <c r="FT299" s="962">
        <f t="shared" ref="FT299:FZ299" ca="1" si="1758">FT297-FT298</f>
        <v>0</v>
      </c>
      <c r="FU299" s="962">
        <f t="shared" ca="1" si="1758"/>
        <v>0</v>
      </c>
      <c r="FV299" s="962">
        <f t="shared" ca="1" si="1758"/>
        <v>0</v>
      </c>
      <c r="FW299" s="962">
        <f t="shared" ca="1" si="1758"/>
        <v>0</v>
      </c>
      <c r="FX299" s="962">
        <f t="shared" ca="1" si="1758"/>
        <v>0</v>
      </c>
      <c r="FY299" s="964">
        <f t="shared" ca="1" si="1758"/>
        <v>0</v>
      </c>
      <c r="FZ299" s="966">
        <f t="shared" ca="1" si="1758"/>
        <v>0</v>
      </c>
      <c r="GA299" s="980" t="s">
        <v>449</v>
      </c>
      <c r="GB299" s="962">
        <f t="shared" ref="GB299:GH299" ca="1" si="1759">GB297-GB298</f>
        <v>0</v>
      </c>
      <c r="GC299" s="962">
        <f t="shared" ca="1" si="1759"/>
        <v>0</v>
      </c>
      <c r="GD299" s="962">
        <f t="shared" ca="1" si="1759"/>
        <v>0</v>
      </c>
      <c r="GE299" s="962">
        <f t="shared" ca="1" si="1759"/>
        <v>0</v>
      </c>
      <c r="GF299" s="962">
        <f t="shared" ca="1" si="1759"/>
        <v>0</v>
      </c>
      <c r="GG299" s="964">
        <f t="shared" ca="1" si="1759"/>
        <v>0</v>
      </c>
      <c r="GH299" s="966">
        <f t="shared" ca="1" si="1759"/>
        <v>0</v>
      </c>
      <c r="GI299" s="980" t="s">
        <v>449</v>
      </c>
      <c r="GJ299" s="962">
        <f t="shared" ref="GJ299:GP299" ca="1" si="1760">GJ297-GJ298</f>
        <v>0</v>
      </c>
      <c r="GK299" s="962">
        <f t="shared" ca="1" si="1760"/>
        <v>0</v>
      </c>
      <c r="GL299" s="962">
        <f t="shared" ca="1" si="1760"/>
        <v>0</v>
      </c>
      <c r="GM299" s="962">
        <f t="shared" ca="1" si="1760"/>
        <v>0</v>
      </c>
      <c r="GN299" s="962">
        <f t="shared" ca="1" si="1760"/>
        <v>0</v>
      </c>
      <c r="GO299" s="964">
        <f t="shared" ca="1" si="1760"/>
        <v>0</v>
      </c>
      <c r="GP299" s="966">
        <f t="shared" ca="1" si="1760"/>
        <v>0</v>
      </c>
      <c r="GQ299" s="976" t="s">
        <v>458</v>
      </c>
      <c r="GR299" s="972">
        <f>IF('DATA INPUT'!$H$125="No",0,GR297-GR298)</f>
        <v>0</v>
      </c>
      <c r="GS299" s="972">
        <f>IF('DATA INPUT'!$H$125="No",0,GS297-GS298)</f>
        <v>0</v>
      </c>
      <c r="GT299" s="972">
        <f>IF('DATA INPUT'!$H$125="No",0,GT297-GT298)</f>
        <v>0</v>
      </c>
      <c r="GU299" s="972">
        <f>IF('DATA INPUT'!$H$125="No",0,GU297-GU298)</f>
        <v>0</v>
      </c>
      <c r="GV299" s="972">
        <f>IF('DATA INPUT'!$H$125="No",0,GV297-GV298)</f>
        <v>0</v>
      </c>
      <c r="GW299" s="972">
        <f>IF('DATA INPUT'!$H$125="No",0,GW297-GW298)</f>
        <v>0</v>
      </c>
      <c r="GX299" s="970">
        <f>SUM(GR299:GW299)</f>
        <v>0</v>
      </c>
    </row>
    <row r="300" spans="1:216" ht="15" customHeight="1" thickBot="1" x14ac:dyDescent="0.3">
      <c r="G300" s="19"/>
      <c r="H300"/>
      <c r="J300" s="1"/>
      <c r="Q300" s="14"/>
      <c r="R300"/>
      <c r="S300"/>
      <c r="T300"/>
      <c r="V300"/>
      <c r="W300"/>
      <c r="X300"/>
      <c r="Y300" s="19"/>
      <c r="AA300"/>
      <c r="AB300"/>
      <c r="AC300"/>
      <c r="AD300"/>
      <c r="AE300"/>
      <c r="AF300"/>
      <c r="AG300" s="19"/>
      <c r="AI300"/>
      <c r="AJ300"/>
      <c r="AK300"/>
      <c r="AL300"/>
      <c r="AM300"/>
      <c r="AN300"/>
      <c r="AO300" s="19"/>
      <c r="AQ300"/>
      <c r="AR300"/>
      <c r="AS300"/>
      <c r="AT300"/>
      <c r="AU300"/>
      <c r="AV300"/>
      <c r="AW300" s="19"/>
      <c r="AY300"/>
      <c r="AZ300"/>
      <c r="BA300"/>
      <c r="BB300"/>
      <c r="BC300"/>
      <c r="BD300"/>
      <c r="BE300" s="19"/>
      <c r="BG300" s="19"/>
      <c r="BH300" s="19"/>
      <c r="BL300" s="14"/>
      <c r="BN300" s="14"/>
      <c r="BO300" s="14"/>
      <c r="BR300" s="958" t="s">
        <v>649</v>
      </c>
      <c r="BS300" s="959"/>
      <c r="BT300" s="959"/>
      <c r="BU300" s="959"/>
      <c r="BV300" s="959"/>
      <c r="BW300" s="960"/>
      <c r="BX300" s="862" t="s">
        <v>482</v>
      </c>
      <c r="BY300" s="863"/>
      <c r="BZ300" s="1"/>
      <c r="CC300" s="1395">
        <f ca="1">CB295</f>
        <v>24709.87</v>
      </c>
      <c r="CD300" s="1395">
        <f ca="1">SUM(CC295:CG295)</f>
        <v>0</v>
      </c>
      <c r="CE300" s="1395">
        <f ca="1">SUM(CH295:CL295)</f>
        <v>0</v>
      </c>
      <c r="CF300" s="1395">
        <f ca="1">SUM(CM295:CO295)</f>
        <v>0</v>
      </c>
      <c r="CG300" s="1396">
        <f ca="1">SUM(CC300:CF300)</f>
        <v>24709.87</v>
      </c>
      <c r="CI300" s="1397">
        <f ca="1">SUM(CB295:CE295)</f>
        <v>24709.87</v>
      </c>
      <c r="CJ300" s="1397">
        <f ca="1">SUM(CF295:CJ295)</f>
        <v>0</v>
      </c>
      <c r="CK300" s="1397">
        <f ca="1">SUM(CK295:CO295)</f>
        <v>0</v>
      </c>
      <c r="CL300" s="1398">
        <f ca="1">SUM(CI300:CK300)</f>
        <v>24709.87</v>
      </c>
      <c r="CS300"/>
      <c r="CT300"/>
      <c r="CU300"/>
      <c r="CY300" s="3283" t="s">
        <v>161</v>
      </c>
      <c r="CZ300" s="3283" t="s">
        <v>167</v>
      </c>
      <c r="DA300" s="3283" t="s">
        <v>181</v>
      </c>
      <c r="DB300" s="3281" t="s">
        <v>170</v>
      </c>
      <c r="DC300"/>
      <c r="DD300"/>
      <c r="DE300"/>
      <c r="DF300"/>
      <c r="DG300"/>
      <c r="DH300"/>
      <c r="EO300" s="19"/>
      <c r="EP300"/>
      <c r="ER300" s="1"/>
      <c r="EY300" s="14"/>
      <c r="EZ300"/>
      <c r="FA300"/>
      <c r="FB300"/>
      <c r="FD300"/>
      <c r="FE300"/>
      <c r="FF300"/>
      <c r="FG300" s="19"/>
      <c r="FI300"/>
      <c r="FJ300"/>
      <c r="FK300"/>
      <c r="FL300"/>
      <c r="FM300"/>
      <c r="FN300"/>
      <c r="FO300" s="19"/>
      <c r="FQ300"/>
      <c r="FR300"/>
      <c r="FS300"/>
      <c r="FT300"/>
      <c r="FU300"/>
      <c r="FV300"/>
      <c r="FW300" s="19"/>
      <c r="FY300"/>
      <c r="FZ300"/>
      <c r="GA300"/>
      <c r="GB300"/>
      <c r="GC300"/>
      <c r="GD300"/>
      <c r="GE300" s="19"/>
      <c r="GG300"/>
      <c r="GH300"/>
      <c r="GI300"/>
      <c r="GJ300"/>
      <c r="GK300"/>
      <c r="GL300"/>
      <c r="GM300" s="19"/>
      <c r="GO300" s="19"/>
      <c r="GP300" s="19"/>
      <c r="GT300" s="14"/>
      <c r="GV300" s="14"/>
      <c r="GW300" s="14"/>
      <c r="GZ300" s="958" t="s">
        <v>649</v>
      </c>
      <c r="HA300" s="959"/>
      <c r="HB300" s="959"/>
      <c r="HC300" s="959"/>
      <c r="HD300" s="959"/>
      <c r="HE300" s="960"/>
      <c r="HF300" s="862" t="s">
        <v>482</v>
      </c>
      <c r="HG300" s="863"/>
      <c r="HH300" s="1"/>
    </row>
    <row r="301" spans="1:216" ht="15" customHeight="1" thickBot="1" x14ac:dyDescent="0.3">
      <c r="G301" s="19"/>
      <c r="H301"/>
      <c r="J301" s="1"/>
      <c r="Q301" s="14"/>
      <c r="R301"/>
      <c r="S301"/>
      <c r="T301"/>
      <c r="V301"/>
      <c r="W301"/>
      <c r="X301"/>
      <c r="Y301" s="19"/>
      <c r="AA301"/>
      <c r="AB301"/>
      <c r="AC301"/>
      <c r="AD301"/>
      <c r="AE301"/>
      <c r="AF301"/>
      <c r="AG301" s="19"/>
      <c r="AI301"/>
      <c r="AJ301"/>
      <c r="AK301"/>
      <c r="AL301"/>
      <c r="AM301"/>
      <c r="AN301"/>
      <c r="AO301" s="19"/>
      <c r="AQ301"/>
      <c r="AR301"/>
      <c r="AS301"/>
      <c r="AT301"/>
      <c r="AU301"/>
      <c r="AV301"/>
      <c r="AW301" s="19"/>
      <c r="AY301"/>
      <c r="AZ301"/>
      <c r="BA301"/>
      <c r="BB301"/>
      <c r="BC301"/>
      <c r="BD301"/>
      <c r="BE301" s="19"/>
      <c r="BG301" s="19"/>
      <c r="BH301" s="19"/>
      <c r="BI301" s="977" t="str">
        <f t="shared" ref="BI301:BO303" si="1761">C297</f>
        <v>Sponsor IDCs at OSU's rate</v>
      </c>
      <c r="BJ301" s="961">
        <f t="shared" ca="1" si="1761"/>
        <v>0</v>
      </c>
      <c r="BK301" s="961">
        <f t="shared" ca="1" si="1761"/>
        <v>0</v>
      </c>
      <c r="BL301" s="961">
        <f t="shared" ca="1" si="1761"/>
        <v>0</v>
      </c>
      <c r="BM301" s="961">
        <f t="shared" ca="1" si="1761"/>
        <v>0</v>
      </c>
      <c r="BN301" s="961">
        <f t="shared" ca="1" si="1761"/>
        <v>0</v>
      </c>
      <c r="BO301" s="961">
        <f t="shared" ca="1" si="1761"/>
        <v>0</v>
      </c>
      <c r="BP301" s="963">
        <f ca="1">SUM(BJ301:BO301)</f>
        <v>0</v>
      </c>
      <c r="BR301" s="1399">
        <f t="shared" ref="BR301:BW301" ca="1" si="1762">SUM(D295,BR295,BR305)</f>
        <v>50000.337972000001</v>
      </c>
      <c r="BS301" s="1399">
        <f t="shared" ca="1" si="1762"/>
        <v>0</v>
      </c>
      <c r="BT301" s="1399">
        <f t="shared" ca="1" si="1762"/>
        <v>0</v>
      </c>
      <c r="BU301" s="1399">
        <f t="shared" ca="1" si="1762"/>
        <v>0</v>
      </c>
      <c r="BV301" s="1399">
        <f t="shared" ca="1" si="1762"/>
        <v>0</v>
      </c>
      <c r="BW301" s="1399">
        <f t="shared" ca="1" si="1762"/>
        <v>0</v>
      </c>
      <c r="BX301" s="1400"/>
      <c r="BY301" s="1401">
        <f ca="1">SUM(BR301:BW301)</f>
        <v>50000.337972000001</v>
      </c>
      <c r="BZ301" s="14" t="s">
        <v>483</v>
      </c>
      <c r="CS301"/>
      <c r="CT301"/>
      <c r="CU301"/>
      <c r="CY301" s="3284"/>
      <c r="CZ301" s="3284"/>
      <c r="DA301" s="3284"/>
      <c r="DB301" s="3282"/>
      <c r="DC301"/>
      <c r="DD301"/>
      <c r="DE301"/>
      <c r="DF301"/>
      <c r="DG301"/>
      <c r="DH301"/>
      <c r="EO301" s="19"/>
      <c r="EP301"/>
      <c r="ER301" s="1"/>
      <c r="EY301" s="14"/>
      <c r="EZ301"/>
      <c r="FA301"/>
      <c r="FB301"/>
      <c r="FD301"/>
      <c r="FE301"/>
      <c r="FF301"/>
      <c r="FG301" s="19"/>
      <c r="FI301"/>
      <c r="FJ301"/>
      <c r="FK301"/>
      <c r="FL301"/>
      <c r="FM301"/>
      <c r="FN301"/>
      <c r="FO301" s="19"/>
      <c r="FQ301"/>
      <c r="FR301"/>
      <c r="FS301"/>
      <c r="FT301"/>
      <c r="FU301"/>
      <c r="FV301"/>
      <c r="FW301" s="19"/>
      <c r="FY301"/>
      <c r="FZ301"/>
      <c r="GA301"/>
      <c r="GB301"/>
      <c r="GC301"/>
      <c r="GD301"/>
      <c r="GE301" s="19"/>
      <c r="GG301"/>
      <c r="GH301"/>
      <c r="GI301"/>
      <c r="GJ301"/>
      <c r="GK301"/>
      <c r="GL301"/>
      <c r="GM301" s="19"/>
      <c r="GO301" s="19"/>
      <c r="GP301" s="19"/>
      <c r="GQ301" s="977" t="str">
        <f t="shared" ref="GQ301:GW303" si="1763">EK297</f>
        <v>Sponsor IDCs at OSU's rate</v>
      </c>
      <c r="GR301" s="961">
        <f t="shared" ca="1" si="1763"/>
        <v>0</v>
      </c>
      <c r="GS301" s="961">
        <f t="shared" ca="1" si="1763"/>
        <v>0</v>
      </c>
      <c r="GT301" s="961">
        <f t="shared" ca="1" si="1763"/>
        <v>0</v>
      </c>
      <c r="GU301" s="961">
        <f t="shared" ca="1" si="1763"/>
        <v>0</v>
      </c>
      <c r="GV301" s="961">
        <f t="shared" ca="1" si="1763"/>
        <v>0</v>
      </c>
      <c r="GW301" s="961">
        <f t="shared" ca="1" si="1763"/>
        <v>0</v>
      </c>
      <c r="GX301" s="963">
        <f ca="1">SUM(GR301:GW301)</f>
        <v>0</v>
      </c>
      <c r="GZ301" s="1399">
        <f t="shared" ref="GZ301:HE301" ca="1" si="1764">SUM(EL295,GZ295,GZ305)</f>
        <v>50000</v>
      </c>
      <c r="HA301" s="1399">
        <f t="shared" ca="1" si="1764"/>
        <v>0</v>
      </c>
      <c r="HB301" s="1399">
        <f t="shared" ca="1" si="1764"/>
        <v>0</v>
      </c>
      <c r="HC301" s="1399">
        <f t="shared" ca="1" si="1764"/>
        <v>0</v>
      </c>
      <c r="HD301" s="1399">
        <f t="shared" ca="1" si="1764"/>
        <v>0</v>
      </c>
      <c r="HE301" s="1399">
        <f t="shared" ca="1" si="1764"/>
        <v>0</v>
      </c>
      <c r="HF301" s="1400"/>
      <c r="HG301" s="1401">
        <f ca="1">SUM(GZ301:HE301)</f>
        <v>50000</v>
      </c>
      <c r="HH301" s="14" t="s">
        <v>483</v>
      </c>
    </row>
    <row r="302" spans="1:216" ht="15" customHeight="1" thickBot="1" x14ac:dyDescent="0.3">
      <c r="C302" s="2323"/>
      <c r="D302" s="2329" t="s">
        <v>148</v>
      </c>
      <c r="E302" s="2329" t="s">
        <v>372</v>
      </c>
      <c r="G302" s="19"/>
      <c r="H302"/>
      <c r="J302" s="901" t="s">
        <v>217</v>
      </c>
      <c r="K302" s="902"/>
      <c r="L302" s="902"/>
      <c r="M302" s="903"/>
      <c r="N302" s="4" t="s">
        <v>311</v>
      </c>
      <c r="O302" s="4" t="s">
        <v>311</v>
      </c>
      <c r="Q302" s="14"/>
      <c r="R302"/>
      <c r="S302"/>
      <c r="T302"/>
      <c r="V302"/>
      <c r="W302"/>
      <c r="X302"/>
      <c r="Y302" s="19"/>
      <c r="AA302"/>
      <c r="AB302"/>
      <c r="AC302"/>
      <c r="AD302"/>
      <c r="AE302"/>
      <c r="AF302"/>
      <c r="AG302" s="19"/>
      <c r="AI302"/>
      <c r="AJ302"/>
      <c r="AK302"/>
      <c r="AL302"/>
      <c r="AM302"/>
      <c r="AN302"/>
      <c r="AO302" s="19"/>
      <c r="AQ302"/>
      <c r="AR302"/>
      <c r="AS302"/>
      <c r="AT302"/>
      <c r="AU302"/>
      <c r="AV302"/>
      <c r="AW302" s="19"/>
      <c r="AY302"/>
      <c r="AZ302"/>
      <c r="BA302"/>
      <c r="BB302"/>
      <c r="BC302"/>
      <c r="BD302"/>
      <c r="BE302" s="19"/>
      <c r="BG302" s="19"/>
      <c r="BH302" s="19"/>
      <c r="BI302" s="978" t="str">
        <f t="shared" si="1761"/>
        <v>Sponsor IDCs at limited rate</v>
      </c>
      <c r="BJ302" s="410">
        <f t="shared" ca="1" si="1761"/>
        <v>0</v>
      </c>
      <c r="BK302" s="410">
        <f t="shared" ca="1" si="1761"/>
        <v>0</v>
      </c>
      <c r="BL302" s="410">
        <f t="shared" ca="1" si="1761"/>
        <v>0</v>
      </c>
      <c r="BM302" s="410">
        <f t="shared" ca="1" si="1761"/>
        <v>0</v>
      </c>
      <c r="BN302" s="410">
        <f t="shared" ca="1" si="1761"/>
        <v>0</v>
      </c>
      <c r="BO302" s="410">
        <f t="shared" ca="1" si="1761"/>
        <v>0</v>
      </c>
      <c r="BP302" s="971">
        <f ca="1">SUM(BJ302:BO302)</f>
        <v>0</v>
      </c>
      <c r="BR302" s="1564" t="str">
        <f>IF($C$8&gt;0,IF($C$9='Reference Sheet'!$A$22,(D$295*(1+$C$8)),IF($C$8&lt;1,((D$295+BR305)/(1-$C$8)),0)),"")</f>
        <v/>
      </c>
      <c r="BS302" s="1564" t="str">
        <f>IF($C$8&gt;0,IF($C$9='Reference Sheet'!$A$22,(E$295*(1+$C$8)),IF($C$8&lt;1,((E$295+BS305)/(1-$C$8)),0)),"")</f>
        <v/>
      </c>
      <c r="BT302" s="1564" t="str">
        <f>IF($C$8&gt;0,IF($C$9='Reference Sheet'!$A$22,(F$295*(1+$C$8)),IF($C$8&lt;1,((F$295+BT305)/(1-$C$8)),0)),"")</f>
        <v/>
      </c>
      <c r="BU302" s="1564" t="str">
        <f>IF($C$8&gt;0,IF($C$9='Reference Sheet'!$A$22,(G$295*(1+$C$8)),IF($C$8&lt;1,((G$295+BU305)/(1-$C$8)),0)),"")</f>
        <v/>
      </c>
      <c r="BV302" s="1564" t="str">
        <f>IF($C$8&gt;0,IF($C$9='Reference Sheet'!$A$22,(H$295*(1+$C$8)),IF($C$8&lt;1,((H$295+BV305)/(1-$C$8)),0)),"")</f>
        <v/>
      </c>
      <c r="BW302" s="1564" t="str">
        <f>IF($C$8&gt;0,IF($C$9='Reference Sheet'!$A$22,(I$295*(1+$C$8)),IF($C$8&lt;1,((I$295+BW305)/(1-$C$8)),0)),"")</f>
        <v/>
      </c>
      <c r="BX302" s="1564"/>
      <c r="BY302" s="1565" t="str">
        <f>IF($C$8&gt;0,IF($C$9='Reference Sheet'!$A$22,(J$295*(1+$C$8)),IF($C$8&lt;1,((J$295+BY305)/(1-$C$8)),0)),"")</f>
        <v/>
      </c>
      <c r="BZ302" s="1566" t="str">
        <f>IF($C$8&gt;0,"Required Total by Year","")</f>
        <v/>
      </c>
      <c r="CC302" s="3385" t="s">
        <v>184</v>
      </c>
      <c r="CD302" s="3386"/>
      <c r="CE302" s="3379" t="s">
        <v>185</v>
      </c>
      <c r="CF302" s="3380"/>
      <c r="CG302" s="3380"/>
      <c r="CH302" s="3381"/>
      <c r="CI302" s="3382" t="s">
        <v>186</v>
      </c>
      <c r="CJ302" s="3383"/>
      <c r="CK302" s="3383"/>
      <c r="CL302" s="3384"/>
      <c r="CM302" s="3412" t="s">
        <v>187</v>
      </c>
      <c r="CN302" s="3413"/>
      <c r="CO302" s="3414"/>
      <c r="CP302" s="307" t="s">
        <v>3</v>
      </c>
      <c r="CS302"/>
      <c r="CT302"/>
      <c r="CU302"/>
      <c r="CY302" s="236">
        <f>DE295</f>
        <v>0</v>
      </c>
      <c r="CZ302" s="236">
        <f>DS295</f>
        <v>0</v>
      </c>
      <c r="DA302" s="236">
        <f>EG295</f>
        <v>0</v>
      </c>
      <c r="DB302" s="236">
        <f>SUM(CY302:DA302)</f>
        <v>0</v>
      </c>
      <c r="DC302"/>
      <c r="DD302"/>
      <c r="DE302"/>
      <c r="DF302"/>
      <c r="DG302"/>
      <c r="DH302"/>
      <c r="EK302" s="2323"/>
      <c r="EL302" s="2329" t="s">
        <v>148</v>
      </c>
      <c r="EM302" s="2329" t="s">
        <v>372</v>
      </c>
      <c r="EO302" s="19"/>
      <c r="EP302"/>
      <c r="ER302" s="901" t="s">
        <v>217</v>
      </c>
      <c r="ES302" s="902"/>
      <c r="ET302" s="902"/>
      <c r="EU302" s="903"/>
      <c r="EV302" s="4" t="s">
        <v>311</v>
      </c>
      <c r="EW302" s="4" t="s">
        <v>311</v>
      </c>
      <c r="EY302" s="14"/>
      <c r="EZ302"/>
      <c r="FA302"/>
      <c r="FB302"/>
      <c r="FD302"/>
      <c r="FE302"/>
      <c r="FF302"/>
      <c r="FG302" s="19"/>
      <c r="FI302"/>
      <c r="FJ302"/>
      <c r="FK302"/>
      <c r="FL302"/>
      <c r="FM302"/>
      <c r="FN302"/>
      <c r="FO302" s="19"/>
      <c r="FQ302"/>
      <c r="FR302"/>
      <c r="FS302"/>
      <c r="FT302"/>
      <c r="FU302"/>
      <c r="FV302"/>
      <c r="FW302" s="19"/>
      <c r="FY302"/>
      <c r="FZ302"/>
      <c r="GA302"/>
      <c r="GB302"/>
      <c r="GC302"/>
      <c r="GD302"/>
      <c r="GE302" s="19"/>
      <c r="GG302"/>
      <c r="GH302"/>
      <c r="GI302"/>
      <c r="GJ302"/>
      <c r="GK302"/>
      <c r="GL302"/>
      <c r="GM302" s="19"/>
      <c r="GO302" s="19"/>
      <c r="GP302" s="19"/>
      <c r="GQ302" s="978" t="str">
        <f t="shared" si="1763"/>
        <v>Sponsor IDCs at limited rate</v>
      </c>
      <c r="GR302" s="410">
        <f t="shared" ca="1" si="1763"/>
        <v>0</v>
      </c>
      <c r="GS302" s="410">
        <f t="shared" ca="1" si="1763"/>
        <v>0</v>
      </c>
      <c r="GT302" s="410">
        <f t="shared" ca="1" si="1763"/>
        <v>0</v>
      </c>
      <c r="GU302" s="410">
        <f t="shared" ca="1" si="1763"/>
        <v>0</v>
      </c>
      <c r="GV302" s="410">
        <f t="shared" ca="1" si="1763"/>
        <v>0</v>
      </c>
      <c r="GW302" s="410">
        <f t="shared" ca="1" si="1763"/>
        <v>0</v>
      </c>
      <c r="GX302" s="971">
        <f ca="1">SUM(GR302:GW302)</f>
        <v>0</v>
      </c>
      <c r="GZ302" s="1564" t="str">
        <f>IF($C$8&gt;0,IF($C$9='Reference Sheet'!$A$22,(EL$295*(1+$C$8)),IF($C$8&lt;1,((EL$295+GZ305)/(1-$C$8)),0)),"")</f>
        <v/>
      </c>
      <c r="HA302" s="1564" t="str">
        <f>IF($C$8&gt;0,IF($C$9='Reference Sheet'!$A$22,(EM$295*(1+$C$8)),IF($C$8&lt;1,((EM$295+HA305)/(1-$C$8)),0)),"")</f>
        <v/>
      </c>
      <c r="HB302" s="1564" t="str">
        <f>IF($C$8&gt;0,IF($C$9='Reference Sheet'!$A$22,(EN$295*(1+$C$8)),IF($C$8&lt;1,((EN$295+HB305)/(1-$C$8)),0)),"")</f>
        <v/>
      </c>
      <c r="HC302" s="1564" t="str">
        <f>IF($C$8&gt;0,IF($C$9='Reference Sheet'!$A$22,(EO$295*(1+$C$8)),IF($C$8&lt;1,((EO$295+HC305)/(1-$C$8)),0)),"")</f>
        <v/>
      </c>
      <c r="HD302" s="1564" t="str">
        <f>IF($C$8&gt;0,IF($C$9='Reference Sheet'!$A$22,(EP$295*(1+$C$8)),IF($C$8&lt;1,((EP$295+HD305)/(1-$C$8)),0)),"")</f>
        <v/>
      </c>
      <c r="HE302" s="1564" t="str">
        <f>IF($C$8&gt;0,IF($C$9='Reference Sheet'!$A$22,(EQ$295*(1+$C$8)),IF($C$8&lt;1,((EQ$295+HE305)/(1-$C$8)),0)),"")</f>
        <v/>
      </c>
      <c r="HF302" s="1564"/>
      <c r="HG302" s="1565" t="str">
        <f>IF($C$8&gt;0,IF($C$9='Reference Sheet'!$A$22,(ER$295*(1+$C$8)),IF($C$8&lt;1,((ER$295+HG305)/(1-$C$8)),0)),"")</f>
        <v/>
      </c>
      <c r="HH302" s="1566" t="str">
        <f>IF($C$8&gt;0,"Required Total by Year","")</f>
        <v/>
      </c>
    </row>
    <row r="303" spans="1:216" ht="15" customHeight="1" thickBot="1" x14ac:dyDescent="0.3">
      <c r="C303" s="2324" t="s">
        <v>644</v>
      </c>
      <c r="D303" s="2327">
        <f>C294</f>
        <v>0</v>
      </c>
      <c r="E303" s="2326">
        <f>C294</f>
        <v>0</v>
      </c>
      <c r="G303" s="19"/>
      <c r="J303" s="904" t="s">
        <v>307</v>
      </c>
      <c r="K303" s="904" t="s">
        <v>311</v>
      </c>
      <c r="L303" s="904" t="s">
        <v>406</v>
      </c>
      <c r="M303" s="505" t="s">
        <v>407</v>
      </c>
      <c r="N303" s="2331" t="s">
        <v>774</v>
      </c>
      <c r="O303" s="2490" t="s">
        <v>773</v>
      </c>
      <c r="Q303" s="14"/>
      <c r="R303"/>
      <c r="S303"/>
      <c r="T303"/>
      <c r="V303"/>
      <c r="W303"/>
      <c r="X303"/>
      <c r="Y303" s="19"/>
      <c r="AA303"/>
      <c r="AB303"/>
      <c r="AC303"/>
      <c r="AD303"/>
      <c r="AE303"/>
      <c r="AF303"/>
      <c r="AG303" s="19"/>
      <c r="AI303"/>
      <c r="AJ303"/>
      <c r="AK303"/>
      <c r="AL303"/>
      <c r="AM303"/>
      <c r="AN303"/>
      <c r="AO303" s="19"/>
      <c r="AQ303"/>
      <c r="AR303"/>
      <c r="AS303"/>
      <c r="AT303"/>
      <c r="AU303"/>
      <c r="AV303"/>
      <c r="AW303" s="19"/>
      <c r="AY303"/>
      <c r="AZ303"/>
      <c r="BA303"/>
      <c r="BB303"/>
      <c r="BC303"/>
      <c r="BD303"/>
      <c r="BE303" s="19"/>
      <c r="BG303" s="19"/>
      <c r="BH303" s="19"/>
      <c r="BI303" s="979" t="str">
        <f t="shared" si="1761"/>
        <v>Unrecovered F&amp;A on Sponsor Funds</v>
      </c>
      <c r="BJ303" s="973">
        <f t="shared" si="1761"/>
        <v>0</v>
      </c>
      <c r="BK303" s="973">
        <f t="shared" si="1761"/>
        <v>0</v>
      </c>
      <c r="BL303" s="973">
        <f t="shared" si="1761"/>
        <v>0</v>
      </c>
      <c r="BM303" s="973">
        <f t="shared" si="1761"/>
        <v>0</v>
      </c>
      <c r="BN303" s="973">
        <f t="shared" si="1761"/>
        <v>0</v>
      </c>
      <c r="BO303" s="974">
        <f t="shared" si="1761"/>
        <v>0</v>
      </c>
      <c r="BP303" s="970">
        <f>SUM(BJ303:BO303)</f>
        <v>0</v>
      </c>
      <c r="CC303" s="281" t="s">
        <v>178</v>
      </c>
      <c r="CD303" s="282" t="s">
        <v>188</v>
      </c>
      <c r="CE303" s="283" t="s">
        <v>176</v>
      </c>
      <c r="CF303" s="283" t="s">
        <v>177</v>
      </c>
      <c r="CG303" s="283" t="s">
        <v>178</v>
      </c>
      <c r="CH303" s="283" t="s">
        <v>175</v>
      </c>
      <c r="CI303" s="284" t="s">
        <v>176</v>
      </c>
      <c r="CJ303" s="284" t="s">
        <v>177</v>
      </c>
      <c r="CK303" s="284" t="s">
        <v>178</v>
      </c>
      <c r="CL303" s="284" t="s">
        <v>175</v>
      </c>
      <c r="CM303" s="285" t="s">
        <v>176</v>
      </c>
      <c r="CN303" s="285" t="s">
        <v>177</v>
      </c>
      <c r="CO303" s="285" t="s">
        <v>178</v>
      </c>
      <c r="CP303" s="308"/>
      <c r="CS303"/>
      <c r="CT303"/>
      <c r="CU303"/>
      <c r="CV303"/>
      <c r="CW303"/>
      <c r="CX303"/>
      <c r="CY303"/>
      <c r="CZ303"/>
      <c r="DA303"/>
      <c r="DB303"/>
      <c r="DC303"/>
      <c r="DD303"/>
      <c r="DE303"/>
      <c r="DF303"/>
      <c r="DG303"/>
      <c r="DH303"/>
      <c r="EK303" s="2324" t="s">
        <v>644</v>
      </c>
      <c r="EL303" s="2327">
        <f>EK294</f>
        <v>0</v>
      </c>
      <c r="EM303" s="2326">
        <f>EK294</f>
        <v>0</v>
      </c>
      <c r="EO303" s="19"/>
      <c r="ER303" s="904" t="s">
        <v>307</v>
      </c>
      <c r="ES303" s="904" t="s">
        <v>311</v>
      </c>
      <c r="ET303" s="904" t="s">
        <v>406</v>
      </c>
      <c r="EU303" s="505" t="s">
        <v>407</v>
      </c>
      <c r="EV303" s="2331" t="s">
        <v>774</v>
      </c>
      <c r="EW303" s="2490" t="s">
        <v>773</v>
      </c>
      <c r="EY303" s="14"/>
      <c r="EZ303"/>
      <c r="FA303"/>
      <c r="FB303"/>
      <c r="FD303"/>
      <c r="FE303"/>
      <c r="FF303"/>
      <c r="FG303" s="19"/>
      <c r="FI303"/>
      <c r="FJ303"/>
      <c r="FK303"/>
      <c r="FL303"/>
      <c r="FM303"/>
      <c r="FN303"/>
      <c r="FO303" s="19"/>
      <c r="FQ303"/>
      <c r="FR303"/>
      <c r="FS303"/>
      <c r="FT303"/>
      <c r="FU303"/>
      <c r="FV303"/>
      <c r="FW303" s="19"/>
      <c r="FY303"/>
      <c r="FZ303"/>
      <c r="GA303"/>
      <c r="GB303"/>
      <c r="GC303"/>
      <c r="GD303"/>
      <c r="GE303" s="19"/>
      <c r="GG303"/>
      <c r="GH303"/>
      <c r="GI303"/>
      <c r="GJ303"/>
      <c r="GK303"/>
      <c r="GL303"/>
      <c r="GM303" s="19"/>
      <c r="GO303" s="19"/>
      <c r="GP303" s="19"/>
      <c r="GQ303" s="979" t="str">
        <f t="shared" si="1763"/>
        <v>Unrecovered F&amp;A on Sponsor Funds</v>
      </c>
      <c r="GR303" s="973">
        <f t="shared" ca="1" si="1763"/>
        <v>0</v>
      </c>
      <c r="GS303" s="973">
        <f t="shared" ca="1" si="1763"/>
        <v>0</v>
      </c>
      <c r="GT303" s="973">
        <f t="shared" ca="1" si="1763"/>
        <v>0</v>
      </c>
      <c r="GU303" s="973">
        <f t="shared" ca="1" si="1763"/>
        <v>0</v>
      </c>
      <c r="GV303" s="973">
        <f t="shared" ca="1" si="1763"/>
        <v>0</v>
      </c>
      <c r="GW303" s="974">
        <f t="shared" ca="1" si="1763"/>
        <v>0</v>
      </c>
      <c r="GX303" s="970">
        <f ca="1">SUM(GR303:GW303)</f>
        <v>0</v>
      </c>
    </row>
    <row r="304" spans="1:216" ht="15" customHeight="1" thickBot="1" x14ac:dyDescent="0.3">
      <c r="C304" s="2324" t="str">
        <f>C292</f>
        <v>Modified Total Direct Costs (MTDC)</v>
      </c>
      <c r="D304" s="2325">
        <f ca="1">D292</f>
        <v>50000.337972000001</v>
      </c>
      <c r="E304" s="2328">
        <f ca="1">J292</f>
        <v>50000.337972000001</v>
      </c>
      <c r="G304" s="19"/>
      <c r="J304" s="520" t="str">
        <f>$N$10</f>
        <v/>
      </c>
      <c r="K304" s="717">
        <f ca="1">$T$295</f>
        <v>0</v>
      </c>
      <c r="L304" s="521">
        <f t="shared" ref="L304:L310" ca="1" si="1765">IFERROR(K304/$BY$295,0)</f>
        <v>0</v>
      </c>
      <c r="M304" s="522">
        <f ca="1">IFERROR(T295/$J$295,0)</f>
        <v>0</v>
      </c>
      <c r="N304" s="40" t="str">
        <f t="array" ref="N304">IFERROR(INDEX('DATA INPUT'!$C$11:$C$25,MATCH(0,COUNTIF($N$303:N303,'DATA INPUT'!$C$11:$C$25)
+ IF('DATA INPUT'!$H$11:$H$25&lt;&gt;3,1,0)
* IF('DATA INPUT'!$V$11:$V$25&lt;&gt;3,1,0)
* IF('DATA INPUT'!$AD$11:$AD$25&lt;&gt;3,1,0),0)),"")</f>
        <v/>
      </c>
      <c r="O304" s="1" t="str">
        <f>IFERROR(VLOOKUP(J304,Table_CostShareWorktag[],2, FALSE),"")</f>
        <v/>
      </c>
      <c r="Q304" s="14"/>
      <c r="R304"/>
      <c r="S304"/>
      <c r="T304"/>
      <c r="V304"/>
      <c r="W304"/>
      <c r="X304"/>
      <c r="Y304" s="19"/>
      <c r="AA304"/>
      <c r="AB304"/>
      <c r="AC304"/>
      <c r="AD304"/>
      <c r="AE304"/>
      <c r="AF304"/>
      <c r="AG304" s="19"/>
      <c r="AI304"/>
      <c r="AJ304"/>
      <c r="AK304"/>
      <c r="AL304"/>
      <c r="AM304"/>
      <c r="AN304"/>
      <c r="AO304" s="19"/>
      <c r="AQ304"/>
      <c r="AR304"/>
      <c r="AS304"/>
      <c r="AT304"/>
      <c r="AU304"/>
      <c r="AV304"/>
      <c r="AW304" s="19"/>
      <c r="AY304"/>
      <c r="AZ304"/>
      <c r="BA304"/>
      <c r="BB304"/>
      <c r="BC304"/>
      <c r="BD304"/>
      <c r="BE304" s="19"/>
      <c r="BG304" s="19"/>
      <c r="BH304" s="19"/>
      <c r="BL304" s="14"/>
      <c r="BN304" s="14"/>
      <c r="BO304" s="14"/>
      <c r="BR304" s="1144" t="s">
        <v>650</v>
      </c>
      <c r="BS304" s="1145"/>
      <c r="BT304" s="1145"/>
      <c r="BU304" s="1145"/>
      <c r="BV304" s="1145"/>
      <c r="BW304" s="1146"/>
      <c r="BX304" s="1147" t="s">
        <v>473</v>
      </c>
      <c r="BY304" s="1148"/>
      <c r="CC304" s="1405">
        <f>CA295</f>
        <v>0</v>
      </c>
      <c r="CD304" s="1405">
        <f ca="1">CB295</f>
        <v>24709.87</v>
      </c>
      <c r="CE304" s="1406">
        <f ca="1">CC295</f>
        <v>0</v>
      </c>
      <c r="CF304" s="1406">
        <f ca="1">CD295</f>
        <v>0</v>
      </c>
      <c r="CG304" s="1406">
        <f ca="1">SUM(CE295:CF295)</f>
        <v>0</v>
      </c>
      <c r="CH304" s="1406">
        <f ca="1">CG295</f>
        <v>0</v>
      </c>
      <c r="CI304" s="1407">
        <f ca="1">CH295</f>
        <v>0</v>
      </c>
      <c r="CJ304" s="1407">
        <f ca="1">CI295</f>
        <v>0</v>
      </c>
      <c r="CK304" s="1407">
        <f ca="1">SUM(CJ295,CK295)</f>
        <v>0</v>
      </c>
      <c r="CL304" s="1407">
        <f ca="1">CL295</f>
        <v>0</v>
      </c>
      <c r="CM304" s="1408">
        <f ca="1">CM295</f>
        <v>0</v>
      </c>
      <c r="CN304" s="1408">
        <f ca="1">CN295</f>
        <v>0</v>
      </c>
      <c r="CO304" s="1408">
        <f ca="1">CO295</f>
        <v>0</v>
      </c>
      <c r="CP304" s="309"/>
      <c r="CS304"/>
      <c r="CT304"/>
      <c r="CU304"/>
      <c r="CV304"/>
      <c r="CW304"/>
      <c r="CX304"/>
      <c r="CY304"/>
      <c r="CZ304"/>
      <c r="DA304"/>
      <c r="DB304"/>
      <c r="DC304"/>
      <c r="DD304"/>
      <c r="DE304"/>
      <c r="DF304"/>
      <c r="DG304"/>
      <c r="DH304"/>
      <c r="EK304" s="2324" t="str">
        <f>EK292</f>
        <v>Modified Total Direct Costs (MTDC)</v>
      </c>
      <c r="EL304" s="2325">
        <f ca="1">EL292</f>
        <v>50000</v>
      </c>
      <c r="EM304" s="2328">
        <f ca="1">ER292</f>
        <v>50000</v>
      </c>
      <c r="EO304" s="19"/>
      <c r="ER304" s="520" t="str">
        <f>$N$10</f>
        <v/>
      </c>
      <c r="ES304" s="717">
        <f ca="1">$T$295</f>
        <v>0</v>
      </c>
      <c r="ET304" s="521">
        <f t="shared" ref="ET304:ET310" ca="1" si="1766">IFERROR(ES304/$BY$295,0)</f>
        <v>0</v>
      </c>
      <c r="EU304" s="522">
        <f ca="1">IFERROR(FB295/$J$295,0)</f>
        <v>0</v>
      </c>
      <c r="EV304" s="40" t="str">
        <f t="array" ref="EV304">IFERROR(INDEX('DATA INPUT'!$C$11:$C$25,MATCH(0,COUNTIF($N$303:EV303,'DATA INPUT'!$C$11:$C$25)
+ IF('DATA INPUT'!$H$11:$H$25&lt;&gt;3,1,0)
* IF('DATA INPUT'!$V$11:$V$25&lt;&gt;3,1,0)
* IF('DATA INPUT'!$AD$11:$AD$25&lt;&gt;3,1,0),0)),"")</f>
        <v/>
      </c>
      <c r="EW304" s="1" t="str">
        <f>IFERROR(VLOOKUP(ER304,Table_CostShareWorktag[],2, FALSE),"")</f>
        <v/>
      </c>
      <c r="EY304" s="14"/>
      <c r="EZ304"/>
      <c r="FA304"/>
      <c r="FB304"/>
      <c r="FD304"/>
      <c r="FE304"/>
      <c r="FF304"/>
      <c r="FG304" s="19"/>
      <c r="FI304"/>
      <c r="FJ304"/>
      <c r="FK304"/>
      <c r="FL304"/>
      <c r="FM304"/>
      <c r="FN304"/>
      <c r="FO304" s="19"/>
      <c r="FQ304"/>
      <c r="FR304"/>
      <c r="FS304"/>
      <c r="FT304"/>
      <c r="FU304"/>
      <c r="FV304"/>
      <c r="FW304" s="19"/>
      <c r="FY304"/>
      <c r="FZ304"/>
      <c r="GA304"/>
      <c r="GB304"/>
      <c r="GC304"/>
      <c r="GD304"/>
      <c r="GE304" s="19"/>
      <c r="GG304"/>
      <c r="GH304"/>
      <c r="GI304"/>
      <c r="GJ304"/>
      <c r="GK304"/>
      <c r="GL304"/>
      <c r="GM304" s="19"/>
      <c r="GO304" s="19"/>
      <c r="GP304" s="19"/>
      <c r="GT304" s="14"/>
      <c r="GV304" s="14"/>
      <c r="GW304" s="14"/>
      <c r="GZ304" s="1144" t="s">
        <v>650</v>
      </c>
      <c r="HA304" s="1145"/>
      <c r="HB304" s="1145"/>
      <c r="HC304" s="1145"/>
      <c r="HD304" s="1145"/>
      <c r="HE304" s="1146"/>
      <c r="HF304" s="1147" t="s">
        <v>473</v>
      </c>
      <c r="HG304" s="1148"/>
    </row>
    <row r="305" spans="1:216" ht="15" customHeight="1" thickBot="1" x14ac:dyDescent="0.3">
      <c r="C305" s="2324" t="s">
        <v>645</v>
      </c>
      <c r="D305" s="2325">
        <f ca="1">D293</f>
        <v>0</v>
      </c>
      <c r="E305" s="2328">
        <f ca="1">J293</f>
        <v>0</v>
      </c>
      <c r="G305" s="19"/>
      <c r="J305" s="523" t="str">
        <f>$V$10</f>
        <v/>
      </c>
      <c r="K305" s="713">
        <f ca="1">$AB$295</f>
        <v>0</v>
      </c>
      <c r="L305" s="524">
        <f t="shared" ca="1" si="1765"/>
        <v>0</v>
      </c>
      <c r="M305" s="525">
        <f ca="1">IFERROR(AB295/$J$295,0)</f>
        <v>0</v>
      </c>
      <c r="N305" s="40" t="str">
        <f t="array" ref="N305">IFERROR(INDEX('DATA INPUT'!$C$11:$C$25,MATCH(0,COUNTIF($N$303:N304,'DATA INPUT'!$C$11:$C$25)
+ IF('DATA INPUT'!$H$11:$H$25&lt;&gt;3,1,0)
* IF('DATA INPUT'!$V$11:$V$25&lt;&gt;3,1,0)
* IF('DATA INPUT'!$AD$11:$AD$25&lt;&gt;3,1,0),0)),"")</f>
        <v/>
      </c>
      <c r="O305" s="1" t="str">
        <f>IFERROR(VLOOKUP(J305,Table_CostShareWorktag[],2, FALSE),"")</f>
        <v/>
      </c>
      <c r="Q305" s="14"/>
      <c r="R305"/>
      <c r="S305"/>
      <c r="T305"/>
      <c r="V305"/>
      <c r="W305"/>
      <c r="X305"/>
      <c r="Y305" s="19"/>
      <c r="AA305"/>
      <c r="AB305"/>
      <c r="AC305"/>
      <c r="AD305"/>
      <c r="AE305"/>
      <c r="AF305"/>
      <c r="AG305" s="19"/>
      <c r="AI305"/>
      <c r="AJ305"/>
      <c r="AK305"/>
      <c r="AL305"/>
      <c r="AM305"/>
      <c r="AN305"/>
      <c r="AO305" s="19"/>
      <c r="AQ305"/>
      <c r="AR305"/>
      <c r="AS305"/>
      <c r="AT305"/>
      <c r="AU305"/>
      <c r="AV305"/>
      <c r="AW305" s="19"/>
      <c r="AY305"/>
      <c r="AZ305"/>
      <c r="BA305"/>
      <c r="BB305"/>
      <c r="BC305"/>
      <c r="BD305"/>
      <c r="BE305" s="19"/>
      <c r="BG305" s="19"/>
      <c r="BH305" s="19"/>
      <c r="BI305" s="1116" t="s">
        <v>459</v>
      </c>
      <c r="BJ305" s="1120">
        <f t="shared" ref="BJ305:BO305" si="1767">BJ299+BJ303</f>
        <v>0</v>
      </c>
      <c r="BK305" s="1120">
        <f t="shared" si="1767"/>
        <v>0</v>
      </c>
      <c r="BL305" s="1120">
        <f t="shared" si="1767"/>
        <v>0</v>
      </c>
      <c r="BM305" s="1120">
        <f t="shared" si="1767"/>
        <v>0</v>
      </c>
      <c r="BN305" s="1120">
        <f t="shared" si="1767"/>
        <v>0</v>
      </c>
      <c r="BO305" s="1111">
        <f t="shared" si="1767"/>
        <v>0</v>
      </c>
      <c r="BP305" s="1121">
        <f>SUM(BJ305:BO305)</f>
        <v>0</v>
      </c>
      <c r="BR305" s="1402"/>
      <c r="BS305" s="1402"/>
      <c r="BT305" s="1402"/>
      <c r="BU305" s="1402"/>
      <c r="BV305" s="1402"/>
      <c r="BW305" s="1402"/>
      <c r="BX305" s="1403"/>
      <c r="BY305" s="1404">
        <f>SUM(BR305:BW305)</f>
        <v>0</v>
      </c>
      <c r="CC305" s="286" t="s">
        <v>3</v>
      </c>
      <c r="CD305" s="1409">
        <f ca="1">SUM(CC304:CD304)</f>
        <v>24709.87</v>
      </c>
      <c r="CE305" s="287" t="s">
        <v>3</v>
      </c>
      <c r="CF305" s="3399">
        <f ca="1">SUM(CE304:CH304)</f>
        <v>0</v>
      </c>
      <c r="CG305" s="3400"/>
      <c r="CH305" s="3401"/>
      <c r="CI305" s="288" t="s">
        <v>3</v>
      </c>
      <c r="CJ305" s="3396">
        <f ca="1">SUM(CI304:CL304)</f>
        <v>0</v>
      </c>
      <c r="CK305" s="3397"/>
      <c r="CL305" s="3398"/>
      <c r="CM305" s="289" t="s">
        <v>3</v>
      </c>
      <c r="CN305" s="3410">
        <f ca="1">SUM(CM304:CO304)</f>
        <v>0</v>
      </c>
      <c r="CO305" s="3411"/>
      <c r="CP305" s="1410">
        <f ca="1">SUM(CN305+CJ305+CF305+CD305)</f>
        <v>24709.87</v>
      </c>
      <c r="CS305"/>
      <c r="CT305"/>
      <c r="CU305"/>
      <c r="CY305" s="3402" t="s">
        <v>171</v>
      </c>
      <c r="CZ305" s="3403"/>
      <c r="DA305" s="3403"/>
      <c r="DB305" s="3404"/>
      <c r="DD305"/>
      <c r="DE305"/>
      <c r="DF305"/>
      <c r="DG305"/>
      <c r="DH305"/>
      <c r="EK305" s="2324" t="s">
        <v>645</v>
      </c>
      <c r="EL305" s="2325">
        <f ca="1">EL293</f>
        <v>0</v>
      </c>
      <c r="EM305" s="2328">
        <f ca="1">ER293</f>
        <v>0</v>
      </c>
      <c r="EO305" s="19"/>
      <c r="ER305" s="523" t="str">
        <f>$V$10</f>
        <v/>
      </c>
      <c r="ES305" s="713">
        <f ca="1">$AB$295</f>
        <v>0</v>
      </c>
      <c r="ET305" s="524">
        <f t="shared" ca="1" si="1766"/>
        <v>0</v>
      </c>
      <c r="EU305" s="525">
        <f ca="1">IFERROR(FJ295/$J$295,0)</f>
        <v>0</v>
      </c>
      <c r="EV305" s="40" t="str">
        <f t="array" aca="1" ref="EV305" ca="1">IFERROR(INDEX('DATA INPUT'!$C$11:$C$25,MATCH(0,COUNTIF($N$303:EV304,'DATA INPUT'!$C$11:$C$25)
+ IF('DATA INPUT'!$H$11:$H$25&lt;&gt;3,1,0)
* IF('DATA INPUT'!$V$11:$V$25&lt;&gt;3,1,0)
* IF('DATA INPUT'!$AD$11:$AD$25&lt;&gt;3,1,0),0)),"")</f>
        <v/>
      </c>
      <c r="EW305" s="1" t="str">
        <f>IFERROR(VLOOKUP(ER305,Table_CostShareWorktag[],2, FALSE),"")</f>
        <v/>
      </c>
      <c r="EY305" s="14"/>
      <c r="EZ305"/>
      <c r="FA305"/>
      <c r="FB305"/>
      <c r="FD305"/>
      <c r="FE305"/>
      <c r="FF305"/>
      <c r="FG305" s="19"/>
      <c r="FI305"/>
      <c r="FJ305"/>
      <c r="FK305"/>
      <c r="FL305"/>
      <c r="FM305"/>
      <c r="FN305"/>
      <c r="FO305" s="19"/>
      <c r="FQ305"/>
      <c r="FR305"/>
      <c r="FS305"/>
      <c r="FT305"/>
      <c r="FU305"/>
      <c r="FV305"/>
      <c r="FW305" s="19"/>
      <c r="FY305"/>
      <c r="FZ305"/>
      <c r="GA305"/>
      <c r="GB305"/>
      <c r="GC305"/>
      <c r="GD305"/>
      <c r="GE305" s="19"/>
      <c r="GG305"/>
      <c r="GH305"/>
      <c r="GI305"/>
      <c r="GJ305"/>
      <c r="GK305"/>
      <c r="GL305"/>
      <c r="GM305" s="19"/>
      <c r="GO305" s="19"/>
      <c r="GP305" s="19"/>
      <c r="GQ305" s="1116" t="s">
        <v>459</v>
      </c>
      <c r="GR305" s="1120">
        <f t="shared" ref="GR305:GW305" ca="1" si="1768">GR299+GR303</f>
        <v>0</v>
      </c>
      <c r="GS305" s="1120">
        <f t="shared" ca="1" si="1768"/>
        <v>0</v>
      </c>
      <c r="GT305" s="1120">
        <f t="shared" ca="1" si="1768"/>
        <v>0</v>
      </c>
      <c r="GU305" s="1120">
        <f t="shared" ca="1" si="1768"/>
        <v>0</v>
      </c>
      <c r="GV305" s="1120">
        <f t="shared" ca="1" si="1768"/>
        <v>0</v>
      </c>
      <c r="GW305" s="1111">
        <f t="shared" ca="1" si="1768"/>
        <v>0</v>
      </c>
      <c r="GX305" s="1121">
        <f ca="1">SUM(GR305:GW305)</f>
        <v>0</v>
      </c>
      <c r="GZ305" s="1402"/>
      <c r="HA305" s="1402"/>
      <c r="HB305" s="1402"/>
      <c r="HC305" s="1402"/>
      <c r="HD305" s="1402"/>
      <c r="HE305" s="1402"/>
      <c r="HF305" s="1403"/>
      <c r="HG305" s="1404">
        <f>SUM(GZ305:HE305)</f>
        <v>0</v>
      </c>
    </row>
    <row r="306" spans="1:216" ht="15" customHeight="1" thickBot="1" x14ac:dyDescent="0.3">
      <c r="G306" s="14"/>
      <c r="J306" s="526" t="str">
        <f>$AD$10</f>
        <v/>
      </c>
      <c r="K306" s="721">
        <f ca="1">$AJ$295</f>
        <v>0</v>
      </c>
      <c r="L306" s="527">
        <f t="shared" ca="1" si="1765"/>
        <v>0</v>
      </c>
      <c r="M306" s="528">
        <f ca="1">IFERROR(AJ295/$J$295,0)</f>
        <v>0</v>
      </c>
      <c r="N306" s="40" t="str">
        <f t="array" ref="N306">IFERROR(INDEX('DATA INPUT'!$C$11:$C$25,MATCH(0,COUNTIF($N$303:N305,'DATA INPUT'!$C$11:$C$25)
+ IF('DATA INPUT'!$H$11:$H$25&lt;&gt;3,1,0)
* IF('DATA INPUT'!$V$11:$V$25&lt;&gt;3,1,0)
* IF('DATA INPUT'!$AD$11:$AD$25&lt;&gt;3,1,0),0)),"")</f>
        <v/>
      </c>
      <c r="O306" s="1" t="str">
        <f>IFERROR(VLOOKUP(J306,Table_CostShareWorktag[],2, FALSE),"")</f>
        <v/>
      </c>
      <c r="Q306" s="14"/>
      <c r="R306"/>
      <c r="T306" s="1"/>
      <c r="U306" s="1"/>
      <c r="Y306" s="14"/>
      <c r="AB306" s="1"/>
      <c r="AG306" s="14"/>
      <c r="AJ306" s="1"/>
      <c r="AO306" s="14"/>
      <c r="AR306" s="1"/>
      <c r="AW306" s="14"/>
      <c r="AZ306" s="1"/>
      <c r="BE306" s="14"/>
      <c r="BG306" s="14"/>
      <c r="BI306" s="14"/>
      <c r="BJ306"/>
      <c r="BK306"/>
      <c r="BL306" s="19"/>
      <c r="BN306" s="19"/>
      <c r="BO306" s="19"/>
      <c r="BP306" s="19"/>
      <c r="BZ306" s="1"/>
      <c r="CS306"/>
      <c r="CT306"/>
      <c r="CU306"/>
      <c r="CV306"/>
      <c r="CW306"/>
      <c r="CX306"/>
      <c r="CY306"/>
      <c r="CZ306"/>
      <c r="DA306"/>
      <c r="DB306"/>
      <c r="DC306"/>
      <c r="DD306"/>
      <c r="DE306"/>
      <c r="DF306"/>
      <c r="DG306"/>
      <c r="DH306"/>
      <c r="EO306" s="14"/>
      <c r="ER306" s="526" t="str">
        <f>$AD$10</f>
        <v/>
      </c>
      <c r="ES306" s="721">
        <f ca="1">$AJ$295</f>
        <v>0</v>
      </c>
      <c r="ET306" s="527">
        <f t="shared" ca="1" si="1766"/>
        <v>0</v>
      </c>
      <c r="EU306" s="528">
        <f ca="1">IFERROR(FR295/$J$295,0)</f>
        <v>0</v>
      </c>
      <c r="EV306" s="40" t="str">
        <f t="array" aca="1" ref="EV306" ca="1">IFERROR(INDEX('DATA INPUT'!$C$11:$C$25,MATCH(0,COUNTIF($N$303:EV305,'DATA INPUT'!$C$11:$C$25)
+ IF('DATA INPUT'!$H$11:$H$25&lt;&gt;3,1,0)
* IF('DATA INPUT'!$V$11:$V$25&lt;&gt;3,1,0)
* IF('DATA INPUT'!$AD$11:$AD$25&lt;&gt;3,1,0),0)),"")</f>
        <v/>
      </c>
      <c r="EW306" s="1" t="str">
        <f>IFERROR(VLOOKUP(ER306,Table_CostShareWorktag[],2, FALSE),"")</f>
        <v/>
      </c>
      <c r="EY306" s="14"/>
      <c r="EZ306"/>
      <c r="FB306" s="1"/>
      <c r="FC306" s="1"/>
      <c r="FG306" s="14"/>
      <c r="FJ306" s="1"/>
      <c r="FO306" s="14"/>
      <c r="FR306" s="1"/>
      <c r="FW306" s="14"/>
      <c r="FZ306" s="1"/>
      <c r="GE306" s="14"/>
      <c r="GH306" s="1"/>
      <c r="GM306" s="14"/>
      <c r="GO306" s="14"/>
      <c r="GQ306" s="14"/>
      <c r="GR306"/>
      <c r="GS306"/>
      <c r="GT306" s="19"/>
      <c r="GV306" s="19"/>
      <c r="GW306" s="19"/>
      <c r="GX306" s="19"/>
      <c r="HH306" s="1"/>
    </row>
    <row r="307" spans="1:216" ht="15" customHeight="1" thickBot="1" x14ac:dyDescent="0.3">
      <c r="G307" s="14"/>
      <c r="H307"/>
      <c r="J307" s="529" t="str">
        <f>$AL$10</f>
        <v/>
      </c>
      <c r="K307" s="716">
        <f ca="1">$AR$295</f>
        <v>0</v>
      </c>
      <c r="L307" s="530">
        <f t="shared" ca="1" si="1765"/>
        <v>0</v>
      </c>
      <c r="M307" s="531">
        <f ca="1">IFERROR(AR295/$J$295,0)</f>
        <v>0</v>
      </c>
      <c r="N307" s="40" t="str">
        <f t="array" ref="N307">IFERROR(INDEX('DATA INPUT'!$C$11:$C$25,MATCH(0,COUNTIF($N$303:N306,'DATA INPUT'!$C$11:$C$25)
+ IF('DATA INPUT'!$H$11:$H$25&lt;&gt;3,1,0)
* IF('DATA INPUT'!$V$11:$V$25&lt;&gt;3,1,0)
* IF('DATA INPUT'!$AD$11:$AD$25&lt;&gt;3,1,0),0)),"")</f>
        <v/>
      </c>
      <c r="O307" s="1" t="str">
        <f>IFERROR(VLOOKUP(J307,Table_CostShareWorktag[],2, FALSE),"")</f>
        <v/>
      </c>
      <c r="Q307" s="14"/>
      <c r="R307"/>
      <c r="S307"/>
      <c r="T307" s="1"/>
      <c r="U307" s="1"/>
      <c r="Y307" s="14"/>
      <c r="AA307"/>
      <c r="AB307" s="1"/>
      <c r="AG307" s="14"/>
      <c r="AI307"/>
      <c r="AJ307" s="1"/>
      <c r="AO307" s="14"/>
      <c r="AQ307"/>
      <c r="AR307" s="1"/>
      <c r="AW307" s="14"/>
      <c r="AY307"/>
      <c r="AZ307" s="1"/>
      <c r="BE307" s="14"/>
      <c r="BG307" s="14"/>
      <c r="BI307" s="14"/>
      <c r="BJ307"/>
      <c r="BK307"/>
      <c r="BL307" s="19"/>
      <c r="BN307" s="19"/>
      <c r="BO307" s="19"/>
      <c r="BP307" s="19"/>
      <c r="BZ307" s="19"/>
      <c r="CV307"/>
      <c r="CW307"/>
      <c r="CX307"/>
      <c r="CY307" s="3350" t="s">
        <v>161</v>
      </c>
      <c r="CZ307" s="3351"/>
      <c r="DA307" s="3351"/>
      <c r="DB307" s="3352"/>
      <c r="DC307" s="3353" t="s">
        <v>167</v>
      </c>
      <c r="DD307" s="3354"/>
      <c r="DE307" s="3354"/>
      <c r="DF307" s="3355"/>
      <c r="DG307" s="3356" t="s">
        <v>181</v>
      </c>
      <c r="DH307" s="3357"/>
      <c r="DI307" s="3357"/>
      <c r="DJ307" s="3358"/>
      <c r="DK307"/>
      <c r="EO307" s="14"/>
      <c r="EP307"/>
      <c r="ER307" s="529" t="str">
        <f>$AL$10</f>
        <v/>
      </c>
      <c r="ES307" s="716">
        <f ca="1">$AR$295</f>
        <v>0</v>
      </c>
      <c r="ET307" s="530">
        <f t="shared" ca="1" si="1766"/>
        <v>0</v>
      </c>
      <c r="EU307" s="531">
        <f ca="1">IFERROR(FZ295/$J$295,0)</f>
        <v>0</v>
      </c>
      <c r="EV307" s="40" t="str">
        <f t="array" aca="1" ref="EV307" ca="1">IFERROR(INDEX('DATA INPUT'!$C$11:$C$25,MATCH(0,COUNTIF($N$303:EV306,'DATA INPUT'!$C$11:$C$25)
+ IF('DATA INPUT'!$H$11:$H$25&lt;&gt;3,1,0)
* IF('DATA INPUT'!$V$11:$V$25&lt;&gt;3,1,0)
* IF('DATA INPUT'!$AD$11:$AD$25&lt;&gt;3,1,0),0)),"")</f>
        <v/>
      </c>
      <c r="EW307" s="1" t="str">
        <f>IFERROR(VLOOKUP(ER307,Table_CostShareWorktag[],2, FALSE),"")</f>
        <v/>
      </c>
      <c r="EY307" s="14"/>
      <c r="EZ307"/>
      <c r="FA307"/>
      <c r="FB307" s="1"/>
      <c r="FC307" s="1"/>
      <c r="FG307" s="14"/>
      <c r="FI307"/>
      <c r="FJ307" s="1"/>
      <c r="FO307" s="14"/>
      <c r="FQ307"/>
      <c r="FR307" s="1"/>
      <c r="FW307" s="14"/>
      <c r="FY307"/>
      <c r="FZ307" s="1"/>
      <c r="GE307" s="14"/>
      <c r="GG307"/>
      <c r="GH307" s="1"/>
      <c r="GM307" s="14"/>
      <c r="GO307" s="14"/>
      <c r="GQ307" s="14"/>
      <c r="GR307"/>
      <c r="GS307"/>
      <c r="GT307" s="19"/>
      <c r="GV307" s="19"/>
      <c r="GW307" s="19"/>
      <c r="GX307" s="19"/>
      <c r="HH307" s="19"/>
    </row>
    <row r="308" spans="1:216" ht="15" customHeight="1" thickBot="1" x14ac:dyDescent="0.3">
      <c r="G308"/>
      <c r="H308"/>
      <c r="J308" s="532" t="str">
        <f>$AT$10</f>
        <v/>
      </c>
      <c r="K308" s="718">
        <f ca="1">$AZ$295</f>
        <v>0</v>
      </c>
      <c r="L308" s="533">
        <f t="shared" ca="1" si="1765"/>
        <v>0</v>
      </c>
      <c r="M308" s="534">
        <f ca="1">IFERROR(AZ295/$J$295,0)</f>
        <v>0</v>
      </c>
      <c r="N308" s="40" t="str">
        <f t="array" ref="N308">IFERROR(INDEX('DATA INPUT'!$C$11:$C$25,MATCH(0,COUNTIF($N$303:N307,'DATA INPUT'!$C$11:$C$25)
+ IF('DATA INPUT'!$H$11:$H$25&lt;&gt;3,1,0)
* IF('DATA INPUT'!$V$11:$V$25&lt;&gt;3,1,0)
* IF('DATA INPUT'!$AD$11:$AD$25&lt;&gt;3,1,0),0)),"")</f>
        <v/>
      </c>
      <c r="O308" s="1" t="str">
        <f>IFERROR(VLOOKUP(J308,Table_CostShareWorktag[],2, FALSE),"")</f>
        <v/>
      </c>
      <c r="Q308"/>
      <c r="R308"/>
      <c r="S308"/>
      <c r="T308" s="19"/>
      <c r="V308"/>
      <c r="W308"/>
      <c r="X308"/>
      <c r="Y308"/>
      <c r="Z308"/>
      <c r="AA308"/>
      <c r="AB308" s="19"/>
      <c r="AD308"/>
      <c r="AE308"/>
      <c r="AF308"/>
      <c r="AG308"/>
      <c r="AH308"/>
      <c r="AI308"/>
      <c r="AJ308" s="19"/>
      <c r="AL308"/>
      <c r="AM308"/>
      <c r="AN308"/>
      <c r="AO308"/>
      <c r="AP308"/>
      <c r="AQ308"/>
      <c r="AR308" s="19"/>
      <c r="AT308"/>
      <c r="AU308"/>
      <c r="AV308"/>
      <c r="AW308"/>
      <c r="AX308"/>
      <c r="AY308"/>
      <c r="AZ308" s="19"/>
      <c r="BB308"/>
      <c r="BC308"/>
      <c r="BD308"/>
      <c r="BE308"/>
      <c r="BF308"/>
      <c r="BG308"/>
      <c r="BH308" s="19"/>
      <c r="BJ308"/>
      <c r="BK308"/>
      <c r="BL308" s="19"/>
      <c r="BN308" s="19"/>
      <c r="BO308" s="19"/>
      <c r="BP308" s="19"/>
      <c r="BZ308" s="19"/>
      <c r="CB308" s="10"/>
      <c r="CC308" s="3387" t="s">
        <v>106</v>
      </c>
      <c r="CD308" s="3388"/>
      <c r="CE308" s="3388"/>
      <c r="CF308" s="3389"/>
      <c r="CG308" s="3387" t="s">
        <v>0</v>
      </c>
      <c r="CH308" s="3388"/>
      <c r="CI308" s="3388"/>
      <c r="CJ308" s="3388"/>
      <c r="CK308" s="3389"/>
      <c r="CL308" s="3387" t="s">
        <v>1</v>
      </c>
      <c r="CM308" s="3388"/>
      <c r="CN308" s="3388"/>
      <c r="CO308" s="3389"/>
      <c r="CV308"/>
      <c r="CW308"/>
      <c r="CX308"/>
      <c r="CY308" s="3329" t="s">
        <v>172</v>
      </c>
      <c r="CZ308" s="3330"/>
      <c r="DA308" s="3330"/>
      <c r="DB308" s="3331"/>
      <c r="DC308" s="3332" t="s">
        <v>173</v>
      </c>
      <c r="DD308" s="3333"/>
      <c r="DE308" s="3333"/>
      <c r="DF308" s="3334"/>
      <c r="DG308" s="3335" t="s">
        <v>174</v>
      </c>
      <c r="DH308" s="3336"/>
      <c r="DI308" s="3336"/>
      <c r="DJ308" s="3337"/>
      <c r="DK308" s="237" t="s">
        <v>170</v>
      </c>
      <c r="EO308"/>
      <c r="EP308"/>
      <c r="ER308" s="532" t="str">
        <f>$AT$10</f>
        <v/>
      </c>
      <c r="ES308" s="718">
        <f ca="1">$AZ$295</f>
        <v>0</v>
      </c>
      <c r="ET308" s="533">
        <f t="shared" ca="1" si="1766"/>
        <v>0</v>
      </c>
      <c r="EU308" s="534">
        <f ca="1">IFERROR(GH295/$J$295,0)</f>
        <v>0</v>
      </c>
      <c r="EV308" s="40" t="str">
        <f t="array" aca="1" ref="EV308" ca="1">IFERROR(INDEX('DATA INPUT'!$C$11:$C$25,MATCH(0,COUNTIF($N$303:EV307,'DATA INPUT'!$C$11:$C$25)
+ IF('DATA INPUT'!$H$11:$H$25&lt;&gt;3,1,0)
* IF('DATA INPUT'!$V$11:$V$25&lt;&gt;3,1,0)
* IF('DATA INPUT'!$AD$11:$AD$25&lt;&gt;3,1,0),0)),"")</f>
        <v/>
      </c>
      <c r="EW308" s="1" t="str">
        <f>IFERROR(VLOOKUP(ER308,Table_CostShareWorktag[],2, FALSE),"")</f>
        <v/>
      </c>
      <c r="EY308"/>
      <c r="EZ308"/>
      <c r="FA308"/>
      <c r="FB308" s="19"/>
      <c r="FD308"/>
      <c r="FE308"/>
      <c r="FF308"/>
      <c r="FG308"/>
      <c r="FH308"/>
      <c r="FI308"/>
      <c r="FJ308" s="19"/>
      <c r="FL308"/>
      <c r="FM308"/>
      <c r="FN308"/>
      <c r="FO308"/>
      <c r="FP308"/>
      <c r="FQ308"/>
      <c r="FR308" s="19"/>
      <c r="FT308"/>
      <c r="FU308"/>
      <c r="FV308"/>
      <c r="FW308"/>
      <c r="FX308"/>
      <c r="FY308"/>
      <c r="FZ308" s="19"/>
      <c r="GB308"/>
      <c r="GC308"/>
      <c r="GD308"/>
      <c r="GE308"/>
      <c r="GF308"/>
      <c r="GG308"/>
      <c r="GH308" s="19"/>
      <c r="GJ308"/>
      <c r="GK308"/>
      <c r="GL308"/>
      <c r="GM308"/>
      <c r="GN308"/>
      <c r="GO308"/>
      <c r="GP308" s="19"/>
      <c r="GR308"/>
      <c r="GS308"/>
      <c r="GT308" s="19"/>
      <c r="GV308" s="19"/>
      <c r="GW308" s="19"/>
      <c r="GX308" s="19"/>
      <c r="HH308" s="19"/>
    </row>
    <row r="309" spans="1:216" ht="15" customHeight="1" thickBot="1" x14ac:dyDescent="0.3">
      <c r="A309"/>
      <c r="B309"/>
      <c r="G309"/>
      <c r="H309"/>
      <c r="J309" s="535" t="str">
        <f>$BB$10</f>
        <v/>
      </c>
      <c r="K309" s="715">
        <f ca="1">$BH$295</f>
        <v>0</v>
      </c>
      <c r="L309" s="536">
        <f t="shared" ca="1" si="1765"/>
        <v>0</v>
      </c>
      <c r="M309" s="537">
        <f ca="1">IFERROR(BH295/$J$295,0)</f>
        <v>0</v>
      </c>
      <c r="N309" s="40" t="str">
        <f t="array" ref="N309">IFERROR(INDEX('DATA INPUT'!$C$11:$C$25,MATCH(0,COUNTIF($N$303:N308,'DATA INPUT'!$C$11:$C$25)
+ IF('DATA INPUT'!$H$11:$H$25&lt;&gt;3,1,0)
* IF('DATA INPUT'!$V$11:$V$25&lt;&gt;3,1,0)
* IF('DATA INPUT'!$AD$11:$AD$25&lt;&gt;3,1,0),0)),"")</f>
        <v/>
      </c>
      <c r="O309" s="1" t="str">
        <f>IFERROR(VLOOKUP(J309,Table_CostShareWorktag[],2, FALSE),"")</f>
        <v/>
      </c>
      <c r="Q309"/>
      <c r="R309"/>
      <c r="S309"/>
      <c r="T309" s="19"/>
      <c r="V309"/>
      <c r="W309"/>
      <c r="X309"/>
      <c r="Y309"/>
      <c r="Z309"/>
      <c r="AA309"/>
      <c r="AB309" s="19"/>
      <c r="AD309"/>
      <c r="AE309"/>
      <c r="AF309"/>
      <c r="AG309"/>
      <c r="AH309"/>
      <c r="AI309"/>
      <c r="AJ309" s="19"/>
      <c r="AL309"/>
      <c r="AM309"/>
      <c r="AN309"/>
      <c r="AO309"/>
      <c r="AP309"/>
      <c r="AQ309"/>
      <c r="AR309" s="19"/>
      <c r="AT309"/>
      <c r="AU309"/>
      <c r="AV309"/>
      <c r="AW309"/>
      <c r="AX309"/>
      <c r="AY309"/>
      <c r="AZ309" s="19"/>
      <c r="BB309"/>
      <c r="BC309"/>
      <c r="BD309"/>
      <c r="BE309"/>
      <c r="BF309"/>
      <c r="BG309"/>
      <c r="BH309" s="19"/>
      <c r="BJ309"/>
      <c r="BK309"/>
      <c r="BL309" s="19"/>
      <c r="BN309" s="19"/>
      <c r="BO309" s="19"/>
      <c r="BP309" s="19"/>
      <c r="BZ309" s="19"/>
      <c r="CC309" s="3365" t="s">
        <v>189</v>
      </c>
      <c r="CD309" s="3366"/>
      <c r="CE309" s="3390" t="s">
        <v>190</v>
      </c>
      <c r="CF309" s="3391"/>
      <c r="CG309" s="3391"/>
      <c r="CH309" s="3392"/>
      <c r="CI309" s="3393" t="s">
        <v>191</v>
      </c>
      <c r="CJ309" s="3394"/>
      <c r="CK309" s="3394"/>
      <c r="CL309" s="3395"/>
      <c r="CM309" s="3376" t="s">
        <v>192</v>
      </c>
      <c r="CN309" s="3377"/>
      <c r="CO309" s="3378"/>
      <c r="CV309"/>
      <c r="CW309"/>
      <c r="CX309"/>
      <c r="CY309" s="238" t="s">
        <v>175</v>
      </c>
      <c r="CZ309" s="239" t="s">
        <v>176</v>
      </c>
      <c r="DA309" s="239" t="s">
        <v>177</v>
      </c>
      <c r="DB309" s="240" t="s">
        <v>178</v>
      </c>
      <c r="DC309" s="241" t="s">
        <v>175</v>
      </c>
      <c r="DD309" s="242" t="s">
        <v>176</v>
      </c>
      <c r="DE309" s="242" t="s">
        <v>177</v>
      </c>
      <c r="DF309" s="243" t="s">
        <v>178</v>
      </c>
      <c r="DG309" s="244" t="s">
        <v>175</v>
      </c>
      <c r="DH309" s="245" t="s">
        <v>176</v>
      </c>
      <c r="DI309" s="245" t="s">
        <v>177</v>
      </c>
      <c r="DJ309" s="246" t="s">
        <v>178</v>
      </c>
      <c r="DK309" s="3338">
        <f>SUM(CY311:DJ311)</f>
        <v>0</v>
      </c>
      <c r="EI309"/>
      <c r="EJ309"/>
      <c r="EO309"/>
      <c r="EP309"/>
      <c r="ER309" s="535" t="str">
        <f>$BB$10</f>
        <v/>
      </c>
      <c r="ES309" s="715">
        <f ca="1">$BH$295</f>
        <v>0</v>
      </c>
      <c r="ET309" s="536">
        <f t="shared" ca="1" si="1766"/>
        <v>0</v>
      </c>
      <c r="EU309" s="537">
        <f ca="1">IFERROR(GP295/$J$295,0)</f>
        <v>0</v>
      </c>
      <c r="EV309" s="40" t="str">
        <f t="array" aca="1" ref="EV309" ca="1">IFERROR(INDEX('DATA INPUT'!$C$11:$C$25,MATCH(0,COUNTIF($N$303:EV308,'DATA INPUT'!$C$11:$C$25)
+ IF('DATA INPUT'!$H$11:$H$25&lt;&gt;3,1,0)
* IF('DATA INPUT'!$V$11:$V$25&lt;&gt;3,1,0)
* IF('DATA INPUT'!$AD$11:$AD$25&lt;&gt;3,1,0),0)),"")</f>
        <v/>
      </c>
      <c r="EW309" s="1" t="str">
        <f>IFERROR(VLOOKUP(ER309,Table_CostShareWorktag[],2, FALSE),"")</f>
        <v/>
      </c>
      <c r="EY309"/>
      <c r="EZ309"/>
      <c r="FA309"/>
      <c r="FB309" s="19"/>
      <c r="FD309"/>
      <c r="FE309"/>
      <c r="FF309"/>
      <c r="FG309"/>
      <c r="FH309"/>
      <c r="FI309"/>
      <c r="FJ309" s="19"/>
      <c r="FL309"/>
      <c r="FM309"/>
      <c r="FN309"/>
      <c r="FO309"/>
      <c r="FP309"/>
      <c r="FQ309"/>
      <c r="FR309" s="19"/>
      <c r="FT309"/>
      <c r="FU309"/>
      <c r="FV309"/>
      <c r="FW309"/>
      <c r="FX309"/>
      <c r="FY309"/>
      <c r="FZ309" s="19"/>
      <c r="GB309"/>
      <c r="GC309"/>
      <c r="GD309"/>
      <c r="GE309"/>
      <c r="GF309"/>
      <c r="GG309"/>
      <c r="GH309" s="19"/>
      <c r="GJ309"/>
      <c r="GK309"/>
      <c r="GL309"/>
      <c r="GM309"/>
      <c r="GN309"/>
      <c r="GO309"/>
      <c r="GP309" s="19"/>
      <c r="GR309"/>
      <c r="GS309"/>
      <c r="GT309" s="19"/>
      <c r="GV309" s="19"/>
      <c r="GW309" s="19"/>
      <c r="GX309" s="19"/>
      <c r="HH309" s="19"/>
    </row>
    <row r="310" spans="1:216" ht="15" customHeight="1" thickBot="1" x14ac:dyDescent="0.3">
      <c r="A310"/>
      <c r="B310"/>
      <c r="G310"/>
      <c r="H310"/>
      <c r="I310"/>
      <c r="J310" s="1122" t="str">
        <f>BJ10</f>
        <v>OSU Unrecovered F&amp;A</v>
      </c>
      <c r="K310" s="1411">
        <f>$BP$293</f>
        <v>0</v>
      </c>
      <c r="L310" s="1123">
        <f t="shared" ca="1" si="1765"/>
        <v>0</v>
      </c>
      <c r="M310" s="1124">
        <f ca="1">IFERROR(BP305/$J$295,0)</f>
        <v>0</v>
      </c>
      <c r="N310" s="24"/>
      <c r="O310" s="1" t="str">
        <f>IFERROR(VLOOKUP(J310,Table_CostShareWorktag[],2, FALSE),"")</f>
        <v/>
      </c>
      <c r="Q310"/>
      <c r="R310"/>
      <c r="S310"/>
      <c r="T310" s="19"/>
      <c r="V310"/>
      <c r="W310"/>
      <c r="X310"/>
      <c r="Y310"/>
      <c r="Z310"/>
      <c r="AA310"/>
      <c r="AB310" s="19"/>
      <c r="AD310"/>
      <c r="AE310"/>
      <c r="AF310"/>
      <c r="AG310"/>
      <c r="AH310"/>
      <c r="AI310"/>
      <c r="AJ310" s="19"/>
      <c r="AL310"/>
      <c r="AM310"/>
      <c r="AN310"/>
      <c r="AO310"/>
      <c r="AP310"/>
      <c r="AQ310"/>
      <c r="AR310" s="19"/>
      <c r="AT310"/>
      <c r="AU310"/>
      <c r="AV310"/>
      <c r="AW310"/>
      <c r="AX310"/>
      <c r="AY310"/>
      <c r="AZ310" s="19"/>
      <c r="BB310"/>
      <c r="BC310"/>
      <c r="BD310"/>
      <c r="BE310"/>
      <c r="BF310"/>
      <c r="BG310"/>
      <c r="BH310" s="19"/>
      <c r="BJ310"/>
      <c r="BK310"/>
      <c r="BL310"/>
      <c r="BM310"/>
      <c r="BN310"/>
      <c r="BO310"/>
      <c r="BP310" s="19"/>
      <c r="BX310" s="1"/>
      <c r="BY310" s="1"/>
      <c r="BZ310" s="19"/>
      <c r="CC310" s="2340"/>
      <c r="CD310" s="2341"/>
      <c r="CE310" s="2342"/>
      <c r="CF310" s="2343"/>
      <c r="CG310" s="2343"/>
      <c r="CH310" s="2344"/>
      <c r="CI310" s="323"/>
      <c r="CJ310" s="324"/>
      <c r="CK310" s="324"/>
      <c r="CL310" s="325"/>
      <c r="CM310" s="2345"/>
      <c r="CN310" s="2346"/>
      <c r="CO310" s="2347"/>
      <c r="CV310"/>
      <c r="CW310"/>
      <c r="CX310"/>
      <c r="CY310" s="238"/>
      <c r="CZ310" s="239"/>
      <c r="DA310" s="239"/>
      <c r="DB310" s="240"/>
      <c r="DC310" s="241"/>
      <c r="DD310" s="242"/>
      <c r="DE310" s="242"/>
      <c r="DF310" s="243"/>
      <c r="DG310" s="244"/>
      <c r="DH310" s="245"/>
      <c r="DI310" s="245"/>
      <c r="DJ310" s="246"/>
      <c r="DK310" s="3339"/>
      <c r="EI310"/>
      <c r="EJ310"/>
      <c r="EO310"/>
      <c r="EP310"/>
      <c r="EQ310"/>
      <c r="ER310" s="1122">
        <f>JG10</f>
        <v>0</v>
      </c>
      <c r="ES310" s="1411">
        <f>$BP$293</f>
        <v>0</v>
      </c>
      <c r="ET310" s="1123">
        <f t="shared" ca="1" si="1766"/>
        <v>0</v>
      </c>
      <c r="EU310" s="1124">
        <f ca="1">IFERROR(GX305/$J$295,0)</f>
        <v>0</v>
      </c>
      <c r="EV310" s="24"/>
      <c r="EW310" s="1" t="str">
        <f>IFERROR(VLOOKUP(ER310,Table_CostShareWorktag[],2, FALSE),"")</f>
        <v/>
      </c>
      <c r="EY310"/>
      <c r="EZ310"/>
      <c r="FA310"/>
      <c r="FB310" s="19"/>
      <c r="FD310"/>
      <c r="FE310"/>
      <c r="FF310"/>
      <c r="FG310"/>
      <c r="FH310"/>
      <c r="FI310"/>
      <c r="FJ310" s="19"/>
      <c r="FL310"/>
      <c r="FM310"/>
      <c r="FN310"/>
      <c r="FO310"/>
      <c r="FP310"/>
      <c r="FQ310"/>
      <c r="FR310" s="19"/>
      <c r="FT310"/>
      <c r="FU310"/>
      <c r="FV310"/>
      <c r="FW310"/>
      <c r="FX310"/>
      <c r="FY310"/>
      <c r="FZ310" s="19"/>
      <c r="GB310"/>
      <c r="GC310"/>
      <c r="GD310"/>
      <c r="GE310"/>
      <c r="GF310"/>
      <c r="GG310"/>
      <c r="GH310" s="19"/>
      <c r="GJ310"/>
      <c r="GK310"/>
      <c r="GL310"/>
      <c r="GM310"/>
      <c r="GN310"/>
      <c r="GO310"/>
      <c r="GP310" s="19"/>
      <c r="GR310"/>
      <c r="GS310"/>
      <c r="GT310"/>
      <c r="GU310"/>
      <c r="GV310"/>
      <c r="GW310"/>
      <c r="GX310" s="19"/>
      <c r="HF310" s="1"/>
      <c r="HG310" s="1"/>
      <c r="HH310" s="19"/>
    </row>
    <row r="311" spans="1:216" ht="15" customHeight="1" thickBot="1" x14ac:dyDescent="0.3">
      <c r="A311"/>
      <c r="B311"/>
      <c r="G311"/>
      <c r="H311"/>
      <c r="I311"/>
      <c r="J311" s="538" t="s">
        <v>139</v>
      </c>
      <c r="K311" s="1412">
        <f ca="1">SUM(K304:K310)</f>
        <v>0</v>
      </c>
      <c r="L311" s="905">
        <f ca="1">SUM(L304:L310)</f>
        <v>0</v>
      </c>
      <c r="M311" s="905">
        <f ca="1">SUM(M304:M310)</f>
        <v>0</v>
      </c>
      <c r="N311"/>
      <c r="O311"/>
      <c r="P311"/>
      <c r="Q311"/>
      <c r="R311"/>
      <c r="S311"/>
      <c r="T311" s="19"/>
      <c r="V311"/>
      <c r="W311"/>
      <c r="X311"/>
      <c r="Y311"/>
      <c r="Z311"/>
      <c r="AA311"/>
      <c r="AB311" s="19"/>
      <c r="AD311"/>
      <c r="AE311"/>
      <c r="AF311"/>
      <c r="AG311"/>
      <c r="AH311"/>
      <c r="AI311"/>
      <c r="AJ311" s="19"/>
      <c r="AL311"/>
      <c r="AM311"/>
      <c r="AN311"/>
      <c r="AO311"/>
      <c r="AP311"/>
      <c r="AQ311"/>
      <c r="AR311" s="19"/>
      <c r="AT311"/>
      <c r="AU311"/>
      <c r="AV311"/>
      <c r="AW311"/>
      <c r="AX311"/>
      <c r="AY311"/>
      <c r="AZ311" s="19"/>
      <c r="BB311"/>
      <c r="BC311"/>
      <c r="BD311"/>
      <c r="BE311"/>
      <c r="BF311"/>
      <c r="BG311"/>
      <c r="BH311" s="19"/>
      <c r="BJ311"/>
      <c r="BK311"/>
      <c r="BL311"/>
      <c r="BM311"/>
      <c r="BN311"/>
      <c r="BO311"/>
      <c r="BP311" s="19"/>
      <c r="BZ311" s="19"/>
      <c r="CC311" s="1413" t="s">
        <v>178</v>
      </c>
      <c r="CD311" s="290" t="s">
        <v>175</v>
      </c>
      <c r="CE311" s="1414" t="s">
        <v>176</v>
      </c>
      <c r="CF311" s="1415" t="s">
        <v>177</v>
      </c>
      <c r="CG311" s="1415" t="s">
        <v>178</v>
      </c>
      <c r="CH311" s="1416" t="s">
        <v>175</v>
      </c>
      <c r="CI311" s="1417" t="s">
        <v>176</v>
      </c>
      <c r="CJ311" s="1418" t="s">
        <v>177</v>
      </c>
      <c r="CK311" s="1418" t="s">
        <v>178</v>
      </c>
      <c r="CL311" s="1419" t="s">
        <v>175</v>
      </c>
      <c r="CM311" s="1420" t="s">
        <v>176</v>
      </c>
      <c r="CN311" s="1421" t="s">
        <v>177</v>
      </c>
      <c r="CO311" s="1422" t="s">
        <v>178</v>
      </c>
      <c r="CX311"/>
      <c r="CY311" s="1423">
        <f>SUM(CS295:CU295)</f>
        <v>0</v>
      </c>
      <c r="CZ311" s="715">
        <f>SUM(CV295:CX295)</f>
        <v>0</v>
      </c>
      <c r="DA311" s="715">
        <f>SUM(CY295:DA295)</f>
        <v>0</v>
      </c>
      <c r="DB311" s="1424">
        <f>SUM(DB295:DD295)</f>
        <v>0</v>
      </c>
      <c r="DC311" s="1425">
        <f>SUM(DG295:DI295)</f>
        <v>0</v>
      </c>
      <c r="DD311" s="716">
        <f>SUM(DJ295:DL295)</f>
        <v>0</v>
      </c>
      <c r="DE311" s="716">
        <f>SUM(DM295:DO295)</f>
        <v>0</v>
      </c>
      <c r="DF311" s="1426">
        <f>SUM(DP295:DR295)</f>
        <v>0</v>
      </c>
      <c r="DG311" s="1427">
        <f>SUM(DU295:DW295)</f>
        <v>0</v>
      </c>
      <c r="DH311" s="717">
        <f>SUM(DX295:DZ295)</f>
        <v>0</v>
      </c>
      <c r="DI311" s="717">
        <f>SUM(EA295:EC295)</f>
        <v>0</v>
      </c>
      <c r="DJ311" s="475">
        <f>SUM(ED295:EF295)</f>
        <v>0</v>
      </c>
      <c r="DK311" s="3339"/>
      <c r="EI311"/>
      <c r="EJ311"/>
      <c r="EO311"/>
      <c r="EP311"/>
      <c r="EQ311"/>
      <c r="ER311" s="538" t="s">
        <v>139</v>
      </c>
      <c r="ES311" s="1412">
        <f ca="1">SUM(ES304:ES310)</f>
        <v>0</v>
      </c>
      <c r="ET311" s="905">
        <f ca="1">SUM(ET304:ET310)</f>
        <v>0</v>
      </c>
      <c r="EU311" s="905">
        <f ca="1">SUM(EU304:EU310)</f>
        <v>0</v>
      </c>
      <c r="EV311"/>
      <c r="EW311"/>
      <c r="EX311"/>
      <c r="EY311"/>
      <c r="EZ311"/>
      <c r="FA311"/>
      <c r="FB311" s="19"/>
      <c r="FD311"/>
      <c r="FE311"/>
      <c r="FF311"/>
      <c r="FG311"/>
      <c r="FH311"/>
      <c r="FI311"/>
      <c r="FJ311" s="19"/>
      <c r="FL311"/>
      <c r="FM311"/>
      <c r="FN311"/>
      <c r="FO311"/>
      <c r="FP311"/>
      <c r="FQ311"/>
      <c r="FR311" s="19"/>
      <c r="FT311"/>
      <c r="FU311"/>
      <c r="FV311"/>
      <c r="FW311"/>
      <c r="FX311"/>
      <c r="FY311"/>
      <c r="FZ311" s="19"/>
      <c r="GB311"/>
      <c r="GC311"/>
      <c r="GD311"/>
      <c r="GE311"/>
      <c r="GF311"/>
      <c r="GG311"/>
      <c r="GH311" s="19"/>
      <c r="GJ311"/>
      <c r="GK311"/>
      <c r="GL311"/>
      <c r="GM311"/>
      <c r="GN311"/>
      <c r="GO311"/>
      <c r="GP311" s="19"/>
      <c r="GR311"/>
      <c r="GS311"/>
      <c r="GT311"/>
      <c r="GU311"/>
      <c r="GV311"/>
      <c r="GW311"/>
      <c r="GX311" s="19"/>
      <c r="HH311" s="19"/>
    </row>
    <row r="312" spans="1:216" ht="15" customHeight="1" thickBot="1" x14ac:dyDescent="0.3">
      <c r="A312"/>
      <c r="B312"/>
      <c r="C312"/>
      <c r="D312"/>
      <c r="E312"/>
      <c r="F312"/>
      <c r="G312"/>
      <c r="H312"/>
      <c r="I312"/>
      <c r="J312" s="19"/>
      <c r="K312"/>
      <c r="L312"/>
      <c r="M312"/>
      <c r="N312"/>
      <c r="O312"/>
      <c r="P312"/>
      <c r="Q312"/>
      <c r="R312"/>
      <c r="S312"/>
      <c r="T312" s="19"/>
      <c r="U312" s="1"/>
      <c r="V312"/>
      <c r="W312"/>
      <c r="X312"/>
      <c r="Y312"/>
      <c r="Z312"/>
      <c r="AA312"/>
      <c r="AB312" s="19"/>
      <c r="AD312"/>
      <c r="AE312"/>
      <c r="AF312"/>
      <c r="AG312"/>
      <c r="AH312"/>
      <c r="AI312"/>
      <c r="AJ312" s="19"/>
      <c r="AL312"/>
      <c r="AM312"/>
      <c r="AN312"/>
      <c r="AO312"/>
      <c r="AP312"/>
      <c r="AQ312"/>
      <c r="AR312" s="19"/>
      <c r="AT312"/>
      <c r="AU312"/>
      <c r="AV312"/>
      <c r="AW312"/>
      <c r="AX312"/>
      <c r="AY312"/>
      <c r="AZ312" s="19"/>
      <c r="BB312"/>
      <c r="BC312"/>
      <c r="BD312"/>
      <c r="BE312"/>
      <c r="BF312"/>
      <c r="BG312"/>
      <c r="BH312" s="19"/>
      <c r="BJ312"/>
      <c r="BK312"/>
      <c r="BL312"/>
      <c r="BM312"/>
      <c r="BN312"/>
      <c r="BO312"/>
      <c r="BP312" s="19"/>
      <c r="BZ312" s="19"/>
      <c r="CB312" s="295" t="s">
        <v>197</v>
      </c>
      <c r="CC312" s="1428">
        <f t="shared" ref="CC312:CO312" si="1769">SUM(CC313:CC316)</f>
        <v>0</v>
      </c>
      <c r="CD312" s="1428">
        <f t="shared" si="1769"/>
        <v>0</v>
      </c>
      <c r="CE312" s="1428">
        <f t="shared" si="1769"/>
        <v>0</v>
      </c>
      <c r="CF312" s="1428">
        <f t="shared" si="1769"/>
        <v>0</v>
      </c>
      <c r="CG312" s="1428">
        <f t="shared" si="1769"/>
        <v>0</v>
      </c>
      <c r="CH312" s="1428">
        <f t="shared" si="1769"/>
        <v>0</v>
      </c>
      <c r="CI312" s="1428">
        <f t="shared" si="1769"/>
        <v>0</v>
      </c>
      <c r="CJ312" s="1428">
        <f t="shared" si="1769"/>
        <v>0</v>
      </c>
      <c r="CK312" s="1428">
        <f t="shared" si="1769"/>
        <v>0</v>
      </c>
      <c r="CL312" s="1428">
        <f t="shared" si="1769"/>
        <v>0</v>
      </c>
      <c r="CM312" s="1428">
        <f t="shared" si="1769"/>
        <v>0</v>
      </c>
      <c r="CN312" s="1428">
        <f t="shared" si="1769"/>
        <v>0</v>
      </c>
      <c r="CO312" s="1429">
        <f t="shared" si="1769"/>
        <v>0</v>
      </c>
      <c r="CX312"/>
      <c r="CY312" s="247" t="s">
        <v>170</v>
      </c>
      <c r="CZ312" s="3341">
        <f>SUM(CY311:DB311)</f>
        <v>0</v>
      </c>
      <c r="DA312" s="3342"/>
      <c r="DB312" s="3343"/>
      <c r="DC312" s="248" t="s">
        <v>170</v>
      </c>
      <c r="DD312" s="3344">
        <f>SUM(DC311:DF311)</f>
        <v>0</v>
      </c>
      <c r="DE312" s="3345"/>
      <c r="DF312" s="3346"/>
      <c r="DG312" s="249" t="s">
        <v>170</v>
      </c>
      <c r="DH312" s="3347">
        <f>SUM(DG311:DJ311)</f>
        <v>0</v>
      </c>
      <c r="DI312" s="3348"/>
      <c r="DJ312" s="3349"/>
      <c r="DK312" s="3340"/>
      <c r="EI312"/>
      <c r="EJ312"/>
      <c r="EK312"/>
      <c r="EL312"/>
      <c r="EM312"/>
      <c r="EN312"/>
      <c r="EO312"/>
      <c r="EP312"/>
      <c r="EQ312"/>
      <c r="ER312" s="19"/>
      <c r="ES312"/>
      <c r="ET312"/>
      <c r="EU312"/>
      <c r="EV312"/>
      <c r="EW312"/>
      <c r="EX312"/>
      <c r="EY312"/>
      <c r="EZ312"/>
      <c r="FA312"/>
      <c r="FB312" s="19"/>
      <c r="FC312" s="1"/>
      <c r="FD312"/>
      <c r="FE312"/>
      <c r="FF312"/>
      <c r="FG312"/>
      <c r="FH312"/>
      <c r="FI312"/>
      <c r="FJ312" s="19"/>
      <c r="FL312"/>
      <c r="FM312"/>
      <c r="FN312"/>
      <c r="FO312"/>
      <c r="FP312"/>
      <c r="FQ312"/>
      <c r="FR312" s="19"/>
      <c r="FT312"/>
      <c r="FU312"/>
      <c r="FV312"/>
      <c r="FW312"/>
      <c r="FX312"/>
      <c r="FY312"/>
      <c r="FZ312" s="19"/>
      <c r="GB312"/>
      <c r="GC312"/>
      <c r="GD312"/>
      <c r="GE312"/>
      <c r="GF312"/>
      <c r="GG312"/>
      <c r="GH312" s="19"/>
      <c r="GJ312"/>
      <c r="GK312"/>
      <c r="GL312"/>
      <c r="GM312"/>
      <c r="GN312"/>
      <c r="GO312"/>
      <c r="GP312" s="19"/>
      <c r="GR312"/>
      <c r="GS312"/>
      <c r="GT312"/>
      <c r="GU312"/>
      <c r="GV312"/>
      <c r="GW312"/>
      <c r="GX312" s="19"/>
      <c r="HH312" s="19"/>
    </row>
    <row r="313" spans="1:216" ht="15" customHeight="1" x14ac:dyDescent="0.25">
      <c r="A313"/>
      <c r="B313"/>
      <c r="C313"/>
      <c r="D313"/>
      <c r="E313"/>
      <c r="G313"/>
      <c r="H313"/>
      <c r="I313"/>
      <c r="J313" s="19"/>
      <c r="K313"/>
      <c r="L313"/>
      <c r="M313"/>
      <c r="N313"/>
      <c r="O313"/>
      <c r="Q313"/>
      <c r="R313"/>
      <c r="S313"/>
      <c r="T313" s="19"/>
      <c r="U313" s="1"/>
      <c r="V313"/>
      <c r="W313"/>
      <c r="Y313"/>
      <c r="Z313"/>
      <c r="AA313"/>
      <c r="AB313" s="19"/>
      <c r="AD313"/>
      <c r="AE313"/>
      <c r="AG313"/>
      <c r="AH313"/>
      <c r="AI313"/>
      <c r="AJ313" s="19"/>
      <c r="AL313"/>
      <c r="AM313"/>
      <c r="AO313"/>
      <c r="AP313"/>
      <c r="AQ313"/>
      <c r="AR313" s="19"/>
      <c r="AT313"/>
      <c r="AU313"/>
      <c r="AW313"/>
      <c r="AX313"/>
      <c r="AY313"/>
      <c r="AZ313" s="19"/>
      <c r="BB313"/>
      <c r="BC313"/>
      <c r="BE313"/>
      <c r="BF313"/>
      <c r="BG313"/>
      <c r="BH313" s="19"/>
      <c r="BJ313"/>
      <c r="BK313"/>
      <c r="BM313"/>
      <c r="BN313"/>
      <c r="BO313"/>
      <c r="BP313" s="19"/>
      <c r="BX313" s="19"/>
      <c r="BY313" s="19"/>
      <c r="BZ313" s="19"/>
      <c r="CB313" s="297" t="s">
        <v>198</v>
      </c>
      <c r="CC313" s="1430"/>
      <c r="CD313" s="1431"/>
      <c r="CE313" s="1431"/>
      <c r="CF313" s="1431"/>
      <c r="CG313" s="1431"/>
      <c r="CH313" s="1431"/>
      <c r="CI313" s="1431"/>
      <c r="CJ313" s="1431"/>
      <c r="CK313" s="1431"/>
      <c r="CL313" s="1431"/>
      <c r="CM313" s="1431"/>
      <c r="CN313" s="1431"/>
      <c r="CO313" s="1432"/>
      <c r="CV313"/>
      <c r="CW313"/>
      <c r="CX313"/>
      <c r="CY313"/>
      <c r="CZ313"/>
      <c r="DA313"/>
      <c r="DB313"/>
      <c r="DC313"/>
      <c r="DD313"/>
      <c r="DE313"/>
      <c r="DF313"/>
      <c r="DG313"/>
      <c r="DH313"/>
      <c r="DI313"/>
      <c r="DJ313"/>
      <c r="DK313"/>
      <c r="EI313"/>
      <c r="EJ313"/>
      <c r="EK313"/>
      <c r="EL313"/>
      <c r="EM313"/>
      <c r="EO313"/>
      <c r="EP313"/>
      <c r="EQ313"/>
      <c r="ER313" s="19"/>
      <c r="ES313"/>
      <c r="ET313"/>
      <c r="EU313"/>
      <c r="EV313"/>
      <c r="EW313"/>
      <c r="EY313"/>
      <c r="EZ313"/>
      <c r="FA313"/>
      <c r="FB313" s="19"/>
      <c r="FC313" s="1"/>
      <c r="FD313"/>
      <c r="FE313"/>
      <c r="FG313"/>
      <c r="FH313"/>
      <c r="FI313"/>
      <c r="FJ313" s="19"/>
      <c r="FL313"/>
      <c r="FM313"/>
      <c r="FO313"/>
      <c r="FP313"/>
      <c r="FQ313"/>
      <c r="FR313" s="19"/>
      <c r="FT313"/>
      <c r="FU313"/>
      <c r="FW313"/>
      <c r="FX313"/>
      <c r="FY313"/>
      <c r="FZ313" s="19"/>
      <c r="GB313"/>
      <c r="GC313"/>
      <c r="GE313"/>
      <c r="GF313"/>
      <c r="GG313"/>
      <c r="GH313" s="19"/>
      <c r="GJ313"/>
      <c r="GK313"/>
      <c r="GM313"/>
      <c r="GN313"/>
      <c r="GO313"/>
      <c r="GP313" s="19"/>
      <c r="GR313"/>
      <c r="GS313"/>
      <c r="GU313"/>
      <c r="GV313"/>
      <c r="GW313"/>
      <c r="GX313" s="19"/>
      <c r="HF313" s="19"/>
      <c r="HG313" s="19"/>
      <c r="HH313" s="19"/>
    </row>
    <row r="314" spans="1:216" ht="15" customHeight="1" x14ac:dyDescent="0.25">
      <c r="A314"/>
      <c r="B314"/>
      <c r="D314"/>
      <c r="E314"/>
      <c r="G314"/>
      <c r="H314"/>
      <c r="I314"/>
      <c r="J314" s="19"/>
      <c r="K314"/>
      <c r="L314"/>
      <c r="M314"/>
      <c r="N314"/>
      <c r="O314"/>
      <c r="Q314"/>
      <c r="R314"/>
      <c r="S314"/>
      <c r="T314" s="19"/>
      <c r="U314" s="1"/>
      <c r="V314"/>
      <c r="W314"/>
      <c r="Y314"/>
      <c r="Z314"/>
      <c r="AA314"/>
      <c r="AB314" s="19"/>
      <c r="AD314"/>
      <c r="AE314"/>
      <c r="AG314"/>
      <c r="AH314"/>
      <c r="AI314"/>
      <c r="AJ314" s="19"/>
      <c r="AL314"/>
      <c r="AM314"/>
      <c r="AO314"/>
      <c r="AP314"/>
      <c r="AQ314"/>
      <c r="AR314" s="19"/>
      <c r="AT314"/>
      <c r="AU314"/>
      <c r="AW314"/>
      <c r="AX314"/>
      <c r="AY314"/>
      <c r="AZ314" s="19"/>
      <c r="BB314"/>
      <c r="BC314"/>
      <c r="BE314"/>
      <c r="BF314"/>
      <c r="BG314"/>
      <c r="BH314" s="19"/>
      <c r="BJ314"/>
      <c r="BK314"/>
      <c r="BM314"/>
      <c r="BN314"/>
      <c r="BO314"/>
      <c r="BP314" s="19"/>
      <c r="BX314" s="19"/>
      <c r="BY314" s="19"/>
      <c r="BZ314" s="19"/>
      <c r="CB314" s="291" t="s">
        <v>206</v>
      </c>
      <c r="CC314" s="1433"/>
      <c r="CD314" s="1434"/>
      <c r="CE314" s="1434"/>
      <c r="CF314" s="1434"/>
      <c r="CG314" s="1434"/>
      <c r="CH314" s="1434"/>
      <c r="CI314" s="1434"/>
      <c r="CJ314" s="1434"/>
      <c r="CK314" s="1434"/>
      <c r="CL314" s="1434"/>
      <c r="CM314" s="1434"/>
      <c r="CN314" s="1434"/>
      <c r="CO314" s="1435"/>
      <c r="CV314"/>
      <c r="CW314"/>
      <c r="CX314"/>
      <c r="CY314"/>
      <c r="CZ314"/>
      <c r="DA314"/>
      <c r="DB314"/>
      <c r="DC314"/>
      <c r="DD314"/>
      <c r="DE314"/>
      <c r="DF314"/>
      <c r="DG314"/>
      <c r="DH314"/>
      <c r="DI314"/>
      <c r="DJ314"/>
      <c r="DK314"/>
      <c r="EI314"/>
      <c r="EJ314"/>
      <c r="EL314"/>
      <c r="EM314"/>
      <c r="EO314"/>
      <c r="EP314"/>
      <c r="EQ314"/>
      <c r="ER314" s="19"/>
      <c r="ES314"/>
      <c r="ET314"/>
      <c r="EU314"/>
      <c r="EV314"/>
      <c r="EW314"/>
      <c r="EY314"/>
      <c r="EZ314"/>
      <c r="FA314"/>
      <c r="FB314" s="19"/>
      <c r="FC314" s="1"/>
      <c r="FD314"/>
      <c r="FE314"/>
      <c r="FG314"/>
      <c r="FH314"/>
      <c r="FI314"/>
      <c r="FJ314" s="19"/>
      <c r="FL314"/>
      <c r="FM314"/>
      <c r="FO314"/>
      <c r="FP314"/>
      <c r="FQ314"/>
      <c r="FR314" s="19"/>
      <c r="FT314"/>
      <c r="FU314"/>
      <c r="FW314"/>
      <c r="FX314"/>
      <c r="FY314"/>
      <c r="FZ314" s="19"/>
      <c r="GB314"/>
      <c r="GC314"/>
      <c r="GE314"/>
      <c r="GF314"/>
      <c r="GG314"/>
      <c r="GH314" s="19"/>
      <c r="GJ314"/>
      <c r="GK314"/>
      <c r="GM314"/>
      <c r="GN314"/>
      <c r="GO314"/>
      <c r="GP314" s="19"/>
      <c r="GR314"/>
      <c r="GS314"/>
      <c r="GU314"/>
      <c r="GV314"/>
      <c r="GW314"/>
      <c r="GX314" s="19"/>
      <c r="HF314" s="19"/>
      <c r="HG314" s="19"/>
      <c r="HH314" s="19"/>
    </row>
    <row r="315" spans="1:216" ht="15" customHeight="1" thickBot="1" x14ac:dyDescent="0.3">
      <c r="A315"/>
      <c r="B315"/>
      <c r="D315"/>
      <c r="E315"/>
      <c r="G315"/>
      <c r="H315"/>
      <c r="I315"/>
      <c r="J315" s="19"/>
      <c r="K315"/>
      <c r="L315"/>
      <c r="M315"/>
      <c r="N315"/>
      <c r="O315"/>
      <c r="Q315"/>
      <c r="R315"/>
      <c r="S315"/>
      <c r="T315" s="19"/>
      <c r="U315" s="1"/>
      <c r="V315"/>
      <c r="W315"/>
      <c r="Y315"/>
      <c r="Z315"/>
      <c r="AA315"/>
      <c r="AB315" s="19"/>
      <c r="AD315"/>
      <c r="AE315"/>
      <c r="AG315"/>
      <c r="AH315"/>
      <c r="AI315"/>
      <c r="AJ315" s="19"/>
      <c r="AL315"/>
      <c r="AM315"/>
      <c r="AO315"/>
      <c r="AP315"/>
      <c r="AQ315"/>
      <c r="AR315" s="19"/>
      <c r="AT315"/>
      <c r="AU315"/>
      <c r="AW315"/>
      <c r="AX315"/>
      <c r="AY315"/>
      <c r="AZ315" s="19"/>
      <c r="BB315"/>
      <c r="BC315"/>
      <c r="BE315"/>
      <c r="BF315"/>
      <c r="BG315"/>
      <c r="BH315" s="19"/>
      <c r="BJ315"/>
      <c r="BK315"/>
      <c r="BM315"/>
      <c r="BN315"/>
      <c r="BO315"/>
      <c r="BP315" s="19"/>
      <c r="BX315" s="19"/>
      <c r="BY315" s="19"/>
      <c r="BZ315" s="19"/>
      <c r="CB315" s="291" t="s">
        <v>207</v>
      </c>
      <c r="CC315" s="1433"/>
      <c r="CD315" s="1434"/>
      <c r="CE315" s="1434"/>
      <c r="CF315" s="1434"/>
      <c r="CG315" s="1434"/>
      <c r="CH315" s="1434"/>
      <c r="CI315" s="1434"/>
      <c r="CJ315" s="1434"/>
      <c r="CK315" s="1434"/>
      <c r="CL315" s="1434"/>
      <c r="CM315" s="1434"/>
      <c r="CN315" s="1434"/>
      <c r="CO315" s="1435"/>
      <c r="CV315"/>
      <c r="CW315"/>
      <c r="CX315"/>
      <c r="CY315"/>
      <c r="CZ315"/>
      <c r="DA315"/>
      <c r="DB315"/>
      <c r="DC315"/>
      <c r="DD315"/>
      <c r="DE315"/>
      <c r="DF315"/>
      <c r="DG315"/>
      <c r="DH315"/>
      <c r="DI315"/>
      <c r="DJ315"/>
      <c r="DK315"/>
      <c r="EI315"/>
      <c r="EJ315"/>
      <c r="EL315"/>
      <c r="EM315"/>
      <c r="EO315"/>
      <c r="EP315"/>
      <c r="EQ315"/>
      <c r="ER315" s="19"/>
      <c r="ES315"/>
      <c r="ET315"/>
      <c r="EU315"/>
      <c r="EV315"/>
      <c r="EW315"/>
      <c r="EY315"/>
      <c r="EZ315"/>
      <c r="FA315"/>
      <c r="FB315" s="19"/>
      <c r="FC315" s="1"/>
      <c r="FD315"/>
      <c r="FE315"/>
      <c r="FG315"/>
      <c r="FH315"/>
      <c r="FI315"/>
      <c r="FJ315" s="19"/>
      <c r="FL315"/>
      <c r="FM315"/>
      <c r="FO315"/>
      <c r="FP315"/>
      <c r="FQ315"/>
      <c r="FR315" s="19"/>
      <c r="FT315"/>
      <c r="FU315"/>
      <c r="FW315"/>
      <c r="FX315"/>
      <c r="FY315"/>
      <c r="FZ315" s="19"/>
      <c r="GB315"/>
      <c r="GC315"/>
      <c r="GE315"/>
      <c r="GF315"/>
      <c r="GG315"/>
      <c r="GH315" s="19"/>
      <c r="GJ315"/>
      <c r="GK315"/>
      <c r="GM315"/>
      <c r="GN315"/>
      <c r="GO315"/>
      <c r="GP315" s="19"/>
      <c r="GR315"/>
      <c r="GS315"/>
      <c r="GU315"/>
      <c r="GV315"/>
      <c r="GW315"/>
      <c r="GX315" s="19"/>
      <c r="HF315" s="19"/>
      <c r="HG315" s="19"/>
      <c r="HH315" s="19"/>
    </row>
    <row r="316" spans="1:216" ht="15" customHeight="1" thickBot="1" x14ac:dyDescent="0.3">
      <c r="A316"/>
      <c r="B316"/>
      <c r="D316"/>
      <c r="E316"/>
      <c r="G316"/>
      <c r="H316"/>
      <c r="I316"/>
      <c r="J316" s="19"/>
      <c r="K316"/>
      <c r="L316"/>
      <c r="M316"/>
      <c r="N316"/>
      <c r="O316"/>
      <c r="Q316"/>
      <c r="R316"/>
      <c r="S316"/>
      <c r="T316" s="19"/>
      <c r="U316" s="1"/>
      <c r="V316"/>
      <c r="W316"/>
      <c r="Y316"/>
      <c r="Z316"/>
      <c r="AA316"/>
      <c r="AB316" s="19"/>
      <c r="AD316"/>
      <c r="AE316"/>
      <c r="AG316"/>
      <c r="AH316"/>
      <c r="AI316"/>
      <c r="AJ316" s="19"/>
      <c r="AL316"/>
      <c r="AM316"/>
      <c r="AO316"/>
      <c r="AP316"/>
      <c r="AQ316"/>
      <c r="AR316" s="19"/>
      <c r="AT316"/>
      <c r="AU316"/>
      <c r="AW316"/>
      <c r="AX316"/>
      <c r="AY316"/>
      <c r="AZ316" s="19"/>
      <c r="BB316"/>
      <c r="BC316"/>
      <c r="BE316"/>
      <c r="BF316"/>
      <c r="BG316"/>
      <c r="BH316" s="19"/>
      <c r="BJ316"/>
      <c r="BK316"/>
      <c r="BM316"/>
      <c r="BN316"/>
      <c r="BO316"/>
      <c r="BP316" s="19"/>
      <c r="BX316" s="19"/>
      <c r="BY316" s="19"/>
      <c r="BZ316" s="19"/>
      <c r="CB316" s="291" t="s">
        <v>208</v>
      </c>
      <c r="CC316" s="1433"/>
      <c r="CD316" s="1434"/>
      <c r="CE316" s="1434"/>
      <c r="CF316" s="1434"/>
      <c r="CG316" s="1434"/>
      <c r="CH316" s="1434"/>
      <c r="CI316" s="1434"/>
      <c r="CJ316" s="1434"/>
      <c r="CK316" s="1434"/>
      <c r="CL316" s="1434"/>
      <c r="CM316" s="1434"/>
      <c r="CN316" s="1434"/>
      <c r="CO316" s="1435"/>
      <c r="CV316"/>
      <c r="CW316"/>
      <c r="CX316"/>
      <c r="CY316" s="3350" t="s">
        <v>161</v>
      </c>
      <c r="CZ316" s="3351"/>
      <c r="DA316" s="3351"/>
      <c r="DB316" s="3352"/>
      <c r="DC316" s="3353" t="s">
        <v>167</v>
      </c>
      <c r="DD316" s="3354"/>
      <c r="DE316" s="3354"/>
      <c r="DF316" s="3355"/>
      <c r="DG316" s="3356" t="s">
        <v>168</v>
      </c>
      <c r="DH316" s="3357"/>
      <c r="DI316" s="3357"/>
      <c r="DJ316" s="3358"/>
      <c r="DK316"/>
      <c r="EI316"/>
      <c r="EJ316"/>
      <c r="EL316"/>
      <c r="EM316"/>
      <c r="EO316"/>
      <c r="EP316"/>
      <c r="EQ316"/>
      <c r="ER316" s="19"/>
      <c r="ES316"/>
      <c r="ET316"/>
      <c r="EU316"/>
      <c r="EV316"/>
      <c r="EW316"/>
      <c r="EY316"/>
      <c r="EZ316"/>
      <c r="FA316"/>
      <c r="FB316" s="19"/>
      <c r="FC316" s="1"/>
      <c r="FD316"/>
      <c r="FE316"/>
      <c r="FG316"/>
      <c r="FH316"/>
      <c r="FI316"/>
      <c r="FJ316" s="19"/>
      <c r="FL316"/>
      <c r="FM316"/>
      <c r="FO316"/>
      <c r="FP316"/>
      <c r="FQ316"/>
      <c r="FR316" s="19"/>
      <c r="FT316"/>
      <c r="FU316"/>
      <c r="FW316"/>
      <c r="FX316"/>
      <c r="FY316"/>
      <c r="FZ316" s="19"/>
      <c r="GB316"/>
      <c r="GC316"/>
      <c r="GE316"/>
      <c r="GF316"/>
      <c r="GG316"/>
      <c r="GH316" s="19"/>
      <c r="GJ316"/>
      <c r="GK316"/>
      <c r="GM316"/>
      <c r="GN316"/>
      <c r="GO316"/>
      <c r="GP316" s="19"/>
      <c r="GR316"/>
      <c r="GS316"/>
      <c r="GU316"/>
      <c r="GV316"/>
      <c r="GW316"/>
      <c r="GX316" s="19"/>
      <c r="HF316" s="19"/>
      <c r="HG316" s="19"/>
      <c r="HH316" s="19"/>
    </row>
    <row r="317" spans="1:216" ht="15" customHeight="1" x14ac:dyDescent="0.25">
      <c r="A317"/>
      <c r="B317"/>
      <c r="D317"/>
      <c r="E317"/>
      <c r="G317"/>
      <c r="H317"/>
      <c r="I317"/>
      <c r="J317" s="19"/>
      <c r="K317"/>
      <c r="L317"/>
      <c r="M317"/>
      <c r="N317"/>
      <c r="O317"/>
      <c r="Q317"/>
      <c r="R317"/>
      <c r="S317"/>
      <c r="T317" s="19"/>
      <c r="U317" s="1"/>
      <c r="V317"/>
      <c r="W317"/>
      <c r="Y317"/>
      <c r="Z317"/>
      <c r="AA317"/>
      <c r="AB317" s="19"/>
      <c r="AD317"/>
      <c r="AE317"/>
      <c r="AG317"/>
      <c r="AH317"/>
      <c r="AI317"/>
      <c r="AJ317" s="19"/>
      <c r="AL317"/>
      <c r="AM317"/>
      <c r="AO317"/>
      <c r="AP317"/>
      <c r="AQ317"/>
      <c r="AR317" s="19"/>
      <c r="AT317"/>
      <c r="AU317"/>
      <c r="AW317"/>
      <c r="AX317"/>
      <c r="AY317"/>
      <c r="AZ317" s="19"/>
      <c r="BB317"/>
      <c r="BC317"/>
      <c r="BE317"/>
      <c r="BF317"/>
      <c r="BG317"/>
      <c r="BH317" s="19"/>
      <c r="BJ317"/>
      <c r="BK317"/>
      <c r="BM317"/>
      <c r="BN317"/>
      <c r="BO317"/>
      <c r="BP317" s="19"/>
      <c r="BX317" s="19"/>
      <c r="BY317" s="19"/>
      <c r="BZ317" s="19"/>
      <c r="CB317" s="298" t="s">
        <v>199</v>
      </c>
      <c r="CC317" s="1436">
        <f t="shared" ref="CC317:CO317" si="1770">SUM(CC318:CC322)</f>
        <v>0</v>
      </c>
      <c r="CD317" s="1436">
        <f t="shared" si="1770"/>
        <v>0</v>
      </c>
      <c r="CE317" s="1436">
        <f t="shared" si="1770"/>
        <v>0</v>
      </c>
      <c r="CF317" s="1436">
        <f t="shared" si="1770"/>
        <v>0</v>
      </c>
      <c r="CG317" s="1436">
        <f t="shared" si="1770"/>
        <v>0</v>
      </c>
      <c r="CH317" s="1436">
        <f t="shared" si="1770"/>
        <v>0</v>
      </c>
      <c r="CI317" s="1436">
        <f t="shared" si="1770"/>
        <v>0</v>
      </c>
      <c r="CJ317" s="1436">
        <f t="shared" si="1770"/>
        <v>0</v>
      </c>
      <c r="CK317" s="1436">
        <f t="shared" si="1770"/>
        <v>0</v>
      </c>
      <c r="CL317" s="1436">
        <f t="shared" si="1770"/>
        <v>0</v>
      </c>
      <c r="CM317" s="1436">
        <f t="shared" si="1770"/>
        <v>0</v>
      </c>
      <c r="CN317" s="1436">
        <f t="shared" si="1770"/>
        <v>0</v>
      </c>
      <c r="CO317" s="1437">
        <f t="shared" si="1770"/>
        <v>0</v>
      </c>
      <c r="CV317" s="250"/>
      <c r="CW317" s="250"/>
      <c r="CX317" s="251"/>
      <c r="CY317" s="1438"/>
      <c r="CZ317" s="1217"/>
      <c r="DA317" s="1217"/>
      <c r="DB317" s="1217"/>
      <c r="DC317" s="1217"/>
      <c r="DD317" s="1217"/>
      <c r="DE317" s="1217"/>
      <c r="DF317" s="1217"/>
      <c r="DG317" s="1217"/>
      <c r="DH317" s="1217"/>
      <c r="DI317" s="1217"/>
      <c r="DJ317" s="1217"/>
      <c r="DK317" s="259"/>
      <c r="EI317"/>
      <c r="EJ317"/>
      <c r="EL317"/>
      <c r="EM317"/>
      <c r="EO317"/>
      <c r="EP317"/>
      <c r="EQ317"/>
      <c r="ER317" s="19"/>
      <c r="ES317"/>
      <c r="ET317"/>
      <c r="EU317"/>
      <c r="EV317"/>
      <c r="EW317"/>
      <c r="EY317"/>
      <c r="EZ317"/>
      <c r="FA317"/>
      <c r="FB317" s="19"/>
      <c r="FC317" s="1"/>
      <c r="FD317"/>
      <c r="FE317"/>
      <c r="FG317"/>
      <c r="FH317"/>
      <c r="FI317"/>
      <c r="FJ317" s="19"/>
      <c r="FL317"/>
      <c r="FM317"/>
      <c r="FO317"/>
      <c r="FP317"/>
      <c r="FQ317"/>
      <c r="FR317" s="19"/>
      <c r="FT317"/>
      <c r="FU317"/>
      <c r="FW317"/>
      <c r="FX317"/>
      <c r="FY317"/>
      <c r="FZ317" s="19"/>
      <c r="GB317"/>
      <c r="GC317"/>
      <c r="GE317"/>
      <c r="GF317"/>
      <c r="GG317"/>
      <c r="GH317" s="19"/>
      <c r="GJ317"/>
      <c r="GK317"/>
      <c r="GM317"/>
      <c r="GN317"/>
      <c r="GO317"/>
      <c r="GP317" s="19"/>
      <c r="GR317"/>
      <c r="GS317"/>
      <c r="GU317"/>
      <c r="GV317"/>
      <c r="GW317"/>
      <c r="GX317" s="19"/>
      <c r="HF317" s="19"/>
      <c r="HG317" s="19"/>
      <c r="HH317" s="19"/>
    </row>
    <row r="318" spans="1:216" ht="15" customHeight="1" x14ac:dyDescent="0.25">
      <c r="F318"/>
      <c r="G318"/>
      <c r="H318"/>
      <c r="I318"/>
      <c r="J318" s="19"/>
      <c r="K318"/>
      <c r="L318"/>
      <c r="M318"/>
      <c r="P318"/>
      <c r="Q318"/>
      <c r="R318"/>
      <c r="S318"/>
      <c r="T318" s="19"/>
      <c r="U318" s="1"/>
      <c r="X318"/>
      <c r="Y318"/>
      <c r="Z318"/>
      <c r="AA318"/>
      <c r="AB318" s="19"/>
      <c r="AF318"/>
      <c r="AG318"/>
      <c r="AH318"/>
      <c r="AI318"/>
      <c r="AJ318" s="19"/>
      <c r="AN318"/>
      <c r="AO318"/>
      <c r="AP318"/>
      <c r="AQ318"/>
      <c r="AR318" s="19"/>
      <c r="AV318"/>
      <c r="AW318"/>
      <c r="AX318"/>
      <c r="AY318"/>
      <c r="AZ318" s="19"/>
      <c r="BD318"/>
      <c r="BE318"/>
      <c r="BF318"/>
      <c r="BG318"/>
      <c r="BH318" s="19"/>
      <c r="BL318"/>
      <c r="BM318"/>
      <c r="BN318"/>
      <c r="BO318"/>
      <c r="BP318" s="19"/>
      <c r="BZ318" s="19"/>
      <c r="CB318" s="299" t="s">
        <v>200</v>
      </c>
      <c r="CC318" s="1439"/>
      <c r="CD318" s="21"/>
      <c r="CE318" s="21"/>
      <c r="CF318" s="1434"/>
      <c r="CG318" s="1434"/>
      <c r="CH318" s="1434"/>
      <c r="CI318" s="1434"/>
      <c r="CJ318" s="1434"/>
      <c r="CK318" s="1434"/>
      <c r="CL318" s="1434"/>
      <c r="CM318" s="1434"/>
      <c r="CN318" s="1434"/>
      <c r="CO318" s="1435"/>
      <c r="CV318" s="3415"/>
      <c r="CW318" s="3415"/>
      <c r="CX318" s="3415"/>
      <c r="CY318" s="1440"/>
      <c r="DK318" s="259"/>
      <c r="EN318"/>
      <c r="EO318"/>
      <c r="EP318"/>
      <c r="EQ318"/>
      <c r="ER318" s="19"/>
      <c r="ES318"/>
      <c r="ET318"/>
      <c r="EU318"/>
      <c r="EX318"/>
      <c r="EY318"/>
      <c r="EZ318"/>
      <c r="FA318"/>
      <c r="FB318" s="19"/>
      <c r="FC318" s="1"/>
      <c r="FF318"/>
      <c r="FG318"/>
      <c r="FH318"/>
      <c r="FI318"/>
      <c r="FJ318" s="19"/>
      <c r="FN318"/>
      <c r="FO318"/>
      <c r="FP318"/>
      <c r="FQ318"/>
      <c r="FR318" s="19"/>
      <c r="FV318"/>
      <c r="FW318"/>
      <c r="FX318"/>
      <c r="FY318"/>
      <c r="FZ318" s="19"/>
      <c r="GD318"/>
      <c r="GE318"/>
      <c r="GF318"/>
      <c r="GG318"/>
      <c r="GH318" s="19"/>
      <c r="GL318"/>
      <c r="GM318"/>
      <c r="GN318"/>
      <c r="GO318"/>
      <c r="GP318" s="19"/>
      <c r="GT318"/>
      <c r="GU318"/>
      <c r="GV318"/>
      <c r="GW318"/>
      <c r="GX318" s="19"/>
      <c r="HH318" s="19"/>
    </row>
    <row r="319" spans="1:216" ht="15" customHeight="1" x14ac:dyDescent="0.25">
      <c r="F319" s="3"/>
      <c r="G319"/>
      <c r="H319"/>
      <c r="I319"/>
      <c r="J319" s="19"/>
      <c r="M319"/>
      <c r="P319" s="3"/>
      <c r="Q319"/>
      <c r="R319"/>
      <c r="S319"/>
      <c r="T319" s="19"/>
      <c r="U319" s="1"/>
      <c r="X319" s="3"/>
      <c r="Y319"/>
      <c r="Z319"/>
      <c r="AA319"/>
      <c r="AB319" s="19"/>
      <c r="AF319" s="3"/>
      <c r="AG319"/>
      <c r="AH319"/>
      <c r="AI319"/>
      <c r="AJ319" s="19"/>
      <c r="AN319" s="3"/>
      <c r="AO319"/>
      <c r="AP319"/>
      <c r="AQ319"/>
      <c r="AR319" s="19"/>
      <c r="AV319" s="3"/>
      <c r="AW319"/>
      <c r="AX319"/>
      <c r="AY319"/>
      <c r="AZ319" s="19"/>
      <c r="BD319" s="3"/>
      <c r="BE319"/>
      <c r="BF319"/>
      <c r="BG319"/>
      <c r="BH319" s="19"/>
      <c r="BL319" s="3"/>
      <c r="BM319"/>
      <c r="BN319"/>
      <c r="BO319"/>
      <c r="BP319" s="19"/>
      <c r="CB319" s="299" t="s">
        <v>201</v>
      </c>
      <c r="CC319" s="1439"/>
      <c r="CD319" s="21"/>
      <c r="CE319" s="21"/>
      <c r="CF319" s="1434"/>
      <c r="CG319" s="1434"/>
      <c r="CH319" s="1434"/>
      <c r="CI319" s="1434"/>
      <c r="CJ319" s="1434"/>
      <c r="CK319" s="1434"/>
      <c r="CL319" s="1434"/>
      <c r="CM319" s="1434"/>
      <c r="CN319" s="1434"/>
      <c r="CO319" s="1435"/>
      <c r="CV319" s="253"/>
      <c r="CW319" s="253"/>
      <c r="CX319" s="254"/>
      <c r="CY319" s="1441"/>
      <c r="CZ319" s="1441"/>
      <c r="DA319" s="1441"/>
      <c r="DB319" s="1441"/>
      <c r="DC319" s="1441"/>
      <c r="DD319" s="1441"/>
      <c r="DE319" s="1441"/>
      <c r="DF319" s="1441"/>
      <c r="DG319" s="1441"/>
      <c r="DH319" s="1441"/>
      <c r="DI319" s="1441"/>
      <c r="DJ319" s="1441"/>
      <c r="DK319" s="259"/>
      <c r="EN319" s="3"/>
      <c r="EO319"/>
      <c r="EP319"/>
      <c r="EQ319"/>
      <c r="ER319" s="19"/>
      <c r="EU319"/>
      <c r="EX319" s="3"/>
      <c r="EY319"/>
      <c r="EZ319"/>
      <c r="FA319"/>
      <c r="FB319" s="19"/>
      <c r="FC319" s="1"/>
      <c r="FF319" s="3"/>
      <c r="FG319"/>
      <c r="FH319"/>
      <c r="FI319"/>
      <c r="FJ319" s="19"/>
      <c r="FN319" s="3"/>
      <c r="FO319"/>
      <c r="FP319"/>
      <c r="FQ319"/>
      <c r="FR319" s="19"/>
      <c r="FV319" s="3"/>
      <c r="FW319"/>
      <c r="FX319"/>
      <c r="FY319"/>
      <c r="FZ319" s="19"/>
      <c r="GD319" s="3"/>
      <c r="GE319"/>
      <c r="GF319"/>
      <c r="GG319"/>
      <c r="GH319" s="19"/>
      <c r="GL319" s="3"/>
      <c r="GM319"/>
      <c r="GN319"/>
      <c r="GO319"/>
      <c r="GP319" s="19"/>
      <c r="GT319" s="3"/>
      <c r="GU319"/>
      <c r="GV319"/>
      <c r="GW319"/>
      <c r="GX319" s="19"/>
    </row>
    <row r="320" spans="1:216" ht="15" customHeight="1" x14ac:dyDescent="0.25">
      <c r="CB320" s="299" t="s">
        <v>202</v>
      </c>
      <c r="CC320" s="1439"/>
      <c r="CD320" s="21"/>
      <c r="CE320" s="21"/>
      <c r="CF320" s="1434"/>
      <c r="CG320" s="1434"/>
      <c r="CH320" s="1434"/>
      <c r="CI320" s="1434"/>
      <c r="CJ320" s="1434"/>
      <c r="CK320" s="1434"/>
      <c r="CL320" s="1434"/>
      <c r="CM320" s="1434"/>
      <c r="CN320" s="1434"/>
      <c r="CO320" s="1435"/>
      <c r="CV320" s="250"/>
      <c r="CW320" s="250"/>
      <c r="CX320" s="251"/>
      <c r="CY320" s="1217"/>
      <c r="CZ320" s="1217"/>
      <c r="DA320" s="1217"/>
      <c r="DB320" s="1217"/>
      <c r="DC320" s="1217"/>
      <c r="DD320" s="1217"/>
      <c r="DE320" s="1217"/>
      <c r="DF320" s="1217"/>
      <c r="DG320" s="1217"/>
      <c r="DH320" s="1217"/>
      <c r="DI320" s="1217"/>
      <c r="DJ320" s="1217"/>
      <c r="DK320" s="259"/>
    </row>
    <row r="321" spans="80:115" ht="15" customHeight="1" x14ac:dyDescent="0.25">
      <c r="CB321" s="299" t="s">
        <v>203</v>
      </c>
      <c r="CC321" s="1439"/>
      <c r="CD321" s="21"/>
      <c r="CE321" s="21"/>
      <c r="CF321" s="1434"/>
      <c r="CG321" s="1434"/>
      <c r="CH321" s="1434"/>
      <c r="CI321" s="1434"/>
      <c r="CJ321" s="1434"/>
      <c r="CK321" s="1434"/>
      <c r="CL321" s="1434"/>
      <c r="CM321" s="1434"/>
      <c r="CN321" s="1434"/>
      <c r="CO321" s="1435"/>
      <c r="CV321" s="250"/>
      <c r="CW321" s="250"/>
      <c r="CX321" s="251"/>
      <c r="CY321" s="1217"/>
      <c r="CZ321" s="1217"/>
      <c r="DA321" s="1217"/>
      <c r="DB321" s="1217"/>
      <c r="DC321" s="1217"/>
      <c r="DD321" s="1217"/>
      <c r="DE321" s="1217"/>
      <c r="DF321" s="1217"/>
      <c r="DG321" s="1217"/>
      <c r="DH321" s="1217"/>
      <c r="DI321" s="1217"/>
      <c r="DJ321" s="1217"/>
      <c r="DK321" s="259"/>
    </row>
    <row r="322" spans="80:115" ht="15" customHeight="1" x14ac:dyDescent="0.25">
      <c r="CB322" s="299" t="s">
        <v>204</v>
      </c>
      <c r="CC322" s="1439"/>
      <c r="CD322" s="21"/>
      <c r="CE322" s="21"/>
      <c r="CF322" s="1434"/>
      <c r="CG322" s="1434"/>
      <c r="CH322" s="1434"/>
      <c r="CI322" s="1434"/>
      <c r="CJ322" s="1434"/>
      <c r="CK322" s="1434"/>
      <c r="CL322" s="1434"/>
      <c r="CM322" s="1434"/>
      <c r="CN322" s="1434"/>
      <c r="CO322" s="1435"/>
      <c r="CV322" s="250"/>
      <c r="CW322" s="250"/>
      <c r="CX322" s="251"/>
      <c r="CY322" s="60"/>
      <c r="CZ322" s="60"/>
      <c r="DA322" s="60"/>
      <c r="DB322" s="60"/>
      <c r="DC322" s="60"/>
      <c r="DD322" s="60"/>
      <c r="DE322" s="60"/>
      <c r="DF322" s="60"/>
      <c r="DG322" s="60"/>
      <c r="DH322" s="60"/>
      <c r="DI322" s="60"/>
      <c r="DJ322" s="60"/>
      <c r="DK322" s="329"/>
    </row>
    <row r="323" spans="80:115" ht="15" customHeight="1" x14ac:dyDescent="0.25">
      <c r="CB323" s="300" t="s">
        <v>193</v>
      </c>
      <c r="CC323" s="1442">
        <f t="shared" ref="CC323:CO323" si="1771">SUM(CC324:CC326)</f>
        <v>0</v>
      </c>
      <c r="CD323" s="1443">
        <f t="shared" si="1771"/>
        <v>0</v>
      </c>
      <c r="CE323" s="1443">
        <f t="shared" si="1771"/>
        <v>0</v>
      </c>
      <c r="CF323" s="1444">
        <f t="shared" si="1771"/>
        <v>0</v>
      </c>
      <c r="CG323" s="1444">
        <f t="shared" si="1771"/>
        <v>0</v>
      </c>
      <c r="CH323" s="1444">
        <f t="shared" si="1771"/>
        <v>0</v>
      </c>
      <c r="CI323" s="1444">
        <f t="shared" si="1771"/>
        <v>0</v>
      </c>
      <c r="CJ323" s="1444">
        <f t="shared" si="1771"/>
        <v>0</v>
      </c>
      <c r="CK323" s="1444">
        <f t="shared" si="1771"/>
        <v>0</v>
      </c>
      <c r="CL323" s="1444">
        <f t="shared" si="1771"/>
        <v>0</v>
      </c>
      <c r="CM323" s="1444">
        <f t="shared" si="1771"/>
        <v>0</v>
      </c>
      <c r="CN323" s="1444">
        <f t="shared" si="1771"/>
        <v>0</v>
      </c>
      <c r="CO323" s="1445">
        <f t="shared" si="1771"/>
        <v>0</v>
      </c>
      <c r="CV323" s="255"/>
      <c r="CW323" s="255"/>
      <c r="CX323" s="255"/>
      <c r="CY323" s="1446"/>
      <c r="CZ323" s="1446"/>
      <c r="DA323" s="1446"/>
      <c r="DB323"/>
      <c r="DC323"/>
      <c r="DD323"/>
      <c r="DE323"/>
      <c r="DF323"/>
      <c r="DG323"/>
      <c r="DH323"/>
      <c r="DI323"/>
      <c r="DJ323"/>
      <c r="DK323" s="329"/>
    </row>
    <row r="324" spans="80:115" ht="15" customHeight="1" x14ac:dyDescent="0.25">
      <c r="CB324" s="301" t="s">
        <v>209</v>
      </c>
      <c r="CC324" s="1439"/>
      <c r="CD324" s="21"/>
      <c r="CE324" s="21"/>
      <c r="CF324" s="1434"/>
      <c r="CG324" s="1434"/>
      <c r="CH324" s="1434"/>
      <c r="CI324" s="1434"/>
      <c r="CJ324" s="1434"/>
      <c r="CK324" s="1434"/>
      <c r="CL324" s="1434"/>
      <c r="CM324" s="1434"/>
      <c r="CN324" s="1434"/>
      <c r="CO324" s="1435"/>
      <c r="CV324" s="252"/>
      <c r="CW324" s="252"/>
      <c r="CX324" s="252"/>
      <c r="CY324" s="1447"/>
      <c r="CZ324" s="1447"/>
      <c r="DA324" s="1447"/>
      <c r="DB324" s="1447"/>
      <c r="DC324" s="1447"/>
      <c r="DK324" s="259"/>
    </row>
    <row r="325" spans="80:115" ht="15" customHeight="1" x14ac:dyDescent="0.25">
      <c r="CB325" s="301" t="s">
        <v>210</v>
      </c>
      <c r="CC325" s="1439"/>
      <c r="CD325" s="21"/>
      <c r="CE325" s="21"/>
      <c r="CF325" s="1434"/>
      <c r="CG325" s="1434"/>
      <c r="CH325" s="1434"/>
      <c r="CI325" s="1434"/>
      <c r="CJ325" s="1434"/>
      <c r="CK325" s="1434"/>
      <c r="CL325" s="1434"/>
      <c r="CM325" s="1434"/>
      <c r="CN325" s="1434"/>
      <c r="CO325" s="1435"/>
      <c r="CV325" s="252"/>
      <c r="CW325" s="252"/>
      <c r="CX325" s="252"/>
      <c r="CY325" s="1447"/>
      <c r="CZ325" s="1447"/>
      <c r="DA325" s="1447"/>
      <c r="DB325" s="1447"/>
      <c r="DC325" s="1447"/>
      <c r="DD325" s="1447"/>
      <c r="DE325" s="1447"/>
      <c r="DK325" s="259"/>
    </row>
    <row r="326" spans="80:115" ht="15" customHeight="1" x14ac:dyDescent="0.25">
      <c r="CB326" s="301" t="s">
        <v>211</v>
      </c>
      <c r="CC326" s="1439"/>
      <c r="CD326" s="21"/>
      <c r="CE326" s="21"/>
      <c r="CF326" s="1434"/>
      <c r="CG326" s="1434"/>
      <c r="CH326" s="1434"/>
      <c r="CI326" s="1434"/>
      <c r="CJ326" s="1434"/>
      <c r="CK326" s="1434"/>
      <c r="CL326" s="1434"/>
      <c r="CM326" s="1434"/>
      <c r="CN326" s="1434"/>
      <c r="CO326" s="1435"/>
      <c r="CV326" s="256"/>
      <c r="CW326" s="256"/>
      <c r="CX326" s="226"/>
      <c r="CY326" s="329"/>
      <c r="CZ326" s="329"/>
      <c r="DA326" s="329"/>
      <c r="DB326" s="329"/>
      <c r="DC326" s="329"/>
      <c r="DD326" s="329"/>
      <c r="DE326" s="329"/>
      <c r="DF326" s="329"/>
      <c r="DG326" s="329"/>
      <c r="DH326" s="329"/>
      <c r="DI326" s="329"/>
      <c r="DJ326" s="329"/>
      <c r="DK326" s="329"/>
    </row>
    <row r="327" spans="80:115" ht="15" customHeight="1" x14ac:dyDescent="0.25">
      <c r="CB327" s="302" t="s">
        <v>194</v>
      </c>
      <c r="CC327" s="1448">
        <f t="shared" ref="CC327:CO327" si="1772">SUM(CC328:CC329)</f>
        <v>0</v>
      </c>
      <c r="CD327" s="1448">
        <f t="shared" si="1772"/>
        <v>0</v>
      </c>
      <c r="CE327" s="1448">
        <f t="shared" si="1772"/>
        <v>0</v>
      </c>
      <c r="CF327" s="1448">
        <f t="shared" si="1772"/>
        <v>0</v>
      </c>
      <c r="CG327" s="1448">
        <f t="shared" si="1772"/>
        <v>0</v>
      </c>
      <c r="CH327" s="1448">
        <f t="shared" si="1772"/>
        <v>0</v>
      </c>
      <c r="CI327" s="1448">
        <f t="shared" si="1772"/>
        <v>0</v>
      </c>
      <c r="CJ327" s="1448">
        <f t="shared" si="1772"/>
        <v>0</v>
      </c>
      <c r="CK327" s="1448">
        <f t="shared" si="1772"/>
        <v>0</v>
      </c>
      <c r="CL327" s="1448">
        <f t="shared" si="1772"/>
        <v>0</v>
      </c>
      <c r="CM327" s="1448">
        <f t="shared" si="1772"/>
        <v>0</v>
      </c>
      <c r="CN327" s="1448">
        <f t="shared" si="1772"/>
        <v>0</v>
      </c>
      <c r="CO327" s="1449">
        <f t="shared" si="1772"/>
        <v>0</v>
      </c>
      <c r="CV327" s="250"/>
      <c r="CW327" s="250"/>
      <c r="CX327" s="251"/>
      <c r="CY327" s="60"/>
      <c r="CZ327" s="60"/>
      <c r="DA327" s="60"/>
      <c r="DB327" s="60"/>
      <c r="DC327" s="60"/>
      <c r="DD327" s="60"/>
      <c r="DE327" s="60"/>
      <c r="DF327" s="60"/>
      <c r="DG327" s="60"/>
      <c r="DH327" s="60"/>
      <c r="DI327" s="60"/>
      <c r="DJ327" s="60"/>
      <c r="DK327" s="329"/>
    </row>
    <row r="328" spans="80:115" ht="15" customHeight="1" x14ac:dyDescent="0.25">
      <c r="CB328" s="303" t="s">
        <v>212</v>
      </c>
      <c r="CC328" s="1439"/>
      <c r="CD328" s="21"/>
      <c r="CE328" s="21"/>
      <c r="CF328" s="1434"/>
      <c r="CG328" s="1434"/>
      <c r="CH328" s="1434"/>
      <c r="CI328" s="1434"/>
      <c r="CJ328" s="1434"/>
      <c r="CK328" s="1434"/>
      <c r="CL328" s="1434"/>
      <c r="CM328" s="1434"/>
      <c r="CN328" s="1434"/>
      <c r="CO328" s="1435"/>
      <c r="CV328" s="250"/>
      <c r="CW328" s="250"/>
      <c r="CX328" s="251"/>
      <c r="CY328" s="60"/>
      <c r="CZ328" s="60"/>
      <c r="DA328" s="60"/>
      <c r="DB328" s="60"/>
      <c r="DC328" s="60"/>
      <c r="DD328" s="60"/>
      <c r="DE328" s="60"/>
      <c r="DF328" s="60"/>
      <c r="DG328" s="60"/>
      <c r="DH328" s="60"/>
      <c r="DI328" s="60"/>
      <c r="DJ328" s="60"/>
      <c r="DK328" s="329"/>
    </row>
    <row r="329" spans="80:115" ht="15" customHeight="1" x14ac:dyDescent="0.25">
      <c r="CB329" s="303" t="s">
        <v>213</v>
      </c>
      <c r="CC329" s="1439"/>
      <c r="CD329" s="21"/>
      <c r="CE329" s="21"/>
      <c r="CF329" s="1434"/>
      <c r="CG329" s="1434"/>
      <c r="CH329" s="1434"/>
      <c r="CI329" s="1434"/>
      <c r="CJ329" s="1434"/>
      <c r="CK329" s="1434"/>
      <c r="CL329" s="1434"/>
      <c r="CM329" s="1434"/>
      <c r="CN329" s="1434"/>
      <c r="CO329" s="1435"/>
      <c r="CV329" s="255"/>
      <c r="CW329" s="255"/>
      <c r="CX329" s="255"/>
      <c r="CY329" s="1446"/>
      <c r="CZ329" s="1446"/>
      <c r="DA329" s="1446"/>
      <c r="DB329" s="1446"/>
      <c r="DC329" s="1446"/>
      <c r="DD329" s="1446"/>
      <c r="DE329" s="1446"/>
      <c r="DF329" s="1446"/>
      <c r="DG329"/>
      <c r="DH329"/>
      <c r="DI329"/>
      <c r="DJ329"/>
      <c r="DK329" s="329"/>
    </row>
    <row r="330" spans="80:115" ht="15" customHeight="1" x14ac:dyDescent="0.25">
      <c r="CB330" s="304" t="s">
        <v>195</v>
      </c>
      <c r="CC330" s="1450">
        <f t="shared" ref="CC330:CO330" si="1773">SUM(CC331:CC332)</f>
        <v>0</v>
      </c>
      <c r="CD330" s="1450">
        <f t="shared" si="1773"/>
        <v>0</v>
      </c>
      <c r="CE330" s="1450">
        <f t="shared" si="1773"/>
        <v>0</v>
      </c>
      <c r="CF330" s="1450">
        <f t="shared" si="1773"/>
        <v>0</v>
      </c>
      <c r="CG330" s="1450">
        <f t="shared" si="1773"/>
        <v>0</v>
      </c>
      <c r="CH330" s="1450">
        <f t="shared" si="1773"/>
        <v>0</v>
      </c>
      <c r="CI330" s="1450">
        <f t="shared" si="1773"/>
        <v>0</v>
      </c>
      <c r="CJ330" s="1450">
        <f t="shared" si="1773"/>
        <v>0</v>
      </c>
      <c r="CK330" s="1450">
        <f t="shared" si="1773"/>
        <v>0</v>
      </c>
      <c r="CL330" s="1450">
        <f t="shared" si="1773"/>
        <v>0</v>
      </c>
      <c r="CM330" s="1450">
        <f t="shared" si="1773"/>
        <v>0</v>
      </c>
      <c r="CN330" s="1450">
        <f t="shared" si="1773"/>
        <v>0</v>
      </c>
      <c r="CO330" s="1451">
        <f t="shared" si="1773"/>
        <v>0</v>
      </c>
      <c r="CV330" s="256"/>
      <c r="CW330" s="256"/>
      <c r="CX330" s="226"/>
      <c r="CY330" s="329"/>
      <c r="CZ330" s="329"/>
      <c r="DA330" s="329"/>
      <c r="DB330" s="329"/>
      <c r="DC330" s="329"/>
      <c r="DD330" s="329"/>
      <c r="DE330" s="329"/>
      <c r="DF330" s="329"/>
      <c r="DG330" s="329"/>
      <c r="DH330" s="329"/>
      <c r="DI330" s="329"/>
      <c r="DJ330" s="329"/>
      <c r="DK330" s="329"/>
    </row>
    <row r="331" spans="80:115" ht="15" customHeight="1" x14ac:dyDescent="0.25">
      <c r="CB331" s="305" t="s">
        <v>214</v>
      </c>
      <c r="CC331" s="1439"/>
      <c r="CD331" s="21"/>
      <c r="CE331" s="21"/>
      <c r="CF331" s="1434"/>
      <c r="CG331" s="1434"/>
      <c r="CH331" s="1434"/>
      <c r="CI331" s="1434"/>
      <c r="CJ331" s="1434"/>
      <c r="CK331" s="1434"/>
      <c r="CL331" s="1434"/>
      <c r="CM331" s="1434"/>
      <c r="CN331" s="1434"/>
      <c r="CO331" s="1435"/>
      <c r="CV331" s="250"/>
      <c r="CW331" s="250"/>
      <c r="CX331" s="251"/>
      <c r="CY331" s="60"/>
      <c r="CZ331" s="60"/>
      <c r="DA331" s="60"/>
      <c r="DB331" s="60"/>
      <c r="DC331" s="60"/>
      <c r="DD331" s="60"/>
      <c r="DE331" s="60"/>
      <c r="DF331" s="60"/>
      <c r="DG331" s="60"/>
      <c r="DH331" s="60"/>
      <c r="DI331" s="60"/>
      <c r="DJ331" s="60"/>
      <c r="DK331" s="329"/>
    </row>
    <row r="332" spans="80:115" ht="15" customHeight="1" thickBot="1" x14ac:dyDescent="0.3">
      <c r="CB332" s="306" t="s">
        <v>215</v>
      </c>
      <c r="CC332" s="1452"/>
      <c r="CD332" s="89"/>
      <c r="CE332" s="89"/>
      <c r="CF332" s="1453"/>
      <c r="CG332" s="1453"/>
      <c r="CH332" s="1453"/>
      <c r="CI332" s="1453"/>
      <c r="CJ332" s="1453"/>
      <c r="CK332" s="1453"/>
      <c r="CL332" s="1453"/>
      <c r="CM332" s="1453"/>
      <c r="CN332" s="1453"/>
      <c r="CO332" s="1454"/>
      <c r="CV332" s="250"/>
      <c r="CW332" s="250"/>
      <c r="CX332" s="251"/>
      <c r="CY332" s="60"/>
      <c r="CZ332" s="60"/>
      <c r="DA332" s="60"/>
      <c r="DB332" s="60"/>
      <c r="DC332" s="60"/>
      <c r="DD332" s="60"/>
      <c r="DE332" s="60"/>
      <c r="DF332" s="60"/>
      <c r="DG332" s="60"/>
      <c r="DH332" s="60"/>
      <c r="DI332" s="60"/>
      <c r="DJ332" s="60"/>
      <c r="DK332" s="329"/>
    </row>
    <row r="333" spans="80:115" ht="15" customHeight="1" thickBot="1" x14ac:dyDescent="0.3">
      <c r="CB333" s="296" t="s">
        <v>179</v>
      </c>
      <c r="CC333" s="1455">
        <f t="shared" ref="CC333:CO333" si="1774">SUM(CC312,CC317,CC323,CC327,CC330)</f>
        <v>0</v>
      </c>
      <c r="CD333" s="1456">
        <f t="shared" si="1774"/>
        <v>0</v>
      </c>
      <c r="CE333" s="1457">
        <f t="shared" si="1774"/>
        <v>0</v>
      </c>
      <c r="CF333" s="1458">
        <f t="shared" si="1774"/>
        <v>0</v>
      </c>
      <c r="CG333" s="1458">
        <f t="shared" si="1774"/>
        <v>0</v>
      </c>
      <c r="CH333" s="1459">
        <f t="shared" si="1774"/>
        <v>0</v>
      </c>
      <c r="CI333" s="1460">
        <f t="shared" si="1774"/>
        <v>0</v>
      </c>
      <c r="CJ333" s="1461">
        <f t="shared" si="1774"/>
        <v>0</v>
      </c>
      <c r="CK333" s="1461">
        <f t="shared" si="1774"/>
        <v>0</v>
      </c>
      <c r="CL333" s="1462">
        <f t="shared" si="1774"/>
        <v>0</v>
      </c>
      <c r="CM333" s="1463">
        <f t="shared" si="1774"/>
        <v>0</v>
      </c>
      <c r="CN333" s="1464">
        <f t="shared" si="1774"/>
        <v>0</v>
      </c>
      <c r="CO333" s="1465">
        <f t="shared" si="1774"/>
        <v>0</v>
      </c>
      <c r="CV333" s="255"/>
      <c r="CW333" s="255"/>
      <c r="CX333" s="255"/>
      <c r="CY333" s="1446"/>
      <c r="CZ333" s="1446"/>
      <c r="DA333" s="1446"/>
      <c r="DB333" s="1446"/>
      <c r="DC333" s="1446"/>
      <c r="DD333" s="1446"/>
      <c r="DE333" s="1446"/>
      <c r="DF333" s="1446"/>
      <c r="DG333" s="1446"/>
      <c r="DH333" s="1446"/>
      <c r="DI333" s="1446"/>
      <c r="DJ333" s="1446"/>
      <c r="DK333" s="329"/>
    </row>
    <row r="334" spans="80:115" ht="15" customHeight="1" thickBot="1" x14ac:dyDescent="0.3">
      <c r="CB334" s="292" t="s">
        <v>180</v>
      </c>
      <c r="CC334" s="3365">
        <f>SUM(CC333:CD333)</f>
        <v>0</v>
      </c>
      <c r="CD334" s="3366"/>
      <c r="CE334" s="3367">
        <f>SUM(CE333:CH333)</f>
        <v>0</v>
      </c>
      <c r="CF334" s="3368"/>
      <c r="CG334" s="3368"/>
      <c r="CH334" s="3369"/>
      <c r="CI334" s="3370">
        <f>SUM(CI333:CL333)</f>
        <v>0</v>
      </c>
      <c r="CJ334" s="3371"/>
      <c r="CK334" s="3371"/>
      <c r="CL334" s="3372"/>
      <c r="CM334" s="3373">
        <f>SUM(CM333:CO333)</f>
        <v>0</v>
      </c>
      <c r="CN334" s="3374"/>
      <c r="CO334" s="3375"/>
      <c r="CV334" s="3416" t="s">
        <v>179</v>
      </c>
      <c r="CW334" s="3417"/>
      <c r="CX334" s="3418"/>
      <c r="CY334" s="1466">
        <v>0</v>
      </c>
      <c r="CZ334" s="1466">
        <v>0</v>
      </c>
      <c r="DA334" s="1466">
        <v>0</v>
      </c>
      <c r="DB334" s="1466">
        <v>0</v>
      </c>
      <c r="DC334" s="1466">
        <v>0</v>
      </c>
      <c r="DD334" s="1466">
        <v>0</v>
      </c>
      <c r="DE334" s="1466">
        <v>0</v>
      </c>
      <c r="DF334" s="1466">
        <v>0</v>
      </c>
      <c r="DG334" s="1466">
        <v>0</v>
      </c>
      <c r="DH334" s="1466">
        <v>0</v>
      </c>
      <c r="DI334" s="1466">
        <v>0</v>
      </c>
      <c r="DJ334" s="1466">
        <v>0</v>
      </c>
      <c r="DK334" s="1466">
        <v>0</v>
      </c>
    </row>
    <row r="335" spans="80:115" ht="15" customHeight="1" thickBot="1" x14ac:dyDescent="0.3">
      <c r="CB335" s="292" t="s">
        <v>196</v>
      </c>
      <c r="CC335" s="2338"/>
      <c r="CD335" s="2339"/>
      <c r="CE335" s="2339"/>
      <c r="CF335" s="2339"/>
      <c r="CG335" s="294" t="s">
        <v>205</v>
      </c>
      <c r="CH335" s="2339"/>
      <c r="CI335" s="294" t="s">
        <v>205</v>
      </c>
      <c r="CJ335" s="2339"/>
      <c r="CK335" s="293"/>
      <c r="CL335" s="2339"/>
      <c r="CM335" s="294" t="s">
        <v>205</v>
      </c>
      <c r="CN335" s="2339"/>
      <c r="CO335" s="294" t="s">
        <v>205</v>
      </c>
      <c r="CV335" s="3419" t="s">
        <v>180</v>
      </c>
      <c r="CW335" s="3420"/>
      <c r="CX335" s="3421"/>
      <c r="CY335" s="3359">
        <f>SUM(CY334:DB334)</f>
        <v>0</v>
      </c>
      <c r="CZ335" s="3360"/>
      <c r="DA335" s="3360"/>
      <c r="DB335" s="3361"/>
      <c r="DC335" s="3362">
        <f>SUM(DC334:DF334)</f>
        <v>0</v>
      </c>
      <c r="DD335" s="3363"/>
      <c r="DE335" s="3363"/>
      <c r="DF335" s="3364"/>
      <c r="DG335" s="3326">
        <f>SUM(DG334:DJ334)</f>
        <v>0</v>
      </c>
      <c r="DH335" s="3327"/>
      <c r="DI335" s="3327"/>
      <c r="DJ335" s="3328"/>
      <c r="DK335" s="1467">
        <f>SUM(CY335:DJ335)</f>
        <v>0</v>
      </c>
    </row>
    <row r="339" spans="100:106" ht="15" customHeight="1" thickBot="1" x14ac:dyDescent="0.3">
      <c r="CV339" s="3405" t="s">
        <v>323</v>
      </c>
      <c r="CW339" s="3405"/>
      <c r="CX339" s="3405"/>
      <c r="CY339" s="3405"/>
      <c r="CZ339" s="3405"/>
      <c r="DA339" s="3405"/>
      <c r="DB339" s="3405"/>
    </row>
    <row r="340" spans="100:106" ht="15" customHeight="1" thickBot="1" x14ac:dyDescent="0.3">
      <c r="CV340" s="3406" t="s">
        <v>324</v>
      </c>
      <c r="CW340" s="3407"/>
      <c r="CX340" s="594" t="s">
        <v>190</v>
      </c>
      <c r="CY340" s="594" t="s">
        <v>191</v>
      </c>
      <c r="CZ340" s="594" t="s">
        <v>192</v>
      </c>
      <c r="DA340" s="594" t="s">
        <v>325</v>
      </c>
      <c r="DB340" s="595" t="s">
        <v>170</v>
      </c>
    </row>
    <row r="341" spans="100:106" ht="15" customHeight="1" x14ac:dyDescent="0.25">
      <c r="CV341" s="3408" t="s">
        <v>326</v>
      </c>
      <c r="CW341" s="3409"/>
      <c r="CX341" s="1468"/>
      <c r="CY341" s="1468"/>
      <c r="CZ341" s="1468"/>
      <c r="DA341" s="1468"/>
      <c r="DB341" s="1469">
        <f t="shared" ref="DB341:DB352" si="1775">SUM(CX341:DA341)</f>
        <v>0</v>
      </c>
    </row>
    <row r="342" spans="100:106" ht="15" customHeight="1" x14ac:dyDescent="0.25">
      <c r="CV342" s="3408" t="s">
        <v>136</v>
      </c>
      <c r="CW342" s="3409"/>
      <c r="CX342" s="1468"/>
      <c r="CY342" s="1468"/>
      <c r="CZ342" s="1468"/>
      <c r="DA342" s="1468"/>
      <c r="DB342" s="1469">
        <f t="shared" si="1775"/>
        <v>0</v>
      </c>
    </row>
    <row r="343" spans="100:106" ht="15" customHeight="1" x14ac:dyDescent="0.25">
      <c r="CV343" s="3408" t="s">
        <v>146</v>
      </c>
      <c r="CW343" s="3409"/>
      <c r="CX343" s="1468"/>
      <c r="CY343" s="1468"/>
      <c r="CZ343" s="1468"/>
      <c r="DA343" s="1468"/>
      <c r="DB343" s="1469">
        <f t="shared" si="1775"/>
        <v>0</v>
      </c>
    </row>
    <row r="344" spans="100:106" ht="15" customHeight="1" x14ac:dyDescent="0.25">
      <c r="CV344" s="3408" t="s">
        <v>12</v>
      </c>
      <c r="CW344" s="3409"/>
      <c r="CX344" s="1468"/>
      <c r="CY344" s="1468"/>
      <c r="CZ344" s="1468"/>
      <c r="DA344" s="1468"/>
      <c r="DB344" s="1469">
        <f t="shared" si="1775"/>
        <v>0</v>
      </c>
    </row>
    <row r="345" spans="100:106" ht="15" customHeight="1" x14ac:dyDescent="0.25">
      <c r="CV345" s="3408" t="s">
        <v>14</v>
      </c>
      <c r="CW345" s="3409"/>
      <c r="CX345" s="1468"/>
      <c r="CY345" s="1468"/>
      <c r="CZ345" s="1468"/>
      <c r="DA345" s="1468"/>
      <c r="DB345" s="1469">
        <f t="shared" si="1775"/>
        <v>0</v>
      </c>
    </row>
    <row r="346" spans="100:106" ht="15" customHeight="1" x14ac:dyDescent="0.25">
      <c r="CV346" s="3408" t="s">
        <v>39</v>
      </c>
      <c r="CW346" s="3409"/>
      <c r="CX346" s="1468"/>
      <c r="CY346" s="1468"/>
      <c r="CZ346" s="1468"/>
      <c r="DA346" s="1468"/>
      <c r="DB346" s="1469">
        <f t="shared" si="1775"/>
        <v>0</v>
      </c>
    </row>
    <row r="347" spans="100:106" ht="15" customHeight="1" thickBot="1" x14ac:dyDescent="0.3">
      <c r="CV347" s="3408" t="s">
        <v>327</v>
      </c>
      <c r="CW347" s="3409"/>
      <c r="CX347" s="1468"/>
      <c r="CY347" s="1468"/>
      <c r="CZ347" s="1468"/>
      <c r="DA347" s="1468"/>
      <c r="DB347" s="1469">
        <f t="shared" si="1775"/>
        <v>0</v>
      </c>
    </row>
    <row r="348" spans="100:106" ht="15" customHeight="1" thickBot="1" x14ac:dyDescent="0.3">
      <c r="CV348" s="3422" t="s">
        <v>230</v>
      </c>
      <c r="CW348" s="3423"/>
      <c r="CX348" s="1470">
        <f>SUM(CX341:CX347)</f>
        <v>0</v>
      </c>
      <c r="CY348" s="1470">
        <f>SUM(CY341:CY347)</f>
        <v>0</v>
      </c>
      <c r="CZ348" s="1470">
        <f>SUM(CZ341:CZ347)</f>
        <v>0</v>
      </c>
      <c r="DA348" s="1470">
        <f>SUM(DA341:DA347)</f>
        <v>0</v>
      </c>
      <c r="DB348" s="1471">
        <f t="shared" si="1775"/>
        <v>0</v>
      </c>
    </row>
    <row r="349" spans="100:106" ht="15" customHeight="1" x14ac:dyDescent="0.25">
      <c r="CV349" s="3424" t="s">
        <v>197</v>
      </c>
      <c r="CW349" s="3425"/>
      <c r="CX349" s="1472"/>
      <c r="CY349" s="1472"/>
      <c r="CZ349" s="1472"/>
      <c r="DA349" s="1472"/>
      <c r="DB349" s="1473">
        <f t="shared" si="1775"/>
        <v>0</v>
      </c>
    </row>
    <row r="350" spans="100:106" ht="15" customHeight="1" x14ac:dyDescent="0.25">
      <c r="CV350" s="3408" t="s">
        <v>328</v>
      </c>
      <c r="CW350" s="3426"/>
      <c r="CX350" s="1468"/>
      <c r="CY350" s="1468"/>
      <c r="CZ350" s="1468"/>
      <c r="DA350" s="1468"/>
      <c r="DB350" s="1474">
        <f t="shared" si="1775"/>
        <v>0</v>
      </c>
    </row>
    <row r="351" spans="100:106" ht="15" customHeight="1" x14ac:dyDescent="0.25">
      <c r="CV351" s="3408" t="s">
        <v>329</v>
      </c>
      <c r="CW351" s="3426"/>
      <c r="CX351" s="1468"/>
      <c r="CY351" s="1468"/>
      <c r="CZ351" s="1468"/>
      <c r="DA351" s="1468"/>
      <c r="DB351" s="1474">
        <f t="shared" si="1775"/>
        <v>0</v>
      </c>
    </row>
    <row r="352" spans="100:106" ht="15" customHeight="1" thickBot="1" x14ac:dyDescent="0.3">
      <c r="CV352" s="3408" t="s">
        <v>330</v>
      </c>
      <c r="CW352" s="3426"/>
      <c r="CX352" s="1468"/>
      <c r="CY352" s="1468"/>
      <c r="CZ352" s="1468"/>
      <c r="DA352" s="1468"/>
      <c r="DB352" s="1474">
        <f t="shared" si="1775"/>
        <v>0</v>
      </c>
    </row>
    <row r="353" spans="100:106" ht="15" customHeight="1" thickBot="1" x14ac:dyDescent="0.3">
      <c r="CV353" s="328" t="s">
        <v>331</v>
      </c>
      <c r="CW353" s="596"/>
      <c r="CX353" s="1475">
        <f>SUM(CX349:CX352)</f>
        <v>0</v>
      </c>
      <c r="CY353" s="1475">
        <f>SUM(CY349:CY352)</f>
        <v>0</v>
      </c>
      <c r="CZ353" s="1475">
        <f>SUM(CZ349:CZ352)</f>
        <v>0</v>
      </c>
      <c r="DA353" s="1475">
        <f>SUM(DA349:DA352)</f>
        <v>0</v>
      </c>
      <c r="DB353" s="1475">
        <f>SUM(DB349:DB352)</f>
        <v>0</v>
      </c>
    </row>
    <row r="355" spans="100:106" ht="15" customHeight="1" thickBot="1" x14ac:dyDescent="0.3">
      <c r="CW355" s="3405" t="s">
        <v>332</v>
      </c>
      <c r="CX355" s="3405"/>
      <c r="CY355" s="3405"/>
      <c r="CZ355" s="3405"/>
      <c r="DA355" s="3405"/>
      <c r="DB355"/>
    </row>
    <row r="356" spans="100:106" ht="15" customHeight="1" thickBot="1" x14ac:dyDescent="0.3">
      <c r="CW356" s="3406" t="s">
        <v>324</v>
      </c>
      <c r="CX356" s="3428"/>
      <c r="CY356" s="594" t="s">
        <v>148</v>
      </c>
      <c r="CZ356" s="594" t="s">
        <v>149</v>
      </c>
      <c r="DA356" s="595" t="s">
        <v>170</v>
      </c>
    </row>
    <row r="357" spans="100:106" ht="15" customHeight="1" x14ac:dyDescent="0.25">
      <c r="CW357" s="3408" t="s">
        <v>326</v>
      </c>
      <c r="CX357" s="3426"/>
      <c r="CY357" s="1468"/>
      <c r="CZ357" s="1468"/>
      <c r="DA357" s="1469">
        <f t="shared" ref="DA357:DA363" si="1776">SUM(CY357:CZ357)</f>
        <v>0</v>
      </c>
    </row>
    <row r="358" spans="100:106" ht="15" customHeight="1" x14ac:dyDescent="0.25">
      <c r="CW358" s="3408" t="s">
        <v>136</v>
      </c>
      <c r="CX358" s="3426"/>
      <c r="CY358" s="1468"/>
      <c r="CZ358" s="1468"/>
      <c r="DA358" s="1469">
        <f t="shared" si="1776"/>
        <v>0</v>
      </c>
    </row>
    <row r="359" spans="100:106" ht="15" customHeight="1" x14ac:dyDescent="0.25">
      <c r="CW359" s="3408" t="s">
        <v>146</v>
      </c>
      <c r="CX359" s="3426"/>
      <c r="CY359" s="1468"/>
      <c r="CZ359" s="1468"/>
      <c r="DA359" s="1469">
        <f t="shared" si="1776"/>
        <v>0</v>
      </c>
    </row>
    <row r="360" spans="100:106" ht="15" customHeight="1" x14ac:dyDescent="0.25">
      <c r="CW360" s="3408" t="s">
        <v>12</v>
      </c>
      <c r="CX360" s="3426"/>
      <c r="CY360" s="1468"/>
      <c r="CZ360" s="1468"/>
      <c r="DA360" s="1469">
        <f t="shared" si="1776"/>
        <v>0</v>
      </c>
    </row>
    <row r="361" spans="100:106" ht="15" customHeight="1" x14ac:dyDescent="0.25">
      <c r="CW361" s="3408" t="s">
        <v>14</v>
      </c>
      <c r="CX361" s="3426"/>
      <c r="CY361" s="1468"/>
      <c r="CZ361" s="1468"/>
      <c r="DA361" s="1469">
        <f t="shared" si="1776"/>
        <v>0</v>
      </c>
    </row>
    <row r="362" spans="100:106" ht="15" customHeight="1" x14ac:dyDescent="0.25">
      <c r="CW362" s="3408" t="s">
        <v>39</v>
      </c>
      <c r="CX362" s="3426"/>
      <c r="CY362" s="1468"/>
      <c r="CZ362" s="1468"/>
      <c r="DA362" s="1469">
        <f t="shared" si="1776"/>
        <v>0</v>
      </c>
    </row>
    <row r="363" spans="100:106" ht="15" customHeight="1" thickBot="1" x14ac:dyDescent="0.3">
      <c r="CW363" s="3408" t="s">
        <v>327</v>
      </c>
      <c r="CX363" s="3426"/>
      <c r="CY363" s="1468"/>
      <c r="CZ363" s="1468"/>
      <c r="DA363" s="1469">
        <f t="shared" si="1776"/>
        <v>0</v>
      </c>
    </row>
    <row r="364" spans="100:106" ht="15" customHeight="1" thickBot="1" x14ac:dyDescent="0.3">
      <c r="CW364" s="3422" t="s">
        <v>230</v>
      </c>
      <c r="CX364" s="3429"/>
      <c r="CY364" s="1471">
        <f>SUM(CY357:CY363)</f>
        <v>0</v>
      </c>
      <c r="CZ364" s="1471">
        <f>SUM(CZ357:CZ363)</f>
        <v>0</v>
      </c>
      <c r="DA364" s="1470">
        <f>SUM(DA357:DA363)</f>
        <v>0</v>
      </c>
    </row>
    <row r="365" spans="100:106" ht="15" customHeight="1" x14ac:dyDescent="0.25">
      <c r="CW365" s="3424" t="s">
        <v>197</v>
      </c>
      <c r="CX365" s="3427"/>
      <c r="CY365" s="1476"/>
      <c r="CZ365" s="1468"/>
      <c r="DA365" s="1477">
        <f>SUM(CY365:CZ365)</f>
        <v>0</v>
      </c>
    </row>
    <row r="366" spans="100:106" ht="15" customHeight="1" x14ac:dyDescent="0.25">
      <c r="CW366" s="3408" t="s">
        <v>328</v>
      </c>
      <c r="CX366" s="3409"/>
      <c r="CY366" s="1476"/>
      <c r="CZ366" s="1468"/>
      <c r="DA366" s="1478">
        <f>SUM(CY366:CZ366)</f>
        <v>0</v>
      </c>
    </row>
    <row r="367" spans="100:106" ht="15" customHeight="1" x14ac:dyDescent="0.25">
      <c r="CW367" s="3408" t="s">
        <v>329</v>
      </c>
      <c r="CX367" s="3409"/>
      <c r="CY367" s="1476"/>
      <c r="CZ367" s="1468"/>
      <c r="DA367" s="1478">
        <f>SUM(CY367:CZ367)</f>
        <v>0</v>
      </c>
    </row>
    <row r="368" spans="100:106" ht="15" customHeight="1" thickBot="1" x14ac:dyDescent="0.3">
      <c r="CW368" s="3408" t="s">
        <v>330</v>
      </c>
      <c r="CX368" s="3409"/>
      <c r="CY368" s="1476"/>
      <c r="CZ368" s="1468"/>
      <c r="DA368" s="1478">
        <f>SUM(CY368:CZ368)</f>
        <v>0</v>
      </c>
    </row>
    <row r="369" spans="101:105" ht="15" customHeight="1" thickBot="1" x14ac:dyDescent="0.3">
      <c r="CW369" s="328" t="s">
        <v>331</v>
      </c>
      <c r="CX369" s="597"/>
      <c r="CY369" s="1475">
        <f>SUM(CY365:CY368)</f>
        <v>0</v>
      </c>
      <c r="CZ369" s="1475">
        <f>SUM(CZ365:CZ368)</f>
        <v>0</v>
      </c>
      <c r="DA369" s="1475">
        <f>SUM(DA365:DA368)</f>
        <v>0</v>
      </c>
    </row>
  </sheetData>
  <mergeCells count="241">
    <mergeCell ref="EJ281:EJ282"/>
    <mergeCell ref="EJ245:EJ246"/>
    <mergeCell ref="EJ249:EJ250"/>
    <mergeCell ref="EJ253:EJ254"/>
    <mergeCell ref="EJ277:EJ278"/>
    <mergeCell ref="EJ184:EJ186"/>
    <mergeCell ref="EI215:EI243"/>
    <mergeCell ref="EJ225:EJ226"/>
    <mergeCell ref="EJ229:EJ230"/>
    <mergeCell ref="EJ233:EJ234"/>
    <mergeCell ref="EJ237:EJ238"/>
    <mergeCell ref="EJ241:EJ242"/>
    <mergeCell ref="EJ211:EJ213"/>
    <mergeCell ref="EJ187:EJ189"/>
    <mergeCell ref="EJ208:EJ210"/>
    <mergeCell ref="EJ202:EJ204"/>
    <mergeCell ref="EJ205:EJ207"/>
    <mergeCell ref="EJ196:EJ198"/>
    <mergeCell ref="EJ199:EJ201"/>
    <mergeCell ref="EJ190:EJ192"/>
    <mergeCell ref="EJ193:EJ195"/>
    <mergeCell ref="EI157:ER157"/>
    <mergeCell ref="EI166:ER166"/>
    <mergeCell ref="EJ167:ER167"/>
    <mergeCell ref="EI171:ER171"/>
    <mergeCell ref="EJ257:EJ258"/>
    <mergeCell ref="EJ261:EJ262"/>
    <mergeCell ref="EJ265:EJ266"/>
    <mergeCell ref="EJ269:EJ270"/>
    <mergeCell ref="EJ273:EJ274"/>
    <mergeCell ref="EJ82:EK82"/>
    <mergeCell ref="EJ87:EJ101"/>
    <mergeCell ref="EJ102:EJ116"/>
    <mergeCell ref="EJ117:EK117"/>
    <mergeCell ref="EJ133:EK133"/>
    <mergeCell ref="EJ134:EJ148"/>
    <mergeCell ref="EJ149:EK149"/>
    <mergeCell ref="EJ150:EJ152"/>
    <mergeCell ref="EJ153:EK153"/>
    <mergeCell ref="EJ14:EJ28"/>
    <mergeCell ref="EJ29:EJ43"/>
    <mergeCell ref="EJ44:EK44"/>
    <mergeCell ref="EJ62:EK62"/>
    <mergeCell ref="EJ63:EJ66"/>
    <mergeCell ref="EJ67:EJ77"/>
    <mergeCell ref="EL3:EM9"/>
    <mergeCell ref="EJ78:EK78"/>
    <mergeCell ref="EJ79:EJ81"/>
    <mergeCell ref="N4:BY5"/>
    <mergeCell ref="CB4:CP5"/>
    <mergeCell ref="CS4:EG5"/>
    <mergeCell ref="DU167:EG167"/>
    <mergeCell ref="DG10:DR10"/>
    <mergeCell ref="DS10:DS12"/>
    <mergeCell ref="DG11:DI11"/>
    <mergeCell ref="DJ11:DL11"/>
    <mergeCell ref="DM11:DO11"/>
    <mergeCell ref="DP11:DR11"/>
    <mergeCell ref="DU10:EF10"/>
    <mergeCell ref="EG10:EG12"/>
    <mergeCell ref="DU11:DW11"/>
    <mergeCell ref="DX11:DZ11"/>
    <mergeCell ref="EA11:EC11"/>
    <mergeCell ref="ED11:EF11"/>
    <mergeCell ref="N11:T11"/>
    <mergeCell ref="DE10:DE12"/>
    <mergeCell ref="CS10:DD10"/>
    <mergeCell ref="CV11:CX11"/>
    <mergeCell ref="CY11:DA11"/>
    <mergeCell ref="DB11:DD11"/>
    <mergeCell ref="CS11:CU11"/>
    <mergeCell ref="DG167:DS167"/>
    <mergeCell ref="CW365:CX365"/>
    <mergeCell ref="CW366:CX366"/>
    <mergeCell ref="CW367:CX367"/>
    <mergeCell ref="CW368:CX368"/>
    <mergeCell ref="CW356:CX356"/>
    <mergeCell ref="CW357:CX357"/>
    <mergeCell ref="CW358:CX358"/>
    <mergeCell ref="CW359:CX359"/>
    <mergeCell ref="CW360:CX360"/>
    <mergeCell ref="CW361:CX361"/>
    <mergeCell ref="CW362:CX362"/>
    <mergeCell ref="CW363:CX363"/>
    <mergeCell ref="CW364:CX364"/>
    <mergeCell ref="CV345:CW345"/>
    <mergeCell ref="CV346:CW346"/>
    <mergeCell ref="CV347:CW347"/>
    <mergeCell ref="CV348:CW348"/>
    <mergeCell ref="CV349:CW349"/>
    <mergeCell ref="CV350:CW350"/>
    <mergeCell ref="CV351:CW351"/>
    <mergeCell ref="CV352:CW352"/>
    <mergeCell ref="CW355:DA355"/>
    <mergeCell ref="CV339:DB339"/>
    <mergeCell ref="CV340:CW340"/>
    <mergeCell ref="CV341:CW341"/>
    <mergeCell ref="CV342:CW342"/>
    <mergeCell ref="CV343:CW343"/>
    <mergeCell ref="CV344:CW344"/>
    <mergeCell ref="CN305:CO305"/>
    <mergeCell ref="CM302:CO302"/>
    <mergeCell ref="CV318:CX318"/>
    <mergeCell ref="CV334:CX334"/>
    <mergeCell ref="CV335:CX335"/>
    <mergeCell ref="CY307:DB307"/>
    <mergeCell ref="CC334:CD334"/>
    <mergeCell ref="CE334:CH334"/>
    <mergeCell ref="CI334:CL334"/>
    <mergeCell ref="CM334:CO334"/>
    <mergeCell ref="DC307:DF307"/>
    <mergeCell ref="DG307:DJ307"/>
    <mergeCell ref="CM309:CO309"/>
    <mergeCell ref="CE302:CH302"/>
    <mergeCell ref="CI302:CL302"/>
    <mergeCell ref="CC302:CD302"/>
    <mergeCell ref="CL308:CO308"/>
    <mergeCell ref="CC309:CD309"/>
    <mergeCell ref="CE309:CH309"/>
    <mergeCell ref="CI309:CL309"/>
    <mergeCell ref="CJ305:CL305"/>
    <mergeCell ref="CF305:CH305"/>
    <mergeCell ref="CC308:CF308"/>
    <mergeCell ref="CG308:CK308"/>
    <mergeCell ref="CY305:DB305"/>
    <mergeCell ref="DG335:DJ335"/>
    <mergeCell ref="CY308:DB308"/>
    <mergeCell ref="DC308:DF308"/>
    <mergeCell ref="DG308:DJ308"/>
    <mergeCell ref="DK309:DK312"/>
    <mergeCell ref="CZ312:DB312"/>
    <mergeCell ref="DD312:DF312"/>
    <mergeCell ref="DH312:DJ312"/>
    <mergeCell ref="CY316:DB316"/>
    <mergeCell ref="DC316:DF316"/>
    <mergeCell ref="DG316:DJ316"/>
    <mergeCell ref="CY335:DB335"/>
    <mergeCell ref="DC335:DF335"/>
    <mergeCell ref="B225:B226"/>
    <mergeCell ref="CC298:CG298"/>
    <mergeCell ref="CI298:CL298"/>
    <mergeCell ref="B245:B246"/>
    <mergeCell ref="B249:B250"/>
    <mergeCell ref="B253:B254"/>
    <mergeCell ref="B257:B258"/>
    <mergeCell ref="CS167:DE167"/>
    <mergeCell ref="B261:B262"/>
    <mergeCell ref="B265:B266"/>
    <mergeCell ref="B269:B270"/>
    <mergeCell ref="B273:B274"/>
    <mergeCell ref="B277:B278"/>
    <mergeCell ref="B281:B282"/>
    <mergeCell ref="B187:B189"/>
    <mergeCell ref="B208:B210"/>
    <mergeCell ref="B202:B204"/>
    <mergeCell ref="B205:B207"/>
    <mergeCell ref="B196:B198"/>
    <mergeCell ref="B199:B201"/>
    <mergeCell ref="B190:B192"/>
    <mergeCell ref="B193:B195"/>
    <mergeCell ref="B211:B213"/>
    <mergeCell ref="CB167:CP167"/>
    <mergeCell ref="DB300:DB301"/>
    <mergeCell ref="DA300:DA301"/>
    <mergeCell ref="CZ300:CZ301"/>
    <mergeCell ref="CY298:DB298"/>
    <mergeCell ref="CY300:CY301"/>
    <mergeCell ref="B241:B242"/>
    <mergeCell ref="B229:B230"/>
    <mergeCell ref="B237:B238"/>
    <mergeCell ref="B233:B234"/>
    <mergeCell ref="CM8:CO8"/>
    <mergeCell ref="CH8:CL8"/>
    <mergeCell ref="CC8:CG8"/>
    <mergeCell ref="CB10:CB11"/>
    <mergeCell ref="CC10:CC11"/>
    <mergeCell ref="CD10:CD11"/>
    <mergeCell ref="CE10:CE11"/>
    <mergeCell ref="CF10:CF11"/>
    <mergeCell ref="CG10:CG11"/>
    <mergeCell ref="CH10:CH11"/>
    <mergeCell ref="CI10:CI11"/>
    <mergeCell ref="CJ10:CJ11"/>
    <mergeCell ref="CK10:CK11"/>
    <mergeCell ref="CL10:CL11"/>
    <mergeCell ref="CM10:CM11"/>
    <mergeCell ref="CN10:CN11"/>
    <mergeCell ref="CO10:CO11"/>
    <mergeCell ref="CC9:CG9"/>
    <mergeCell ref="CH9:CL9"/>
    <mergeCell ref="CM9:CO9"/>
    <mergeCell ref="B62:C62"/>
    <mergeCell ref="B82:C82"/>
    <mergeCell ref="B79:B81"/>
    <mergeCell ref="B184:B186"/>
    <mergeCell ref="B117:C117"/>
    <mergeCell ref="B133:C133"/>
    <mergeCell ref="B153:C153"/>
    <mergeCell ref="A166:J166"/>
    <mergeCell ref="A171:J171"/>
    <mergeCell ref="B167:J167"/>
    <mergeCell ref="B67:B77"/>
    <mergeCell ref="AT11:AZ11"/>
    <mergeCell ref="AL11:AR11"/>
    <mergeCell ref="AD11:AJ11"/>
    <mergeCell ref="AD167:AJ167"/>
    <mergeCell ref="V11:AB11"/>
    <mergeCell ref="AL167:AR167"/>
    <mergeCell ref="B134:B148"/>
    <mergeCell ref="BX11:BX12"/>
    <mergeCell ref="BY11:BY12"/>
    <mergeCell ref="B44:C44"/>
    <mergeCell ref="BB11:BH11"/>
    <mergeCell ref="B14:B28"/>
    <mergeCell ref="B29:B43"/>
    <mergeCell ref="B87:B101"/>
    <mergeCell ref="B150:B152"/>
    <mergeCell ref="BB167:BH167"/>
    <mergeCell ref="AT167:AZ167"/>
    <mergeCell ref="V167:AB167"/>
    <mergeCell ref="B63:B66"/>
    <mergeCell ref="B78:C78"/>
    <mergeCell ref="B149:C149"/>
    <mergeCell ref="B102:B116"/>
    <mergeCell ref="N167:T167"/>
    <mergeCell ref="A157:J157"/>
    <mergeCell ref="EV167:FB167"/>
    <mergeCell ref="FD167:FJ167"/>
    <mergeCell ref="FL167:FR167"/>
    <mergeCell ref="FT167:FZ167"/>
    <mergeCell ref="GB167:GH167"/>
    <mergeCell ref="GJ167:GP167"/>
    <mergeCell ref="EV4:HG5"/>
    <mergeCell ref="EV11:FB11"/>
    <mergeCell ref="FD11:FJ11"/>
    <mergeCell ref="FL11:FR11"/>
    <mergeCell ref="FT11:FZ11"/>
    <mergeCell ref="GB11:GH11"/>
    <mergeCell ref="GJ11:GP11"/>
    <mergeCell ref="HF11:HF12"/>
    <mergeCell ref="HG11:HG12"/>
  </mergeCells>
  <conditionalFormatting sqref="K62">
    <cfRule type="expression" dxfId="143" priority="9">
      <formula>IF(J62=K62,"","ERROR")</formula>
    </cfRule>
  </conditionalFormatting>
  <conditionalFormatting sqref="ES62">
    <cfRule type="expression" dxfId="142" priority="5">
      <formula>IF(ER62=ES62,"","ERROR")</formula>
    </cfRule>
  </conditionalFormatting>
  <conditionalFormatting sqref="J184 J187 J208 J211">
    <cfRule type="cellIs" dxfId="141" priority="4" operator="greaterThan">
      <formula>50000</formula>
    </cfRule>
  </conditionalFormatting>
  <conditionalFormatting sqref="J202 J205">
    <cfRule type="cellIs" dxfId="140" priority="3" operator="greaterThan">
      <formula>50000</formula>
    </cfRule>
  </conditionalFormatting>
  <conditionalFormatting sqref="J196 J199">
    <cfRule type="cellIs" dxfId="139" priority="2" operator="greaterThan">
      <formula>50000</formula>
    </cfRule>
  </conditionalFormatting>
  <conditionalFormatting sqref="J190 J193">
    <cfRule type="cellIs" dxfId="138" priority="1" operator="greaterThan">
      <formula>50000</formula>
    </cfRule>
  </conditionalFormatting>
  <dataValidations disablePrompts="1" count="1">
    <dataValidation type="list" allowBlank="1" showInputMessage="1" showErrorMessage="1" prompt="Select MTDC or TDC" sqref="C292 EK292" xr:uid="{00000000-0002-0000-0100-000000000000}">
      <formula1>FA_Base</formula1>
    </dataValidation>
  </dataValidations>
  <pageMargins left="0.25" right="0.25" top="0.38" bottom="0.32" header="0.17" footer="0.3"/>
  <pageSetup paperSize="17" fitToWidth="0" orientation="landscape" r:id="rId1"/>
  <headerFooter>
    <oddHeader xml:space="preserve">&amp;C&amp;"-,Bold"Budget Template - Revised &amp;D &amp;T </oddHeader>
  </headerFooter>
  <ignoredErrors>
    <ignoredError sqref="U150:AA150 U82 AC82 AK82 AS82 BA82 BI82 CC266:CF266 CD181:CG181 CC270:CF270 CK267 CC274:CF274 CK271 CC278:CF278 CK275 CC282:CF282 CK279 CF283 CK283 CB296:CP299 CB289:CP289 AC150:AI150 AK150:AQ150 AS150:AY150 BA150:BG150 CI181:CL181 CF265:CG265 CK265:CL265 CH266:CK266 CF267 CM266:CO266 CF269:CG269 CK269:CL269 CH270:CK270 CF271 CM270:CO270 CF273:CG273 CK273:CL273 CH274:CK274 CF275 CM274:CO274 CF277:CG277 CK277:CL277 CH278:CK278 CF279 CM278:CO278 CF281:CG281 CK281:CL281 CH282:CK282 CM282:CO282 CB301:CP303 CB300 CH300 CM300:CP300 CB306:CP311 CB304 CP304 CB305:CC305 CE305 CI305 CM305 CB313:CP316 CB312 CP312 CB318:CP322 CB317 CP317 CB324:CP326 CB323 CP323 CB328:CP329 CB327 CP327 CB331:CP332 CB330 CP330 CB335:CP339 CB333:CB334 CP333:CP334" formula="1"/>
    <ignoredError sqref="U214 U288 AC214 AK214 AS214 BA214 AC288 AK288 AS288 BA288 BI288 BI214" formulaRange="1"/>
  </ignoredError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5D9BD0-BFF2-4467-926A-4FD17E9A0953}">
  <sheetPr codeName="Sheet23">
    <tabColor theme="5"/>
  </sheetPr>
  <dimension ref="A1:T468"/>
  <sheetViews>
    <sheetView zoomScale="90" zoomScaleNormal="90" workbookViewId="0"/>
  </sheetViews>
  <sheetFormatPr defaultColWidth="8.7109375" defaultRowHeight="15.75" x14ac:dyDescent="0.25"/>
  <cols>
    <col min="1" max="1" width="31.28515625" style="503" bestFit="1" customWidth="1"/>
    <col min="2" max="2" width="20.7109375" style="503" customWidth="1"/>
    <col min="3" max="8" width="20.7109375" style="3021" customWidth="1"/>
    <col min="9" max="9" width="13.85546875" style="3054" bestFit="1" customWidth="1"/>
    <col min="10" max="10" width="27.7109375" style="503" customWidth="1"/>
    <col min="11" max="11" width="16.5703125" style="503" bestFit="1" customWidth="1"/>
    <col min="12" max="18" width="15.7109375" style="503" customWidth="1"/>
    <col min="19" max="19" width="14.7109375" style="503" customWidth="1"/>
    <col min="20" max="20" width="14.85546875" style="503" customWidth="1"/>
    <col min="21" max="16384" width="8.7109375" style="503"/>
  </cols>
  <sheetData>
    <row r="1" spans="1:20" ht="28.5" x14ac:dyDescent="0.45">
      <c r="A1" s="3055" t="s">
        <v>1090</v>
      </c>
      <c r="B1" s="3056"/>
      <c r="C1" s="3057"/>
      <c r="D1" s="3057"/>
      <c r="E1" s="3057"/>
      <c r="F1" s="3057"/>
      <c r="G1" s="3057"/>
      <c r="J1" s="3190" t="s">
        <v>1091</v>
      </c>
    </row>
    <row r="2" spans="1:20" ht="16.5" thickBot="1" x14ac:dyDescent="0.3"/>
    <row r="3" spans="1:20" ht="18.75" x14ac:dyDescent="0.3">
      <c r="A3" s="3010" t="s">
        <v>317</v>
      </c>
      <c r="B3" s="3011" t="s">
        <v>3</v>
      </c>
      <c r="C3" s="3012" t="s">
        <v>1041</v>
      </c>
      <c r="D3" s="3012" t="s">
        <v>1042</v>
      </c>
      <c r="E3" s="3012" t="s">
        <v>1043</v>
      </c>
      <c r="F3" s="3012" t="s">
        <v>1044</v>
      </c>
      <c r="G3" s="3012" t="s">
        <v>1045</v>
      </c>
      <c r="H3" s="3013" t="s">
        <v>1046</v>
      </c>
      <c r="I3" s="926"/>
      <c r="J3" s="3189" t="str">
        <f>'DATA INPUT'!E134</f>
        <v>Subawards - Direct and Indirect Costs</v>
      </c>
      <c r="K3" s="3170"/>
      <c r="L3" s="3171" t="str">
        <f>'DATA INPUT'!I134</f>
        <v xml:space="preserve">  Period 1</v>
      </c>
      <c r="M3" s="3172" t="str">
        <f>'DATA INPUT'!J134</f>
        <v>Period 2</v>
      </c>
      <c r="N3" s="3172" t="str">
        <f>'DATA INPUT'!K134</f>
        <v>Period 3</v>
      </c>
      <c r="O3" s="3172" t="str">
        <f>'DATA INPUT'!L134</f>
        <v>Period 4</v>
      </c>
      <c r="P3" s="3172" t="str">
        <f>'DATA INPUT'!M134</f>
        <v>Period 5</v>
      </c>
      <c r="Q3" s="3172" t="str">
        <f>'DATA INPUT'!N134</f>
        <v>Period 6</v>
      </c>
      <c r="R3" s="3173" t="str">
        <f>'DATA INPUT'!O134</f>
        <v>Total Costs</v>
      </c>
      <c r="S3" s="3174" t="str">
        <f>'DATA INPUT'!P134</f>
        <v>Notes for Budget Justification</v>
      </c>
      <c r="T3" s="3175"/>
    </row>
    <row r="4" spans="1:20" ht="18.75" x14ac:dyDescent="0.3">
      <c r="A4" s="3014" t="s">
        <v>3</v>
      </c>
      <c r="B4" s="3015">
        <f t="shared" ref="B4:H6" ca="1" si="0">B10+B16</f>
        <v>50000.350000000006</v>
      </c>
      <c r="C4" s="3015">
        <f t="shared" ca="1" si="0"/>
        <v>50000.350000000006</v>
      </c>
      <c r="D4" s="3015">
        <f t="shared" ca="1" si="0"/>
        <v>0</v>
      </c>
      <c r="E4" s="3015">
        <f t="shared" ca="1" si="0"/>
        <v>0</v>
      </c>
      <c r="F4" s="3015">
        <f t="shared" ca="1" si="0"/>
        <v>0</v>
      </c>
      <c r="G4" s="3015">
        <f t="shared" ca="1" si="0"/>
        <v>0</v>
      </c>
      <c r="H4" s="3016">
        <f t="shared" ca="1" si="0"/>
        <v>0</v>
      </c>
      <c r="I4" s="926"/>
      <c r="J4" s="3176">
        <f>'DATA INPUT'!E135</f>
        <v>0</v>
      </c>
      <c r="K4" s="3177" t="str">
        <f>'DATA INPUT'!H135</f>
        <v>Total Subaward</v>
      </c>
      <c r="L4" s="3178">
        <f>'DATA INPUT'!I135</f>
        <v>0</v>
      </c>
      <c r="M4" s="3178">
        <f>'DATA INPUT'!J135</f>
        <v>0</v>
      </c>
      <c r="N4" s="3178">
        <f>'DATA INPUT'!K135</f>
        <v>0</v>
      </c>
      <c r="O4" s="3178">
        <f>'DATA INPUT'!L135</f>
        <v>0</v>
      </c>
      <c r="P4" s="3178">
        <f>'DATA INPUT'!M135</f>
        <v>0</v>
      </c>
      <c r="Q4" s="3178">
        <f>'DATA INPUT'!N135</f>
        <v>0</v>
      </c>
      <c r="R4" s="3178">
        <f>'DATA INPUT'!O135</f>
        <v>0</v>
      </c>
      <c r="S4" s="3179">
        <f>'DATA INPUT'!P135</f>
        <v>0</v>
      </c>
      <c r="T4" s="3180"/>
    </row>
    <row r="5" spans="1:20" ht="18.75" x14ac:dyDescent="0.3">
      <c r="A5" s="3014" t="s">
        <v>1047</v>
      </c>
      <c r="B5" s="3015">
        <f t="shared" ca="1" si="0"/>
        <v>50000.350000000006</v>
      </c>
      <c r="C5" s="3015">
        <f t="shared" ca="1" si="0"/>
        <v>50000.350000000006</v>
      </c>
      <c r="D5" s="3015">
        <f t="shared" ca="1" si="0"/>
        <v>0</v>
      </c>
      <c r="E5" s="3015">
        <f t="shared" ca="1" si="0"/>
        <v>0</v>
      </c>
      <c r="F5" s="3015">
        <f t="shared" ca="1" si="0"/>
        <v>0</v>
      </c>
      <c r="G5" s="3015">
        <f t="shared" ca="1" si="0"/>
        <v>0</v>
      </c>
      <c r="H5" s="3017">
        <f t="shared" ca="1" si="0"/>
        <v>0</v>
      </c>
      <c r="I5" s="926"/>
      <c r="J5" s="3181">
        <f>'DATA INPUT'!E136</f>
        <v>0</v>
      </c>
      <c r="K5" s="3182" t="str">
        <f>'DATA INPUT'!H136</f>
        <v>Direct Costs</v>
      </c>
      <c r="L5" s="3183">
        <f>'DATA INPUT'!I136</f>
        <v>0</v>
      </c>
      <c r="M5" s="3183">
        <f>'DATA INPUT'!J136</f>
        <v>0</v>
      </c>
      <c r="N5" s="3183">
        <f>'DATA INPUT'!K136</f>
        <v>0</v>
      </c>
      <c r="O5" s="3183">
        <f>'DATA INPUT'!L136</f>
        <v>0</v>
      </c>
      <c r="P5" s="3183">
        <f>'DATA INPUT'!M136</f>
        <v>0</v>
      </c>
      <c r="Q5" s="3183">
        <f>'DATA INPUT'!N136</f>
        <v>0</v>
      </c>
      <c r="R5" s="3178">
        <f>'DATA INPUT'!O136</f>
        <v>0</v>
      </c>
      <c r="S5" s="3184"/>
    </row>
    <row r="6" spans="1:20" ht="18.75" x14ac:dyDescent="0.3">
      <c r="A6" s="3014" t="s">
        <v>1048</v>
      </c>
      <c r="B6" s="3015">
        <f t="shared" ca="1" si="0"/>
        <v>0</v>
      </c>
      <c r="C6" s="3015">
        <f t="shared" ca="1" si="0"/>
        <v>0</v>
      </c>
      <c r="D6" s="3015">
        <f t="shared" ca="1" si="0"/>
        <v>0</v>
      </c>
      <c r="E6" s="3015">
        <f t="shared" ca="1" si="0"/>
        <v>0</v>
      </c>
      <c r="F6" s="3015">
        <f t="shared" ca="1" si="0"/>
        <v>0</v>
      </c>
      <c r="G6" s="3015">
        <f t="shared" ca="1" si="0"/>
        <v>0</v>
      </c>
      <c r="H6" s="3017">
        <f t="shared" ca="1" si="0"/>
        <v>0</v>
      </c>
      <c r="I6" s="926"/>
      <c r="J6" s="3185">
        <f>'DATA INPUT'!E137</f>
        <v>0</v>
      </c>
      <c r="K6" s="3182" t="str">
        <f>'DATA INPUT'!H137</f>
        <v>Indirect Costs</v>
      </c>
      <c r="L6" s="3183">
        <f>'DATA INPUT'!I137</f>
        <v>0</v>
      </c>
      <c r="M6" s="3183">
        <f>'DATA INPUT'!J137</f>
        <v>0</v>
      </c>
      <c r="N6" s="3183">
        <f>'DATA INPUT'!K137</f>
        <v>0</v>
      </c>
      <c r="O6" s="3183">
        <f>'DATA INPUT'!L137</f>
        <v>0</v>
      </c>
      <c r="P6" s="3183">
        <f>'DATA INPUT'!M137</f>
        <v>0</v>
      </c>
      <c r="Q6" s="3183">
        <f>'DATA INPUT'!N137</f>
        <v>0</v>
      </c>
      <c r="R6" s="3178">
        <f>'DATA INPUT'!O137</f>
        <v>0</v>
      </c>
      <c r="S6" s="3186"/>
      <c r="T6" s="3187"/>
    </row>
    <row r="7" spans="1:20" ht="18.75" x14ac:dyDescent="0.25">
      <c r="A7" s="3018" t="s">
        <v>636</v>
      </c>
      <c r="B7" s="3019">
        <f>'DATA INPUT'!C5</f>
        <v>12</v>
      </c>
      <c r="C7" s="3019">
        <f>'DATA INPUT'!I8</f>
        <v>12</v>
      </c>
      <c r="D7" s="3019">
        <f>'DATA INPUT'!J8</f>
        <v>0</v>
      </c>
      <c r="E7" s="3019">
        <f>'DATA INPUT'!K8</f>
        <v>0</v>
      </c>
      <c r="F7" s="3019">
        <f>'DATA INPUT'!L8</f>
        <v>0</v>
      </c>
      <c r="G7" s="3019">
        <f>'DATA INPUT'!M8</f>
        <v>0</v>
      </c>
      <c r="H7" s="3020">
        <f>'DATA INPUT'!N8</f>
        <v>0</v>
      </c>
      <c r="I7" s="926"/>
      <c r="J7" s="3176">
        <f>'DATA INPUT'!E138</f>
        <v>0</v>
      </c>
      <c r="K7" s="3177" t="str">
        <f>'DATA INPUT'!H138</f>
        <v>Total Subaward</v>
      </c>
      <c r="L7" s="3178">
        <f>'DATA INPUT'!I138</f>
        <v>0</v>
      </c>
      <c r="M7" s="3178">
        <f>'DATA INPUT'!J138</f>
        <v>0</v>
      </c>
      <c r="N7" s="3178">
        <f>'DATA INPUT'!K138</f>
        <v>0</v>
      </c>
      <c r="O7" s="3178">
        <f>'DATA INPUT'!L138</f>
        <v>0</v>
      </c>
      <c r="P7" s="3178">
        <f>'DATA INPUT'!M138</f>
        <v>0</v>
      </c>
      <c r="Q7" s="3178">
        <f>'DATA INPUT'!N138</f>
        <v>0</v>
      </c>
      <c r="R7" s="3178">
        <f>'DATA INPUT'!O138</f>
        <v>0</v>
      </c>
      <c r="S7" s="3179">
        <f>'DATA INPUT'!P138</f>
        <v>0</v>
      </c>
      <c r="T7" s="3180"/>
    </row>
    <row r="8" spans="1:20" x14ac:dyDescent="0.25">
      <c r="I8" s="926"/>
      <c r="J8" s="3181">
        <f>'DATA INPUT'!E139</f>
        <v>0</v>
      </c>
      <c r="K8" s="3182" t="str">
        <f>'DATA INPUT'!H139</f>
        <v>Direct Costs</v>
      </c>
      <c r="L8" s="3183">
        <f>'DATA INPUT'!I139</f>
        <v>0</v>
      </c>
      <c r="M8" s="3183">
        <f>'DATA INPUT'!J139</f>
        <v>0</v>
      </c>
      <c r="N8" s="3183">
        <f>'DATA INPUT'!K139</f>
        <v>0</v>
      </c>
      <c r="O8" s="3183">
        <f>'DATA INPUT'!L139</f>
        <v>0</v>
      </c>
      <c r="P8" s="3183">
        <f>'DATA INPUT'!M139</f>
        <v>0</v>
      </c>
      <c r="Q8" s="3183">
        <f>'DATA INPUT'!N139</f>
        <v>0</v>
      </c>
      <c r="R8" s="3178">
        <f>'DATA INPUT'!O139</f>
        <v>0</v>
      </c>
      <c r="S8" s="3184"/>
    </row>
    <row r="9" spans="1:20" ht="18.75" x14ac:dyDescent="0.3">
      <c r="A9" s="3010" t="s">
        <v>221</v>
      </c>
      <c r="B9" s="3022" t="s">
        <v>3</v>
      </c>
      <c r="C9" s="3023" t="s">
        <v>1041</v>
      </c>
      <c r="D9" s="3023" t="s">
        <v>1042</v>
      </c>
      <c r="E9" s="3023" t="s">
        <v>1043</v>
      </c>
      <c r="F9" s="3023" t="s">
        <v>1044</v>
      </c>
      <c r="G9" s="3023" t="s">
        <v>1045</v>
      </c>
      <c r="H9" s="3024" t="s">
        <v>1046</v>
      </c>
      <c r="I9" s="926"/>
      <c r="J9" s="3185">
        <f>'DATA INPUT'!E140</f>
        <v>0</v>
      </c>
      <c r="K9" s="3182" t="str">
        <f>'DATA INPUT'!H140</f>
        <v>Indirect Costs</v>
      </c>
      <c r="L9" s="3183">
        <f>'DATA INPUT'!I140</f>
        <v>0</v>
      </c>
      <c r="M9" s="3183">
        <f>'DATA INPUT'!J140</f>
        <v>0</v>
      </c>
      <c r="N9" s="3183">
        <f>'DATA INPUT'!K140</f>
        <v>0</v>
      </c>
      <c r="O9" s="3183">
        <f>'DATA INPUT'!L140</f>
        <v>0</v>
      </c>
      <c r="P9" s="3183">
        <f>'DATA INPUT'!M140</f>
        <v>0</v>
      </c>
      <c r="Q9" s="3183">
        <f>'DATA INPUT'!N140</f>
        <v>0</v>
      </c>
      <c r="R9" s="3178">
        <f>'DATA INPUT'!O140</f>
        <v>0</v>
      </c>
      <c r="S9" s="3186"/>
      <c r="T9" s="3187"/>
    </row>
    <row r="10" spans="1:20" x14ac:dyDescent="0.25">
      <c r="A10" s="3025" t="s">
        <v>3</v>
      </c>
      <c r="B10" s="3026">
        <f ca="1">ROUND(SUM(B11:B12), 2)</f>
        <v>46610.48</v>
      </c>
      <c r="C10" s="3027">
        <f t="shared" ref="C10:H10" ca="1" si="1">ROUND(SUM(C11:C12), 2)</f>
        <v>46610.48</v>
      </c>
      <c r="D10" s="3027">
        <f t="shared" ca="1" si="1"/>
        <v>0</v>
      </c>
      <c r="E10" s="3027">
        <f t="shared" ca="1" si="1"/>
        <v>0</v>
      </c>
      <c r="F10" s="3027">
        <f t="shared" ca="1" si="1"/>
        <v>0</v>
      </c>
      <c r="G10" s="3027">
        <f t="shared" ca="1" si="1"/>
        <v>0</v>
      </c>
      <c r="H10" s="3028">
        <f t="shared" ca="1" si="1"/>
        <v>0</v>
      </c>
      <c r="I10" s="926"/>
      <c r="J10" s="3176">
        <f>'DATA INPUT'!E141</f>
        <v>0</v>
      </c>
      <c r="K10" s="3177" t="str">
        <f>'DATA INPUT'!H141</f>
        <v>Total Subaward</v>
      </c>
      <c r="L10" s="3178">
        <f>'DATA INPUT'!I141</f>
        <v>0</v>
      </c>
      <c r="M10" s="3178">
        <f>'DATA INPUT'!J141</f>
        <v>0</v>
      </c>
      <c r="N10" s="3178">
        <f>'DATA INPUT'!K141</f>
        <v>0</v>
      </c>
      <c r="O10" s="3178">
        <f>'DATA INPUT'!L141</f>
        <v>0</v>
      </c>
      <c r="P10" s="3178">
        <f>'DATA INPUT'!M141</f>
        <v>0</v>
      </c>
      <c r="Q10" s="3178">
        <f>'DATA INPUT'!N141</f>
        <v>0</v>
      </c>
      <c r="R10" s="3178">
        <f>'DATA INPUT'!O141</f>
        <v>0</v>
      </c>
      <c r="S10" s="3179">
        <f>'DATA INPUT'!P141</f>
        <v>0</v>
      </c>
      <c r="T10" s="3180"/>
    </row>
    <row r="11" spans="1:20" x14ac:dyDescent="0.25">
      <c r="A11" s="3025" t="s">
        <v>1047</v>
      </c>
      <c r="B11" s="3026">
        <f ca="1">ROUND(SUM(C11:H11), 2)</f>
        <v>46610.48</v>
      </c>
      <c r="C11" s="3027">
        <f t="shared" ref="C11:H11" ca="1" si="2">ROUND(SUMIF($B38:$B2044,"Total",C38:C2044),2)</f>
        <v>46610.48</v>
      </c>
      <c r="D11" s="3027">
        <f t="shared" ca="1" si="2"/>
        <v>0</v>
      </c>
      <c r="E11" s="3027">
        <f t="shared" ca="1" si="2"/>
        <v>0</v>
      </c>
      <c r="F11" s="3027">
        <f t="shared" ca="1" si="2"/>
        <v>0</v>
      </c>
      <c r="G11" s="3027">
        <f t="shared" ca="1" si="2"/>
        <v>0</v>
      </c>
      <c r="H11" s="3028">
        <f t="shared" ca="1" si="2"/>
        <v>0</v>
      </c>
      <c r="I11" s="926"/>
      <c r="J11" s="3181">
        <f>'DATA INPUT'!E142</f>
        <v>0</v>
      </c>
      <c r="K11" s="3182" t="str">
        <f>'DATA INPUT'!H142</f>
        <v>Direct Costs</v>
      </c>
      <c r="L11" s="3183">
        <f>'DATA INPUT'!I142</f>
        <v>0</v>
      </c>
      <c r="M11" s="3183">
        <f>'DATA INPUT'!J142</f>
        <v>0</v>
      </c>
      <c r="N11" s="3183">
        <f>'DATA INPUT'!K142</f>
        <v>0</v>
      </c>
      <c r="O11" s="3183">
        <f>'DATA INPUT'!L142</f>
        <v>0</v>
      </c>
      <c r="P11" s="3183">
        <f>'DATA INPUT'!M142</f>
        <v>0</v>
      </c>
      <c r="Q11" s="3183">
        <f>'DATA INPUT'!N142</f>
        <v>0</v>
      </c>
      <c r="R11" s="3178">
        <f>'DATA INPUT'!O142</f>
        <v>0</v>
      </c>
      <c r="S11" s="3184"/>
    </row>
    <row r="12" spans="1:20" x14ac:dyDescent="0.25">
      <c r="A12" s="3025" t="s">
        <v>1048</v>
      </c>
      <c r="B12" s="3026">
        <f ca="1">ROUND(SUM(C12:H12), 2)</f>
        <v>0</v>
      </c>
      <c r="C12" s="3027">
        <f ca="1">ROUND(C11*'DATA INPUT'!$F$125, 2)</f>
        <v>0</v>
      </c>
      <c r="D12" s="3027">
        <f ca="1">ROUND(D11*'DATA INPUT'!$F$125, 2)</f>
        <v>0</v>
      </c>
      <c r="E12" s="3027">
        <f ca="1">ROUND(E11*'DATA INPUT'!$F$125, 2)</f>
        <v>0</v>
      </c>
      <c r="F12" s="3027">
        <f ca="1">ROUND(F11*'DATA INPUT'!$F$125, 2)</f>
        <v>0</v>
      </c>
      <c r="G12" s="3027">
        <f ca="1">ROUND(G11*'DATA INPUT'!$F$125, 2)</f>
        <v>0</v>
      </c>
      <c r="H12" s="3028">
        <f ca="1">ROUND(H11*'DATA INPUT'!$F$125, 2)</f>
        <v>0</v>
      </c>
      <c r="I12" s="926"/>
      <c r="J12" s="3185">
        <f>'DATA INPUT'!E143</f>
        <v>0</v>
      </c>
      <c r="K12" s="3182" t="str">
        <f>'DATA INPUT'!H143</f>
        <v>Indirect Costs</v>
      </c>
      <c r="L12" s="3183">
        <f>'DATA INPUT'!I143</f>
        <v>0</v>
      </c>
      <c r="M12" s="3183">
        <f>'DATA INPUT'!J143</f>
        <v>0</v>
      </c>
      <c r="N12" s="3183">
        <f>'DATA INPUT'!K143</f>
        <v>0</v>
      </c>
      <c r="O12" s="3183">
        <f>'DATA INPUT'!L143</f>
        <v>0</v>
      </c>
      <c r="P12" s="3183">
        <f>'DATA INPUT'!M143</f>
        <v>0</v>
      </c>
      <c r="Q12" s="3183">
        <f>'DATA INPUT'!N143</f>
        <v>0</v>
      </c>
      <c r="R12" s="3178">
        <f>'DATA INPUT'!O143</f>
        <v>0</v>
      </c>
      <c r="S12" s="3186"/>
      <c r="T12" s="3187"/>
    </row>
    <row r="13" spans="1:20" x14ac:dyDescent="0.25">
      <c r="A13" s="3029" t="s">
        <v>636</v>
      </c>
      <c r="B13" s="3030">
        <f>'DATA INPUT'!C5</f>
        <v>12</v>
      </c>
      <c r="C13" s="3031">
        <f>'DATA INPUT'!I8</f>
        <v>12</v>
      </c>
      <c r="D13" s="3031">
        <f>'DATA INPUT'!J8</f>
        <v>0</v>
      </c>
      <c r="E13" s="3031">
        <f>'DATA INPUT'!K8</f>
        <v>0</v>
      </c>
      <c r="F13" s="3031">
        <f>'DATA INPUT'!L8</f>
        <v>0</v>
      </c>
      <c r="G13" s="3031">
        <f>'DATA INPUT'!M8</f>
        <v>0</v>
      </c>
      <c r="H13" s="3032">
        <f>'DATA INPUT'!N8</f>
        <v>0</v>
      </c>
      <c r="I13" s="926"/>
      <c r="J13" s="3176">
        <f>'DATA INPUT'!E144</f>
        <v>0</v>
      </c>
      <c r="K13" s="3177" t="str">
        <f>'DATA INPUT'!H144</f>
        <v>Total Subaward</v>
      </c>
      <c r="L13" s="3178">
        <f>'DATA INPUT'!I144</f>
        <v>0</v>
      </c>
      <c r="M13" s="3178">
        <f>'DATA INPUT'!J144</f>
        <v>0</v>
      </c>
      <c r="N13" s="3178">
        <f>'DATA INPUT'!K144</f>
        <v>0</v>
      </c>
      <c r="O13" s="3178">
        <f>'DATA INPUT'!L144</f>
        <v>0</v>
      </c>
      <c r="P13" s="3178">
        <f>'DATA INPUT'!M144</f>
        <v>0</v>
      </c>
      <c r="Q13" s="3178">
        <f>'DATA INPUT'!N144</f>
        <v>0</v>
      </c>
      <c r="R13" s="3178">
        <f>'DATA INPUT'!O144</f>
        <v>0</v>
      </c>
      <c r="S13" s="3179">
        <f>'DATA INPUT'!P144</f>
        <v>0</v>
      </c>
      <c r="T13" s="3180"/>
    </row>
    <row r="14" spans="1:20" x14ac:dyDescent="0.25">
      <c r="A14" s="847"/>
      <c r="B14" s="847"/>
      <c r="C14" s="3033"/>
      <c r="D14" s="3033"/>
      <c r="E14" s="3033"/>
      <c r="F14" s="3033"/>
      <c r="G14" s="3033"/>
      <c r="H14" s="3033"/>
      <c r="I14" s="926"/>
      <c r="J14" s="3181">
        <f>'DATA INPUT'!E145</f>
        <v>0</v>
      </c>
      <c r="K14" s="3182" t="str">
        <f>'DATA INPUT'!H145</f>
        <v>Direct Costs</v>
      </c>
      <c r="L14" s="3183">
        <f>'DATA INPUT'!I145</f>
        <v>0</v>
      </c>
      <c r="M14" s="3183">
        <f>'DATA INPUT'!J145</f>
        <v>0</v>
      </c>
      <c r="N14" s="3183">
        <f>'DATA INPUT'!K145</f>
        <v>0</v>
      </c>
      <c r="O14" s="3183">
        <f>'DATA INPUT'!L145</f>
        <v>0</v>
      </c>
      <c r="P14" s="3183">
        <f>'DATA INPUT'!M145</f>
        <v>0</v>
      </c>
      <c r="Q14" s="3183">
        <f>'DATA INPUT'!N145</f>
        <v>0</v>
      </c>
      <c r="R14" s="3178">
        <f>'DATA INPUT'!O145</f>
        <v>0</v>
      </c>
      <c r="S14" s="3184"/>
    </row>
    <row r="15" spans="1:20" ht="18.75" x14ac:dyDescent="0.3">
      <c r="A15" s="3010" t="s">
        <v>613</v>
      </c>
      <c r="B15" s="3022" t="s">
        <v>3</v>
      </c>
      <c r="C15" s="3022" t="s">
        <v>1041</v>
      </c>
      <c r="D15" s="3022" t="s">
        <v>1042</v>
      </c>
      <c r="E15" s="3022" t="s">
        <v>1043</v>
      </c>
      <c r="F15" s="3022" t="s">
        <v>1044</v>
      </c>
      <c r="G15" s="3022" t="s">
        <v>1045</v>
      </c>
      <c r="H15" s="3034" t="s">
        <v>1046</v>
      </c>
      <c r="I15" s="3033"/>
      <c r="J15" s="3185">
        <f>'DATA INPUT'!E146</f>
        <v>0</v>
      </c>
      <c r="K15" s="3182" t="str">
        <f>'DATA INPUT'!H146</f>
        <v>Indirect Costs</v>
      </c>
      <c r="L15" s="3183">
        <f>'DATA INPUT'!I146</f>
        <v>0</v>
      </c>
      <c r="M15" s="3183">
        <f>'DATA INPUT'!J146</f>
        <v>0</v>
      </c>
      <c r="N15" s="3183">
        <f>'DATA INPUT'!K146</f>
        <v>0</v>
      </c>
      <c r="O15" s="3183">
        <f>'DATA INPUT'!L146</f>
        <v>0</v>
      </c>
      <c r="P15" s="3183">
        <f>'DATA INPUT'!M146</f>
        <v>0</v>
      </c>
      <c r="Q15" s="3183">
        <f>'DATA INPUT'!N146</f>
        <v>0</v>
      </c>
      <c r="R15" s="3178">
        <f>'DATA INPUT'!O146</f>
        <v>0</v>
      </c>
      <c r="S15" s="3186"/>
      <c r="T15" s="3187"/>
    </row>
    <row r="16" spans="1:20" x14ac:dyDescent="0.25">
      <c r="A16" s="3025" t="s">
        <v>3</v>
      </c>
      <c r="B16" s="3026">
        <f ca="1">ROUND(SUM(C16:H16), 2)</f>
        <v>3389.87</v>
      </c>
      <c r="C16" s="3026">
        <f ca="1">ROUND(C17+C18,2)</f>
        <v>3389.87</v>
      </c>
      <c r="D16" s="3026">
        <f t="shared" ref="D16:H16" ca="1" si="3">ROUND(D17+D18,2)</f>
        <v>0</v>
      </c>
      <c r="E16" s="3026">
        <f t="shared" ca="1" si="3"/>
        <v>0</v>
      </c>
      <c r="F16" s="3026">
        <f t="shared" ca="1" si="3"/>
        <v>0</v>
      </c>
      <c r="G16" s="3026">
        <f t="shared" ca="1" si="3"/>
        <v>0</v>
      </c>
      <c r="H16" s="3016">
        <f t="shared" ca="1" si="3"/>
        <v>0</v>
      </c>
      <c r="I16" s="3033"/>
      <c r="J16" s="3176">
        <f>'DATA INPUT'!E147</f>
        <v>0</v>
      </c>
      <c r="K16" s="3177" t="str">
        <f>'DATA INPUT'!H147</f>
        <v>Total Subaward</v>
      </c>
      <c r="L16" s="3178">
        <f>'DATA INPUT'!I147</f>
        <v>0</v>
      </c>
      <c r="M16" s="3178">
        <f>'DATA INPUT'!J147</f>
        <v>0</v>
      </c>
      <c r="N16" s="3178">
        <f>'DATA INPUT'!K147</f>
        <v>0</v>
      </c>
      <c r="O16" s="3178">
        <f>'DATA INPUT'!L147</f>
        <v>0</v>
      </c>
      <c r="P16" s="3178">
        <f>'DATA INPUT'!M147</f>
        <v>0</v>
      </c>
      <c r="Q16" s="3178">
        <f>'DATA INPUT'!N147</f>
        <v>0</v>
      </c>
      <c r="R16" s="3178">
        <f>'DATA INPUT'!O147</f>
        <v>0</v>
      </c>
      <c r="S16" s="3179">
        <f>'DATA INPUT'!P147</f>
        <v>0</v>
      </c>
      <c r="T16" s="3180"/>
    </row>
    <row r="17" spans="1:20" x14ac:dyDescent="0.25">
      <c r="A17" s="3025" t="s">
        <v>1047</v>
      </c>
      <c r="B17" s="3026">
        <f t="shared" ref="B17:B18" ca="1" si="4">ROUND(SUM(C17:H17), 2)</f>
        <v>3389.87</v>
      </c>
      <c r="C17" s="3026">
        <f ca="1">ROUND((SUM(C22:C34)),2)</f>
        <v>3389.87</v>
      </c>
      <c r="D17" s="3026">
        <f ca="1">ROUND((SUM(D22:D34)),2)</f>
        <v>0</v>
      </c>
      <c r="E17" s="3026">
        <f ca="1">ROUND((SUM(E22:E34)),2)</f>
        <v>0</v>
      </c>
      <c r="F17" s="3026">
        <f ca="1">ROUND((SUM(F22:F34)),2)</f>
        <v>0</v>
      </c>
      <c r="G17" s="3026">
        <f ca="1">ROUND((SUM(G22:G34)),2)</f>
        <v>0</v>
      </c>
      <c r="H17" s="3016">
        <f ca="1">ROUND((H22+H23+H25+H27+H28+H31+H32),2)</f>
        <v>0</v>
      </c>
      <c r="I17" s="3033"/>
      <c r="J17" s="3181">
        <f>'DATA INPUT'!E148</f>
        <v>0</v>
      </c>
      <c r="K17" s="3182" t="str">
        <f>'DATA INPUT'!H148</f>
        <v>Direct Costs</v>
      </c>
      <c r="L17" s="3183">
        <f>'DATA INPUT'!I148</f>
        <v>0</v>
      </c>
      <c r="M17" s="3183">
        <f>'DATA INPUT'!J148</f>
        <v>0</v>
      </c>
      <c r="N17" s="3183">
        <f>'DATA INPUT'!K148</f>
        <v>0</v>
      </c>
      <c r="O17" s="3183">
        <f>'DATA INPUT'!L148</f>
        <v>0</v>
      </c>
      <c r="P17" s="3183">
        <f>'DATA INPUT'!M148</f>
        <v>0</v>
      </c>
      <c r="Q17" s="3183">
        <f>'DATA INPUT'!N148</f>
        <v>0</v>
      </c>
      <c r="R17" s="3178">
        <f>'DATA INPUT'!O148</f>
        <v>0</v>
      </c>
      <c r="S17" s="3184"/>
    </row>
    <row r="18" spans="1:20" x14ac:dyDescent="0.25">
      <c r="A18" s="3025" t="s">
        <v>1048</v>
      </c>
      <c r="B18" s="3026">
        <f t="shared" ca="1" si="4"/>
        <v>0</v>
      </c>
      <c r="C18" s="3026">
        <f ca="1">ROUND(SUM(C22:C28)*'DATA INPUT'!$F$125, 2)</f>
        <v>0</v>
      </c>
      <c r="D18" s="3026">
        <f ca="1">ROUND(SUM(D22:D28)*'DATA INPUT'!$F$125, 2)</f>
        <v>0</v>
      </c>
      <c r="E18" s="3026">
        <f ca="1">ROUND(SUM(E22:E28)*'DATA INPUT'!$F$125, 2)</f>
        <v>0</v>
      </c>
      <c r="F18" s="3026">
        <f ca="1">ROUND(SUM(F22:F28)*'DATA INPUT'!$F$125, 2)</f>
        <v>0</v>
      </c>
      <c r="G18" s="3026">
        <f ca="1">ROUND(SUM(G22:G28)*'DATA INPUT'!$F$125, 2)</f>
        <v>0</v>
      </c>
      <c r="H18" s="3016">
        <f ca="1">ROUND(SUM(H22:H28)*'DATA INPUT'!$F$125, 2)</f>
        <v>0</v>
      </c>
      <c r="I18" s="3033"/>
      <c r="J18" s="3185">
        <f>'DATA INPUT'!E149</f>
        <v>0</v>
      </c>
      <c r="K18" s="3182" t="str">
        <f>'DATA INPUT'!H149</f>
        <v>Indirect Costs</v>
      </c>
      <c r="L18" s="3183">
        <f>'DATA INPUT'!I149</f>
        <v>0</v>
      </c>
      <c r="M18" s="3183">
        <f>'DATA INPUT'!J149</f>
        <v>0</v>
      </c>
      <c r="N18" s="3183">
        <f>'DATA INPUT'!K149</f>
        <v>0</v>
      </c>
      <c r="O18" s="3183">
        <f>'DATA INPUT'!L149</f>
        <v>0</v>
      </c>
      <c r="P18" s="3183">
        <f>'DATA INPUT'!M149</f>
        <v>0</v>
      </c>
      <c r="Q18" s="3183">
        <f>'DATA INPUT'!N149</f>
        <v>0</v>
      </c>
      <c r="R18" s="3178">
        <f>'DATA INPUT'!O149</f>
        <v>0</v>
      </c>
      <c r="S18" s="3186"/>
      <c r="T18" s="3187"/>
    </row>
    <row r="19" spans="1:20" x14ac:dyDescent="0.25">
      <c r="A19" s="3035" t="s">
        <v>636</v>
      </c>
      <c r="B19" s="3031">
        <f t="shared" ref="B19:H19" si="5">B13</f>
        <v>12</v>
      </c>
      <c r="C19" s="3031">
        <f t="shared" si="5"/>
        <v>12</v>
      </c>
      <c r="D19" s="3031">
        <f t="shared" si="5"/>
        <v>0</v>
      </c>
      <c r="E19" s="3031">
        <f t="shared" si="5"/>
        <v>0</v>
      </c>
      <c r="F19" s="3031">
        <f t="shared" si="5"/>
        <v>0</v>
      </c>
      <c r="G19" s="3031">
        <f t="shared" si="5"/>
        <v>0</v>
      </c>
      <c r="H19" s="3032">
        <f t="shared" si="5"/>
        <v>0</v>
      </c>
      <c r="I19" s="3033"/>
      <c r="J19" s="3176">
        <f>'DATA INPUT'!E150</f>
        <v>0</v>
      </c>
      <c r="K19" s="3177" t="str">
        <f>'DATA INPUT'!H150</f>
        <v>Total Subaward</v>
      </c>
      <c r="L19" s="3178">
        <f>'DATA INPUT'!I150</f>
        <v>0</v>
      </c>
      <c r="M19" s="3178">
        <f>'DATA INPUT'!J150</f>
        <v>0</v>
      </c>
      <c r="N19" s="3178">
        <f>'DATA INPUT'!K150</f>
        <v>0</v>
      </c>
      <c r="O19" s="3178">
        <f>'DATA INPUT'!L150</f>
        <v>0</v>
      </c>
      <c r="P19" s="3178">
        <f>'DATA INPUT'!M150</f>
        <v>0</v>
      </c>
      <c r="Q19" s="3178">
        <f>'DATA INPUT'!N150</f>
        <v>0</v>
      </c>
      <c r="R19" s="3178">
        <f>'DATA INPUT'!O150</f>
        <v>0</v>
      </c>
      <c r="S19" s="3179">
        <f>'DATA INPUT'!P150</f>
        <v>0</v>
      </c>
      <c r="T19" s="3180"/>
    </row>
    <row r="20" spans="1:20" x14ac:dyDescent="0.25">
      <c r="A20" s="847"/>
      <c r="B20" s="847"/>
      <c r="C20" s="3033"/>
      <c r="D20" s="3033"/>
      <c r="E20" s="3033"/>
      <c r="F20" s="3033"/>
      <c r="G20" s="3033"/>
      <c r="H20" s="3033"/>
      <c r="I20" s="926"/>
      <c r="J20" s="3181">
        <f>'DATA INPUT'!E151</f>
        <v>0</v>
      </c>
      <c r="K20" s="3182" t="str">
        <f>'DATA INPUT'!H151</f>
        <v>Direct Costs</v>
      </c>
      <c r="L20" s="3183">
        <f>'DATA INPUT'!I151</f>
        <v>0</v>
      </c>
      <c r="M20" s="3183">
        <f>'DATA INPUT'!J151</f>
        <v>0</v>
      </c>
      <c r="N20" s="3183">
        <f>'DATA INPUT'!K151</f>
        <v>0</v>
      </c>
      <c r="O20" s="3183">
        <f>'DATA INPUT'!L151</f>
        <v>0</v>
      </c>
      <c r="P20" s="3183">
        <f>'DATA INPUT'!M151</f>
        <v>0</v>
      </c>
      <c r="Q20" s="3183">
        <f>'DATA INPUT'!N151</f>
        <v>0</v>
      </c>
      <c r="R20" s="3178">
        <f>'DATA INPUT'!O151</f>
        <v>0</v>
      </c>
      <c r="S20" s="3184"/>
    </row>
    <row r="21" spans="1:20" ht="18.75" x14ac:dyDescent="0.3">
      <c r="A21" s="3067" t="s">
        <v>1070</v>
      </c>
      <c r="B21" s="3022" t="s">
        <v>3</v>
      </c>
      <c r="C21" s="3022" t="s">
        <v>1041</v>
      </c>
      <c r="D21" s="3022" t="s">
        <v>1042</v>
      </c>
      <c r="E21" s="3022" t="s">
        <v>1043</v>
      </c>
      <c r="F21" s="3022" t="s">
        <v>1044</v>
      </c>
      <c r="G21" s="3022" t="s">
        <v>1045</v>
      </c>
      <c r="H21" s="3034" t="s">
        <v>1046</v>
      </c>
      <c r="I21" s="3033"/>
      <c r="J21" s="3185">
        <f>'DATA INPUT'!E152</f>
        <v>0</v>
      </c>
      <c r="K21" s="3182" t="str">
        <f>'DATA INPUT'!H152</f>
        <v>Indirect Costs</v>
      </c>
      <c r="L21" s="3183">
        <f>'DATA INPUT'!I152</f>
        <v>0</v>
      </c>
      <c r="M21" s="3183">
        <f>'DATA INPUT'!J152</f>
        <v>0</v>
      </c>
      <c r="N21" s="3183">
        <f>'DATA INPUT'!K152</f>
        <v>0</v>
      </c>
      <c r="O21" s="3183">
        <f>'DATA INPUT'!L152</f>
        <v>0</v>
      </c>
      <c r="P21" s="3183">
        <f>'DATA INPUT'!M152</f>
        <v>0</v>
      </c>
      <c r="Q21" s="3183">
        <f>'DATA INPUT'!N152</f>
        <v>0</v>
      </c>
      <c r="R21" s="3178">
        <f>'DATA INPUT'!O152</f>
        <v>0</v>
      </c>
      <c r="S21" s="3186"/>
      <c r="T21" s="3187"/>
    </row>
    <row r="22" spans="1:20" x14ac:dyDescent="0.25">
      <c r="A22" s="3025" t="str">
        <f>Budget!C168</f>
        <v>Domestic Travel</v>
      </c>
      <c r="B22" s="3026">
        <f ca="1">ROUND(SUM(C22:H22), 2)</f>
        <v>2489.87</v>
      </c>
      <c r="C22" s="3059">
        <f ca="1">ROUND(Budget!D168,2)</f>
        <v>2489.87</v>
      </c>
      <c r="D22" s="3059">
        <f ca="1">ROUND(Budget!E168,2)</f>
        <v>0</v>
      </c>
      <c r="E22" s="3059">
        <f ca="1">ROUND(Budget!F168,2)</f>
        <v>0</v>
      </c>
      <c r="F22" s="3059">
        <f ca="1">ROUND(Budget!G168,2)</f>
        <v>0</v>
      </c>
      <c r="G22" s="3059">
        <f ca="1">ROUND(Budget!H168,2)</f>
        <v>0</v>
      </c>
      <c r="H22" s="3060">
        <f ca="1">ROUND(Budget!I168,2)</f>
        <v>0</v>
      </c>
      <c r="I22" s="3033"/>
      <c r="J22" s="3176">
        <f>'DATA INPUT'!E153</f>
        <v>0</v>
      </c>
      <c r="K22" s="3177" t="str">
        <f>'DATA INPUT'!H153</f>
        <v>Total Subaward</v>
      </c>
      <c r="L22" s="3178">
        <f>'DATA INPUT'!I153</f>
        <v>0</v>
      </c>
      <c r="M22" s="3178">
        <f>'DATA INPUT'!J153</f>
        <v>0</v>
      </c>
      <c r="N22" s="3178">
        <f>'DATA INPUT'!K153</f>
        <v>0</v>
      </c>
      <c r="O22" s="3178">
        <f>'DATA INPUT'!L153</f>
        <v>0</v>
      </c>
      <c r="P22" s="3178">
        <f>'DATA INPUT'!M153</f>
        <v>0</v>
      </c>
      <c r="Q22" s="3178">
        <f>'DATA INPUT'!N153</f>
        <v>0</v>
      </c>
      <c r="R22" s="3178">
        <f>'DATA INPUT'!O153</f>
        <v>0</v>
      </c>
      <c r="S22" s="3179">
        <f>'DATA INPUT'!P153</f>
        <v>0</v>
      </c>
      <c r="T22" s="3180"/>
    </row>
    <row r="23" spans="1:20" x14ac:dyDescent="0.25">
      <c r="A23" s="3025" t="str">
        <f>Budget!C169</f>
        <v>Foreign Travel</v>
      </c>
      <c r="B23" s="3026">
        <f t="shared" ref="B23:B34" ca="1" si="6">ROUND(SUM(C23:H23), 2)</f>
        <v>0</v>
      </c>
      <c r="C23" s="3059">
        <f ca="1">ROUND(Budget!D169,2)</f>
        <v>0</v>
      </c>
      <c r="D23" s="3059">
        <f ca="1">ROUND(Budget!E169,2)</f>
        <v>0</v>
      </c>
      <c r="E23" s="3059">
        <f ca="1">ROUND(Budget!F169,2)</f>
        <v>0</v>
      </c>
      <c r="F23" s="3059">
        <f ca="1">ROUND(Budget!G169,2)</f>
        <v>0</v>
      </c>
      <c r="G23" s="3059">
        <f ca="1">ROUND(Budget!H169,2)</f>
        <v>0</v>
      </c>
      <c r="H23" s="3060">
        <f ca="1">ROUND(Budget!I169,2)</f>
        <v>0</v>
      </c>
      <c r="I23" s="3033"/>
      <c r="J23" s="3181">
        <f>'DATA INPUT'!E154</f>
        <v>0</v>
      </c>
      <c r="K23" s="3182" t="str">
        <f>'DATA INPUT'!H154</f>
        <v>Direct Costs</v>
      </c>
      <c r="L23" s="3183">
        <f>'DATA INPUT'!I154</f>
        <v>0</v>
      </c>
      <c r="M23" s="3183">
        <f>'DATA INPUT'!J154</f>
        <v>0</v>
      </c>
      <c r="N23" s="3183">
        <f>'DATA INPUT'!K154</f>
        <v>0</v>
      </c>
      <c r="O23" s="3183">
        <f>'DATA INPUT'!L154</f>
        <v>0</v>
      </c>
      <c r="P23" s="3183">
        <f>'DATA INPUT'!M154</f>
        <v>0</v>
      </c>
      <c r="Q23" s="3183">
        <f>'DATA INPUT'!N154</f>
        <v>0</v>
      </c>
      <c r="R23" s="3178">
        <f>'DATA INPUT'!O154</f>
        <v>0</v>
      </c>
      <c r="S23" s="3184"/>
    </row>
    <row r="24" spans="1:20" x14ac:dyDescent="0.25">
      <c r="A24" s="3025" t="str">
        <f>Budget!C180</f>
        <v>Materials and Supplies</v>
      </c>
      <c r="B24" s="3026">
        <f t="shared" si="6"/>
        <v>900</v>
      </c>
      <c r="C24" s="3059">
        <f>ROUND(Budget!D180,2)</f>
        <v>900</v>
      </c>
      <c r="D24" s="3059">
        <f>ROUND(Budget!E180,2)</f>
        <v>0</v>
      </c>
      <c r="E24" s="3059">
        <f>ROUND(Budget!F180,2)</f>
        <v>0</v>
      </c>
      <c r="F24" s="3059">
        <f>ROUND(Budget!G180,2)</f>
        <v>0</v>
      </c>
      <c r="G24" s="3059">
        <f>ROUND(Budget!H180,2)</f>
        <v>0</v>
      </c>
      <c r="H24" s="3060">
        <f>ROUND(Budget!I180,2)</f>
        <v>0</v>
      </c>
      <c r="I24" s="3033"/>
      <c r="J24" s="3185">
        <f>'DATA INPUT'!E155</f>
        <v>0</v>
      </c>
      <c r="K24" s="3182" t="str">
        <f>'DATA INPUT'!H155</f>
        <v>Indirect Costs</v>
      </c>
      <c r="L24" s="3183">
        <f>'DATA INPUT'!I155</f>
        <v>0</v>
      </c>
      <c r="M24" s="3183">
        <f>'DATA INPUT'!J155</f>
        <v>0</v>
      </c>
      <c r="N24" s="3183">
        <f>'DATA INPUT'!K155</f>
        <v>0</v>
      </c>
      <c r="O24" s="3183">
        <f>'DATA INPUT'!L155</f>
        <v>0</v>
      </c>
      <c r="P24" s="3183">
        <f>'DATA INPUT'!M155</f>
        <v>0</v>
      </c>
      <c r="Q24" s="3183">
        <f>'DATA INPUT'!N155</f>
        <v>0</v>
      </c>
      <c r="R24" s="3178">
        <f>'DATA INPUT'!O155</f>
        <v>0</v>
      </c>
      <c r="S24" s="3186"/>
      <c r="T24" s="3187"/>
    </row>
    <row r="25" spans="1:20" x14ac:dyDescent="0.25">
      <c r="A25" s="3025" t="str">
        <f>Budget!C181</f>
        <v>Publication Costs</v>
      </c>
      <c r="B25" s="3026">
        <f t="shared" si="6"/>
        <v>0</v>
      </c>
      <c r="C25" s="3059">
        <f>ROUND(Budget!D181,2)</f>
        <v>0</v>
      </c>
      <c r="D25" s="3059">
        <f>ROUND(Budget!E181,2)</f>
        <v>0</v>
      </c>
      <c r="E25" s="3059">
        <f>ROUND(Budget!F181,2)</f>
        <v>0</v>
      </c>
      <c r="F25" s="3059">
        <f>ROUND(Budget!G181,2)</f>
        <v>0</v>
      </c>
      <c r="G25" s="3059">
        <f>ROUND(Budget!H181,2)</f>
        <v>0</v>
      </c>
      <c r="H25" s="3060">
        <f>ROUND(Budget!I181,2)</f>
        <v>0</v>
      </c>
      <c r="I25" s="3033"/>
      <c r="J25" s="3176">
        <f>'DATA INPUT'!E156</f>
        <v>0</v>
      </c>
      <c r="K25" s="3177" t="str">
        <f>'DATA INPUT'!H156</f>
        <v>Total Subaward</v>
      </c>
      <c r="L25" s="3178">
        <f>'DATA INPUT'!I156</f>
        <v>0</v>
      </c>
      <c r="M25" s="3178">
        <f>'DATA INPUT'!J156</f>
        <v>0</v>
      </c>
      <c r="N25" s="3178">
        <f>'DATA INPUT'!K156</f>
        <v>0</v>
      </c>
      <c r="O25" s="3178">
        <f>'DATA INPUT'!L156</f>
        <v>0</v>
      </c>
      <c r="P25" s="3178">
        <f>'DATA INPUT'!M156</f>
        <v>0</v>
      </c>
      <c r="Q25" s="3178">
        <f>'DATA INPUT'!N156</f>
        <v>0</v>
      </c>
      <c r="R25" s="3178">
        <f>'DATA INPUT'!O156</f>
        <v>0</v>
      </c>
      <c r="S25" s="3179">
        <f>'DATA INPUT'!P156</f>
        <v>0</v>
      </c>
      <c r="T25" s="3180"/>
    </row>
    <row r="26" spans="1:20" x14ac:dyDescent="0.25">
      <c r="A26" s="3025" t="str">
        <f>Budget!C182</f>
        <v>Consultant Services</v>
      </c>
      <c r="B26" s="3026">
        <f t="shared" ref="B26" si="7">ROUND(SUM(C26:H26), 2)</f>
        <v>0</v>
      </c>
      <c r="C26" s="3059">
        <f>ROUND(Budget!D182,2)</f>
        <v>0</v>
      </c>
      <c r="D26" s="3059">
        <f>ROUND(Budget!E182,2)</f>
        <v>0</v>
      </c>
      <c r="E26" s="3059">
        <f>ROUND(Budget!F182,2)</f>
        <v>0</v>
      </c>
      <c r="F26" s="3059">
        <f>ROUND(Budget!G182,2)</f>
        <v>0</v>
      </c>
      <c r="G26" s="3059">
        <f>ROUND(Budget!H182,2)</f>
        <v>0</v>
      </c>
      <c r="H26" s="3060">
        <f>ROUND(Budget!I182,2)</f>
        <v>0</v>
      </c>
      <c r="I26" s="3033"/>
      <c r="J26" s="3181">
        <f>'DATA INPUT'!E157</f>
        <v>0</v>
      </c>
      <c r="K26" s="3182" t="str">
        <f>'DATA INPUT'!H157</f>
        <v>Direct Costs</v>
      </c>
      <c r="L26" s="3183">
        <f>'DATA INPUT'!I157</f>
        <v>0</v>
      </c>
      <c r="M26" s="3183">
        <f>'DATA INPUT'!J157</f>
        <v>0</v>
      </c>
      <c r="N26" s="3183">
        <f>'DATA INPUT'!K157</f>
        <v>0</v>
      </c>
      <c r="O26" s="3183">
        <f>'DATA INPUT'!L157</f>
        <v>0</v>
      </c>
      <c r="P26" s="3183">
        <f>'DATA INPUT'!M157</f>
        <v>0</v>
      </c>
      <c r="Q26" s="3183">
        <f>'DATA INPUT'!N157</f>
        <v>0</v>
      </c>
      <c r="R26" s="3178">
        <f>'DATA INPUT'!O157</f>
        <v>0</v>
      </c>
      <c r="S26" s="3184"/>
    </row>
    <row r="27" spans="1:20" x14ac:dyDescent="0.25">
      <c r="A27" s="3025" t="str">
        <f>Budget!C215</f>
        <v>User/Service Fees</v>
      </c>
      <c r="B27" s="3026">
        <f t="shared" si="6"/>
        <v>0</v>
      </c>
      <c r="C27" s="3059">
        <f>ROUND(Budget!D215,2)</f>
        <v>0</v>
      </c>
      <c r="D27" s="3059">
        <f>ROUND(Budget!E215,2)</f>
        <v>0</v>
      </c>
      <c r="E27" s="3059">
        <f>ROUND(Budget!F215,2)</f>
        <v>0</v>
      </c>
      <c r="F27" s="3059">
        <f>ROUND(Budget!G215,2)</f>
        <v>0</v>
      </c>
      <c r="G27" s="3059">
        <f>ROUND(Budget!H215,2)</f>
        <v>0</v>
      </c>
      <c r="H27" s="3060">
        <f>ROUND(Budget!I215,2)</f>
        <v>0</v>
      </c>
      <c r="I27" s="3033"/>
      <c r="J27" s="3185">
        <f>'DATA INPUT'!E158</f>
        <v>0</v>
      </c>
      <c r="K27" s="3182" t="str">
        <f>'DATA INPUT'!H158</f>
        <v>Indirect Costs</v>
      </c>
      <c r="L27" s="3183">
        <f>'DATA INPUT'!I158</f>
        <v>0</v>
      </c>
      <c r="M27" s="3183">
        <f>'DATA INPUT'!J158</f>
        <v>0</v>
      </c>
      <c r="N27" s="3183">
        <f>'DATA INPUT'!K158</f>
        <v>0</v>
      </c>
      <c r="O27" s="3183">
        <f>'DATA INPUT'!L158</f>
        <v>0</v>
      </c>
      <c r="P27" s="3183">
        <f>'DATA INPUT'!M158</f>
        <v>0</v>
      </c>
      <c r="Q27" s="3183">
        <f>'DATA INPUT'!N158</f>
        <v>0</v>
      </c>
      <c r="R27" s="3178">
        <f>'DATA INPUT'!O158</f>
        <v>0</v>
      </c>
      <c r="S27" s="3186"/>
      <c r="T27" s="3187"/>
    </row>
    <row r="28" spans="1:20" x14ac:dyDescent="0.25">
      <c r="A28" s="3025" t="str">
        <f>Budget!C218</f>
        <v>Other - Specify</v>
      </c>
      <c r="B28" s="3026">
        <f t="shared" si="6"/>
        <v>0</v>
      </c>
      <c r="C28" s="3059">
        <f>ROUND(Budget!D218,2)</f>
        <v>0</v>
      </c>
      <c r="D28" s="3059">
        <f>ROUND(Budget!E218,2)</f>
        <v>0</v>
      </c>
      <c r="E28" s="3059">
        <f>ROUND(Budget!F218,2)</f>
        <v>0</v>
      </c>
      <c r="F28" s="3059">
        <f>ROUND(Budget!G218,2)</f>
        <v>0</v>
      </c>
      <c r="G28" s="3059">
        <f>ROUND(Budget!H218,2)</f>
        <v>0</v>
      </c>
      <c r="H28" s="3060">
        <f>ROUND(Budget!I218,2)</f>
        <v>0</v>
      </c>
      <c r="I28" s="3033"/>
      <c r="J28" s="3176">
        <f>'DATA INPUT'!E159</f>
        <v>0</v>
      </c>
      <c r="K28" s="3177" t="str">
        <f>'DATA INPUT'!H159</f>
        <v>Total Subaward</v>
      </c>
      <c r="L28" s="3178">
        <f>'DATA INPUT'!I159</f>
        <v>0</v>
      </c>
      <c r="M28" s="3178">
        <f>'DATA INPUT'!J159</f>
        <v>0</v>
      </c>
      <c r="N28" s="3178">
        <f>'DATA INPUT'!K159</f>
        <v>0</v>
      </c>
      <c r="O28" s="3178">
        <f>'DATA INPUT'!L159</f>
        <v>0</v>
      </c>
      <c r="P28" s="3178">
        <f>'DATA INPUT'!M159</f>
        <v>0</v>
      </c>
      <c r="Q28" s="3178">
        <f>'DATA INPUT'!N159</f>
        <v>0</v>
      </c>
      <c r="R28" s="3178">
        <f>'DATA INPUT'!O159</f>
        <v>0</v>
      </c>
      <c r="S28" s="3179">
        <f>'DATA INPUT'!P159</f>
        <v>0</v>
      </c>
      <c r="T28" s="3180"/>
    </row>
    <row r="29" spans="1:20" x14ac:dyDescent="0.25">
      <c r="A29" s="3025" t="str">
        <f>Budget!C219</f>
        <v>Other - Specify</v>
      </c>
      <c r="B29" s="3026">
        <f t="shared" ref="B29" si="8">ROUND(SUM(C29:H29), 2)</f>
        <v>0</v>
      </c>
      <c r="C29" s="3059">
        <f>ROUND(Budget!D219,2)</f>
        <v>0</v>
      </c>
      <c r="D29" s="3059">
        <f>ROUND(Budget!E219,2)</f>
        <v>0</v>
      </c>
      <c r="E29" s="3059">
        <f>ROUND(Budget!F219,2)</f>
        <v>0</v>
      </c>
      <c r="F29" s="3059">
        <f>ROUND(Budget!G219,2)</f>
        <v>0</v>
      </c>
      <c r="G29" s="3059">
        <f>ROUND(Budget!H219,2)</f>
        <v>0</v>
      </c>
      <c r="H29" s="3060">
        <f>ROUND(Budget!I219,2)</f>
        <v>0</v>
      </c>
      <c r="I29" s="3033"/>
      <c r="J29" s="3181">
        <f>'DATA INPUT'!E160</f>
        <v>0</v>
      </c>
      <c r="K29" s="3182" t="str">
        <f>'DATA INPUT'!H160</f>
        <v>Direct Costs</v>
      </c>
      <c r="L29" s="3183">
        <f>'DATA INPUT'!I160</f>
        <v>0</v>
      </c>
      <c r="M29" s="3183">
        <f>'DATA INPUT'!J160</f>
        <v>0</v>
      </c>
      <c r="N29" s="3183">
        <f>'DATA INPUT'!K160</f>
        <v>0</v>
      </c>
      <c r="O29" s="3183">
        <f>'DATA INPUT'!L160</f>
        <v>0</v>
      </c>
      <c r="P29" s="3183">
        <f>'DATA INPUT'!M160</f>
        <v>0</v>
      </c>
      <c r="Q29" s="3183">
        <f>'DATA INPUT'!N160</f>
        <v>0</v>
      </c>
      <c r="R29" s="3178">
        <f>'DATA INPUT'!O160</f>
        <v>0</v>
      </c>
      <c r="S29" s="3184"/>
    </row>
    <row r="30" spans="1:20" x14ac:dyDescent="0.25">
      <c r="A30" s="3025" t="str">
        <f>Budget!C220</f>
        <v>Other - Specify</v>
      </c>
      <c r="B30" s="3026">
        <f t="shared" ref="B30" si="9">ROUND(SUM(C30:H30), 2)</f>
        <v>0</v>
      </c>
      <c r="C30" s="3059">
        <f>ROUND(Budget!D220,2)</f>
        <v>0</v>
      </c>
      <c r="D30" s="3059">
        <f>ROUND(Budget!E220,2)</f>
        <v>0</v>
      </c>
      <c r="E30" s="3059">
        <f>ROUND(Budget!F220,2)</f>
        <v>0</v>
      </c>
      <c r="F30" s="3059">
        <f>ROUND(Budget!G220,2)</f>
        <v>0</v>
      </c>
      <c r="G30" s="3059">
        <f>ROUND(Budget!H220,2)</f>
        <v>0</v>
      </c>
      <c r="H30" s="3060">
        <f>ROUND(Budget!I220,2)</f>
        <v>0</v>
      </c>
      <c r="I30" s="3033"/>
      <c r="J30" s="3185">
        <f>'DATA INPUT'!E161</f>
        <v>0</v>
      </c>
      <c r="K30" s="3182" t="str">
        <f>'DATA INPUT'!H161</f>
        <v>Indirect Costs</v>
      </c>
      <c r="L30" s="3183">
        <f>'DATA INPUT'!I161</f>
        <v>0</v>
      </c>
      <c r="M30" s="3183">
        <f>'DATA INPUT'!J161</f>
        <v>0</v>
      </c>
      <c r="N30" s="3183">
        <f>'DATA INPUT'!K161</f>
        <v>0</v>
      </c>
      <c r="O30" s="3183">
        <f>'DATA INPUT'!L161</f>
        <v>0</v>
      </c>
      <c r="P30" s="3183">
        <f>'DATA INPUT'!M161</f>
        <v>0</v>
      </c>
      <c r="Q30" s="3183">
        <f>'DATA INPUT'!N161</f>
        <v>0</v>
      </c>
      <c r="R30" s="3178">
        <f>'DATA INPUT'!O161</f>
        <v>0</v>
      </c>
      <c r="S30" s="3186"/>
      <c r="T30" s="3187"/>
    </row>
    <row r="31" spans="1:20" ht="18.75" x14ac:dyDescent="0.3">
      <c r="A31" s="3068" t="s">
        <v>1049</v>
      </c>
      <c r="B31" s="3026"/>
      <c r="C31" s="3066"/>
      <c r="D31" s="3066"/>
      <c r="E31" s="3066"/>
      <c r="F31" s="3066"/>
      <c r="G31" s="3066"/>
      <c r="H31" s="3061"/>
      <c r="I31" s="3033"/>
      <c r="J31" s="3176">
        <f>'DATA INPUT'!E162</f>
        <v>0</v>
      </c>
      <c r="K31" s="3177" t="str">
        <f>'DATA INPUT'!H162</f>
        <v>Total Subaward</v>
      </c>
      <c r="L31" s="3178">
        <f>'DATA INPUT'!I162</f>
        <v>0</v>
      </c>
      <c r="M31" s="3178">
        <f>'DATA INPUT'!J162</f>
        <v>0</v>
      </c>
      <c r="N31" s="3178">
        <f>'DATA INPUT'!K162</f>
        <v>0</v>
      </c>
      <c r="O31" s="3178">
        <f>'DATA INPUT'!L162</f>
        <v>0</v>
      </c>
      <c r="P31" s="3178">
        <f>'DATA INPUT'!M162</f>
        <v>0</v>
      </c>
      <c r="Q31" s="3178">
        <f>'DATA INPUT'!N162</f>
        <v>0</v>
      </c>
      <c r="R31" s="3178">
        <f>'DATA INPUT'!O162</f>
        <v>0</v>
      </c>
      <c r="S31" s="3179">
        <f>'DATA INPUT'!P162</f>
        <v>0</v>
      </c>
      <c r="T31" s="3180"/>
    </row>
    <row r="32" spans="1:20" x14ac:dyDescent="0.25">
      <c r="A32" s="3036" t="s">
        <v>146</v>
      </c>
      <c r="B32" s="3037">
        <f t="shared" si="6"/>
        <v>0</v>
      </c>
      <c r="C32" s="3062">
        <f>ROUND(Budget!D165,2)</f>
        <v>0</v>
      </c>
      <c r="D32" s="3062">
        <f>ROUND(Budget!E165,2)</f>
        <v>0</v>
      </c>
      <c r="E32" s="3062">
        <f>ROUND(Budget!F165,2)</f>
        <v>0</v>
      </c>
      <c r="F32" s="3062">
        <f>ROUND(Budget!G165,2)</f>
        <v>0</v>
      </c>
      <c r="G32" s="3062">
        <f>ROUND(Budget!H165,2)</f>
        <v>0</v>
      </c>
      <c r="H32" s="3063">
        <f>ROUND(Budget!I165,2)</f>
        <v>0</v>
      </c>
      <c r="I32" s="3033"/>
      <c r="J32" s="3181">
        <f>'DATA INPUT'!E163</f>
        <v>0</v>
      </c>
      <c r="K32" s="3182" t="str">
        <f>'DATA INPUT'!H163</f>
        <v>Direct Costs</v>
      </c>
      <c r="L32" s="3183">
        <f>'DATA INPUT'!I163</f>
        <v>0</v>
      </c>
      <c r="M32" s="3183">
        <f>'DATA INPUT'!J163</f>
        <v>0</v>
      </c>
      <c r="N32" s="3183">
        <f>'DATA INPUT'!K163</f>
        <v>0</v>
      </c>
      <c r="O32" s="3183">
        <f>'DATA INPUT'!L163</f>
        <v>0</v>
      </c>
      <c r="P32" s="3183">
        <f>'DATA INPUT'!M163</f>
        <v>0</v>
      </c>
      <c r="Q32" s="3183">
        <f>'DATA INPUT'!N163</f>
        <v>0</v>
      </c>
      <c r="R32" s="3178">
        <f>'DATA INPUT'!O163</f>
        <v>0</v>
      </c>
      <c r="S32" s="3184"/>
    </row>
    <row r="33" spans="1:20" x14ac:dyDescent="0.25">
      <c r="A33" s="3036" t="s">
        <v>38</v>
      </c>
      <c r="B33" s="3037">
        <f t="shared" si="6"/>
        <v>0</v>
      </c>
      <c r="C33" s="3062">
        <f>ROUND(Budget!D177,2)</f>
        <v>0</v>
      </c>
      <c r="D33" s="3062">
        <f>ROUND(Budget!E177,2)</f>
        <v>0</v>
      </c>
      <c r="E33" s="3062">
        <f>ROUND(Budget!F177,2)</f>
        <v>0</v>
      </c>
      <c r="F33" s="3062">
        <f>ROUND(Budget!G177,2)</f>
        <v>0</v>
      </c>
      <c r="G33" s="3062">
        <f>ROUND(Budget!H177,2)</f>
        <v>0</v>
      </c>
      <c r="H33" s="3063">
        <f>ROUND(Budget!I177,2)</f>
        <v>0</v>
      </c>
      <c r="I33" s="3033"/>
      <c r="J33" s="3185">
        <f>'DATA INPUT'!E164</f>
        <v>0</v>
      </c>
      <c r="K33" s="3182" t="str">
        <f>'DATA INPUT'!H164</f>
        <v>Indirect Costs</v>
      </c>
      <c r="L33" s="3183">
        <f>'DATA INPUT'!I164</f>
        <v>0</v>
      </c>
      <c r="M33" s="3183">
        <f>'DATA INPUT'!J164</f>
        <v>0</v>
      </c>
      <c r="N33" s="3183">
        <f>'DATA INPUT'!K164</f>
        <v>0</v>
      </c>
      <c r="O33" s="3183">
        <f>'DATA INPUT'!L164</f>
        <v>0</v>
      </c>
      <c r="P33" s="3183">
        <f>'DATA INPUT'!M164</f>
        <v>0</v>
      </c>
      <c r="Q33" s="3183">
        <f>'DATA INPUT'!N164</f>
        <v>0</v>
      </c>
      <c r="R33" s="3178">
        <f>'DATA INPUT'!O164</f>
        <v>0</v>
      </c>
      <c r="S33" s="3186"/>
      <c r="T33" s="3187"/>
    </row>
    <row r="34" spans="1:20" x14ac:dyDescent="0.25">
      <c r="A34" s="3038" t="s">
        <v>1065</v>
      </c>
      <c r="B34" s="3039">
        <f t="shared" ca="1" si="6"/>
        <v>0</v>
      </c>
      <c r="C34" s="3064">
        <f ca="1">ROUND(Budget!D285,2)</f>
        <v>0</v>
      </c>
      <c r="D34" s="3064">
        <f ca="1">ROUND(Budget!E285,2)</f>
        <v>0</v>
      </c>
      <c r="E34" s="3064">
        <f ca="1">ROUND(Budget!F285,2)</f>
        <v>0</v>
      </c>
      <c r="F34" s="3064">
        <f ca="1">ROUND(Budget!G285,2)</f>
        <v>0</v>
      </c>
      <c r="G34" s="3064">
        <f ca="1">ROUND(Budget!H285,2)</f>
        <v>0</v>
      </c>
      <c r="H34" s="3065">
        <f ca="1">ROUND(Budget!I285,2)</f>
        <v>0</v>
      </c>
      <c r="I34" s="3033"/>
      <c r="J34" s="926"/>
    </row>
    <row r="35" spans="1:20" s="448" customFormat="1" x14ac:dyDescent="0.25">
      <c r="J35" s="1795"/>
      <c r="K35" s="1795"/>
      <c r="L35" s="1795"/>
      <c r="M35" s="1795"/>
      <c r="N35" s="1795"/>
      <c r="O35" s="1795"/>
      <c r="P35" s="1795"/>
      <c r="Q35" s="1795"/>
      <c r="R35" s="1795"/>
      <c r="S35" s="1795"/>
      <c r="T35" s="1795"/>
    </row>
    <row r="36" spans="1:20" s="448" customFormat="1" ht="18.75" x14ac:dyDescent="0.3">
      <c r="A36" s="3069" t="s">
        <v>1071</v>
      </c>
      <c r="J36" s="1795"/>
      <c r="K36" s="1795"/>
      <c r="L36" s="1795"/>
      <c r="M36" s="1795"/>
      <c r="N36" s="1795"/>
      <c r="O36" s="1795"/>
      <c r="P36" s="1795"/>
      <c r="Q36" s="1795"/>
      <c r="R36" s="1795"/>
      <c r="S36" s="1795"/>
      <c r="T36" s="1795"/>
    </row>
    <row r="37" spans="1:20" s="448" customFormat="1" x14ac:dyDescent="0.25">
      <c r="J37" s="1795"/>
      <c r="K37" s="1795"/>
      <c r="L37" s="1795"/>
      <c r="M37" s="1795"/>
      <c r="N37" s="1795"/>
      <c r="O37" s="1795"/>
      <c r="P37" s="1795"/>
      <c r="Q37" s="1795"/>
      <c r="R37" s="1795"/>
      <c r="S37" s="1795"/>
      <c r="T37" s="1795"/>
    </row>
    <row r="38" spans="1:20" ht="17.25" hidden="1" x14ac:dyDescent="0.3">
      <c r="A38" s="3041" t="str" cm="1">
        <f t="array" ref="A38">INDEX('DATA INPUT'!B:B,11+INT((ROW()-ROW($B$38))/9))</f>
        <v>Virag Mishra</v>
      </c>
      <c r="B38" s="3040"/>
      <c r="C38" s="3042" t="s">
        <v>1041</v>
      </c>
      <c r="D38" s="3042" t="s">
        <v>1042</v>
      </c>
      <c r="E38" s="3042" t="s">
        <v>1043</v>
      </c>
      <c r="F38" s="3042" t="s">
        <v>1044</v>
      </c>
      <c r="G38" s="3042" t="s">
        <v>1045</v>
      </c>
      <c r="H38" s="3042" t="s">
        <v>1046</v>
      </c>
      <c r="I38" s="926"/>
      <c r="R38" s="3051"/>
      <c r="S38" s="3188"/>
    </row>
    <row r="39" spans="1:20" s="3040" customFormat="1" ht="17.25" hidden="1" x14ac:dyDescent="0.3">
      <c r="A39" s="3043">
        <f ca="1">SUM(C39:H39)</f>
        <v>25290.47</v>
      </c>
      <c r="B39" s="3044" t="s">
        <v>3</v>
      </c>
      <c r="C39" s="3045">
        <f t="shared" ref="C39:H39" ca="1" si="10">ROUND(C40*C43*(1+C41), 2)</f>
        <v>25290.47</v>
      </c>
      <c r="D39" s="3045">
        <f t="shared" ca="1" si="10"/>
        <v>0</v>
      </c>
      <c r="E39" s="3045">
        <f t="shared" ca="1" si="10"/>
        <v>0</v>
      </c>
      <c r="F39" s="3045">
        <f t="shared" ca="1" si="10"/>
        <v>0</v>
      </c>
      <c r="G39" s="3045">
        <f t="shared" ca="1" si="10"/>
        <v>0</v>
      </c>
      <c r="H39" s="3045">
        <f t="shared" ca="1" si="10"/>
        <v>0</v>
      </c>
      <c r="I39" s="3046"/>
      <c r="J39" s="503"/>
      <c r="K39" s="503"/>
      <c r="L39" s="503"/>
      <c r="M39" s="503"/>
      <c r="N39" s="503"/>
      <c r="O39" s="503"/>
      <c r="P39" s="503"/>
      <c r="Q39" s="503"/>
      <c r="R39" s="3059"/>
      <c r="S39" s="3059"/>
      <c r="T39" s="503"/>
    </row>
    <row r="40" spans="1:20" hidden="1" x14ac:dyDescent="0.25">
      <c r="A40" s="503" t="s">
        <v>110</v>
      </c>
      <c r="B40" s="847" t="s">
        <v>1050</v>
      </c>
      <c r="C40" s="3058" cm="1">
        <f t="array" aca="1" ref="C40" ca="1">_xlfn.LET(_xlpm.Person,INT((ROW()-ROW($A$38))/9),_xlpm.Period,VALUE(RIGHT(C$38,LEN(C$38)-1))-1,_xlpm.ROWNUM,11+14*_xlpm.Person+_xlpm.Period,
ROUND(INDEX('Calc - SENIOR PERS'!$K:$K,_xlpm.ROWNUM),2))</f>
        <v>7296.52</v>
      </c>
      <c r="D40" s="3058" cm="1">
        <f t="array" aca="1" ref="D40" ca="1">_xlfn.LET(_xlpm.Person,INT((ROW()-ROW($A$38))/9),_xlpm.Period,VALUE(RIGHT(D$38,LEN(D$38)-1))-1,_xlpm.ROWNUM,11+14*_xlpm.Person+_xlpm.Period,
ROUND(INDEX('Calc - SENIOR PERS'!$K:$K,_xlpm.ROWNUM),2))</f>
        <v>7515.42</v>
      </c>
      <c r="E40" s="3058" cm="1">
        <f t="array" aca="1" ref="E40" ca="1">_xlfn.LET(_xlpm.Person,INT((ROW()-ROW($A$38))/9),_xlpm.Period,VALUE(RIGHT(E$38,LEN(E$38)-1))-1,_xlpm.ROWNUM,11+14*_xlpm.Person+_xlpm.Period,
ROUND(INDEX('Calc - SENIOR PERS'!$K:$K,_xlpm.ROWNUM),2))</f>
        <v>7740.88</v>
      </c>
      <c r="F40" s="3058" cm="1">
        <f t="array" aca="1" ref="F40" ca="1">_xlfn.LET(_xlpm.Person,INT((ROW()-ROW($A$38))/9),_xlpm.Period,VALUE(RIGHT(F$38,LEN(F$38)-1))-1,_xlpm.ROWNUM,11+14*_xlpm.Person+_xlpm.Period,
ROUND(INDEX('Calc - SENIOR PERS'!$K:$K,_xlpm.ROWNUM),2))</f>
        <v>7973.1</v>
      </c>
      <c r="G40" s="3058" cm="1">
        <f t="array" aca="1" ref="G40" ca="1">_xlfn.LET(_xlpm.Person,INT((ROW()-ROW($A$38))/9),_xlpm.Period,VALUE(RIGHT(G$38,LEN(G$38)-1))-1,_xlpm.ROWNUM,11+14*_xlpm.Person+_xlpm.Period,
ROUND(INDEX('Calc - SENIOR PERS'!$K:$K,_xlpm.ROWNUM),2))</f>
        <v>8212.2999999999993</v>
      </c>
      <c r="H40" s="3058" cm="1">
        <f t="array" aca="1" ref="H40" ca="1">_xlfn.LET(_xlpm.Person,INT((ROW()-ROW($A$38))/9),_xlpm.Period,VALUE(RIGHT(H$38,LEN(H$38)-1))-1,_xlpm.ROWNUM,11+14*_xlpm.Person+_xlpm.Period,
ROUND(INDEX('Calc - SENIOR PERS'!$K:$K,_xlpm.ROWNUM),2))</f>
        <v>8458.67</v>
      </c>
      <c r="I40" s="926"/>
      <c r="R40" s="3059"/>
      <c r="S40" s="3059"/>
    </row>
    <row r="41" spans="1:20" hidden="1" x14ac:dyDescent="0.25">
      <c r="A41" s="3047" t="s">
        <v>1051</v>
      </c>
      <c r="B41" s="847" t="s">
        <v>1052</v>
      </c>
      <c r="C41" s="3048" cm="1">
        <f t="array" aca="1" ref="C41" ca="1">_xlfn.LET(_xlpm.Person,INT((ROW()-ROW($A$38))/9),_xlpm.Period,VALUE(RIGHT(C$38,LEN(C$38)-1))-1,_xlpm.ROWNUM,11+14*_xlpm.Person+_xlpm.Period,
INDEX('Calc - SENIOR PERS'!$P:$P,_xlpm.ROWNUM))</f>
        <v>0.50700000000000001</v>
      </c>
      <c r="D41" s="3048" cm="1">
        <f t="array" aca="1" ref="D41" ca="1">_xlfn.LET(_xlpm.Person,INT((ROW()-ROW($A$38))/9),_xlpm.Period,VALUE(RIGHT(D$38,LEN(D$38)-1))-1,_xlpm.ROWNUM,11+14*_xlpm.Person+_xlpm.Period,
INDEX('Calc - SENIOR PERS'!$P:$P,_xlpm.ROWNUM))</f>
        <v>0.52700000000000002</v>
      </c>
      <c r="E41" s="3048" cm="1">
        <f t="array" aca="1" ref="E41" ca="1">_xlfn.LET(_xlpm.Person,INT((ROW()-ROW($A$38))/9),_xlpm.Period,VALUE(RIGHT(E$38,LEN(E$38)-1))-1,_xlpm.ROWNUM,11+14*_xlpm.Person+_xlpm.Period,
INDEX('Calc - SENIOR PERS'!$P:$P,_xlpm.ROWNUM))</f>
        <v>0.54700000000000004</v>
      </c>
      <c r="F41" s="3048" cm="1">
        <f t="array" aca="1" ref="F41" ca="1">_xlfn.LET(_xlpm.Person,INT((ROW()-ROW($A$38))/9),_xlpm.Period,VALUE(RIGHT(F$38,LEN(F$38)-1))-1,_xlpm.ROWNUM,11+14*_xlpm.Person+_xlpm.Period,
INDEX('Calc - SENIOR PERS'!$P:$P,_xlpm.ROWNUM))</f>
        <v>0.56700000000000006</v>
      </c>
      <c r="G41" s="3048" cm="1">
        <f t="array" aca="1" ref="G41" ca="1">_xlfn.LET(_xlpm.Person,INT((ROW()-ROW($A$38))/9),_xlpm.Period,VALUE(RIGHT(G$38,LEN(G$38)-1))-1,_xlpm.ROWNUM,11+14*_xlpm.Person+_xlpm.Period,
INDEX('Calc - SENIOR PERS'!$P:$P,_xlpm.ROWNUM))</f>
        <v>0.58700000000000008</v>
      </c>
      <c r="H41" s="3048" cm="1">
        <f t="array" aca="1" ref="H41" ca="1">_xlfn.LET(_xlpm.Person,INT((ROW()-ROW($A$38))/9),_xlpm.Period,VALUE(RIGHT(H$38,LEN(H$38)-1))-1,_xlpm.ROWNUM,11+14*_xlpm.Person+_xlpm.Period,
INDEX('Calc - SENIOR PERS'!$P:$P,_xlpm.ROWNUM))</f>
        <v>0.6070000000000001</v>
      </c>
      <c r="I41" s="926"/>
      <c r="R41" s="3059"/>
    </row>
    <row r="42" spans="1:20" hidden="1" x14ac:dyDescent="0.25">
      <c r="A42" s="3049">
        <f ca="1">SUM(C42:H42)</f>
        <v>2.2999999999999998</v>
      </c>
      <c r="B42" s="847" t="s">
        <v>1053</v>
      </c>
      <c r="C42" s="3050" cm="1">
        <f t="array" aca="1" ref="C42" ca="1">_xlfn.LET(_xlpm.Person,INT((ROW()-ROW($A$38))/9),_xlpm.Period,VALUE(RIGHT(C$38,LEN(C$38)-1))-1,_xlpm.ROWNUM,11+14*_xlpm.Person+_xlpm.Period,_xlpm.FTE,7+14*_xlpm.Person,
(INDEX('Calc - SENIOR PERS'!$C:$C,_xlpm.ROWNUM) + INDEX('Calc - SENIOR PERS'!$D:$D,_xlpm.ROWNUM) + INDEX('Calc - SENIOR PERS'!$V:$V,_xlpm.ROWNUM)) * INDEX('Calc - SENIOR PERS'!$F:$F,_xlpm.FTE))</f>
        <v>2.2999999999999998</v>
      </c>
      <c r="D42" s="3050" cm="1">
        <f t="array" aca="1" ref="D42" ca="1">_xlfn.LET(_xlpm.Person,INT((ROW()-ROW($A$38))/9),_xlpm.Period,VALUE(RIGHT(D$38,LEN(D$38)-1))-1,_xlpm.ROWNUM,11+14*_xlpm.Person+_xlpm.Period,_xlpm.FTE,7+14*_xlpm.Person,
(INDEX('Calc - SENIOR PERS'!$C:$C,_xlpm.ROWNUM) + INDEX('Calc - SENIOR PERS'!$D:$D,_xlpm.ROWNUM) + INDEX('Calc - SENIOR PERS'!$V:$V,_xlpm.ROWNUM)) * INDEX('Calc - SENIOR PERS'!$F:$F,_xlpm.FTE))</f>
        <v>0</v>
      </c>
      <c r="E42" s="3050" cm="1">
        <f t="array" aca="1" ref="E42" ca="1">_xlfn.LET(_xlpm.Person,INT((ROW()-ROW($A$38))/9),_xlpm.Period,VALUE(RIGHT(E$38,LEN(E$38)-1))-1,_xlpm.ROWNUM,11+14*_xlpm.Person+_xlpm.Period,_xlpm.FTE,7+14*_xlpm.Person,
(INDEX('Calc - SENIOR PERS'!$C:$C,_xlpm.ROWNUM) + INDEX('Calc - SENIOR PERS'!$D:$D,_xlpm.ROWNUM) + INDEX('Calc - SENIOR PERS'!$V:$V,_xlpm.ROWNUM)) * INDEX('Calc - SENIOR PERS'!$F:$F,_xlpm.FTE))</f>
        <v>0</v>
      </c>
      <c r="F42" s="3050" cm="1">
        <f t="array" aca="1" ref="F42" ca="1">_xlfn.LET(_xlpm.Person,INT((ROW()-ROW($A$38))/9),_xlpm.Period,VALUE(RIGHT(F$38,LEN(F$38)-1))-1,_xlpm.ROWNUM,11+14*_xlpm.Person+_xlpm.Period,_xlpm.FTE,7+14*_xlpm.Person,
(INDEX('Calc - SENIOR PERS'!$C:$C,_xlpm.ROWNUM) + INDEX('Calc - SENIOR PERS'!$D:$D,_xlpm.ROWNUM) + INDEX('Calc - SENIOR PERS'!$V:$V,_xlpm.ROWNUM)) * INDEX('Calc - SENIOR PERS'!$F:$F,_xlpm.FTE))</f>
        <v>0</v>
      </c>
      <c r="G42" s="3050" cm="1">
        <f t="array" aca="1" ref="G42" ca="1">_xlfn.LET(_xlpm.Person,INT((ROW()-ROW($A$38))/9),_xlpm.Period,VALUE(RIGHT(G$38,LEN(G$38)-1))-1,_xlpm.ROWNUM,11+14*_xlpm.Person+_xlpm.Period,_xlpm.FTE,7+14*_xlpm.Person,
(INDEX('Calc - SENIOR PERS'!$C:$C,_xlpm.ROWNUM) + INDEX('Calc - SENIOR PERS'!$D:$D,_xlpm.ROWNUM) + INDEX('Calc - SENIOR PERS'!$V:$V,_xlpm.ROWNUM)) * INDEX('Calc - SENIOR PERS'!$F:$F,_xlpm.FTE))</f>
        <v>0</v>
      </c>
      <c r="H42" s="3050" cm="1">
        <f t="array" aca="1" ref="H42" ca="1">_xlfn.LET(_xlpm.Person,INT((ROW()-ROW($A$38))/9),_xlpm.Period,VALUE(RIGHT(H$38,LEN(H$38)-1))-1,_xlpm.ROWNUM,11+14*_xlpm.Person+_xlpm.Period,_xlpm.FTE,7+14*_xlpm.Person,
(INDEX('Calc - SENIOR PERS'!$C:$C,_xlpm.ROWNUM) + INDEX('Calc - SENIOR PERS'!$D:$D,_xlpm.ROWNUM) + INDEX('Calc - SENIOR PERS'!$V:$V,_xlpm.ROWNUM)) * INDEX('Calc - SENIOR PERS'!$F:$F,_xlpm.FTE))</f>
        <v>0</v>
      </c>
      <c r="I42" s="926"/>
      <c r="R42" s="3051"/>
      <c r="S42" s="3059"/>
    </row>
    <row r="43" spans="1:20" hidden="1" x14ac:dyDescent="0.25">
      <c r="A43" s="3049">
        <f t="shared" ref="A43:A44" ca="1" si="11">SUM(C43:H43)</f>
        <v>2.2999999999999998</v>
      </c>
      <c r="B43" s="847" t="s">
        <v>1054</v>
      </c>
      <c r="C43" s="3050" cm="1">
        <f t="array" aca="1" ref="C43" ca="1">_xlfn.LET(_xlpm.Person,INT((ROW()-ROW($A$38))/9),_xlpm.Period,VALUE(RIGHT(C$38,LEN(C$38)-1))-1,_xlpm.ROWNUM,11+14*_xlpm.Person+_xlpm.Period,_xlpm.FTE,7+14*_xlpm.Person,
(INDEX('Calc - SENIOR PERS'!$C:$C,_xlpm.ROWNUM) + INDEX('Calc - SENIOR PERS'!$D:$D,_xlpm.ROWNUM)) * INDEX('Calc - SENIOR PERS'!$F:$F,_xlpm.FTE))</f>
        <v>2.2999999999999998</v>
      </c>
      <c r="D43" s="3050" cm="1">
        <f t="array" aca="1" ref="D43" ca="1">_xlfn.LET(_xlpm.Person,INT((ROW()-ROW($A$38))/9),_xlpm.Period,VALUE(RIGHT(D$38,LEN(D$38)-1))-1,_xlpm.ROWNUM,11+14*_xlpm.Person+_xlpm.Period,_xlpm.FTE,7+14*_xlpm.Person,
(INDEX('Calc - SENIOR PERS'!$C:$C,_xlpm.ROWNUM) + INDEX('Calc - SENIOR PERS'!$D:$D,_xlpm.ROWNUM)) * INDEX('Calc - SENIOR PERS'!$F:$F,_xlpm.FTE))</f>
        <v>0</v>
      </c>
      <c r="E43" s="3050" cm="1">
        <f t="array" aca="1" ref="E43" ca="1">_xlfn.LET(_xlpm.Person,INT((ROW()-ROW($A$38))/9),_xlpm.Period,VALUE(RIGHT(E$38,LEN(E$38)-1))-1,_xlpm.ROWNUM,11+14*_xlpm.Person+_xlpm.Period,_xlpm.FTE,7+14*_xlpm.Person,
(INDEX('Calc - SENIOR PERS'!$C:$C,_xlpm.ROWNUM) + INDEX('Calc - SENIOR PERS'!$D:$D,_xlpm.ROWNUM)) * INDEX('Calc - SENIOR PERS'!$F:$F,_xlpm.FTE))</f>
        <v>0</v>
      </c>
      <c r="F43" s="3050" cm="1">
        <f t="array" aca="1" ref="F43" ca="1">_xlfn.LET(_xlpm.Person,INT((ROW()-ROW($A$38))/9),_xlpm.Period,VALUE(RIGHT(F$38,LEN(F$38)-1))-1,_xlpm.ROWNUM,11+14*_xlpm.Person+_xlpm.Period,_xlpm.FTE,7+14*_xlpm.Person,
(INDEX('Calc - SENIOR PERS'!$C:$C,_xlpm.ROWNUM) + INDEX('Calc - SENIOR PERS'!$D:$D,_xlpm.ROWNUM)) * INDEX('Calc - SENIOR PERS'!$F:$F,_xlpm.FTE))</f>
        <v>0</v>
      </c>
      <c r="G43" s="3050" cm="1">
        <f t="array" aca="1" ref="G43" ca="1">_xlfn.LET(_xlpm.Person,INT((ROW()-ROW($A$38))/9),_xlpm.Period,VALUE(RIGHT(G$38,LEN(G$38)-1))-1,_xlpm.ROWNUM,11+14*_xlpm.Person+_xlpm.Period,_xlpm.FTE,7+14*_xlpm.Person,
(INDEX('Calc - SENIOR PERS'!$C:$C,_xlpm.ROWNUM) + INDEX('Calc - SENIOR PERS'!$D:$D,_xlpm.ROWNUM)) * INDEX('Calc - SENIOR PERS'!$F:$F,_xlpm.FTE))</f>
        <v>0</v>
      </c>
      <c r="H43" s="3050" cm="1">
        <f t="array" aca="1" ref="H43" ca="1">_xlfn.LET(_xlpm.Person,INT((ROW()-ROW($A$38))/9),_xlpm.Period,VALUE(RIGHT(H$38,LEN(H$38)-1))-1,_xlpm.ROWNUM,11+14*_xlpm.Person+_xlpm.Period,_xlpm.FTE,7+14*_xlpm.Person,
(INDEX('Calc - SENIOR PERS'!$C:$C,_xlpm.ROWNUM) + INDEX('Calc - SENIOR PERS'!$D:$D,_xlpm.ROWNUM)) * INDEX('Calc - SENIOR PERS'!$F:$F,_xlpm.FTE))</f>
        <v>0</v>
      </c>
      <c r="I43" s="926"/>
      <c r="R43" s="3059"/>
      <c r="S43" s="3059"/>
    </row>
    <row r="44" spans="1:20" hidden="1" x14ac:dyDescent="0.25">
      <c r="A44" s="3049">
        <f t="shared" ca="1" si="11"/>
        <v>0</v>
      </c>
      <c r="B44" s="847" t="s">
        <v>1055</v>
      </c>
      <c r="C44" s="3050" cm="1">
        <f t="array" aca="1" ref="C44" ca="1">_xlfn.LET(_xlpm.Person,INT((ROW()-ROW($A$38))/9),_xlpm.Period,VALUE(RIGHT(C$38,LEN(C$38)-1))-1,_xlpm.ROWNUM,11+14*_xlpm.Person+_xlpm.Period,_xlpm.FTE,7+14*_xlpm.Person,
(INDEX('Calc - SENIOR PERS'!$C:$C,_xlpm.ROWNUM) * INDEX('Calc - SENIOR PERS'!$F:$F,_xlpm.FTE)))</f>
        <v>0</v>
      </c>
      <c r="D44" s="3050" cm="1">
        <f t="array" aca="1" ref="D44" ca="1">_xlfn.LET(_xlpm.Person,INT((ROW()-ROW($A$38))/9),_xlpm.Period,VALUE(RIGHT(D$38,LEN(D$38)-1))-1,_xlpm.ROWNUM,11+14*_xlpm.Person+_xlpm.Period,_xlpm.FTE,7+14*_xlpm.Person,
(INDEX('Calc - SENIOR PERS'!$C:$C,_xlpm.ROWNUM) * INDEX('Calc - SENIOR PERS'!$F:$F,_xlpm.FTE)))</f>
        <v>0</v>
      </c>
      <c r="E44" s="3050" cm="1">
        <f t="array" aca="1" ref="E44" ca="1">_xlfn.LET(_xlpm.Person,INT((ROW()-ROW($A$38))/9),_xlpm.Period,VALUE(RIGHT(E$38,LEN(E$38)-1))-1,_xlpm.ROWNUM,11+14*_xlpm.Person+_xlpm.Period,_xlpm.FTE,7+14*_xlpm.Person,
(INDEX('Calc - SENIOR PERS'!$C:$C,_xlpm.ROWNUM) * INDEX('Calc - SENIOR PERS'!$F:$F,_xlpm.FTE)))</f>
        <v>0</v>
      </c>
      <c r="F44" s="3050" cm="1">
        <f t="array" aca="1" ref="F44" ca="1">_xlfn.LET(_xlpm.Person,INT((ROW()-ROW($A$38))/9),_xlpm.Period,VALUE(RIGHT(F$38,LEN(F$38)-1))-1,_xlpm.ROWNUM,11+14*_xlpm.Person+_xlpm.Period,_xlpm.FTE,7+14*_xlpm.Person,
(INDEX('Calc - SENIOR PERS'!$C:$C,_xlpm.ROWNUM) * INDEX('Calc - SENIOR PERS'!$F:$F,_xlpm.FTE)))</f>
        <v>0</v>
      </c>
      <c r="G44" s="3050" cm="1">
        <f t="array" aca="1" ref="G44" ca="1">_xlfn.LET(_xlpm.Person,INT((ROW()-ROW($A$38))/9),_xlpm.Period,VALUE(RIGHT(G$38,LEN(G$38)-1))-1,_xlpm.ROWNUM,11+14*_xlpm.Person+_xlpm.Period,_xlpm.FTE,7+14*_xlpm.Person,
(INDEX('Calc - SENIOR PERS'!$C:$C,_xlpm.ROWNUM) * INDEX('Calc - SENIOR PERS'!$F:$F,_xlpm.FTE)))</f>
        <v>0</v>
      </c>
      <c r="H44" s="3050" cm="1">
        <f t="array" aca="1" ref="H44" ca="1">_xlfn.LET(_xlpm.Person,INT((ROW()-ROW($A$38))/9),_xlpm.Period,VALUE(RIGHT(H$38,LEN(H$38)-1))-1,_xlpm.ROWNUM,11+14*_xlpm.Person+_xlpm.Period,_xlpm.FTE,7+14*_xlpm.Person,
(INDEX('Calc - SENIOR PERS'!$C:$C,_xlpm.ROWNUM) * INDEX('Calc - SENIOR PERS'!$F:$F,_xlpm.FTE)))</f>
        <v>0</v>
      </c>
      <c r="I44" s="926"/>
    </row>
    <row r="45" spans="1:20" hidden="1" x14ac:dyDescent="0.25">
      <c r="I45" s="926"/>
    </row>
    <row r="46" spans="1:20" hidden="1" x14ac:dyDescent="0.25">
      <c r="I46" s="926"/>
    </row>
    <row r="47" spans="1:20" hidden="1" x14ac:dyDescent="0.25">
      <c r="A47" s="3041" cm="1">
        <f t="array" ref="A47">INDEX('DATA INPUT'!B:B,11+INT((ROW()-ROW($B$38))/9))</f>
        <v>0</v>
      </c>
      <c r="B47" s="847"/>
      <c r="C47" s="3042" t="s">
        <v>1041</v>
      </c>
      <c r="D47" s="3042" t="s">
        <v>1042</v>
      </c>
      <c r="E47" s="3042" t="s">
        <v>1043</v>
      </c>
      <c r="F47" s="3042" t="s">
        <v>1044</v>
      </c>
      <c r="G47" s="3042" t="s">
        <v>1045</v>
      </c>
      <c r="H47" s="3042" t="s">
        <v>1046</v>
      </c>
      <c r="I47" s="926"/>
      <c r="R47" s="3051"/>
      <c r="S47" s="3059"/>
    </row>
    <row r="48" spans="1:20" s="3040" customFormat="1" ht="17.25" hidden="1" x14ac:dyDescent="0.3">
      <c r="A48" s="3043">
        <f ca="1">SUM(C48:H48)</f>
        <v>0</v>
      </c>
      <c r="B48" s="3044" t="s">
        <v>3</v>
      </c>
      <c r="C48" s="3045">
        <f t="shared" ref="C48:H48" ca="1" si="12">ROUND(C49*C52*(1+C50), 2)</f>
        <v>0</v>
      </c>
      <c r="D48" s="3045">
        <f t="shared" ca="1" si="12"/>
        <v>0</v>
      </c>
      <c r="E48" s="3045">
        <f t="shared" ca="1" si="12"/>
        <v>0</v>
      </c>
      <c r="F48" s="3045">
        <f t="shared" ca="1" si="12"/>
        <v>0</v>
      </c>
      <c r="G48" s="3045">
        <f t="shared" ca="1" si="12"/>
        <v>0</v>
      </c>
      <c r="H48" s="3045">
        <f t="shared" ca="1" si="12"/>
        <v>0</v>
      </c>
      <c r="I48" s="3046"/>
      <c r="J48" s="503"/>
      <c r="K48" s="503"/>
      <c r="L48" s="503"/>
      <c r="M48" s="503"/>
      <c r="N48" s="503"/>
      <c r="O48" s="503"/>
      <c r="P48" s="503"/>
      <c r="Q48" s="503"/>
      <c r="R48" s="3059"/>
      <c r="S48" s="3059"/>
      <c r="T48" s="503"/>
    </row>
    <row r="49" spans="1:20" hidden="1" x14ac:dyDescent="0.25">
      <c r="A49" s="503" t="s">
        <v>110</v>
      </c>
      <c r="B49" s="847" t="s">
        <v>1050</v>
      </c>
      <c r="C49" s="3058" cm="1">
        <f t="array" aca="1" ref="C49" ca="1">_xlfn.LET(_xlpm.Person,INT((ROW()-ROW($A$38))/9),_xlpm.Period,VALUE(RIGHT(C$38,LEN(C$38)-1))-1,_xlpm.ROWNUM,11+14*_xlpm.Person+_xlpm.Period,
ROUND(INDEX('Calc - SENIOR PERS'!$K:$K,_xlpm.ROWNUM),2))</f>
        <v>0</v>
      </c>
      <c r="D49" s="3058" cm="1">
        <f t="array" aca="1" ref="D49" ca="1">_xlfn.LET(_xlpm.Person,INT((ROW()-ROW($A$38))/9),_xlpm.Period,VALUE(RIGHT(D$38,LEN(D$38)-1))-1,_xlpm.ROWNUM,11+14*_xlpm.Person+_xlpm.Period,
ROUND(INDEX('Calc - SENIOR PERS'!$K:$K,_xlpm.ROWNUM),2))</f>
        <v>0</v>
      </c>
      <c r="E49" s="3058" cm="1">
        <f t="array" aca="1" ref="E49" ca="1">_xlfn.LET(_xlpm.Person,INT((ROW()-ROW($A$38))/9),_xlpm.Period,VALUE(RIGHT(E$38,LEN(E$38)-1))-1,_xlpm.ROWNUM,11+14*_xlpm.Person+_xlpm.Period,
ROUND(INDEX('Calc - SENIOR PERS'!$K:$K,_xlpm.ROWNUM),2))</f>
        <v>0</v>
      </c>
      <c r="F49" s="3058" cm="1">
        <f t="array" aca="1" ref="F49" ca="1">_xlfn.LET(_xlpm.Person,INT((ROW()-ROW($A$38))/9),_xlpm.Period,VALUE(RIGHT(F$38,LEN(F$38)-1))-1,_xlpm.ROWNUM,11+14*_xlpm.Person+_xlpm.Period,
ROUND(INDEX('Calc - SENIOR PERS'!$K:$K,_xlpm.ROWNUM),2))</f>
        <v>0</v>
      </c>
      <c r="G49" s="3058" cm="1">
        <f t="array" aca="1" ref="G49" ca="1">_xlfn.LET(_xlpm.Person,INT((ROW()-ROW($A$38))/9),_xlpm.Period,VALUE(RIGHT(G$38,LEN(G$38)-1))-1,_xlpm.ROWNUM,11+14*_xlpm.Person+_xlpm.Period,
ROUND(INDEX('Calc - SENIOR PERS'!$K:$K,_xlpm.ROWNUM),2))</f>
        <v>0</v>
      </c>
      <c r="H49" s="3058" cm="1">
        <f t="array" aca="1" ref="H49" ca="1">_xlfn.LET(_xlpm.Person,INT((ROW()-ROW($A$38))/9),_xlpm.Period,VALUE(RIGHT(H$38,LEN(H$38)-1))-1,_xlpm.ROWNUM,11+14*_xlpm.Person+_xlpm.Period,
ROUND(INDEX('Calc - SENIOR PERS'!$K:$K,_xlpm.ROWNUM),2))</f>
        <v>0</v>
      </c>
      <c r="I49" s="926"/>
      <c r="R49" s="3059"/>
      <c r="S49" s="3059"/>
    </row>
    <row r="50" spans="1:20" hidden="1" x14ac:dyDescent="0.25">
      <c r="A50" s="3047" t="s">
        <v>1051</v>
      </c>
      <c r="B50" s="847" t="s">
        <v>1052</v>
      </c>
      <c r="C50" s="3048" cm="1">
        <f t="array" aca="1" ref="C50" ca="1">_xlfn.LET(_xlpm.Person,INT((ROW()-ROW($A$38))/9),_xlpm.Period,VALUE(RIGHT(C$38,LEN(C$38)-1))-1,_xlpm.ROWNUM,11+14*_xlpm.Person+_xlpm.Period,
INDEX('Calc - SENIOR PERS'!$P:$P,_xlpm.ROWNUM))</f>
        <v>0.50700000000000001</v>
      </c>
      <c r="D50" s="3048" cm="1">
        <f t="array" aca="1" ref="D50" ca="1">_xlfn.LET(_xlpm.Person,INT((ROW()-ROW($A$38))/9),_xlpm.Period,VALUE(RIGHT(D$38,LEN(D$38)-1))-1,_xlpm.ROWNUM,11+14*_xlpm.Person+_xlpm.Period,
INDEX('Calc - SENIOR PERS'!$P:$P,_xlpm.ROWNUM))</f>
        <v>0.52700000000000002</v>
      </c>
      <c r="E50" s="3048" cm="1">
        <f t="array" aca="1" ref="E50" ca="1">_xlfn.LET(_xlpm.Person,INT((ROW()-ROW($A$38))/9),_xlpm.Period,VALUE(RIGHT(E$38,LEN(E$38)-1))-1,_xlpm.ROWNUM,11+14*_xlpm.Person+_xlpm.Period,
INDEX('Calc - SENIOR PERS'!$P:$P,_xlpm.ROWNUM))</f>
        <v>0.54700000000000004</v>
      </c>
      <c r="F50" s="3048" cm="1">
        <f t="array" aca="1" ref="F50" ca="1">_xlfn.LET(_xlpm.Person,INT((ROW()-ROW($A$38))/9),_xlpm.Period,VALUE(RIGHT(F$38,LEN(F$38)-1))-1,_xlpm.ROWNUM,11+14*_xlpm.Person+_xlpm.Period,
INDEX('Calc - SENIOR PERS'!$P:$P,_xlpm.ROWNUM))</f>
        <v>0.56700000000000006</v>
      </c>
      <c r="G50" s="3048" cm="1">
        <f t="array" aca="1" ref="G50" ca="1">_xlfn.LET(_xlpm.Person,INT((ROW()-ROW($A$38))/9),_xlpm.Period,VALUE(RIGHT(G$38,LEN(G$38)-1))-1,_xlpm.ROWNUM,11+14*_xlpm.Person+_xlpm.Period,
INDEX('Calc - SENIOR PERS'!$P:$P,_xlpm.ROWNUM))</f>
        <v>0.58700000000000008</v>
      </c>
      <c r="H50" s="3048" cm="1">
        <f t="array" aca="1" ref="H50" ca="1">_xlfn.LET(_xlpm.Person,INT((ROW()-ROW($A$38))/9),_xlpm.Period,VALUE(RIGHT(H$38,LEN(H$38)-1))-1,_xlpm.ROWNUM,11+14*_xlpm.Person+_xlpm.Period,
INDEX('Calc - SENIOR PERS'!$P:$P,_xlpm.ROWNUM))</f>
        <v>0.6070000000000001</v>
      </c>
      <c r="I50" s="926"/>
      <c r="R50" s="3059"/>
    </row>
    <row r="51" spans="1:20" hidden="1" x14ac:dyDescent="0.25">
      <c r="A51" s="3049">
        <f ca="1">SUM(C51:H51)</f>
        <v>0</v>
      </c>
      <c r="B51" s="847" t="s">
        <v>1053</v>
      </c>
      <c r="C51" s="3050" cm="1">
        <f t="array" aca="1" ref="C51" ca="1">_xlfn.LET(_xlpm.Person,INT((ROW()-ROW($A$38))/9),_xlpm.Period,VALUE(RIGHT(C$38,LEN(C$38)-1))-1,_xlpm.ROWNUM,11+14*_xlpm.Person+_xlpm.Period,_xlpm.FTE,7+14*_xlpm.Person,
(INDEX('Calc - SENIOR PERS'!$C:$C,_xlpm.ROWNUM) + INDEX('Calc - SENIOR PERS'!$D:$D,_xlpm.ROWNUM) + INDEX('Calc - SENIOR PERS'!$V:$V,_xlpm.ROWNUM)) * INDEX('Calc - SENIOR PERS'!$F:$F,_xlpm.FTE))</f>
        <v>0</v>
      </c>
      <c r="D51" s="3050" cm="1">
        <f t="array" aca="1" ref="D51" ca="1">_xlfn.LET(_xlpm.Person,INT((ROW()-ROW($A$38))/9),_xlpm.Period,VALUE(RIGHT(D$38,LEN(D$38)-1))-1,_xlpm.ROWNUM,11+14*_xlpm.Person+_xlpm.Period,_xlpm.FTE,7+14*_xlpm.Person,
(INDEX('Calc - SENIOR PERS'!$C:$C,_xlpm.ROWNUM) + INDEX('Calc - SENIOR PERS'!$D:$D,_xlpm.ROWNUM) + INDEX('Calc - SENIOR PERS'!$V:$V,_xlpm.ROWNUM)) * INDEX('Calc - SENIOR PERS'!$F:$F,_xlpm.FTE))</f>
        <v>0</v>
      </c>
      <c r="E51" s="3050" cm="1">
        <f t="array" aca="1" ref="E51" ca="1">_xlfn.LET(_xlpm.Person,INT((ROW()-ROW($A$38))/9),_xlpm.Period,VALUE(RIGHT(E$38,LEN(E$38)-1))-1,_xlpm.ROWNUM,11+14*_xlpm.Person+_xlpm.Period,_xlpm.FTE,7+14*_xlpm.Person,
(INDEX('Calc - SENIOR PERS'!$C:$C,_xlpm.ROWNUM) + INDEX('Calc - SENIOR PERS'!$D:$D,_xlpm.ROWNUM) + INDEX('Calc - SENIOR PERS'!$V:$V,_xlpm.ROWNUM)) * INDEX('Calc - SENIOR PERS'!$F:$F,_xlpm.FTE))</f>
        <v>0</v>
      </c>
      <c r="F51" s="3050" cm="1">
        <f t="array" aca="1" ref="F51" ca="1">_xlfn.LET(_xlpm.Person,INT((ROW()-ROW($A$38))/9),_xlpm.Period,VALUE(RIGHT(F$38,LEN(F$38)-1))-1,_xlpm.ROWNUM,11+14*_xlpm.Person+_xlpm.Period,_xlpm.FTE,7+14*_xlpm.Person,
(INDEX('Calc - SENIOR PERS'!$C:$C,_xlpm.ROWNUM) + INDEX('Calc - SENIOR PERS'!$D:$D,_xlpm.ROWNUM) + INDEX('Calc - SENIOR PERS'!$V:$V,_xlpm.ROWNUM)) * INDEX('Calc - SENIOR PERS'!$F:$F,_xlpm.FTE))</f>
        <v>0</v>
      </c>
      <c r="G51" s="3050" cm="1">
        <f t="array" aca="1" ref="G51" ca="1">_xlfn.LET(_xlpm.Person,INT((ROW()-ROW($A$38))/9),_xlpm.Period,VALUE(RIGHT(G$38,LEN(G$38)-1))-1,_xlpm.ROWNUM,11+14*_xlpm.Person+_xlpm.Period,_xlpm.FTE,7+14*_xlpm.Person,
(INDEX('Calc - SENIOR PERS'!$C:$C,_xlpm.ROWNUM) + INDEX('Calc - SENIOR PERS'!$D:$D,_xlpm.ROWNUM) + INDEX('Calc - SENIOR PERS'!$V:$V,_xlpm.ROWNUM)) * INDEX('Calc - SENIOR PERS'!$F:$F,_xlpm.FTE))</f>
        <v>0</v>
      </c>
      <c r="H51" s="3050" cm="1">
        <f t="array" aca="1" ref="H51" ca="1">_xlfn.LET(_xlpm.Person,INT((ROW()-ROW($A$38))/9),_xlpm.Period,VALUE(RIGHT(H$38,LEN(H$38)-1))-1,_xlpm.ROWNUM,11+14*_xlpm.Person+_xlpm.Period,_xlpm.FTE,7+14*_xlpm.Person,
(INDEX('Calc - SENIOR PERS'!$C:$C,_xlpm.ROWNUM) + INDEX('Calc - SENIOR PERS'!$D:$D,_xlpm.ROWNUM) + INDEX('Calc - SENIOR PERS'!$V:$V,_xlpm.ROWNUM)) * INDEX('Calc - SENIOR PERS'!$F:$F,_xlpm.FTE))</f>
        <v>0</v>
      </c>
      <c r="I51" s="926"/>
      <c r="R51" s="3051"/>
      <c r="S51" s="3059"/>
    </row>
    <row r="52" spans="1:20" hidden="1" x14ac:dyDescent="0.25">
      <c r="A52" s="3049">
        <f t="shared" ref="A52:A53" ca="1" si="13">SUM(C52:H52)</f>
        <v>0</v>
      </c>
      <c r="B52" s="847" t="s">
        <v>1054</v>
      </c>
      <c r="C52" s="3050" cm="1">
        <f t="array" aca="1" ref="C52" ca="1">_xlfn.LET(_xlpm.Person,INT((ROW()-ROW($A$38))/9),_xlpm.Period,VALUE(RIGHT(C$38,LEN(C$38)-1))-1,_xlpm.ROWNUM,11+14*_xlpm.Person+_xlpm.Period,_xlpm.FTE,7+14*_xlpm.Person,
(INDEX('Calc - SENIOR PERS'!$C:$C,_xlpm.ROWNUM) + INDEX('Calc - SENIOR PERS'!$D:$D,_xlpm.ROWNUM)) * INDEX('Calc - SENIOR PERS'!$F:$F,_xlpm.FTE))</f>
        <v>0</v>
      </c>
      <c r="D52" s="3050" cm="1">
        <f t="array" aca="1" ref="D52" ca="1">_xlfn.LET(_xlpm.Person,INT((ROW()-ROW($A$38))/9),_xlpm.Period,VALUE(RIGHT(D$38,LEN(D$38)-1))-1,_xlpm.ROWNUM,11+14*_xlpm.Person+_xlpm.Period,_xlpm.FTE,7+14*_xlpm.Person,
(INDEX('Calc - SENIOR PERS'!$C:$C,_xlpm.ROWNUM) + INDEX('Calc - SENIOR PERS'!$D:$D,_xlpm.ROWNUM)) * INDEX('Calc - SENIOR PERS'!$F:$F,_xlpm.FTE))</f>
        <v>0</v>
      </c>
      <c r="E52" s="3050" cm="1">
        <f t="array" aca="1" ref="E52" ca="1">_xlfn.LET(_xlpm.Person,INT((ROW()-ROW($A$38))/9),_xlpm.Period,VALUE(RIGHT(E$38,LEN(E$38)-1))-1,_xlpm.ROWNUM,11+14*_xlpm.Person+_xlpm.Period,_xlpm.FTE,7+14*_xlpm.Person,
(INDEX('Calc - SENIOR PERS'!$C:$C,_xlpm.ROWNUM) + INDEX('Calc - SENIOR PERS'!$D:$D,_xlpm.ROWNUM)) * INDEX('Calc - SENIOR PERS'!$F:$F,_xlpm.FTE))</f>
        <v>0</v>
      </c>
      <c r="F52" s="3050" cm="1">
        <f t="array" aca="1" ref="F52" ca="1">_xlfn.LET(_xlpm.Person,INT((ROW()-ROW($A$38))/9),_xlpm.Period,VALUE(RIGHT(F$38,LEN(F$38)-1))-1,_xlpm.ROWNUM,11+14*_xlpm.Person+_xlpm.Period,_xlpm.FTE,7+14*_xlpm.Person,
(INDEX('Calc - SENIOR PERS'!$C:$C,_xlpm.ROWNUM) + INDEX('Calc - SENIOR PERS'!$D:$D,_xlpm.ROWNUM)) * INDEX('Calc - SENIOR PERS'!$F:$F,_xlpm.FTE))</f>
        <v>0</v>
      </c>
      <c r="G52" s="3050" cm="1">
        <f t="array" aca="1" ref="G52" ca="1">_xlfn.LET(_xlpm.Person,INT((ROW()-ROW($A$38))/9),_xlpm.Period,VALUE(RIGHT(G$38,LEN(G$38)-1))-1,_xlpm.ROWNUM,11+14*_xlpm.Person+_xlpm.Period,_xlpm.FTE,7+14*_xlpm.Person,
(INDEX('Calc - SENIOR PERS'!$C:$C,_xlpm.ROWNUM) + INDEX('Calc - SENIOR PERS'!$D:$D,_xlpm.ROWNUM)) * INDEX('Calc - SENIOR PERS'!$F:$F,_xlpm.FTE))</f>
        <v>0</v>
      </c>
      <c r="H52" s="3050" cm="1">
        <f t="array" aca="1" ref="H52" ca="1">_xlfn.LET(_xlpm.Person,INT((ROW()-ROW($A$38))/9),_xlpm.Period,VALUE(RIGHT(H$38,LEN(H$38)-1))-1,_xlpm.ROWNUM,11+14*_xlpm.Person+_xlpm.Period,_xlpm.FTE,7+14*_xlpm.Person,
(INDEX('Calc - SENIOR PERS'!$C:$C,_xlpm.ROWNUM) + INDEX('Calc - SENIOR PERS'!$D:$D,_xlpm.ROWNUM)) * INDEX('Calc - SENIOR PERS'!$F:$F,_xlpm.FTE))</f>
        <v>0</v>
      </c>
      <c r="I52" s="926"/>
      <c r="R52" s="3059"/>
      <c r="S52" s="3059"/>
    </row>
    <row r="53" spans="1:20" hidden="1" x14ac:dyDescent="0.25">
      <c r="A53" s="3049">
        <f t="shared" ca="1" si="13"/>
        <v>0</v>
      </c>
      <c r="B53" s="847" t="s">
        <v>1055</v>
      </c>
      <c r="C53" s="3050" cm="1">
        <f t="array" aca="1" ref="C53" ca="1">_xlfn.LET(_xlpm.Person,INT((ROW()-ROW($A$38))/9),_xlpm.Period,VALUE(RIGHT(C$38,LEN(C$38)-1))-1,_xlpm.ROWNUM,11+14*_xlpm.Person+_xlpm.Period,_xlpm.FTE,7+14*_xlpm.Person,
(INDEX('Calc - SENIOR PERS'!$C:$C,_xlpm.ROWNUM) * INDEX('Calc - SENIOR PERS'!$F:$F,_xlpm.FTE)))</f>
        <v>0</v>
      </c>
      <c r="D53" s="3050" cm="1">
        <f t="array" aca="1" ref="D53" ca="1">_xlfn.LET(_xlpm.Person,INT((ROW()-ROW($A$38))/9),_xlpm.Period,VALUE(RIGHT(D$38,LEN(D$38)-1))-1,_xlpm.ROWNUM,11+14*_xlpm.Person+_xlpm.Period,_xlpm.FTE,7+14*_xlpm.Person,
(INDEX('Calc - SENIOR PERS'!$C:$C,_xlpm.ROWNUM) * INDEX('Calc - SENIOR PERS'!$F:$F,_xlpm.FTE)))</f>
        <v>0</v>
      </c>
      <c r="E53" s="3050" cm="1">
        <f t="array" aca="1" ref="E53" ca="1">_xlfn.LET(_xlpm.Person,INT((ROW()-ROW($A$38))/9),_xlpm.Period,VALUE(RIGHT(E$38,LEN(E$38)-1))-1,_xlpm.ROWNUM,11+14*_xlpm.Person+_xlpm.Period,_xlpm.FTE,7+14*_xlpm.Person,
(INDEX('Calc - SENIOR PERS'!$C:$C,_xlpm.ROWNUM) * INDEX('Calc - SENIOR PERS'!$F:$F,_xlpm.FTE)))</f>
        <v>0</v>
      </c>
      <c r="F53" s="3050" cm="1">
        <f t="array" aca="1" ref="F53" ca="1">_xlfn.LET(_xlpm.Person,INT((ROW()-ROW($A$38))/9),_xlpm.Period,VALUE(RIGHT(F$38,LEN(F$38)-1))-1,_xlpm.ROWNUM,11+14*_xlpm.Person+_xlpm.Period,_xlpm.FTE,7+14*_xlpm.Person,
(INDEX('Calc - SENIOR PERS'!$C:$C,_xlpm.ROWNUM) * INDEX('Calc - SENIOR PERS'!$F:$F,_xlpm.FTE)))</f>
        <v>0</v>
      </c>
      <c r="G53" s="3050" cm="1">
        <f t="array" aca="1" ref="G53" ca="1">_xlfn.LET(_xlpm.Person,INT((ROW()-ROW($A$38))/9),_xlpm.Period,VALUE(RIGHT(G$38,LEN(G$38)-1))-1,_xlpm.ROWNUM,11+14*_xlpm.Person+_xlpm.Period,_xlpm.FTE,7+14*_xlpm.Person,
(INDEX('Calc - SENIOR PERS'!$C:$C,_xlpm.ROWNUM) * INDEX('Calc - SENIOR PERS'!$F:$F,_xlpm.FTE)))</f>
        <v>0</v>
      </c>
      <c r="H53" s="3050" cm="1">
        <f t="array" aca="1" ref="H53" ca="1">_xlfn.LET(_xlpm.Person,INT((ROW()-ROW($A$38))/9),_xlpm.Period,VALUE(RIGHT(H$38,LEN(H$38)-1))-1,_xlpm.ROWNUM,11+14*_xlpm.Person+_xlpm.Period,_xlpm.FTE,7+14*_xlpm.Person,
(INDEX('Calc - SENIOR PERS'!$C:$C,_xlpm.ROWNUM) * INDEX('Calc - SENIOR PERS'!$F:$F,_xlpm.FTE)))</f>
        <v>0</v>
      </c>
      <c r="I53" s="926"/>
    </row>
    <row r="54" spans="1:20" hidden="1" x14ac:dyDescent="0.25">
      <c r="I54" s="926"/>
    </row>
    <row r="55" spans="1:20" hidden="1" x14ac:dyDescent="0.25">
      <c r="I55" s="926"/>
    </row>
    <row r="56" spans="1:20" hidden="1" x14ac:dyDescent="0.25">
      <c r="A56" s="3041" cm="1">
        <f t="array" ref="A56">INDEX('DATA INPUT'!B:B,11+INT((ROW()-ROW($B$38))/9))</f>
        <v>0</v>
      </c>
      <c r="B56" s="847"/>
      <c r="C56" s="3042" t="s">
        <v>1041</v>
      </c>
      <c r="D56" s="3042" t="s">
        <v>1042</v>
      </c>
      <c r="E56" s="3042" t="s">
        <v>1043</v>
      </c>
      <c r="F56" s="3042" t="s">
        <v>1044</v>
      </c>
      <c r="G56" s="3042" t="s">
        <v>1045</v>
      </c>
      <c r="H56" s="3042" t="s">
        <v>1046</v>
      </c>
      <c r="I56" s="926"/>
    </row>
    <row r="57" spans="1:20" s="3040" customFormat="1" ht="17.25" hidden="1" x14ac:dyDescent="0.3">
      <c r="A57" s="3043">
        <f ca="1">SUM(C57:H57)</f>
        <v>0</v>
      </c>
      <c r="B57" s="3044" t="s">
        <v>3</v>
      </c>
      <c r="C57" s="3045">
        <f t="shared" ref="C57:H57" ca="1" si="14">ROUND(C58*C61*(1+C59), 2)</f>
        <v>0</v>
      </c>
      <c r="D57" s="3045">
        <f t="shared" ca="1" si="14"/>
        <v>0</v>
      </c>
      <c r="E57" s="3045">
        <f t="shared" ca="1" si="14"/>
        <v>0</v>
      </c>
      <c r="F57" s="3045">
        <f t="shared" ca="1" si="14"/>
        <v>0</v>
      </c>
      <c r="G57" s="3045">
        <f t="shared" ca="1" si="14"/>
        <v>0</v>
      </c>
      <c r="H57" s="3045">
        <f t="shared" ca="1" si="14"/>
        <v>0</v>
      </c>
      <c r="I57" s="3046"/>
      <c r="J57" s="503"/>
      <c r="K57" s="503"/>
      <c r="L57" s="503"/>
      <c r="M57" s="503"/>
      <c r="N57" s="503"/>
      <c r="O57" s="503"/>
      <c r="P57" s="503"/>
      <c r="Q57" s="503"/>
      <c r="R57" s="503"/>
      <c r="S57" s="503"/>
      <c r="T57" s="503"/>
    </row>
    <row r="58" spans="1:20" hidden="1" x14ac:dyDescent="0.25">
      <c r="A58" s="503" t="s">
        <v>110</v>
      </c>
      <c r="B58" s="847" t="s">
        <v>1050</v>
      </c>
      <c r="C58" s="3058" cm="1">
        <f t="array" aca="1" ref="C58" ca="1">_xlfn.LET(_xlpm.Person,INT((ROW()-ROW($A$38))/9),_xlpm.Period,VALUE(RIGHT(C$38,LEN(C$38)-1))-1,_xlpm.ROWNUM,11+14*_xlpm.Person+_xlpm.Period,
ROUND(INDEX('Calc - SENIOR PERS'!$K:$K,_xlpm.ROWNUM),2))</f>
        <v>0</v>
      </c>
      <c r="D58" s="3058" cm="1">
        <f t="array" aca="1" ref="D58" ca="1">_xlfn.LET(_xlpm.Person,INT((ROW()-ROW($A$38))/9),_xlpm.Period,VALUE(RIGHT(D$38,LEN(D$38)-1))-1,_xlpm.ROWNUM,11+14*_xlpm.Person+_xlpm.Period,
ROUND(INDEX('Calc - SENIOR PERS'!$K:$K,_xlpm.ROWNUM),2))</f>
        <v>0</v>
      </c>
      <c r="E58" s="3058" cm="1">
        <f t="array" aca="1" ref="E58" ca="1">_xlfn.LET(_xlpm.Person,INT((ROW()-ROW($A$38))/9),_xlpm.Period,VALUE(RIGHT(E$38,LEN(E$38)-1))-1,_xlpm.ROWNUM,11+14*_xlpm.Person+_xlpm.Period,
ROUND(INDEX('Calc - SENIOR PERS'!$K:$K,_xlpm.ROWNUM),2))</f>
        <v>0</v>
      </c>
      <c r="F58" s="3058" cm="1">
        <f t="array" aca="1" ref="F58" ca="1">_xlfn.LET(_xlpm.Person,INT((ROW()-ROW($A$38))/9),_xlpm.Period,VALUE(RIGHT(F$38,LEN(F$38)-1))-1,_xlpm.ROWNUM,11+14*_xlpm.Person+_xlpm.Period,
ROUND(INDEX('Calc - SENIOR PERS'!$K:$K,_xlpm.ROWNUM),2))</f>
        <v>0</v>
      </c>
      <c r="G58" s="3058" cm="1">
        <f t="array" aca="1" ref="G58" ca="1">_xlfn.LET(_xlpm.Person,INT((ROW()-ROW($A$38))/9),_xlpm.Period,VALUE(RIGHT(G$38,LEN(G$38)-1))-1,_xlpm.ROWNUM,11+14*_xlpm.Person+_xlpm.Period,
ROUND(INDEX('Calc - SENIOR PERS'!$K:$K,_xlpm.ROWNUM),2))</f>
        <v>0</v>
      </c>
      <c r="H58" s="3058" cm="1">
        <f t="array" aca="1" ref="H58" ca="1">_xlfn.LET(_xlpm.Person,INT((ROW()-ROW($A$38))/9),_xlpm.Period,VALUE(RIGHT(H$38,LEN(H$38)-1))-1,_xlpm.ROWNUM,11+14*_xlpm.Person+_xlpm.Period,
ROUND(INDEX('Calc - SENIOR PERS'!$K:$K,_xlpm.ROWNUM),2))</f>
        <v>0</v>
      </c>
      <c r="I58" s="926"/>
    </row>
    <row r="59" spans="1:20" hidden="1" x14ac:dyDescent="0.25">
      <c r="A59" s="3047" t="s">
        <v>1051</v>
      </c>
      <c r="B59" s="847" t="s">
        <v>1052</v>
      </c>
      <c r="C59" s="3048" cm="1">
        <f t="array" aca="1" ref="C59" ca="1">_xlfn.LET(_xlpm.Person,INT((ROW()-ROW($A$38))/9),_xlpm.Period,VALUE(RIGHT(C$38,LEN(C$38)-1))-1,_xlpm.ROWNUM,11+14*_xlpm.Person+_xlpm.Period,
INDEX('Calc - SENIOR PERS'!$P:$P,_xlpm.ROWNUM))</f>
        <v>0.50700000000000001</v>
      </c>
      <c r="D59" s="3048" cm="1">
        <f t="array" aca="1" ref="D59" ca="1">_xlfn.LET(_xlpm.Person,INT((ROW()-ROW($A$38))/9),_xlpm.Period,VALUE(RIGHT(D$38,LEN(D$38)-1))-1,_xlpm.ROWNUM,11+14*_xlpm.Person+_xlpm.Period,
INDEX('Calc - SENIOR PERS'!$P:$P,_xlpm.ROWNUM))</f>
        <v>0.52700000000000002</v>
      </c>
      <c r="E59" s="3048" cm="1">
        <f t="array" aca="1" ref="E59" ca="1">_xlfn.LET(_xlpm.Person,INT((ROW()-ROW($A$38))/9),_xlpm.Period,VALUE(RIGHT(E$38,LEN(E$38)-1))-1,_xlpm.ROWNUM,11+14*_xlpm.Person+_xlpm.Period,
INDEX('Calc - SENIOR PERS'!$P:$P,_xlpm.ROWNUM))</f>
        <v>0.54700000000000004</v>
      </c>
      <c r="F59" s="3048" cm="1">
        <f t="array" aca="1" ref="F59" ca="1">_xlfn.LET(_xlpm.Person,INT((ROW()-ROW($A$38))/9),_xlpm.Period,VALUE(RIGHT(F$38,LEN(F$38)-1))-1,_xlpm.ROWNUM,11+14*_xlpm.Person+_xlpm.Period,
INDEX('Calc - SENIOR PERS'!$P:$P,_xlpm.ROWNUM))</f>
        <v>0.56700000000000006</v>
      </c>
      <c r="G59" s="3048" cm="1">
        <f t="array" aca="1" ref="G59" ca="1">_xlfn.LET(_xlpm.Person,INT((ROW()-ROW($A$38))/9),_xlpm.Period,VALUE(RIGHT(G$38,LEN(G$38)-1))-1,_xlpm.ROWNUM,11+14*_xlpm.Person+_xlpm.Period,
INDEX('Calc - SENIOR PERS'!$P:$P,_xlpm.ROWNUM))</f>
        <v>0.58700000000000008</v>
      </c>
      <c r="H59" s="3048" cm="1">
        <f t="array" aca="1" ref="H59" ca="1">_xlfn.LET(_xlpm.Person,INT((ROW()-ROW($A$38))/9),_xlpm.Period,VALUE(RIGHT(H$38,LEN(H$38)-1))-1,_xlpm.ROWNUM,11+14*_xlpm.Person+_xlpm.Period,
INDEX('Calc - SENIOR PERS'!$P:$P,_xlpm.ROWNUM))</f>
        <v>0.6070000000000001</v>
      </c>
      <c r="I59" s="926"/>
    </row>
    <row r="60" spans="1:20" hidden="1" x14ac:dyDescent="0.25">
      <c r="A60" s="3049">
        <f ca="1">SUM(C60:H60)</f>
        <v>0</v>
      </c>
      <c r="B60" s="847" t="s">
        <v>1053</v>
      </c>
      <c r="C60" s="3050" cm="1">
        <f t="array" aca="1" ref="C60" ca="1">_xlfn.LET(_xlpm.Person,INT((ROW()-ROW($A$38))/9),_xlpm.Period,VALUE(RIGHT(C$38,LEN(C$38)-1))-1,_xlpm.ROWNUM,11+14*_xlpm.Person+_xlpm.Period,_xlpm.FTE,7+14*_xlpm.Person,
(INDEX('Calc - SENIOR PERS'!$C:$C,_xlpm.ROWNUM) + INDEX('Calc - SENIOR PERS'!$D:$D,_xlpm.ROWNUM) + INDEX('Calc - SENIOR PERS'!$V:$V,_xlpm.ROWNUM)) * INDEX('Calc - SENIOR PERS'!$F:$F,_xlpm.FTE))</f>
        <v>0</v>
      </c>
      <c r="D60" s="3050" cm="1">
        <f t="array" aca="1" ref="D60" ca="1">_xlfn.LET(_xlpm.Person,INT((ROW()-ROW($A$38))/9),_xlpm.Period,VALUE(RIGHT(D$38,LEN(D$38)-1))-1,_xlpm.ROWNUM,11+14*_xlpm.Person+_xlpm.Period,_xlpm.FTE,7+14*_xlpm.Person,
(INDEX('Calc - SENIOR PERS'!$C:$C,_xlpm.ROWNUM) + INDEX('Calc - SENIOR PERS'!$D:$D,_xlpm.ROWNUM) + INDEX('Calc - SENIOR PERS'!$V:$V,_xlpm.ROWNUM)) * INDEX('Calc - SENIOR PERS'!$F:$F,_xlpm.FTE))</f>
        <v>0</v>
      </c>
      <c r="E60" s="3050" cm="1">
        <f t="array" aca="1" ref="E60" ca="1">_xlfn.LET(_xlpm.Person,INT((ROW()-ROW($A$38))/9),_xlpm.Period,VALUE(RIGHT(E$38,LEN(E$38)-1))-1,_xlpm.ROWNUM,11+14*_xlpm.Person+_xlpm.Period,_xlpm.FTE,7+14*_xlpm.Person,
(INDEX('Calc - SENIOR PERS'!$C:$C,_xlpm.ROWNUM) + INDEX('Calc - SENIOR PERS'!$D:$D,_xlpm.ROWNUM) + INDEX('Calc - SENIOR PERS'!$V:$V,_xlpm.ROWNUM)) * INDEX('Calc - SENIOR PERS'!$F:$F,_xlpm.FTE))</f>
        <v>0</v>
      </c>
      <c r="F60" s="3050" cm="1">
        <f t="array" aca="1" ref="F60" ca="1">_xlfn.LET(_xlpm.Person,INT((ROW()-ROW($A$38))/9),_xlpm.Period,VALUE(RIGHT(F$38,LEN(F$38)-1))-1,_xlpm.ROWNUM,11+14*_xlpm.Person+_xlpm.Period,_xlpm.FTE,7+14*_xlpm.Person,
(INDEX('Calc - SENIOR PERS'!$C:$C,_xlpm.ROWNUM) + INDEX('Calc - SENIOR PERS'!$D:$D,_xlpm.ROWNUM) + INDEX('Calc - SENIOR PERS'!$V:$V,_xlpm.ROWNUM)) * INDEX('Calc - SENIOR PERS'!$F:$F,_xlpm.FTE))</f>
        <v>0</v>
      </c>
      <c r="G60" s="3050" cm="1">
        <f t="array" aca="1" ref="G60" ca="1">_xlfn.LET(_xlpm.Person,INT((ROW()-ROW($A$38))/9),_xlpm.Period,VALUE(RIGHT(G$38,LEN(G$38)-1))-1,_xlpm.ROWNUM,11+14*_xlpm.Person+_xlpm.Period,_xlpm.FTE,7+14*_xlpm.Person,
(INDEX('Calc - SENIOR PERS'!$C:$C,_xlpm.ROWNUM) + INDEX('Calc - SENIOR PERS'!$D:$D,_xlpm.ROWNUM) + INDEX('Calc - SENIOR PERS'!$V:$V,_xlpm.ROWNUM)) * INDEX('Calc - SENIOR PERS'!$F:$F,_xlpm.FTE))</f>
        <v>0</v>
      </c>
      <c r="H60" s="3050" cm="1">
        <f t="array" aca="1" ref="H60" ca="1">_xlfn.LET(_xlpm.Person,INT((ROW()-ROW($A$38))/9),_xlpm.Period,VALUE(RIGHT(H$38,LEN(H$38)-1))-1,_xlpm.ROWNUM,11+14*_xlpm.Person+_xlpm.Period,_xlpm.FTE,7+14*_xlpm.Person,
(INDEX('Calc - SENIOR PERS'!$C:$C,_xlpm.ROWNUM) + INDEX('Calc - SENIOR PERS'!$D:$D,_xlpm.ROWNUM) + INDEX('Calc - SENIOR PERS'!$V:$V,_xlpm.ROWNUM)) * INDEX('Calc - SENIOR PERS'!$F:$F,_xlpm.FTE))</f>
        <v>0</v>
      </c>
      <c r="I60" s="926"/>
    </row>
    <row r="61" spans="1:20" hidden="1" x14ac:dyDescent="0.25">
      <c r="A61" s="3049">
        <f t="shared" ref="A61:A62" ca="1" si="15">SUM(C61:H61)</f>
        <v>0</v>
      </c>
      <c r="B61" s="847" t="s">
        <v>1054</v>
      </c>
      <c r="C61" s="3050" cm="1">
        <f t="array" aca="1" ref="C61" ca="1">_xlfn.LET(_xlpm.Person,INT((ROW()-ROW($A$38))/9),_xlpm.Period,VALUE(RIGHT(C$38,LEN(C$38)-1))-1,_xlpm.ROWNUM,11+14*_xlpm.Person+_xlpm.Period,_xlpm.FTE,7+14*_xlpm.Person,
(INDEX('Calc - SENIOR PERS'!$C:$C,_xlpm.ROWNUM) + INDEX('Calc - SENIOR PERS'!$D:$D,_xlpm.ROWNUM)) * INDEX('Calc - SENIOR PERS'!$F:$F,_xlpm.FTE))</f>
        <v>0</v>
      </c>
      <c r="D61" s="3050" cm="1">
        <f t="array" aca="1" ref="D61" ca="1">_xlfn.LET(_xlpm.Person,INT((ROW()-ROW($A$38))/9),_xlpm.Period,VALUE(RIGHT(D$38,LEN(D$38)-1))-1,_xlpm.ROWNUM,11+14*_xlpm.Person+_xlpm.Period,_xlpm.FTE,7+14*_xlpm.Person,
(INDEX('Calc - SENIOR PERS'!$C:$C,_xlpm.ROWNUM) + INDEX('Calc - SENIOR PERS'!$D:$D,_xlpm.ROWNUM)) * INDEX('Calc - SENIOR PERS'!$F:$F,_xlpm.FTE))</f>
        <v>0</v>
      </c>
      <c r="E61" s="3050" cm="1">
        <f t="array" aca="1" ref="E61" ca="1">_xlfn.LET(_xlpm.Person,INT((ROW()-ROW($A$38))/9),_xlpm.Period,VALUE(RIGHT(E$38,LEN(E$38)-1))-1,_xlpm.ROWNUM,11+14*_xlpm.Person+_xlpm.Period,_xlpm.FTE,7+14*_xlpm.Person,
(INDEX('Calc - SENIOR PERS'!$C:$C,_xlpm.ROWNUM) + INDEX('Calc - SENIOR PERS'!$D:$D,_xlpm.ROWNUM)) * INDEX('Calc - SENIOR PERS'!$F:$F,_xlpm.FTE))</f>
        <v>0</v>
      </c>
      <c r="F61" s="3050" cm="1">
        <f t="array" aca="1" ref="F61" ca="1">_xlfn.LET(_xlpm.Person,INT((ROW()-ROW($A$38))/9),_xlpm.Period,VALUE(RIGHT(F$38,LEN(F$38)-1))-1,_xlpm.ROWNUM,11+14*_xlpm.Person+_xlpm.Period,_xlpm.FTE,7+14*_xlpm.Person,
(INDEX('Calc - SENIOR PERS'!$C:$C,_xlpm.ROWNUM) + INDEX('Calc - SENIOR PERS'!$D:$D,_xlpm.ROWNUM)) * INDEX('Calc - SENIOR PERS'!$F:$F,_xlpm.FTE))</f>
        <v>0</v>
      </c>
      <c r="G61" s="3050" cm="1">
        <f t="array" aca="1" ref="G61" ca="1">_xlfn.LET(_xlpm.Person,INT((ROW()-ROW($A$38))/9),_xlpm.Period,VALUE(RIGHT(G$38,LEN(G$38)-1))-1,_xlpm.ROWNUM,11+14*_xlpm.Person+_xlpm.Period,_xlpm.FTE,7+14*_xlpm.Person,
(INDEX('Calc - SENIOR PERS'!$C:$C,_xlpm.ROWNUM) + INDEX('Calc - SENIOR PERS'!$D:$D,_xlpm.ROWNUM)) * INDEX('Calc - SENIOR PERS'!$F:$F,_xlpm.FTE))</f>
        <v>0</v>
      </c>
      <c r="H61" s="3050" cm="1">
        <f t="array" aca="1" ref="H61" ca="1">_xlfn.LET(_xlpm.Person,INT((ROW()-ROW($A$38))/9),_xlpm.Period,VALUE(RIGHT(H$38,LEN(H$38)-1))-1,_xlpm.ROWNUM,11+14*_xlpm.Person+_xlpm.Period,_xlpm.FTE,7+14*_xlpm.Person,
(INDEX('Calc - SENIOR PERS'!$C:$C,_xlpm.ROWNUM) + INDEX('Calc - SENIOR PERS'!$D:$D,_xlpm.ROWNUM)) * INDEX('Calc - SENIOR PERS'!$F:$F,_xlpm.FTE))</f>
        <v>0</v>
      </c>
      <c r="I61" s="926"/>
    </row>
    <row r="62" spans="1:20" hidden="1" x14ac:dyDescent="0.25">
      <c r="A62" s="3049">
        <f t="shared" ca="1" si="15"/>
        <v>0</v>
      </c>
      <c r="B62" s="847" t="s">
        <v>1055</v>
      </c>
      <c r="C62" s="3050" cm="1">
        <f t="array" aca="1" ref="C62" ca="1">_xlfn.LET(_xlpm.Person,INT((ROW()-ROW($A$38))/9),_xlpm.Period,VALUE(RIGHT(C$38,LEN(C$38)-1))-1,_xlpm.ROWNUM,11+14*_xlpm.Person+_xlpm.Period,_xlpm.FTE,7+14*_xlpm.Person,
(INDEX('Calc - SENIOR PERS'!$C:$C,_xlpm.ROWNUM) * INDEX('Calc - SENIOR PERS'!$F:$F,_xlpm.FTE)))</f>
        <v>0</v>
      </c>
      <c r="D62" s="3050" cm="1">
        <f t="array" aca="1" ref="D62" ca="1">_xlfn.LET(_xlpm.Person,INT((ROW()-ROW($A$38))/9),_xlpm.Period,VALUE(RIGHT(D$38,LEN(D$38)-1))-1,_xlpm.ROWNUM,11+14*_xlpm.Person+_xlpm.Period,_xlpm.FTE,7+14*_xlpm.Person,
(INDEX('Calc - SENIOR PERS'!$C:$C,_xlpm.ROWNUM) * INDEX('Calc - SENIOR PERS'!$F:$F,_xlpm.FTE)))</f>
        <v>0</v>
      </c>
      <c r="E62" s="3050" cm="1">
        <f t="array" aca="1" ref="E62" ca="1">_xlfn.LET(_xlpm.Person,INT((ROW()-ROW($A$38))/9),_xlpm.Period,VALUE(RIGHT(E$38,LEN(E$38)-1))-1,_xlpm.ROWNUM,11+14*_xlpm.Person+_xlpm.Period,_xlpm.FTE,7+14*_xlpm.Person,
(INDEX('Calc - SENIOR PERS'!$C:$C,_xlpm.ROWNUM) * INDEX('Calc - SENIOR PERS'!$F:$F,_xlpm.FTE)))</f>
        <v>0</v>
      </c>
      <c r="F62" s="3050" cm="1">
        <f t="array" aca="1" ref="F62" ca="1">_xlfn.LET(_xlpm.Person,INT((ROW()-ROW($A$38))/9),_xlpm.Period,VALUE(RIGHT(F$38,LEN(F$38)-1))-1,_xlpm.ROWNUM,11+14*_xlpm.Person+_xlpm.Period,_xlpm.FTE,7+14*_xlpm.Person,
(INDEX('Calc - SENIOR PERS'!$C:$C,_xlpm.ROWNUM) * INDEX('Calc - SENIOR PERS'!$F:$F,_xlpm.FTE)))</f>
        <v>0</v>
      </c>
      <c r="G62" s="3050" cm="1">
        <f t="array" aca="1" ref="G62" ca="1">_xlfn.LET(_xlpm.Person,INT((ROW()-ROW($A$38))/9),_xlpm.Period,VALUE(RIGHT(G$38,LEN(G$38)-1))-1,_xlpm.ROWNUM,11+14*_xlpm.Person+_xlpm.Period,_xlpm.FTE,7+14*_xlpm.Person,
(INDEX('Calc - SENIOR PERS'!$C:$C,_xlpm.ROWNUM) * INDEX('Calc - SENIOR PERS'!$F:$F,_xlpm.FTE)))</f>
        <v>0</v>
      </c>
      <c r="H62" s="3050" cm="1">
        <f t="array" aca="1" ref="H62" ca="1">_xlfn.LET(_xlpm.Person,INT((ROW()-ROW($A$38))/9),_xlpm.Period,VALUE(RIGHT(H$38,LEN(H$38)-1))-1,_xlpm.ROWNUM,11+14*_xlpm.Person+_xlpm.Period,_xlpm.FTE,7+14*_xlpm.Person,
(INDEX('Calc - SENIOR PERS'!$C:$C,_xlpm.ROWNUM) * INDEX('Calc - SENIOR PERS'!$F:$F,_xlpm.FTE)))</f>
        <v>0</v>
      </c>
      <c r="I62" s="926"/>
    </row>
    <row r="63" spans="1:20" hidden="1" x14ac:dyDescent="0.25">
      <c r="I63" s="926"/>
    </row>
    <row r="64" spans="1:20" hidden="1" x14ac:dyDescent="0.25">
      <c r="I64" s="926"/>
    </row>
    <row r="65" spans="1:9" hidden="1" x14ac:dyDescent="0.25">
      <c r="A65" s="3041" cm="1">
        <f t="array" ref="A65">INDEX('DATA INPUT'!B:B,11+INT((ROW()-ROW($B$38))/9))</f>
        <v>0</v>
      </c>
      <c r="B65" s="847"/>
      <c r="C65" s="3042" t="s">
        <v>1041</v>
      </c>
      <c r="D65" s="3042" t="s">
        <v>1042</v>
      </c>
      <c r="E65" s="3042" t="s">
        <v>1043</v>
      </c>
      <c r="F65" s="3042" t="s">
        <v>1044</v>
      </c>
      <c r="G65" s="3042" t="s">
        <v>1045</v>
      </c>
      <c r="H65" s="3042" t="s">
        <v>1046</v>
      </c>
      <c r="I65" s="926"/>
    </row>
    <row r="66" spans="1:9" ht="17.25" hidden="1" x14ac:dyDescent="0.3">
      <c r="A66" s="3043">
        <f ca="1">SUM(C66:H66)</f>
        <v>0</v>
      </c>
      <c r="B66" s="3044" t="s">
        <v>3</v>
      </c>
      <c r="C66" s="3045">
        <f t="shared" ref="C66:H66" ca="1" si="16">ROUND(C67*C70*(1+C68), 2)</f>
        <v>0</v>
      </c>
      <c r="D66" s="3045">
        <f t="shared" ca="1" si="16"/>
        <v>0</v>
      </c>
      <c r="E66" s="3045">
        <f t="shared" ca="1" si="16"/>
        <v>0</v>
      </c>
      <c r="F66" s="3045">
        <f t="shared" ca="1" si="16"/>
        <v>0</v>
      </c>
      <c r="G66" s="3045">
        <f t="shared" ca="1" si="16"/>
        <v>0</v>
      </c>
      <c r="H66" s="3045">
        <f t="shared" ca="1" si="16"/>
        <v>0</v>
      </c>
      <c r="I66" s="926"/>
    </row>
    <row r="67" spans="1:9" hidden="1" x14ac:dyDescent="0.25">
      <c r="A67" s="503" t="s">
        <v>110</v>
      </c>
      <c r="B67" s="847" t="s">
        <v>1050</v>
      </c>
      <c r="C67" s="3058" cm="1">
        <f t="array" aca="1" ref="C67" ca="1">_xlfn.LET(_xlpm.Person,INT((ROW()-ROW($A$38))/9),_xlpm.Period,VALUE(RIGHT(C$38,LEN(C$38)-1))-1,_xlpm.ROWNUM,11+14*_xlpm.Person+_xlpm.Period,
ROUND(INDEX('Calc - SENIOR PERS'!$K:$K,_xlpm.ROWNUM),2))</f>
        <v>0</v>
      </c>
      <c r="D67" s="3058" cm="1">
        <f t="array" aca="1" ref="D67" ca="1">_xlfn.LET(_xlpm.Person,INT((ROW()-ROW($A$38))/9),_xlpm.Period,VALUE(RIGHT(D$38,LEN(D$38)-1))-1,_xlpm.ROWNUM,11+14*_xlpm.Person+_xlpm.Period,
ROUND(INDEX('Calc - SENIOR PERS'!$K:$K,_xlpm.ROWNUM),2))</f>
        <v>0</v>
      </c>
      <c r="E67" s="3058" cm="1">
        <f t="array" aca="1" ref="E67" ca="1">_xlfn.LET(_xlpm.Person,INT((ROW()-ROW($A$38))/9),_xlpm.Period,VALUE(RIGHT(E$38,LEN(E$38)-1))-1,_xlpm.ROWNUM,11+14*_xlpm.Person+_xlpm.Period,
ROUND(INDEX('Calc - SENIOR PERS'!$K:$K,_xlpm.ROWNUM),2))</f>
        <v>0</v>
      </c>
      <c r="F67" s="3058" cm="1">
        <f t="array" aca="1" ref="F67" ca="1">_xlfn.LET(_xlpm.Person,INT((ROW()-ROW($A$38))/9),_xlpm.Period,VALUE(RIGHT(F$38,LEN(F$38)-1))-1,_xlpm.ROWNUM,11+14*_xlpm.Person+_xlpm.Period,
ROUND(INDEX('Calc - SENIOR PERS'!$K:$K,_xlpm.ROWNUM),2))</f>
        <v>0</v>
      </c>
      <c r="G67" s="3058" cm="1">
        <f t="array" aca="1" ref="G67" ca="1">_xlfn.LET(_xlpm.Person,INT((ROW()-ROW($A$38))/9),_xlpm.Period,VALUE(RIGHT(G$38,LEN(G$38)-1))-1,_xlpm.ROWNUM,11+14*_xlpm.Person+_xlpm.Period,
ROUND(INDEX('Calc - SENIOR PERS'!$K:$K,_xlpm.ROWNUM),2))</f>
        <v>0</v>
      </c>
      <c r="H67" s="3058" cm="1">
        <f t="array" aca="1" ref="H67" ca="1">_xlfn.LET(_xlpm.Person,INT((ROW()-ROW($A$38))/9),_xlpm.Period,VALUE(RIGHT(H$38,LEN(H$38)-1))-1,_xlpm.ROWNUM,11+14*_xlpm.Person+_xlpm.Period,
ROUND(INDEX('Calc - SENIOR PERS'!$K:$K,_xlpm.ROWNUM),2))</f>
        <v>0</v>
      </c>
      <c r="I67" s="926"/>
    </row>
    <row r="68" spans="1:9" hidden="1" x14ac:dyDescent="0.25">
      <c r="A68" s="3047" t="s">
        <v>1051</v>
      </c>
      <c r="B68" s="847" t="s">
        <v>1052</v>
      </c>
      <c r="C68" s="3048" cm="1">
        <f t="array" aca="1" ref="C68" ca="1">_xlfn.LET(_xlpm.Person,INT((ROW()-ROW($A$38))/9),_xlpm.Period,VALUE(RIGHT(C$38,LEN(C$38)-1))-1,_xlpm.ROWNUM,11+14*_xlpm.Person+_xlpm.Period,
INDEX('Calc - SENIOR PERS'!$P:$P,_xlpm.ROWNUM))</f>
        <v>0.50700000000000001</v>
      </c>
      <c r="D68" s="3048" cm="1">
        <f t="array" aca="1" ref="D68" ca="1">_xlfn.LET(_xlpm.Person,INT((ROW()-ROW($A$38))/9),_xlpm.Period,VALUE(RIGHT(D$38,LEN(D$38)-1))-1,_xlpm.ROWNUM,11+14*_xlpm.Person+_xlpm.Period,
INDEX('Calc - SENIOR PERS'!$P:$P,_xlpm.ROWNUM))</f>
        <v>0.52700000000000002</v>
      </c>
      <c r="E68" s="3048" cm="1">
        <f t="array" aca="1" ref="E68" ca="1">_xlfn.LET(_xlpm.Person,INT((ROW()-ROW($A$38))/9),_xlpm.Period,VALUE(RIGHT(E$38,LEN(E$38)-1))-1,_xlpm.ROWNUM,11+14*_xlpm.Person+_xlpm.Period,
INDEX('Calc - SENIOR PERS'!$P:$P,_xlpm.ROWNUM))</f>
        <v>0.54700000000000004</v>
      </c>
      <c r="F68" s="3048" cm="1">
        <f t="array" aca="1" ref="F68" ca="1">_xlfn.LET(_xlpm.Person,INT((ROW()-ROW($A$38))/9),_xlpm.Period,VALUE(RIGHT(F$38,LEN(F$38)-1))-1,_xlpm.ROWNUM,11+14*_xlpm.Person+_xlpm.Period,
INDEX('Calc - SENIOR PERS'!$P:$P,_xlpm.ROWNUM))</f>
        <v>0.56700000000000006</v>
      </c>
      <c r="G68" s="3048" cm="1">
        <f t="array" aca="1" ref="G68" ca="1">_xlfn.LET(_xlpm.Person,INT((ROW()-ROW($A$38))/9),_xlpm.Period,VALUE(RIGHT(G$38,LEN(G$38)-1))-1,_xlpm.ROWNUM,11+14*_xlpm.Person+_xlpm.Period,
INDEX('Calc - SENIOR PERS'!$P:$P,_xlpm.ROWNUM))</f>
        <v>0.58700000000000008</v>
      </c>
      <c r="H68" s="3048" cm="1">
        <f t="array" aca="1" ref="H68" ca="1">_xlfn.LET(_xlpm.Person,INT((ROW()-ROW($A$38))/9),_xlpm.Period,VALUE(RIGHT(H$38,LEN(H$38)-1))-1,_xlpm.ROWNUM,11+14*_xlpm.Person+_xlpm.Period,
INDEX('Calc - SENIOR PERS'!$P:$P,_xlpm.ROWNUM))</f>
        <v>0.6070000000000001</v>
      </c>
      <c r="I68" s="926"/>
    </row>
    <row r="69" spans="1:9" hidden="1" x14ac:dyDescent="0.25">
      <c r="A69" s="3049">
        <f ca="1">SUM(C69:H69)</f>
        <v>0</v>
      </c>
      <c r="B69" s="847" t="s">
        <v>1053</v>
      </c>
      <c r="C69" s="3050" cm="1">
        <f t="array" aca="1" ref="C69" ca="1">_xlfn.LET(_xlpm.Person,INT((ROW()-ROW($A$38))/9),_xlpm.Period,VALUE(RIGHT(C$38,LEN(C$38)-1))-1,_xlpm.ROWNUM,11+14*_xlpm.Person+_xlpm.Period,_xlpm.FTE,7+14*_xlpm.Person,
(INDEX('Calc - SENIOR PERS'!$C:$C,_xlpm.ROWNUM) + INDEX('Calc - SENIOR PERS'!$D:$D,_xlpm.ROWNUM) + INDEX('Calc - SENIOR PERS'!$V:$V,_xlpm.ROWNUM)) * INDEX('Calc - SENIOR PERS'!$F:$F,_xlpm.FTE))</f>
        <v>0</v>
      </c>
      <c r="D69" s="3050" cm="1">
        <f t="array" aca="1" ref="D69" ca="1">_xlfn.LET(_xlpm.Person,INT((ROW()-ROW($A$38))/9),_xlpm.Period,VALUE(RIGHT(D$38,LEN(D$38)-1))-1,_xlpm.ROWNUM,11+14*_xlpm.Person+_xlpm.Period,_xlpm.FTE,7+14*_xlpm.Person,
(INDEX('Calc - SENIOR PERS'!$C:$C,_xlpm.ROWNUM) + INDEX('Calc - SENIOR PERS'!$D:$D,_xlpm.ROWNUM) + INDEX('Calc - SENIOR PERS'!$V:$V,_xlpm.ROWNUM)) * INDEX('Calc - SENIOR PERS'!$F:$F,_xlpm.FTE))</f>
        <v>0</v>
      </c>
      <c r="E69" s="3050" cm="1">
        <f t="array" aca="1" ref="E69" ca="1">_xlfn.LET(_xlpm.Person,INT((ROW()-ROW($A$38))/9),_xlpm.Period,VALUE(RIGHT(E$38,LEN(E$38)-1))-1,_xlpm.ROWNUM,11+14*_xlpm.Person+_xlpm.Period,_xlpm.FTE,7+14*_xlpm.Person,
(INDEX('Calc - SENIOR PERS'!$C:$C,_xlpm.ROWNUM) + INDEX('Calc - SENIOR PERS'!$D:$D,_xlpm.ROWNUM) + INDEX('Calc - SENIOR PERS'!$V:$V,_xlpm.ROWNUM)) * INDEX('Calc - SENIOR PERS'!$F:$F,_xlpm.FTE))</f>
        <v>0</v>
      </c>
      <c r="F69" s="3050" cm="1">
        <f t="array" aca="1" ref="F69" ca="1">_xlfn.LET(_xlpm.Person,INT((ROW()-ROW($A$38))/9),_xlpm.Period,VALUE(RIGHT(F$38,LEN(F$38)-1))-1,_xlpm.ROWNUM,11+14*_xlpm.Person+_xlpm.Period,_xlpm.FTE,7+14*_xlpm.Person,
(INDEX('Calc - SENIOR PERS'!$C:$C,_xlpm.ROWNUM) + INDEX('Calc - SENIOR PERS'!$D:$D,_xlpm.ROWNUM) + INDEX('Calc - SENIOR PERS'!$V:$V,_xlpm.ROWNUM)) * INDEX('Calc - SENIOR PERS'!$F:$F,_xlpm.FTE))</f>
        <v>0</v>
      </c>
      <c r="G69" s="3050" cm="1">
        <f t="array" aca="1" ref="G69" ca="1">_xlfn.LET(_xlpm.Person,INT((ROW()-ROW($A$38))/9),_xlpm.Period,VALUE(RIGHT(G$38,LEN(G$38)-1))-1,_xlpm.ROWNUM,11+14*_xlpm.Person+_xlpm.Period,_xlpm.FTE,7+14*_xlpm.Person,
(INDEX('Calc - SENIOR PERS'!$C:$C,_xlpm.ROWNUM) + INDEX('Calc - SENIOR PERS'!$D:$D,_xlpm.ROWNUM) + INDEX('Calc - SENIOR PERS'!$V:$V,_xlpm.ROWNUM)) * INDEX('Calc - SENIOR PERS'!$F:$F,_xlpm.FTE))</f>
        <v>0</v>
      </c>
      <c r="H69" s="3050" cm="1">
        <f t="array" aca="1" ref="H69" ca="1">_xlfn.LET(_xlpm.Person,INT((ROW()-ROW($A$38))/9),_xlpm.Period,VALUE(RIGHT(H$38,LEN(H$38)-1))-1,_xlpm.ROWNUM,11+14*_xlpm.Person+_xlpm.Period,_xlpm.FTE,7+14*_xlpm.Person,
(INDEX('Calc - SENIOR PERS'!$C:$C,_xlpm.ROWNUM) + INDEX('Calc - SENIOR PERS'!$D:$D,_xlpm.ROWNUM) + INDEX('Calc - SENIOR PERS'!$V:$V,_xlpm.ROWNUM)) * INDEX('Calc - SENIOR PERS'!$F:$F,_xlpm.FTE))</f>
        <v>0</v>
      </c>
      <c r="I69" s="926"/>
    </row>
    <row r="70" spans="1:9" hidden="1" x14ac:dyDescent="0.25">
      <c r="A70" s="3049">
        <f t="shared" ref="A70:A71" ca="1" si="17">SUM(C70:H70)</f>
        <v>0</v>
      </c>
      <c r="B70" s="847" t="s">
        <v>1054</v>
      </c>
      <c r="C70" s="3050" cm="1">
        <f t="array" aca="1" ref="C70" ca="1">_xlfn.LET(_xlpm.Person,INT((ROW()-ROW($A$38))/9),_xlpm.Period,VALUE(RIGHT(C$38,LEN(C$38)-1))-1,_xlpm.ROWNUM,11+14*_xlpm.Person+_xlpm.Period,_xlpm.FTE,7+14*_xlpm.Person,
(INDEX('Calc - SENIOR PERS'!$C:$C,_xlpm.ROWNUM) + INDEX('Calc - SENIOR PERS'!$D:$D,_xlpm.ROWNUM)) * INDEX('Calc - SENIOR PERS'!$F:$F,_xlpm.FTE))</f>
        <v>0</v>
      </c>
      <c r="D70" s="3050" cm="1">
        <f t="array" aca="1" ref="D70" ca="1">_xlfn.LET(_xlpm.Person,INT((ROW()-ROW($A$38))/9),_xlpm.Period,VALUE(RIGHT(D$38,LEN(D$38)-1))-1,_xlpm.ROWNUM,11+14*_xlpm.Person+_xlpm.Period,_xlpm.FTE,7+14*_xlpm.Person,
(INDEX('Calc - SENIOR PERS'!$C:$C,_xlpm.ROWNUM) + INDEX('Calc - SENIOR PERS'!$D:$D,_xlpm.ROWNUM)) * INDEX('Calc - SENIOR PERS'!$F:$F,_xlpm.FTE))</f>
        <v>0</v>
      </c>
      <c r="E70" s="3050" cm="1">
        <f t="array" aca="1" ref="E70" ca="1">_xlfn.LET(_xlpm.Person,INT((ROW()-ROW($A$38))/9),_xlpm.Period,VALUE(RIGHT(E$38,LEN(E$38)-1))-1,_xlpm.ROWNUM,11+14*_xlpm.Person+_xlpm.Period,_xlpm.FTE,7+14*_xlpm.Person,
(INDEX('Calc - SENIOR PERS'!$C:$C,_xlpm.ROWNUM) + INDEX('Calc - SENIOR PERS'!$D:$D,_xlpm.ROWNUM)) * INDEX('Calc - SENIOR PERS'!$F:$F,_xlpm.FTE))</f>
        <v>0</v>
      </c>
      <c r="F70" s="3050" cm="1">
        <f t="array" aca="1" ref="F70" ca="1">_xlfn.LET(_xlpm.Person,INT((ROW()-ROW($A$38))/9),_xlpm.Period,VALUE(RIGHT(F$38,LEN(F$38)-1))-1,_xlpm.ROWNUM,11+14*_xlpm.Person+_xlpm.Period,_xlpm.FTE,7+14*_xlpm.Person,
(INDEX('Calc - SENIOR PERS'!$C:$C,_xlpm.ROWNUM) + INDEX('Calc - SENIOR PERS'!$D:$D,_xlpm.ROWNUM)) * INDEX('Calc - SENIOR PERS'!$F:$F,_xlpm.FTE))</f>
        <v>0</v>
      </c>
      <c r="G70" s="3050" cm="1">
        <f t="array" aca="1" ref="G70" ca="1">_xlfn.LET(_xlpm.Person,INT((ROW()-ROW($A$38))/9),_xlpm.Period,VALUE(RIGHT(G$38,LEN(G$38)-1))-1,_xlpm.ROWNUM,11+14*_xlpm.Person+_xlpm.Period,_xlpm.FTE,7+14*_xlpm.Person,
(INDEX('Calc - SENIOR PERS'!$C:$C,_xlpm.ROWNUM) + INDEX('Calc - SENIOR PERS'!$D:$D,_xlpm.ROWNUM)) * INDEX('Calc - SENIOR PERS'!$F:$F,_xlpm.FTE))</f>
        <v>0</v>
      </c>
      <c r="H70" s="3050" cm="1">
        <f t="array" aca="1" ref="H70" ca="1">_xlfn.LET(_xlpm.Person,INT((ROW()-ROW($A$38))/9),_xlpm.Period,VALUE(RIGHT(H$38,LEN(H$38)-1))-1,_xlpm.ROWNUM,11+14*_xlpm.Person+_xlpm.Period,_xlpm.FTE,7+14*_xlpm.Person,
(INDEX('Calc - SENIOR PERS'!$C:$C,_xlpm.ROWNUM) + INDEX('Calc - SENIOR PERS'!$D:$D,_xlpm.ROWNUM)) * INDEX('Calc - SENIOR PERS'!$F:$F,_xlpm.FTE))</f>
        <v>0</v>
      </c>
      <c r="I70" s="926"/>
    </row>
    <row r="71" spans="1:9" hidden="1" x14ac:dyDescent="0.25">
      <c r="A71" s="3049">
        <f t="shared" ca="1" si="17"/>
        <v>0</v>
      </c>
      <c r="B71" s="847" t="s">
        <v>1055</v>
      </c>
      <c r="C71" s="3050" cm="1">
        <f t="array" aca="1" ref="C71" ca="1">_xlfn.LET(_xlpm.Person,INT((ROW()-ROW($A$38))/9),_xlpm.Period,VALUE(RIGHT(C$38,LEN(C$38)-1))-1,_xlpm.ROWNUM,11+14*_xlpm.Person+_xlpm.Period,_xlpm.FTE,7+14*_xlpm.Person,
(INDEX('Calc - SENIOR PERS'!$C:$C,_xlpm.ROWNUM) * INDEX('Calc - SENIOR PERS'!$F:$F,_xlpm.FTE)))</f>
        <v>0</v>
      </c>
      <c r="D71" s="3050" cm="1">
        <f t="array" aca="1" ref="D71" ca="1">_xlfn.LET(_xlpm.Person,INT((ROW()-ROW($A$38))/9),_xlpm.Period,VALUE(RIGHT(D$38,LEN(D$38)-1))-1,_xlpm.ROWNUM,11+14*_xlpm.Person+_xlpm.Period,_xlpm.FTE,7+14*_xlpm.Person,
(INDEX('Calc - SENIOR PERS'!$C:$C,_xlpm.ROWNUM) * INDEX('Calc - SENIOR PERS'!$F:$F,_xlpm.FTE)))</f>
        <v>0</v>
      </c>
      <c r="E71" s="3050" cm="1">
        <f t="array" aca="1" ref="E71" ca="1">_xlfn.LET(_xlpm.Person,INT((ROW()-ROW($A$38))/9),_xlpm.Period,VALUE(RIGHT(E$38,LEN(E$38)-1))-1,_xlpm.ROWNUM,11+14*_xlpm.Person+_xlpm.Period,_xlpm.FTE,7+14*_xlpm.Person,
(INDEX('Calc - SENIOR PERS'!$C:$C,_xlpm.ROWNUM) * INDEX('Calc - SENIOR PERS'!$F:$F,_xlpm.FTE)))</f>
        <v>0</v>
      </c>
      <c r="F71" s="3050" cm="1">
        <f t="array" aca="1" ref="F71" ca="1">_xlfn.LET(_xlpm.Person,INT((ROW()-ROW($A$38))/9),_xlpm.Period,VALUE(RIGHT(F$38,LEN(F$38)-1))-1,_xlpm.ROWNUM,11+14*_xlpm.Person+_xlpm.Period,_xlpm.FTE,7+14*_xlpm.Person,
(INDEX('Calc - SENIOR PERS'!$C:$C,_xlpm.ROWNUM) * INDEX('Calc - SENIOR PERS'!$F:$F,_xlpm.FTE)))</f>
        <v>0</v>
      </c>
      <c r="G71" s="3050" cm="1">
        <f t="array" aca="1" ref="G71" ca="1">_xlfn.LET(_xlpm.Person,INT((ROW()-ROW($A$38))/9),_xlpm.Period,VALUE(RIGHT(G$38,LEN(G$38)-1))-1,_xlpm.ROWNUM,11+14*_xlpm.Person+_xlpm.Period,_xlpm.FTE,7+14*_xlpm.Person,
(INDEX('Calc - SENIOR PERS'!$C:$C,_xlpm.ROWNUM) * INDEX('Calc - SENIOR PERS'!$F:$F,_xlpm.FTE)))</f>
        <v>0</v>
      </c>
      <c r="H71" s="3050" cm="1">
        <f t="array" aca="1" ref="H71" ca="1">_xlfn.LET(_xlpm.Person,INT((ROW()-ROW($A$38))/9),_xlpm.Period,VALUE(RIGHT(H$38,LEN(H$38)-1))-1,_xlpm.ROWNUM,11+14*_xlpm.Person+_xlpm.Period,_xlpm.FTE,7+14*_xlpm.Person,
(INDEX('Calc - SENIOR PERS'!$C:$C,_xlpm.ROWNUM) * INDEX('Calc - SENIOR PERS'!$F:$F,_xlpm.FTE)))</f>
        <v>0</v>
      </c>
      <c r="I71" s="926"/>
    </row>
    <row r="72" spans="1:9" hidden="1" x14ac:dyDescent="0.25">
      <c r="I72" s="926"/>
    </row>
    <row r="73" spans="1:9" hidden="1" x14ac:dyDescent="0.25">
      <c r="I73" s="926"/>
    </row>
    <row r="74" spans="1:9" hidden="1" x14ac:dyDescent="0.25">
      <c r="A74" s="3041" cm="1">
        <f t="array" ref="A74">INDEX('DATA INPUT'!B:B,11+INT((ROW()-ROW($B$38))/9))</f>
        <v>0</v>
      </c>
      <c r="B74" s="847"/>
      <c r="C74" s="3042" t="s">
        <v>1041</v>
      </c>
      <c r="D74" s="3042" t="s">
        <v>1042</v>
      </c>
      <c r="E74" s="3042" t="s">
        <v>1043</v>
      </c>
      <c r="F74" s="3042" t="s">
        <v>1044</v>
      </c>
      <c r="G74" s="3042" t="s">
        <v>1045</v>
      </c>
      <c r="H74" s="3042" t="s">
        <v>1046</v>
      </c>
      <c r="I74" s="926"/>
    </row>
    <row r="75" spans="1:9" ht="17.25" hidden="1" x14ac:dyDescent="0.3">
      <c r="A75" s="3043">
        <f t="shared" ref="A75" ca="1" si="18">SUM(C75:H75)</f>
        <v>0</v>
      </c>
      <c r="B75" s="3044" t="s">
        <v>3</v>
      </c>
      <c r="C75" s="3045">
        <f t="shared" ref="C75:H75" ca="1" si="19">ROUND(C76*C79*(1+C77), 2)</f>
        <v>0</v>
      </c>
      <c r="D75" s="3045">
        <f t="shared" ca="1" si="19"/>
        <v>0</v>
      </c>
      <c r="E75" s="3045">
        <f t="shared" ca="1" si="19"/>
        <v>0</v>
      </c>
      <c r="F75" s="3045">
        <f t="shared" ca="1" si="19"/>
        <v>0</v>
      </c>
      <c r="G75" s="3045">
        <f t="shared" ca="1" si="19"/>
        <v>0</v>
      </c>
      <c r="H75" s="3045">
        <f t="shared" ca="1" si="19"/>
        <v>0</v>
      </c>
      <c r="I75" s="926"/>
    </row>
    <row r="76" spans="1:9" hidden="1" x14ac:dyDescent="0.25">
      <c r="A76" s="503" t="s">
        <v>110</v>
      </c>
      <c r="B76" s="847" t="s">
        <v>1050</v>
      </c>
      <c r="C76" s="3058" cm="1">
        <f t="array" aca="1" ref="C76" ca="1">_xlfn.LET(_xlpm.Person,INT((ROW()-ROW($A$38))/9),_xlpm.Period,VALUE(RIGHT(C$38,LEN(C$38)-1))-1,_xlpm.ROWNUM,11+14*_xlpm.Person+_xlpm.Period,
ROUND(INDEX('Calc - SENIOR PERS'!$K:$K,_xlpm.ROWNUM),2))</f>
        <v>0</v>
      </c>
      <c r="D76" s="3058" cm="1">
        <f t="array" aca="1" ref="D76" ca="1">_xlfn.LET(_xlpm.Person,INT((ROW()-ROW($A$38))/9),_xlpm.Period,VALUE(RIGHT(D$38,LEN(D$38)-1))-1,_xlpm.ROWNUM,11+14*_xlpm.Person+_xlpm.Period,
ROUND(INDEX('Calc - SENIOR PERS'!$K:$K,_xlpm.ROWNUM),2))</f>
        <v>0</v>
      </c>
      <c r="E76" s="3058" cm="1">
        <f t="array" aca="1" ref="E76" ca="1">_xlfn.LET(_xlpm.Person,INT((ROW()-ROW($A$38))/9),_xlpm.Period,VALUE(RIGHT(E$38,LEN(E$38)-1))-1,_xlpm.ROWNUM,11+14*_xlpm.Person+_xlpm.Period,
ROUND(INDEX('Calc - SENIOR PERS'!$K:$K,_xlpm.ROWNUM),2))</f>
        <v>0</v>
      </c>
      <c r="F76" s="3058" cm="1">
        <f t="array" aca="1" ref="F76" ca="1">_xlfn.LET(_xlpm.Person,INT((ROW()-ROW($A$38))/9),_xlpm.Period,VALUE(RIGHT(F$38,LEN(F$38)-1))-1,_xlpm.ROWNUM,11+14*_xlpm.Person+_xlpm.Period,
ROUND(INDEX('Calc - SENIOR PERS'!$K:$K,_xlpm.ROWNUM),2))</f>
        <v>0</v>
      </c>
      <c r="G76" s="3058" cm="1">
        <f t="array" aca="1" ref="G76" ca="1">_xlfn.LET(_xlpm.Person,INT((ROW()-ROW($A$38))/9),_xlpm.Period,VALUE(RIGHT(G$38,LEN(G$38)-1))-1,_xlpm.ROWNUM,11+14*_xlpm.Person+_xlpm.Period,
ROUND(INDEX('Calc - SENIOR PERS'!$K:$K,_xlpm.ROWNUM),2))</f>
        <v>0</v>
      </c>
      <c r="H76" s="3058" cm="1">
        <f t="array" aca="1" ref="H76" ca="1">_xlfn.LET(_xlpm.Person,INT((ROW()-ROW($A$38))/9),_xlpm.Period,VALUE(RIGHT(H$38,LEN(H$38)-1))-1,_xlpm.ROWNUM,11+14*_xlpm.Person+_xlpm.Period,
ROUND(INDEX('Calc - SENIOR PERS'!$K:$K,_xlpm.ROWNUM),2))</f>
        <v>0</v>
      </c>
      <c r="I76" s="926"/>
    </row>
    <row r="77" spans="1:9" hidden="1" x14ac:dyDescent="0.25">
      <c r="A77" s="3047" t="s">
        <v>1051</v>
      </c>
      <c r="B77" s="847" t="s">
        <v>1052</v>
      </c>
      <c r="C77" s="3048" cm="1">
        <f t="array" aca="1" ref="C77" ca="1">_xlfn.LET(_xlpm.Person,INT((ROW()-ROW($A$38))/9),_xlpm.Period,VALUE(RIGHT(C$38,LEN(C$38)-1))-1,_xlpm.ROWNUM,11+14*_xlpm.Person+_xlpm.Period,
INDEX('Calc - SENIOR PERS'!$P:$P,_xlpm.ROWNUM))</f>
        <v>0.50700000000000001</v>
      </c>
      <c r="D77" s="3048" cm="1">
        <f t="array" aca="1" ref="D77" ca="1">_xlfn.LET(_xlpm.Person,INT((ROW()-ROW($A$38))/9),_xlpm.Period,VALUE(RIGHT(D$38,LEN(D$38)-1))-1,_xlpm.ROWNUM,11+14*_xlpm.Person+_xlpm.Period,
INDEX('Calc - SENIOR PERS'!$P:$P,_xlpm.ROWNUM))</f>
        <v>0.52700000000000002</v>
      </c>
      <c r="E77" s="3048" cm="1">
        <f t="array" aca="1" ref="E77" ca="1">_xlfn.LET(_xlpm.Person,INT((ROW()-ROW($A$38))/9),_xlpm.Period,VALUE(RIGHT(E$38,LEN(E$38)-1))-1,_xlpm.ROWNUM,11+14*_xlpm.Person+_xlpm.Period,
INDEX('Calc - SENIOR PERS'!$P:$P,_xlpm.ROWNUM))</f>
        <v>0.54700000000000004</v>
      </c>
      <c r="F77" s="3048" cm="1">
        <f t="array" aca="1" ref="F77" ca="1">_xlfn.LET(_xlpm.Person,INT((ROW()-ROW($A$38))/9),_xlpm.Period,VALUE(RIGHT(F$38,LEN(F$38)-1))-1,_xlpm.ROWNUM,11+14*_xlpm.Person+_xlpm.Period,
INDEX('Calc - SENIOR PERS'!$P:$P,_xlpm.ROWNUM))</f>
        <v>0.56700000000000006</v>
      </c>
      <c r="G77" s="3048" cm="1">
        <f t="array" aca="1" ref="G77" ca="1">_xlfn.LET(_xlpm.Person,INT((ROW()-ROW($A$38))/9),_xlpm.Period,VALUE(RIGHT(G$38,LEN(G$38)-1))-1,_xlpm.ROWNUM,11+14*_xlpm.Person+_xlpm.Period,
INDEX('Calc - SENIOR PERS'!$P:$P,_xlpm.ROWNUM))</f>
        <v>0.58700000000000008</v>
      </c>
      <c r="H77" s="3048" cm="1">
        <f t="array" aca="1" ref="H77" ca="1">_xlfn.LET(_xlpm.Person,INT((ROW()-ROW($A$38))/9),_xlpm.Period,VALUE(RIGHT(H$38,LEN(H$38)-1))-1,_xlpm.ROWNUM,11+14*_xlpm.Person+_xlpm.Period,
INDEX('Calc - SENIOR PERS'!$P:$P,_xlpm.ROWNUM))</f>
        <v>0.6070000000000001</v>
      </c>
      <c r="I77" s="926"/>
    </row>
    <row r="78" spans="1:9" hidden="1" x14ac:dyDescent="0.25">
      <c r="A78" s="3049">
        <f t="shared" ref="A78:A80" ca="1" si="20">SUM(C78:H78)</f>
        <v>0</v>
      </c>
      <c r="B78" s="847" t="s">
        <v>1053</v>
      </c>
      <c r="C78" s="3050" cm="1">
        <f t="array" aca="1" ref="C78" ca="1">_xlfn.LET(_xlpm.Person,INT((ROW()-ROW($A$38))/9),_xlpm.Period,VALUE(RIGHT(C$38,LEN(C$38)-1))-1,_xlpm.ROWNUM,11+14*_xlpm.Person+_xlpm.Period,_xlpm.FTE,7+14*_xlpm.Person,
(INDEX('Calc - SENIOR PERS'!$C:$C,_xlpm.ROWNUM) + INDEX('Calc - SENIOR PERS'!$D:$D,_xlpm.ROWNUM) + INDEX('Calc - SENIOR PERS'!$V:$V,_xlpm.ROWNUM)) * INDEX('Calc - SENIOR PERS'!$F:$F,_xlpm.FTE))</f>
        <v>0</v>
      </c>
      <c r="D78" s="3050" cm="1">
        <f t="array" aca="1" ref="D78" ca="1">_xlfn.LET(_xlpm.Person,INT((ROW()-ROW($A$38))/9),_xlpm.Period,VALUE(RIGHT(D$38,LEN(D$38)-1))-1,_xlpm.ROWNUM,11+14*_xlpm.Person+_xlpm.Period,_xlpm.FTE,7+14*_xlpm.Person,
(INDEX('Calc - SENIOR PERS'!$C:$C,_xlpm.ROWNUM) + INDEX('Calc - SENIOR PERS'!$D:$D,_xlpm.ROWNUM) + INDEX('Calc - SENIOR PERS'!$V:$V,_xlpm.ROWNUM)) * INDEX('Calc - SENIOR PERS'!$F:$F,_xlpm.FTE))</f>
        <v>0</v>
      </c>
      <c r="E78" s="3050" cm="1">
        <f t="array" aca="1" ref="E78" ca="1">_xlfn.LET(_xlpm.Person,INT((ROW()-ROW($A$38))/9),_xlpm.Period,VALUE(RIGHT(E$38,LEN(E$38)-1))-1,_xlpm.ROWNUM,11+14*_xlpm.Person+_xlpm.Period,_xlpm.FTE,7+14*_xlpm.Person,
(INDEX('Calc - SENIOR PERS'!$C:$C,_xlpm.ROWNUM) + INDEX('Calc - SENIOR PERS'!$D:$D,_xlpm.ROWNUM) + INDEX('Calc - SENIOR PERS'!$V:$V,_xlpm.ROWNUM)) * INDEX('Calc - SENIOR PERS'!$F:$F,_xlpm.FTE))</f>
        <v>0</v>
      </c>
      <c r="F78" s="3050" cm="1">
        <f t="array" aca="1" ref="F78" ca="1">_xlfn.LET(_xlpm.Person,INT((ROW()-ROW($A$38))/9),_xlpm.Period,VALUE(RIGHT(F$38,LEN(F$38)-1))-1,_xlpm.ROWNUM,11+14*_xlpm.Person+_xlpm.Period,_xlpm.FTE,7+14*_xlpm.Person,
(INDEX('Calc - SENIOR PERS'!$C:$C,_xlpm.ROWNUM) + INDEX('Calc - SENIOR PERS'!$D:$D,_xlpm.ROWNUM) + INDEX('Calc - SENIOR PERS'!$V:$V,_xlpm.ROWNUM)) * INDEX('Calc - SENIOR PERS'!$F:$F,_xlpm.FTE))</f>
        <v>0</v>
      </c>
      <c r="G78" s="3050" cm="1">
        <f t="array" aca="1" ref="G78" ca="1">_xlfn.LET(_xlpm.Person,INT((ROW()-ROW($A$38))/9),_xlpm.Period,VALUE(RIGHT(G$38,LEN(G$38)-1))-1,_xlpm.ROWNUM,11+14*_xlpm.Person+_xlpm.Period,_xlpm.FTE,7+14*_xlpm.Person,
(INDEX('Calc - SENIOR PERS'!$C:$C,_xlpm.ROWNUM) + INDEX('Calc - SENIOR PERS'!$D:$D,_xlpm.ROWNUM) + INDEX('Calc - SENIOR PERS'!$V:$V,_xlpm.ROWNUM)) * INDEX('Calc - SENIOR PERS'!$F:$F,_xlpm.FTE))</f>
        <v>0</v>
      </c>
      <c r="H78" s="3050" cm="1">
        <f t="array" aca="1" ref="H78" ca="1">_xlfn.LET(_xlpm.Person,INT((ROW()-ROW($A$38))/9),_xlpm.Period,VALUE(RIGHT(H$38,LEN(H$38)-1))-1,_xlpm.ROWNUM,11+14*_xlpm.Person+_xlpm.Period,_xlpm.FTE,7+14*_xlpm.Person,
(INDEX('Calc - SENIOR PERS'!$C:$C,_xlpm.ROWNUM) + INDEX('Calc - SENIOR PERS'!$D:$D,_xlpm.ROWNUM) + INDEX('Calc - SENIOR PERS'!$V:$V,_xlpm.ROWNUM)) * INDEX('Calc - SENIOR PERS'!$F:$F,_xlpm.FTE))</f>
        <v>0</v>
      </c>
      <c r="I78" s="926"/>
    </row>
    <row r="79" spans="1:9" hidden="1" x14ac:dyDescent="0.25">
      <c r="A79" s="3049">
        <f t="shared" ca="1" si="20"/>
        <v>0</v>
      </c>
      <c r="B79" s="847" t="s">
        <v>1054</v>
      </c>
      <c r="C79" s="3050" cm="1">
        <f t="array" aca="1" ref="C79" ca="1">_xlfn.LET(_xlpm.Person,INT((ROW()-ROW($A$38))/9),_xlpm.Period,VALUE(RIGHT(C$38,LEN(C$38)-1))-1,_xlpm.ROWNUM,11+14*_xlpm.Person+_xlpm.Period,_xlpm.FTE,7+14*_xlpm.Person,
(INDEX('Calc - SENIOR PERS'!$C:$C,_xlpm.ROWNUM) + INDEX('Calc - SENIOR PERS'!$D:$D,_xlpm.ROWNUM)) * INDEX('Calc - SENIOR PERS'!$F:$F,_xlpm.FTE))</f>
        <v>0</v>
      </c>
      <c r="D79" s="3050" cm="1">
        <f t="array" aca="1" ref="D79" ca="1">_xlfn.LET(_xlpm.Person,INT((ROW()-ROW($A$38))/9),_xlpm.Period,VALUE(RIGHT(D$38,LEN(D$38)-1))-1,_xlpm.ROWNUM,11+14*_xlpm.Person+_xlpm.Period,_xlpm.FTE,7+14*_xlpm.Person,
(INDEX('Calc - SENIOR PERS'!$C:$C,_xlpm.ROWNUM) + INDEX('Calc - SENIOR PERS'!$D:$D,_xlpm.ROWNUM)) * INDEX('Calc - SENIOR PERS'!$F:$F,_xlpm.FTE))</f>
        <v>0</v>
      </c>
      <c r="E79" s="3050" cm="1">
        <f t="array" aca="1" ref="E79" ca="1">_xlfn.LET(_xlpm.Person,INT((ROW()-ROW($A$38))/9),_xlpm.Period,VALUE(RIGHT(E$38,LEN(E$38)-1))-1,_xlpm.ROWNUM,11+14*_xlpm.Person+_xlpm.Period,_xlpm.FTE,7+14*_xlpm.Person,
(INDEX('Calc - SENIOR PERS'!$C:$C,_xlpm.ROWNUM) + INDEX('Calc - SENIOR PERS'!$D:$D,_xlpm.ROWNUM)) * INDEX('Calc - SENIOR PERS'!$F:$F,_xlpm.FTE))</f>
        <v>0</v>
      </c>
      <c r="F79" s="3050" cm="1">
        <f t="array" aca="1" ref="F79" ca="1">_xlfn.LET(_xlpm.Person,INT((ROW()-ROW($A$38))/9),_xlpm.Period,VALUE(RIGHT(F$38,LEN(F$38)-1))-1,_xlpm.ROWNUM,11+14*_xlpm.Person+_xlpm.Period,_xlpm.FTE,7+14*_xlpm.Person,
(INDEX('Calc - SENIOR PERS'!$C:$C,_xlpm.ROWNUM) + INDEX('Calc - SENIOR PERS'!$D:$D,_xlpm.ROWNUM)) * INDEX('Calc - SENIOR PERS'!$F:$F,_xlpm.FTE))</f>
        <v>0</v>
      </c>
      <c r="G79" s="3050" cm="1">
        <f t="array" aca="1" ref="G79" ca="1">_xlfn.LET(_xlpm.Person,INT((ROW()-ROW($A$38))/9),_xlpm.Period,VALUE(RIGHT(G$38,LEN(G$38)-1))-1,_xlpm.ROWNUM,11+14*_xlpm.Person+_xlpm.Period,_xlpm.FTE,7+14*_xlpm.Person,
(INDEX('Calc - SENIOR PERS'!$C:$C,_xlpm.ROWNUM) + INDEX('Calc - SENIOR PERS'!$D:$D,_xlpm.ROWNUM)) * INDEX('Calc - SENIOR PERS'!$F:$F,_xlpm.FTE))</f>
        <v>0</v>
      </c>
      <c r="H79" s="3050" cm="1">
        <f t="array" aca="1" ref="H79" ca="1">_xlfn.LET(_xlpm.Person,INT((ROW()-ROW($A$38))/9),_xlpm.Period,VALUE(RIGHT(H$38,LEN(H$38)-1))-1,_xlpm.ROWNUM,11+14*_xlpm.Person+_xlpm.Period,_xlpm.FTE,7+14*_xlpm.Person,
(INDEX('Calc - SENIOR PERS'!$C:$C,_xlpm.ROWNUM) + INDEX('Calc - SENIOR PERS'!$D:$D,_xlpm.ROWNUM)) * INDEX('Calc - SENIOR PERS'!$F:$F,_xlpm.FTE))</f>
        <v>0</v>
      </c>
      <c r="I79" s="926"/>
    </row>
    <row r="80" spans="1:9" hidden="1" x14ac:dyDescent="0.25">
      <c r="A80" s="3049">
        <f t="shared" ca="1" si="20"/>
        <v>0</v>
      </c>
      <c r="B80" s="847" t="s">
        <v>1055</v>
      </c>
      <c r="C80" s="3050" cm="1">
        <f t="array" aca="1" ref="C80" ca="1">_xlfn.LET(_xlpm.Person,INT((ROW()-ROW($A$38))/9),_xlpm.Period,VALUE(RIGHT(C$38,LEN(C$38)-1))-1,_xlpm.ROWNUM,11+14*_xlpm.Person+_xlpm.Period,_xlpm.FTE,7+14*_xlpm.Person,
(INDEX('Calc - SENIOR PERS'!$C:$C,_xlpm.ROWNUM) * INDEX('Calc - SENIOR PERS'!$F:$F,_xlpm.FTE)))</f>
        <v>0</v>
      </c>
      <c r="D80" s="3050" cm="1">
        <f t="array" aca="1" ref="D80" ca="1">_xlfn.LET(_xlpm.Person,INT((ROW()-ROW($A$38))/9),_xlpm.Period,VALUE(RIGHT(D$38,LEN(D$38)-1))-1,_xlpm.ROWNUM,11+14*_xlpm.Person+_xlpm.Period,_xlpm.FTE,7+14*_xlpm.Person,
(INDEX('Calc - SENIOR PERS'!$C:$C,_xlpm.ROWNUM) * INDEX('Calc - SENIOR PERS'!$F:$F,_xlpm.FTE)))</f>
        <v>0</v>
      </c>
      <c r="E80" s="3050" cm="1">
        <f t="array" aca="1" ref="E80" ca="1">_xlfn.LET(_xlpm.Person,INT((ROW()-ROW($A$38))/9),_xlpm.Period,VALUE(RIGHT(E$38,LEN(E$38)-1))-1,_xlpm.ROWNUM,11+14*_xlpm.Person+_xlpm.Period,_xlpm.FTE,7+14*_xlpm.Person,
(INDEX('Calc - SENIOR PERS'!$C:$C,_xlpm.ROWNUM) * INDEX('Calc - SENIOR PERS'!$F:$F,_xlpm.FTE)))</f>
        <v>0</v>
      </c>
      <c r="F80" s="3050" cm="1">
        <f t="array" aca="1" ref="F80" ca="1">_xlfn.LET(_xlpm.Person,INT((ROW()-ROW($A$38))/9),_xlpm.Period,VALUE(RIGHT(F$38,LEN(F$38)-1))-1,_xlpm.ROWNUM,11+14*_xlpm.Person+_xlpm.Period,_xlpm.FTE,7+14*_xlpm.Person,
(INDEX('Calc - SENIOR PERS'!$C:$C,_xlpm.ROWNUM) * INDEX('Calc - SENIOR PERS'!$F:$F,_xlpm.FTE)))</f>
        <v>0</v>
      </c>
      <c r="G80" s="3050" cm="1">
        <f t="array" aca="1" ref="G80" ca="1">_xlfn.LET(_xlpm.Person,INT((ROW()-ROW($A$38))/9),_xlpm.Period,VALUE(RIGHT(G$38,LEN(G$38)-1))-1,_xlpm.ROWNUM,11+14*_xlpm.Person+_xlpm.Period,_xlpm.FTE,7+14*_xlpm.Person,
(INDEX('Calc - SENIOR PERS'!$C:$C,_xlpm.ROWNUM) * INDEX('Calc - SENIOR PERS'!$F:$F,_xlpm.FTE)))</f>
        <v>0</v>
      </c>
      <c r="H80" s="3050" cm="1">
        <f t="array" aca="1" ref="H80" ca="1">_xlfn.LET(_xlpm.Person,INT((ROW()-ROW($A$38))/9),_xlpm.Period,VALUE(RIGHT(H$38,LEN(H$38)-1))-1,_xlpm.ROWNUM,11+14*_xlpm.Person+_xlpm.Period,_xlpm.FTE,7+14*_xlpm.Person,
(INDEX('Calc - SENIOR PERS'!$C:$C,_xlpm.ROWNUM) * INDEX('Calc - SENIOR PERS'!$F:$F,_xlpm.FTE)))</f>
        <v>0</v>
      </c>
      <c r="I80" s="926"/>
    </row>
    <row r="81" spans="1:9" hidden="1" x14ac:dyDescent="0.25">
      <c r="I81" s="926"/>
    </row>
    <row r="82" spans="1:9" hidden="1" x14ac:dyDescent="0.25">
      <c r="I82" s="926"/>
    </row>
    <row r="83" spans="1:9" hidden="1" x14ac:dyDescent="0.25">
      <c r="A83" s="3041" cm="1">
        <f t="array" ref="A83">INDEX('DATA INPUT'!B:B,11+INT((ROW()-ROW($B$38))/9))</f>
        <v>0</v>
      </c>
      <c r="B83" s="847"/>
      <c r="C83" s="3042" t="s">
        <v>1041</v>
      </c>
      <c r="D83" s="3042" t="s">
        <v>1042</v>
      </c>
      <c r="E83" s="3042" t="s">
        <v>1043</v>
      </c>
      <c r="F83" s="3042" t="s">
        <v>1044</v>
      </c>
      <c r="G83" s="3042" t="s">
        <v>1045</v>
      </c>
      <c r="H83" s="3042" t="s">
        <v>1046</v>
      </c>
      <c r="I83" s="926"/>
    </row>
    <row r="84" spans="1:9" ht="17.25" hidden="1" x14ac:dyDescent="0.3">
      <c r="A84" s="3043">
        <f t="shared" ref="A84" ca="1" si="21">SUM(C84:H84)</f>
        <v>0</v>
      </c>
      <c r="B84" s="3044" t="s">
        <v>3</v>
      </c>
      <c r="C84" s="3045">
        <f t="shared" ref="C84:H84" ca="1" si="22">ROUND(C85*C88*(1+C86), 2)</f>
        <v>0</v>
      </c>
      <c r="D84" s="3045">
        <f t="shared" ca="1" si="22"/>
        <v>0</v>
      </c>
      <c r="E84" s="3045">
        <f t="shared" ca="1" si="22"/>
        <v>0</v>
      </c>
      <c r="F84" s="3045">
        <f t="shared" ca="1" si="22"/>
        <v>0</v>
      </c>
      <c r="G84" s="3045">
        <f t="shared" ca="1" si="22"/>
        <v>0</v>
      </c>
      <c r="H84" s="3045">
        <f t="shared" ca="1" si="22"/>
        <v>0</v>
      </c>
      <c r="I84" s="926"/>
    </row>
    <row r="85" spans="1:9" hidden="1" x14ac:dyDescent="0.25">
      <c r="A85" s="503" t="s">
        <v>110</v>
      </c>
      <c r="B85" s="847" t="s">
        <v>1050</v>
      </c>
      <c r="C85" s="3058" cm="1">
        <f t="array" aca="1" ref="C85" ca="1">_xlfn.LET(_xlpm.Person,INT((ROW()-ROW($A$38))/9),_xlpm.Period,VALUE(RIGHT(C$38,LEN(C$38)-1))-1,_xlpm.ROWNUM,11+14*_xlpm.Person+_xlpm.Period,
ROUND(INDEX('Calc - SENIOR PERS'!$K:$K,_xlpm.ROWNUM),2))</f>
        <v>0</v>
      </c>
      <c r="D85" s="3058" cm="1">
        <f t="array" aca="1" ref="D85" ca="1">_xlfn.LET(_xlpm.Person,INT((ROW()-ROW($A$38))/9),_xlpm.Period,VALUE(RIGHT(D$38,LEN(D$38)-1))-1,_xlpm.ROWNUM,11+14*_xlpm.Person+_xlpm.Period,
ROUND(INDEX('Calc - SENIOR PERS'!$K:$K,_xlpm.ROWNUM),2))</f>
        <v>0</v>
      </c>
      <c r="E85" s="3058" cm="1">
        <f t="array" aca="1" ref="E85" ca="1">_xlfn.LET(_xlpm.Person,INT((ROW()-ROW($A$38))/9),_xlpm.Period,VALUE(RIGHT(E$38,LEN(E$38)-1))-1,_xlpm.ROWNUM,11+14*_xlpm.Person+_xlpm.Period,
ROUND(INDEX('Calc - SENIOR PERS'!$K:$K,_xlpm.ROWNUM),2))</f>
        <v>0</v>
      </c>
      <c r="F85" s="3058" cm="1">
        <f t="array" aca="1" ref="F85" ca="1">_xlfn.LET(_xlpm.Person,INT((ROW()-ROW($A$38))/9),_xlpm.Period,VALUE(RIGHT(F$38,LEN(F$38)-1))-1,_xlpm.ROWNUM,11+14*_xlpm.Person+_xlpm.Period,
ROUND(INDEX('Calc - SENIOR PERS'!$K:$K,_xlpm.ROWNUM),2))</f>
        <v>0</v>
      </c>
      <c r="G85" s="3058" cm="1">
        <f t="array" aca="1" ref="G85" ca="1">_xlfn.LET(_xlpm.Person,INT((ROW()-ROW($A$38))/9),_xlpm.Period,VALUE(RIGHT(G$38,LEN(G$38)-1))-1,_xlpm.ROWNUM,11+14*_xlpm.Person+_xlpm.Period,
ROUND(INDEX('Calc - SENIOR PERS'!$K:$K,_xlpm.ROWNUM),2))</f>
        <v>0</v>
      </c>
      <c r="H85" s="3058" cm="1">
        <f t="array" aca="1" ref="H85" ca="1">_xlfn.LET(_xlpm.Person,INT((ROW()-ROW($A$38))/9),_xlpm.Period,VALUE(RIGHT(H$38,LEN(H$38)-1))-1,_xlpm.ROWNUM,11+14*_xlpm.Person+_xlpm.Period,
ROUND(INDEX('Calc - SENIOR PERS'!$K:$K,_xlpm.ROWNUM),2))</f>
        <v>0</v>
      </c>
      <c r="I85" s="926"/>
    </row>
    <row r="86" spans="1:9" hidden="1" x14ac:dyDescent="0.25">
      <c r="A86" s="3047" t="s">
        <v>1051</v>
      </c>
      <c r="B86" s="847" t="s">
        <v>1052</v>
      </c>
      <c r="C86" s="3048" cm="1">
        <f t="array" aca="1" ref="C86" ca="1">_xlfn.LET(_xlpm.Person,INT((ROW()-ROW($A$38))/9),_xlpm.Period,VALUE(RIGHT(C$38,LEN(C$38)-1))-1,_xlpm.ROWNUM,11+14*_xlpm.Person+_xlpm.Period,
INDEX('Calc - SENIOR PERS'!$P:$P,_xlpm.ROWNUM))</f>
        <v>0.50700000000000001</v>
      </c>
      <c r="D86" s="3048" cm="1">
        <f t="array" aca="1" ref="D86" ca="1">_xlfn.LET(_xlpm.Person,INT((ROW()-ROW($A$38))/9),_xlpm.Period,VALUE(RIGHT(D$38,LEN(D$38)-1))-1,_xlpm.ROWNUM,11+14*_xlpm.Person+_xlpm.Period,
INDEX('Calc - SENIOR PERS'!$P:$P,_xlpm.ROWNUM))</f>
        <v>0.52700000000000002</v>
      </c>
      <c r="E86" s="3048" cm="1">
        <f t="array" aca="1" ref="E86" ca="1">_xlfn.LET(_xlpm.Person,INT((ROW()-ROW($A$38))/9),_xlpm.Period,VALUE(RIGHT(E$38,LEN(E$38)-1))-1,_xlpm.ROWNUM,11+14*_xlpm.Person+_xlpm.Period,
INDEX('Calc - SENIOR PERS'!$P:$P,_xlpm.ROWNUM))</f>
        <v>0.54700000000000004</v>
      </c>
      <c r="F86" s="3048" cm="1">
        <f t="array" aca="1" ref="F86" ca="1">_xlfn.LET(_xlpm.Person,INT((ROW()-ROW($A$38))/9),_xlpm.Period,VALUE(RIGHT(F$38,LEN(F$38)-1))-1,_xlpm.ROWNUM,11+14*_xlpm.Person+_xlpm.Period,
INDEX('Calc - SENIOR PERS'!$P:$P,_xlpm.ROWNUM))</f>
        <v>0.56700000000000006</v>
      </c>
      <c r="G86" s="3048" cm="1">
        <f t="array" aca="1" ref="G86" ca="1">_xlfn.LET(_xlpm.Person,INT((ROW()-ROW($A$38))/9),_xlpm.Period,VALUE(RIGHT(G$38,LEN(G$38)-1))-1,_xlpm.ROWNUM,11+14*_xlpm.Person+_xlpm.Period,
INDEX('Calc - SENIOR PERS'!$P:$P,_xlpm.ROWNUM))</f>
        <v>0.58700000000000008</v>
      </c>
      <c r="H86" s="3048" cm="1">
        <f t="array" aca="1" ref="H86" ca="1">_xlfn.LET(_xlpm.Person,INT((ROW()-ROW($A$38))/9),_xlpm.Period,VALUE(RIGHT(H$38,LEN(H$38)-1))-1,_xlpm.ROWNUM,11+14*_xlpm.Person+_xlpm.Period,
INDEX('Calc - SENIOR PERS'!$P:$P,_xlpm.ROWNUM))</f>
        <v>0.6070000000000001</v>
      </c>
      <c r="I86" s="926"/>
    </row>
    <row r="87" spans="1:9" hidden="1" x14ac:dyDescent="0.25">
      <c r="A87" s="3049">
        <f t="shared" ref="A87:A89" ca="1" si="23">SUM(C87:H87)</f>
        <v>0</v>
      </c>
      <c r="B87" s="847" t="s">
        <v>1053</v>
      </c>
      <c r="C87" s="3050" cm="1">
        <f t="array" aca="1" ref="C87" ca="1">_xlfn.LET(_xlpm.Person,INT((ROW()-ROW($A$38))/9),_xlpm.Period,VALUE(RIGHT(C$38,LEN(C$38)-1))-1,_xlpm.ROWNUM,11+14*_xlpm.Person+_xlpm.Period,_xlpm.FTE,7+14*_xlpm.Person,
(INDEX('Calc - SENIOR PERS'!$C:$C,_xlpm.ROWNUM) + INDEX('Calc - SENIOR PERS'!$D:$D,_xlpm.ROWNUM) + INDEX('Calc - SENIOR PERS'!$V:$V,_xlpm.ROWNUM)) * INDEX('Calc - SENIOR PERS'!$F:$F,_xlpm.FTE))</f>
        <v>0</v>
      </c>
      <c r="D87" s="3050" cm="1">
        <f t="array" aca="1" ref="D87" ca="1">_xlfn.LET(_xlpm.Person,INT((ROW()-ROW($A$38))/9),_xlpm.Period,VALUE(RIGHT(D$38,LEN(D$38)-1))-1,_xlpm.ROWNUM,11+14*_xlpm.Person+_xlpm.Period,_xlpm.FTE,7+14*_xlpm.Person,
(INDEX('Calc - SENIOR PERS'!$C:$C,_xlpm.ROWNUM) + INDEX('Calc - SENIOR PERS'!$D:$D,_xlpm.ROWNUM) + INDEX('Calc - SENIOR PERS'!$V:$V,_xlpm.ROWNUM)) * INDEX('Calc - SENIOR PERS'!$F:$F,_xlpm.FTE))</f>
        <v>0</v>
      </c>
      <c r="E87" s="3050" cm="1">
        <f t="array" aca="1" ref="E87" ca="1">_xlfn.LET(_xlpm.Person,INT((ROW()-ROW($A$38))/9),_xlpm.Period,VALUE(RIGHT(E$38,LEN(E$38)-1))-1,_xlpm.ROWNUM,11+14*_xlpm.Person+_xlpm.Period,_xlpm.FTE,7+14*_xlpm.Person,
(INDEX('Calc - SENIOR PERS'!$C:$C,_xlpm.ROWNUM) + INDEX('Calc - SENIOR PERS'!$D:$D,_xlpm.ROWNUM) + INDEX('Calc - SENIOR PERS'!$V:$V,_xlpm.ROWNUM)) * INDEX('Calc - SENIOR PERS'!$F:$F,_xlpm.FTE))</f>
        <v>0</v>
      </c>
      <c r="F87" s="3050" cm="1">
        <f t="array" aca="1" ref="F87" ca="1">_xlfn.LET(_xlpm.Person,INT((ROW()-ROW($A$38))/9),_xlpm.Period,VALUE(RIGHT(F$38,LEN(F$38)-1))-1,_xlpm.ROWNUM,11+14*_xlpm.Person+_xlpm.Period,_xlpm.FTE,7+14*_xlpm.Person,
(INDEX('Calc - SENIOR PERS'!$C:$C,_xlpm.ROWNUM) + INDEX('Calc - SENIOR PERS'!$D:$D,_xlpm.ROWNUM) + INDEX('Calc - SENIOR PERS'!$V:$V,_xlpm.ROWNUM)) * INDEX('Calc - SENIOR PERS'!$F:$F,_xlpm.FTE))</f>
        <v>0</v>
      </c>
      <c r="G87" s="3050" cm="1">
        <f t="array" aca="1" ref="G87" ca="1">_xlfn.LET(_xlpm.Person,INT((ROW()-ROW($A$38))/9),_xlpm.Period,VALUE(RIGHT(G$38,LEN(G$38)-1))-1,_xlpm.ROWNUM,11+14*_xlpm.Person+_xlpm.Period,_xlpm.FTE,7+14*_xlpm.Person,
(INDEX('Calc - SENIOR PERS'!$C:$C,_xlpm.ROWNUM) + INDEX('Calc - SENIOR PERS'!$D:$D,_xlpm.ROWNUM) + INDEX('Calc - SENIOR PERS'!$V:$V,_xlpm.ROWNUM)) * INDEX('Calc - SENIOR PERS'!$F:$F,_xlpm.FTE))</f>
        <v>0</v>
      </c>
      <c r="H87" s="3050" cm="1">
        <f t="array" aca="1" ref="H87" ca="1">_xlfn.LET(_xlpm.Person,INT((ROW()-ROW($A$38))/9),_xlpm.Period,VALUE(RIGHT(H$38,LEN(H$38)-1))-1,_xlpm.ROWNUM,11+14*_xlpm.Person+_xlpm.Period,_xlpm.FTE,7+14*_xlpm.Person,
(INDEX('Calc - SENIOR PERS'!$C:$C,_xlpm.ROWNUM) + INDEX('Calc - SENIOR PERS'!$D:$D,_xlpm.ROWNUM) + INDEX('Calc - SENIOR PERS'!$V:$V,_xlpm.ROWNUM)) * INDEX('Calc - SENIOR PERS'!$F:$F,_xlpm.FTE))</f>
        <v>0</v>
      </c>
      <c r="I87" s="926"/>
    </row>
    <row r="88" spans="1:9" hidden="1" x14ac:dyDescent="0.25">
      <c r="A88" s="3049">
        <f t="shared" ca="1" si="23"/>
        <v>0</v>
      </c>
      <c r="B88" s="847" t="s">
        <v>1054</v>
      </c>
      <c r="C88" s="3050" cm="1">
        <f t="array" aca="1" ref="C88" ca="1">_xlfn.LET(_xlpm.Person,INT((ROW()-ROW($A$38))/9),_xlpm.Period,VALUE(RIGHT(C$38,LEN(C$38)-1))-1,_xlpm.ROWNUM,11+14*_xlpm.Person+_xlpm.Period,_xlpm.FTE,7+14*_xlpm.Person,
(INDEX('Calc - SENIOR PERS'!$C:$C,_xlpm.ROWNUM) + INDEX('Calc - SENIOR PERS'!$D:$D,_xlpm.ROWNUM)) * INDEX('Calc - SENIOR PERS'!$F:$F,_xlpm.FTE))</f>
        <v>0</v>
      </c>
      <c r="D88" s="3050" cm="1">
        <f t="array" aca="1" ref="D88" ca="1">_xlfn.LET(_xlpm.Person,INT((ROW()-ROW($A$38))/9),_xlpm.Period,VALUE(RIGHT(D$38,LEN(D$38)-1))-1,_xlpm.ROWNUM,11+14*_xlpm.Person+_xlpm.Period,_xlpm.FTE,7+14*_xlpm.Person,
(INDEX('Calc - SENIOR PERS'!$C:$C,_xlpm.ROWNUM) + INDEX('Calc - SENIOR PERS'!$D:$D,_xlpm.ROWNUM)) * INDEX('Calc - SENIOR PERS'!$F:$F,_xlpm.FTE))</f>
        <v>0</v>
      </c>
      <c r="E88" s="3050" cm="1">
        <f t="array" aca="1" ref="E88" ca="1">_xlfn.LET(_xlpm.Person,INT((ROW()-ROW($A$38))/9),_xlpm.Period,VALUE(RIGHT(E$38,LEN(E$38)-1))-1,_xlpm.ROWNUM,11+14*_xlpm.Person+_xlpm.Period,_xlpm.FTE,7+14*_xlpm.Person,
(INDEX('Calc - SENIOR PERS'!$C:$C,_xlpm.ROWNUM) + INDEX('Calc - SENIOR PERS'!$D:$D,_xlpm.ROWNUM)) * INDEX('Calc - SENIOR PERS'!$F:$F,_xlpm.FTE))</f>
        <v>0</v>
      </c>
      <c r="F88" s="3050" cm="1">
        <f t="array" aca="1" ref="F88" ca="1">_xlfn.LET(_xlpm.Person,INT((ROW()-ROW($A$38))/9),_xlpm.Period,VALUE(RIGHT(F$38,LEN(F$38)-1))-1,_xlpm.ROWNUM,11+14*_xlpm.Person+_xlpm.Period,_xlpm.FTE,7+14*_xlpm.Person,
(INDEX('Calc - SENIOR PERS'!$C:$C,_xlpm.ROWNUM) + INDEX('Calc - SENIOR PERS'!$D:$D,_xlpm.ROWNUM)) * INDEX('Calc - SENIOR PERS'!$F:$F,_xlpm.FTE))</f>
        <v>0</v>
      </c>
      <c r="G88" s="3050" cm="1">
        <f t="array" aca="1" ref="G88" ca="1">_xlfn.LET(_xlpm.Person,INT((ROW()-ROW($A$38))/9),_xlpm.Period,VALUE(RIGHT(G$38,LEN(G$38)-1))-1,_xlpm.ROWNUM,11+14*_xlpm.Person+_xlpm.Period,_xlpm.FTE,7+14*_xlpm.Person,
(INDEX('Calc - SENIOR PERS'!$C:$C,_xlpm.ROWNUM) + INDEX('Calc - SENIOR PERS'!$D:$D,_xlpm.ROWNUM)) * INDEX('Calc - SENIOR PERS'!$F:$F,_xlpm.FTE))</f>
        <v>0</v>
      </c>
      <c r="H88" s="3050" cm="1">
        <f t="array" aca="1" ref="H88" ca="1">_xlfn.LET(_xlpm.Person,INT((ROW()-ROW($A$38))/9),_xlpm.Period,VALUE(RIGHT(H$38,LEN(H$38)-1))-1,_xlpm.ROWNUM,11+14*_xlpm.Person+_xlpm.Period,_xlpm.FTE,7+14*_xlpm.Person,
(INDEX('Calc - SENIOR PERS'!$C:$C,_xlpm.ROWNUM) + INDEX('Calc - SENIOR PERS'!$D:$D,_xlpm.ROWNUM)) * INDEX('Calc - SENIOR PERS'!$F:$F,_xlpm.FTE))</f>
        <v>0</v>
      </c>
      <c r="I88" s="926"/>
    </row>
    <row r="89" spans="1:9" hidden="1" x14ac:dyDescent="0.25">
      <c r="A89" s="3049">
        <f t="shared" ca="1" si="23"/>
        <v>0</v>
      </c>
      <c r="B89" s="847" t="s">
        <v>1055</v>
      </c>
      <c r="C89" s="3050" cm="1">
        <f t="array" aca="1" ref="C89" ca="1">_xlfn.LET(_xlpm.Person,INT((ROW()-ROW($A$38))/9),_xlpm.Period,VALUE(RIGHT(C$38,LEN(C$38)-1))-1,_xlpm.ROWNUM,11+14*_xlpm.Person+_xlpm.Period,_xlpm.FTE,7+14*_xlpm.Person,
(INDEX('Calc - SENIOR PERS'!$C:$C,_xlpm.ROWNUM) * INDEX('Calc - SENIOR PERS'!$F:$F,_xlpm.FTE)))</f>
        <v>0</v>
      </c>
      <c r="D89" s="3050" cm="1">
        <f t="array" aca="1" ref="D89" ca="1">_xlfn.LET(_xlpm.Person,INT((ROW()-ROW($A$38))/9),_xlpm.Period,VALUE(RIGHT(D$38,LEN(D$38)-1))-1,_xlpm.ROWNUM,11+14*_xlpm.Person+_xlpm.Period,_xlpm.FTE,7+14*_xlpm.Person,
(INDEX('Calc - SENIOR PERS'!$C:$C,_xlpm.ROWNUM) * INDEX('Calc - SENIOR PERS'!$F:$F,_xlpm.FTE)))</f>
        <v>0</v>
      </c>
      <c r="E89" s="3050" cm="1">
        <f t="array" aca="1" ref="E89" ca="1">_xlfn.LET(_xlpm.Person,INT((ROW()-ROW($A$38))/9),_xlpm.Period,VALUE(RIGHT(E$38,LEN(E$38)-1))-1,_xlpm.ROWNUM,11+14*_xlpm.Person+_xlpm.Period,_xlpm.FTE,7+14*_xlpm.Person,
(INDEX('Calc - SENIOR PERS'!$C:$C,_xlpm.ROWNUM) * INDEX('Calc - SENIOR PERS'!$F:$F,_xlpm.FTE)))</f>
        <v>0</v>
      </c>
      <c r="F89" s="3050" cm="1">
        <f t="array" aca="1" ref="F89" ca="1">_xlfn.LET(_xlpm.Person,INT((ROW()-ROW($A$38))/9),_xlpm.Period,VALUE(RIGHT(F$38,LEN(F$38)-1))-1,_xlpm.ROWNUM,11+14*_xlpm.Person+_xlpm.Period,_xlpm.FTE,7+14*_xlpm.Person,
(INDEX('Calc - SENIOR PERS'!$C:$C,_xlpm.ROWNUM) * INDEX('Calc - SENIOR PERS'!$F:$F,_xlpm.FTE)))</f>
        <v>0</v>
      </c>
      <c r="G89" s="3050" cm="1">
        <f t="array" aca="1" ref="G89" ca="1">_xlfn.LET(_xlpm.Person,INT((ROW()-ROW($A$38))/9),_xlpm.Period,VALUE(RIGHT(G$38,LEN(G$38)-1))-1,_xlpm.ROWNUM,11+14*_xlpm.Person+_xlpm.Period,_xlpm.FTE,7+14*_xlpm.Person,
(INDEX('Calc - SENIOR PERS'!$C:$C,_xlpm.ROWNUM) * INDEX('Calc - SENIOR PERS'!$F:$F,_xlpm.FTE)))</f>
        <v>0</v>
      </c>
      <c r="H89" s="3050" cm="1">
        <f t="array" aca="1" ref="H89" ca="1">_xlfn.LET(_xlpm.Person,INT((ROW()-ROW($A$38))/9),_xlpm.Period,VALUE(RIGHT(H$38,LEN(H$38)-1))-1,_xlpm.ROWNUM,11+14*_xlpm.Person+_xlpm.Period,_xlpm.FTE,7+14*_xlpm.Person,
(INDEX('Calc - SENIOR PERS'!$C:$C,_xlpm.ROWNUM) * INDEX('Calc - SENIOR PERS'!$F:$F,_xlpm.FTE)))</f>
        <v>0</v>
      </c>
      <c r="I89" s="926"/>
    </row>
    <row r="90" spans="1:9" hidden="1" x14ac:dyDescent="0.25">
      <c r="I90" s="926"/>
    </row>
    <row r="91" spans="1:9" hidden="1" x14ac:dyDescent="0.25">
      <c r="I91" s="926"/>
    </row>
    <row r="92" spans="1:9" hidden="1" x14ac:dyDescent="0.25">
      <c r="A92" s="3041" cm="1">
        <f t="array" ref="A92">INDEX('DATA INPUT'!B:B,11+INT((ROW()-ROW($B$38))/9))</f>
        <v>0</v>
      </c>
      <c r="B92" s="847"/>
      <c r="C92" s="3042" t="s">
        <v>1041</v>
      </c>
      <c r="D92" s="3042" t="s">
        <v>1042</v>
      </c>
      <c r="E92" s="3042" t="s">
        <v>1043</v>
      </c>
      <c r="F92" s="3042" t="s">
        <v>1044</v>
      </c>
      <c r="G92" s="3042" t="s">
        <v>1045</v>
      </c>
      <c r="H92" s="3042" t="s">
        <v>1046</v>
      </c>
      <c r="I92" s="926"/>
    </row>
    <row r="93" spans="1:9" ht="17.25" hidden="1" x14ac:dyDescent="0.3">
      <c r="A93" s="3043">
        <f t="shared" ref="A93" ca="1" si="24">SUM(C93:H93)</f>
        <v>0</v>
      </c>
      <c r="B93" s="3044" t="s">
        <v>3</v>
      </c>
      <c r="C93" s="3045">
        <f t="shared" ref="C93:H93" ca="1" si="25">ROUND(C94*C97*(1+C95), 2)</f>
        <v>0</v>
      </c>
      <c r="D93" s="3045">
        <f t="shared" ca="1" si="25"/>
        <v>0</v>
      </c>
      <c r="E93" s="3045">
        <f t="shared" ca="1" si="25"/>
        <v>0</v>
      </c>
      <c r="F93" s="3045">
        <f t="shared" ca="1" si="25"/>
        <v>0</v>
      </c>
      <c r="G93" s="3045">
        <f t="shared" ca="1" si="25"/>
        <v>0</v>
      </c>
      <c r="H93" s="3045">
        <f t="shared" ca="1" si="25"/>
        <v>0</v>
      </c>
      <c r="I93" s="926"/>
    </row>
    <row r="94" spans="1:9" hidden="1" x14ac:dyDescent="0.25">
      <c r="A94" s="503" t="s">
        <v>110</v>
      </c>
      <c r="B94" s="847" t="s">
        <v>1050</v>
      </c>
      <c r="C94" s="3058" cm="1">
        <f t="array" aca="1" ref="C94" ca="1">_xlfn.LET(_xlpm.Person,INT((ROW()-ROW($A$38))/9),_xlpm.Period,VALUE(RIGHT(C$38,LEN(C$38)-1))-1,_xlpm.ROWNUM,11+14*_xlpm.Person+_xlpm.Period,
ROUND(INDEX('Calc - SENIOR PERS'!$K:$K,_xlpm.ROWNUM),2))</f>
        <v>0</v>
      </c>
      <c r="D94" s="3058" cm="1">
        <f t="array" aca="1" ref="D94" ca="1">_xlfn.LET(_xlpm.Person,INT((ROW()-ROW($A$38))/9),_xlpm.Period,VALUE(RIGHT(D$38,LEN(D$38)-1))-1,_xlpm.ROWNUM,11+14*_xlpm.Person+_xlpm.Period,
ROUND(INDEX('Calc - SENIOR PERS'!$K:$K,_xlpm.ROWNUM),2))</f>
        <v>0</v>
      </c>
      <c r="E94" s="3058" cm="1">
        <f t="array" aca="1" ref="E94" ca="1">_xlfn.LET(_xlpm.Person,INT((ROW()-ROW($A$38))/9),_xlpm.Period,VALUE(RIGHT(E$38,LEN(E$38)-1))-1,_xlpm.ROWNUM,11+14*_xlpm.Person+_xlpm.Period,
ROUND(INDEX('Calc - SENIOR PERS'!$K:$K,_xlpm.ROWNUM),2))</f>
        <v>0</v>
      </c>
      <c r="F94" s="3058" cm="1">
        <f t="array" aca="1" ref="F94" ca="1">_xlfn.LET(_xlpm.Person,INT((ROW()-ROW($A$38))/9),_xlpm.Period,VALUE(RIGHT(F$38,LEN(F$38)-1))-1,_xlpm.ROWNUM,11+14*_xlpm.Person+_xlpm.Period,
ROUND(INDEX('Calc - SENIOR PERS'!$K:$K,_xlpm.ROWNUM),2))</f>
        <v>0</v>
      </c>
      <c r="G94" s="3058" cm="1">
        <f t="array" aca="1" ref="G94" ca="1">_xlfn.LET(_xlpm.Person,INT((ROW()-ROW($A$38))/9),_xlpm.Period,VALUE(RIGHT(G$38,LEN(G$38)-1))-1,_xlpm.ROWNUM,11+14*_xlpm.Person+_xlpm.Period,
ROUND(INDEX('Calc - SENIOR PERS'!$K:$K,_xlpm.ROWNUM),2))</f>
        <v>0</v>
      </c>
      <c r="H94" s="3058" cm="1">
        <f t="array" aca="1" ref="H94" ca="1">_xlfn.LET(_xlpm.Person,INT((ROW()-ROW($A$38))/9),_xlpm.Period,VALUE(RIGHT(H$38,LEN(H$38)-1))-1,_xlpm.ROWNUM,11+14*_xlpm.Person+_xlpm.Period,
ROUND(INDEX('Calc - SENIOR PERS'!$K:$K,_xlpm.ROWNUM),2))</f>
        <v>0</v>
      </c>
      <c r="I94" s="926"/>
    </row>
    <row r="95" spans="1:9" hidden="1" x14ac:dyDescent="0.25">
      <c r="A95" s="3047" t="s">
        <v>1051</v>
      </c>
      <c r="B95" s="847" t="s">
        <v>1052</v>
      </c>
      <c r="C95" s="3048" cm="1">
        <f t="array" aca="1" ref="C95" ca="1">_xlfn.LET(_xlpm.Person,INT((ROW()-ROW($A$38))/9),_xlpm.Period,VALUE(RIGHT(C$38,LEN(C$38)-1))-1,_xlpm.ROWNUM,11+14*_xlpm.Person+_xlpm.Period,
INDEX('Calc - SENIOR PERS'!$P:$P,_xlpm.ROWNUM))</f>
        <v>0.50700000000000001</v>
      </c>
      <c r="D95" s="3048" cm="1">
        <f t="array" aca="1" ref="D95" ca="1">_xlfn.LET(_xlpm.Person,INT((ROW()-ROW($A$38))/9),_xlpm.Period,VALUE(RIGHT(D$38,LEN(D$38)-1))-1,_xlpm.ROWNUM,11+14*_xlpm.Person+_xlpm.Period,
INDEX('Calc - SENIOR PERS'!$P:$P,_xlpm.ROWNUM))</f>
        <v>0.52700000000000002</v>
      </c>
      <c r="E95" s="3048" cm="1">
        <f t="array" aca="1" ref="E95" ca="1">_xlfn.LET(_xlpm.Person,INT((ROW()-ROW($A$38))/9),_xlpm.Period,VALUE(RIGHT(E$38,LEN(E$38)-1))-1,_xlpm.ROWNUM,11+14*_xlpm.Person+_xlpm.Period,
INDEX('Calc - SENIOR PERS'!$P:$P,_xlpm.ROWNUM))</f>
        <v>0.54700000000000004</v>
      </c>
      <c r="F95" s="3048" cm="1">
        <f t="array" aca="1" ref="F95" ca="1">_xlfn.LET(_xlpm.Person,INT((ROW()-ROW($A$38))/9),_xlpm.Period,VALUE(RIGHT(F$38,LEN(F$38)-1))-1,_xlpm.ROWNUM,11+14*_xlpm.Person+_xlpm.Period,
INDEX('Calc - SENIOR PERS'!$P:$P,_xlpm.ROWNUM))</f>
        <v>0.56700000000000006</v>
      </c>
      <c r="G95" s="3048" cm="1">
        <f t="array" aca="1" ref="G95" ca="1">_xlfn.LET(_xlpm.Person,INT((ROW()-ROW($A$38))/9),_xlpm.Period,VALUE(RIGHT(G$38,LEN(G$38)-1))-1,_xlpm.ROWNUM,11+14*_xlpm.Person+_xlpm.Period,
INDEX('Calc - SENIOR PERS'!$P:$P,_xlpm.ROWNUM))</f>
        <v>0.58700000000000008</v>
      </c>
      <c r="H95" s="3048" cm="1">
        <f t="array" aca="1" ref="H95" ca="1">_xlfn.LET(_xlpm.Person,INT((ROW()-ROW($A$38))/9),_xlpm.Period,VALUE(RIGHT(H$38,LEN(H$38)-1))-1,_xlpm.ROWNUM,11+14*_xlpm.Person+_xlpm.Period,
INDEX('Calc - SENIOR PERS'!$P:$P,_xlpm.ROWNUM))</f>
        <v>0.6070000000000001</v>
      </c>
      <c r="I95" s="926"/>
    </row>
    <row r="96" spans="1:9" hidden="1" x14ac:dyDescent="0.25">
      <c r="A96" s="3049">
        <f t="shared" ref="A96:A98" ca="1" si="26">SUM(C96:H96)</f>
        <v>0</v>
      </c>
      <c r="B96" s="847" t="s">
        <v>1053</v>
      </c>
      <c r="C96" s="3050" cm="1">
        <f t="array" aca="1" ref="C96" ca="1">_xlfn.LET(_xlpm.Person,INT((ROW()-ROW($A$38))/9),_xlpm.Period,VALUE(RIGHT(C$38,LEN(C$38)-1))-1,_xlpm.ROWNUM,11+14*_xlpm.Person+_xlpm.Period,_xlpm.FTE,7+14*_xlpm.Person,
(INDEX('Calc - SENIOR PERS'!$C:$C,_xlpm.ROWNUM) + INDEX('Calc - SENIOR PERS'!$D:$D,_xlpm.ROWNUM) + INDEX('Calc - SENIOR PERS'!$V:$V,_xlpm.ROWNUM)) * INDEX('Calc - SENIOR PERS'!$F:$F,_xlpm.FTE))</f>
        <v>0</v>
      </c>
      <c r="D96" s="3050" cm="1">
        <f t="array" aca="1" ref="D96" ca="1">_xlfn.LET(_xlpm.Person,INT((ROW()-ROW($A$38))/9),_xlpm.Period,VALUE(RIGHT(D$38,LEN(D$38)-1))-1,_xlpm.ROWNUM,11+14*_xlpm.Person+_xlpm.Period,_xlpm.FTE,7+14*_xlpm.Person,
(INDEX('Calc - SENIOR PERS'!$C:$C,_xlpm.ROWNUM) + INDEX('Calc - SENIOR PERS'!$D:$D,_xlpm.ROWNUM) + INDEX('Calc - SENIOR PERS'!$V:$V,_xlpm.ROWNUM)) * INDEX('Calc - SENIOR PERS'!$F:$F,_xlpm.FTE))</f>
        <v>0</v>
      </c>
      <c r="E96" s="3050" cm="1">
        <f t="array" aca="1" ref="E96" ca="1">_xlfn.LET(_xlpm.Person,INT((ROW()-ROW($A$38))/9),_xlpm.Period,VALUE(RIGHT(E$38,LEN(E$38)-1))-1,_xlpm.ROWNUM,11+14*_xlpm.Person+_xlpm.Period,_xlpm.FTE,7+14*_xlpm.Person,
(INDEX('Calc - SENIOR PERS'!$C:$C,_xlpm.ROWNUM) + INDEX('Calc - SENIOR PERS'!$D:$D,_xlpm.ROWNUM) + INDEX('Calc - SENIOR PERS'!$V:$V,_xlpm.ROWNUM)) * INDEX('Calc - SENIOR PERS'!$F:$F,_xlpm.FTE))</f>
        <v>0</v>
      </c>
      <c r="F96" s="3050" cm="1">
        <f t="array" aca="1" ref="F96" ca="1">_xlfn.LET(_xlpm.Person,INT((ROW()-ROW($A$38))/9),_xlpm.Period,VALUE(RIGHT(F$38,LEN(F$38)-1))-1,_xlpm.ROWNUM,11+14*_xlpm.Person+_xlpm.Period,_xlpm.FTE,7+14*_xlpm.Person,
(INDEX('Calc - SENIOR PERS'!$C:$C,_xlpm.ROWNUM) + INDEX('Calc - SENIOR PERS'!$D:$D,_xlpm.ROWNUM) + INDEX('Calc - SENIOR PERS'!$V:$V,_xlpm.ROWNUM)) * INDEX('Calc - SENIOR PERS'!$F:$F,_xlpm.FTE))</f>
        <v>0</v>
      </c>
      <c r="G96" s="3050" cm="1">
        <f t="array" aca="1" ref="G96" ca="1">_xlfn.LET(_xlpm.Person,INT((ROW()-ROW($A$38))/9),_xlpm.Period,VALUE(RIGHT(G$38,LEN(G$38)-1))-1,_xlpm.ROWNUM,11+14*_xlpm.Person+_xlpm.Period,_xlpm.FTE,7+14*_xlpm.Person,
(INDEX('Calc - SENIOR PERS'!$C:$C,_xlpm.ROWNUM) + INDEX('Calc - SENIOR PERS'!$D:$D,_xlpm.ROWNUM) + INDEX('Calc - SENIOR PERS'!$V:$V,_xlpm.ROWNUM)) * INDEX('Calc - SENIOR PERS'!$F:$F,_xlpm.FTE))</f>
        <v>0</v>
      </c>
      <c r="H96" s="3050" cm="1">
        <f t="array" aca="1" ref="H96" ca="1">_xlfn.LET(_xlpm.Person,INT((ROW()-ROW($A$38))/9),_xlpm.Period,VALUE(RIGHT(H$38,LEN(H$38)-1))-1,_xlpm.ROWNUM,11+14*_xlpm.Person+_xlpm.Period,_xlpm.FTE,7+14*_xlpm.Person,
(INDEX('Calc - SENIOR PERS'!$C:$C,_xlpm.ROWNUM) + INDEX('Calc - SENIOR PERS'!$D:$D,_xlpm.ROWNUM) + INDEX('Calc - SENIOR PERS'!$V:$V,_xlpm.ROWNUM)) * INDEX('Calc - SENIOR PERS'!$F:$F,_xlpm.FTE))</f>
        <v>0</v>
      </c>
      <c r="I96" s="926"/>
    </row>
    <row r="97" spans="1:9" hidden="1" x14ac:dyDescent="0.25">
      <c r="A97" s="3049">
        <f t="shared" ca="1" si="26"/>
        <v>0</v>
      </c>
      <c r="B97" s="847" t="s">
        <v>1054</v>
      </c>
      <c r="C97" s="3050" cm="1">
        <f t="array" aca="1" ref="C97" ca="1">_xlfn.LET(_xlpm.Person,INT((ROW()-ROW($A$38))/9),_xlpm.Period,VALUE(RIGHT(C$38,LEN(C$38)-1))-1,_xlpm.ROWNUM,11+14*_xlpm.Person+_xlpm.Period,_xlpm.FTE,7+14*_xlpm.Person,
(INDEX('Calc - SENIOR PERS'!$C:$C,_xlpm.ROWNUM) + INDEX('Calc - SENIOR PERS'!$D:$D,_xlpm.ROWNUM)) * INDEX('Calc - SENIOR PERS'!$F:$F,_xlpm.FTE))</f>
        <v>0</v>
      </c>
      <c r="D97" s="3050" cm="1">
        <f t="array" aca="1" ref="D97" ca="1">_xlfn.LET(_xlpm.Person,INT((ROW()-ROW($A$38))/9),_xlpm.Period,VALUE(RIGHT(D$38,LEN(D$38)-1))-1,_xlpm.ROWNUM,11+14*_xlpm.Person+_xlpm.Period,_xlpm.FTE,7+14*_xlpm.Person,
(INDEX('Calc - SENIOR PERS'!$C:$C,_xlpm.ROWNUM) + INDEX('Calc - SENIOR PERS'!$D:$D,_xlpm.ROWNUM)) * INDEX('Calc - SENIOR PERS'!$F:$F,_xlpm.FTE))</f>
        <v>0</v>
      </c>
      <c r="E97" s="3050" cm="1">
        <f t="array" aca="1" ref="E97" ca="1">_xlfn.LET(_xlpm.Person,INT((ROW()-ROW($A$38))/9),_xlpm.Period,VALUE(RIGHT(E$38,LEN(E$38)-1))-1,_xlpm.ROWNUM,11+14*_xlpm.Person+_xlpm.Period,_xlpm.FTE,7+14*_xlpm.Person,
(INDEX('Calc - SENIOR PERS'!$C:$C,_xlpm.ROWNUM) + INDEX('Calc - SENIOR PERS'!$D:$D,_xlpm.ROWNUM)) * INDEX('Calc - SENIOR PERS'!$F:$F,_xlpm.FTE))</f>
        <v>0</v>
      </c>
      <c r="F97" s="3050" cm="1">
        <f t="array" aca="1" ref="F97" ca="1">_xlfn.LET(_xlpm.Person,INT((ROW()-ROW($A$38))/9),_xlpm.Period,VALUE(RIGHT(F$38,LEN(F$38)-1))-1,_xlpm.ROWNUM,11+14*_xlpm.Person+_xlpm.Period,_xlpm.FTE,7+14*_xlpm.Person,
(INDEX('Calc - SENIOR PERS'!$C:$C,_xlpm.ROWNUM) + INDEX('Calc - SENIOR PERS'!$D:$D,_xlpm.ROWNUM)) * INDEX('Calc - SENIOR PERS'!$F:$F,_xlpm.FTE))</f>
        <v>0</v>
      </c>
      <c r="G97" s="3050" cm="1">
        <f t="array" aca="1" ref="G97" ca="1">_xlfn.LET(_xlpm.Person,INT((ROW()-ROW($A$38))/9),_xlpm.Period,VALUE(RIGHT(G$38,LEN(G$38)-1))-1,_xlpm.ROWNUM,11+14*_xlpm.Person+_xlpm.Period,_xlpm.FTE,7+14*_xlpm.Person,
(INDEX('Calc - SENIOR PERS'!$C:$C,_xlpm.ROWNUM) + INDEX('Calc - SENIOR PERS'!$D:$D,_xlpm.ROWNUM)) * INDEX('Calc - SENIOR PERS'!$F:$F,_xlpm.FTE))</f>
        <v>0</v>
      </c>
      <c r="H97" s="3050" cm="1">
        <f t="array" aca="1" ref="H97" ca="1">_xlfn.LET(_xlpm.Person,INT((ROW()-ROW($A$38))/9),_xlpm.Period,VALUE(RIGHT(H$38,LEN(H$38)-1))-1,_xlpm.ROWNUM,11+14*_xlpm.Person+_xlpm.Period,_xlpm.FTE,7+14*_xlpm.Person,
(INDEX('Calc - SENIOR PERS'!$C:$C,_xlpm.ROWNUM) + INDEX('Calc - SENIOR PERS'!$D:$D,_xlpm.ROWNUM)) * INDEX('Calc - SENIOR PERS'!$F:$F,_xlpm.FTE))</f>
        <v>0</v>
      </c>
      <c r="I97" s="926"/>
    </row>
    <row r="98" spans="1:9" hidden="1" x14ac:dyDescent="0.25">
      <c r="A98" s="3049">
        <f t="shared" ca="1" si="26"/>
        <v>0</v>
      </c>
      <c r="B98" s="847" t="s">
        <v>1055</v>
      </c>
      <c r="C98" s="3050" cm="1">
        <f t="array" aca="1" ref="C98" ca="1">_xlfn.LET(_xlpm.Person,INT((ROW()-ROW($A$38))/9),_xlpm.Period,VALUE(RIGHT(C$38,LEN(C$38)-1))-1,_xlpm.ROWNUM,11+14*_xlpm.Person+_xlpm.Period,_xlpm.FTE,7+14*_xlpm.Person,
(INDEX('Calc - SENIOR PERS'!$C:$C,_xlpm.ROWNUM) * INDEX('Calc - SENIOR PERS'!$F:$F,_xlpm.FTE)))</f>
        <v>0</v>
      </c>
      <c r="D98" s="3050" cm="1">
        <f t="array" aca="1" ref="D98" ca="1">_xlfn.LET(_xlpm.Person,INT((ROW()-ROW($A$38))/9),_xlpm.Period,VALUE(RIGHT(D$38,LEN(D$38)-1))-1,_xlpm.ROWNUM,11+14*_xlpm.Person+_xlpm.Period,_xlpm.FTE,7+14*_xlpm.Person,
(INDEX('Calc - SENIOR PERS'!$C:$C,_xlpm.ROWNUM) * INDEX('Calc - SENIOR PERS'!$F:$F,_xlpm.FTE)))</f>
        <v>0</v>
      </c>
      <c r="E98" s="3050" cm="1">
        <f t="array" aca="1" ref="E98" ca="1">_xlfn.LET(_xlpm.Person,INT((ROW()-ROW($A$38))/9),_xlpm.Period,VALUE(RIGHT(E$38,LEN(E$38)-1))-1,_xlpm.ROWNUM,11+14*_xlpm.Person+_xlpm.Period,_xlpm.FTE,7+14*_xlpm.Person,
(INDEX('Calc - SENIOR PERS'!$C:$C,_xlpm.ROWNUM) * INDEX('Calc - SENIOR PERS'!$F:$F,_xlpm.FTE)))</f>
        <v>0</v>
      </c>
      <c r="F98" s="3050" cm="1">
        <f t="array" aca="1" ref="F98" ca="1">_xlfn.LET(_xlpm.Person,INT((ROW()-ROW($A$38))/9),_xlpm.Period,VALUE(RIGHT(F$38,LEN(F$38)-1))-1,_xlpm.ROWNUM,11+14*_xlpm.Person+_xlpm.Period,_xlpm.FTE,7+14*_xlpm.Person,
(INDEX('Calc - SENIOR PERS'!$C:$C,_xlpm.ROWNUM) * INDEX('Calc - SENIOR PERS'!$F:$F,_xlpm.FTE)))</f>
        <v>0</v>
      </c>
      <c r="G98" s="3050" cm="1">
        <f t="array" aca="1" ref="G98" ca="1">_xlfn.LET(_xlpm.Person,INT((ROW()-ROW($A$38))/9),_xlpm.Period,VALUE(RIGHT(G$38,LEN(G$38)-1))-1,_xlpm.ROWNUM,11+14*_xlpm.Person+_xlpm.Period,_xlpm.FTE,7+14*_xlpm.Person,
(INDEX('Calc - SENIOR PERS'!$C:$C,_xlpm.ROWNUM) * INDEX('Calc - SENIOR PERS'!$F:$F,_xlpm.FTE)))</f>
        <v>0</v>
      </c>
      <c r="H98" s="3050" cm="1">
        <f t="array" aca="1" ref="H98" ca="1">_xlfn.LET(_xlpm.Person,INT((ROW()-ROW($A$38))/9),_xlpm.Period,VALUE(RIGHT(H$38,LEN(H$38)-1))-1,_xlpm.ROWNUM,11+14*_xlpm.Person+_xlpm.Period,_xlpm.FTE,7+14*_xlpm.Person,
(INDEX('Calc - SENIOR PERS'!$C:$C,_xlpm.ROWNUM) * INDEX('Calc - SENIOR PERS'!$F:$F,_xlpm.FTE)))</f>
        <v>0</v>
      </c>
      <c r="I98" s="926"/>
    </row>
    <row r="99" spans="1:9" hidden="1" x14ac:dyDescent="0.25">
      <c r="I99" s="926"/>
    </row>
    <row r="100" spans="1:9" hidden="1" x14ac:dyDescent="0.25">
      <c r="I100" s="926"/>
    </row>
    <row r="101" spans="1:9" hidden="1" x14ac:dyDescent="0.25">
      <c r="A101" s="3041" cm="1">
        <f t="array" ref="A101">INDEX('DATA INPUT'!B:B,11+INT((ROW()-ROW($B$38))/9))</f>
        <v>0</v>
      </c>
      <c r="B101" s="847"/>
      <c r="C101" s="3042" t="s">
        <v>1041</v>
      </c>
      <c r="D101" s="3042" t="s">
        <v>1042</v>
      </c>
      <c r="E101" s="3042" t="s">
        <v>1043</v>
      </c>
      <c r="F101" s="3042" t="s">
        <v>1044</v>
      </c>
      <c r="G101" s="3042" t="s">
        <v>1045</v>
      </c>
      <c r="H101" s="3042" t="s">
        <v>1046</v>
      </c>
      <c r="I101" s="926"/>
    </row>
    <row r="102" spans="1:9" ht="17.25" hidden="1" x14ac:dyDescent="0.3">
      <c r="A102" s="3043">
        <f t="shared" ref="A102" ca="1" si="27">SUM(C102:H102)</f>
        <v>0</v>
      </c>
      <c r="B102" s="3044" t="s">
        <v>3</v>
      </c>
      <c r="C102" s="3045">
        <f t="shared" ref="C102:H102" ca="1" si="28">ROUND(C103*C106*(1+C104), 2)</f>
        <v>0</v>
      </c>
      <c r="D102" s="3045">
        <f t="shared" ca="1" si="28"/>
        <v>0</v>
      </c>
      <c r="E102" s="3045">
        <f t="shared" ca="1" si="28"/>
        <v>0</v>
      </c>
      <c r="F102" s="3045">
        <f t="shared" ca="1" si="28"/>
        <v>0</v>
      </c>
      <c r="G102" s="3045">
        <f t="shared" ca="1" si="28"/>
        <v>0</v>
      </c>
      <c r="H102" s="3045">
        <f t="shared" ca="1" si="28"/>
        <v>0</v>
      </c>
      <c r="I102" s="926"/>
    </row>
    <row r="103" spans="1:9" hidden="1" x14ac:dyDescent="0.25">
      <c r="A103" s="503" t="s">
        <v>110</v>
      </c>
      <c r="B103" s="847" t="s">
        <v>1050</v>
      </c>
      <c r="C103" s="3058" cm="1">
        <f t="array" aca="1" ref="C103" ca="1">_xlfn.LET(_xlpm.Person,INT((ROW()-ROW($A$38))/9),_xlpm.Period,VALUE(RIGHT(C$38,LEN(C$38)-1))-1,_xlpm.ROWNUM,11+14*_xlpm.Person+_xlpm.Period,
ROUND(INDEX('Calc - SENIOR PERS'!$K:$K,_xlpm.ROWNUM),2))</f>
        <v>0</v>
      </c>
      <c r="D103" s="3058" cm="1">
        <f t="array" aca="1" ref="D103" ca="1">_xlfn.LET(_xlpm.Person,INT((ROW()-ROW($A$38))/9),_xlpm.Period,VALUE(RIGHT(D$38,LEN(D$38)-1))-1,_xlpm.ROWNUM,11+14*_xlpm.Person+_xlpm.Period,
ROUND(INDEX('Calc - SENIOR PERS'!$K:$K,_xlpm.ROWNUM),2))</f>
        <v>0</v>
      </c>
      <c r="E103" s="3058" cm="1">
        <f t="array" aca="1" ref="E103" ca="1">_xlfn.LET(_xlpm.Person,INT((ROW()-ROW($A$38))/9),_xlpm.Period,VALUE(RIGHT(E$38,LEN(E$38)-1))-1,_xlpm.ROWNUM,11+14*_xlpm.Person+_xlpm.Period,
ROUND(INDEX('Calc - SENIOR PERS'!$K:$K,_xlpm.ROWNUM),2))</f>
        <v>0</v>
      </c>
      <c r="F103" s="3058" cm="1">
        <f t="array" aca="1" ref="F103" ca="1">_xlfn.LET(_xlpm.Person,INT((ROW()-ROW($A$38))/9),_xlpm.Period,VALUE(RIGHT(F$38,LEN(F$38)-1))-1,_xlpm.ROWNUM,11+14*_xlpm.Person+_xlpm.Period,
ROUND(INDEX('Calc - SENIOR PERS'!$K:$K,_xlpm.ROWNUM),2))</f>
        <v>0</v>
      </c>
      <c r="G103" s="3058" cm="1">
        <f t="array" aca="1" ref="G103" ca="1">_xlfn.LET(_xlpm.Person,INT((ROW()-ROW($A$38))/9),_xlpm.Period,VALUE(RIGHT(G$38,LEN(G$38)-1))-1,_xlpm.ROWNUM,11+14*_xlpm.Person+_xlpm.Period,
ROUND(INDEX('Calc - SENIOR PERS'!$K:$K,_xlpm.ROWNUM),2))</f>
        <v>0</v>
      </c>
      <c r="H103" s="3058" cm="1">
        <f t="array" aca="1" ref="H103" ca="1">_xlfn.LET(_xlpm.Person,INT((ROW()-ROW($A$38))/9),_xlpm.Period,VALUE(RIGHT(H$38,LEN(H$38)-1))-1,_xlpm.ROWNUM,11+14*_xlpm.Person+_xlpm.Period,
ROUND(INDEX('Calc - SENIOR PERS'!$K:$K,_xlpm.ROWNUM),2))</f>
        <v>0</v>
      </c>
      <c r="I103" s="926"/>
    </row>
    <row r="104" spans="1:9" hidden="1" x14ac:dyDescent="0.25">
      <c r="A104" s="3047" t="s">
        <v>1051</v>
      </c>
      <c r="B104" s="847" t="s">
        <v>1052</v>
      </c>
      <c r="C104" s="3048" cm="1">
        <f t="array" aca="1" ref="C104" ca="1">_xlfn.LET(_xlpm.Person,INT((ROW()-ROW($A$38))/9),_xlpm.Period,VALUE(RIGHT(C$38,LEN(C$38)-1))-1,_xlpm.ROWNUM,11+14*_xlpm.Person+_xlpm.Period,
INDEX('Calc - SENIOR PERS'!$P:$P,_xlpm.ROWNUM))</f>
        <v>0.50700000000000001</v>
      </c>
      <c r="D104" s="3048" cm="1">
        <f t="array" aca="1" ref="D104" ca="1">_xlfn.LET(_xlpm.Person,INT((ROW()-ROW($A$38))/9),_xlpm.Period,VALUE(RIGHT(D$38,LEN(D$38)-1))-1,_xlpm.ROWNUM,11+14*_xlpm.Person+_xlpm.Period,
INDEX('Calc - SENIOR PERS'!$P:$P,_xlpm.ROWNUM))</f>
        <v>0.52700000000000002</v>
      </c>
      <c r="E104" s="3048" cm="1">
        <f t="array" aca="1" ref="E104" ca="1">_xlfn.LET(_xlpm.Person,INT((ROW()-ROW($A$38))/9),_xlpm.Period,VALUE(RIGHT(E$38,LEN(E$38)-1))-1,_xlpm.ROWNUM,11+14*_xlpm.Person+_xlpm.Period,
INDEX('Calc - SENIOR PERS'!$P:$P,_xlpm.ROWNUM))</f>
        <v>0.54700000000000004</v>
      </c>
      <c r="F104" s="3048" cm="1">
        <f t="array" aca="1" ref="F104" ca="1">_xlfn.LET(_xlpm.Person,INT((ROW()-ROW($A$38))/9),_xlpm.Period,VALUE(RIGHT(F$38,LEN(F$38)-1))-1,_xlpm.ROWNUM,11+14*_xlpm.Person+_xlpm.Period,
INDEX('Calc - SENIOR PERS'!$P:$P,_xlpm.ROWNUM))</f>
        <v>0.56700000000000006</v>
      </c>
      <c r="G104" s="3048" cm="1">
        <f t="array" aca="1" ref="G104" ca="1">_xlfn.LET(_xlpm.Person,INT((ROW()-ROW($A$38))/9),_xlpm.Period,VALUE(RIGHT(G$38,LEN(G$38)-1))-1,_xlpm.ROWNUM,11+14*_xlpm.Person+_xlpm.Period,
INDEX('Calc - SENIOR PERS'!$P:$P,_xlpm.ROWNUM))</f>
        <v>0.58700000000000008</v>
      </c>
      <c r="H104" s="3048" cm="1">
        <f t="array" aca="1" ref="H104" ca="1">_xlfn.LET(_xlpm.Person,INT((ROW()-ROW($A$38))/9),_xlpm.Period,VALUE(RIGHT(H$38,LEN(H$38)-1))-1,_xlpm.ROWNUM,11+14*_xlpm.Person+_xlpm.Period,
INDEX('Calc - SENIOR PERS'!$P:$P,_xlpm.ROWNUM))</f>
        <v>0.6070000000000001</v>
      </c>
      <c r="I104" s="926"/>
    </row>
    <row r="105" spans="1:9" hidden="1" x14ac:dyDescent="0.25">
      <c r="A105" s="3049">
        <f t="shared" ref="A105:A107" ca="1" si="29">SUM(C105:H105)</f>
        <v>0</v>
      </c>
      <c r="B105" s="847" t="s">
        <v>1053</v>
      </c>
      <c r="C105" s="3050" cm="1">
        <f t="array" aca="1" ref="C105" ca="1">_xlfn.LET(_xlpm.Person,INT((ROW()-ROW($A$38))/9),_xlpm.Period,VALUE(RIGHT(C$38,LEN(C$38)-1))-1,_xlpm.ROWNUM,11+14*_xlpm.Person+_xlpm.Period,_xlpm.FTE,7+14*_xlpm.Person,
(INDEX('Calc - SENIOR PERS'!$C:$C,_xlpm.ROWNUM) + INDEX('Calc - SENIOR PERS'!$D:$D,_xlpm.ROWNUM) + INDEX('Calc - SENIOR PERS'!$V:$V,_xlpm.ROWNUM)) * INDEX('Calc - SENIOR PERS'!$F:$F,_xlpm.FTE))</f>
        <v>0</v>
      </c>
      <c r="D105" s="3050" cm="1">
        <f t="array" aca="1" ref="D105" ca="1">_xlfn.LET(_xlpm.Person,INT((ROW()-ROW($A$38))/9),_xlpm.Period,VALUE(RIGHT(D$38,LEN(D$38)-1))-1,_xlpm.ROWNUM,11+14*_xlpm.Person+_xlpm.Period,_xlpm.FTE,7+14*_xlpm.Person,
(INDEX('Calc - SENIOR PERS'!$C:$C,_xlpm.ROWNUM) + INDEX('Calc - SENIOR PERS'!$D:$D,_xlpm.ROWNUM) + INDEX('Calc - SENIOR PERS'!$V:$V,_xlpm.ROWNUM)) * INDEX('Calc - SENIOR PERS'!$F:$F,_xlpm.FTE))</f>
        <v>0</v>
      </c>
      <c r="E105" s="3050" cm="1">
        <f t="array" aca="1" ref="E105" ca="1">_xlfn.LET(_xlpm.Person,INT((ROW()-ROW($A$38))/9),_xlpm.Period,VALUE(RIGHT(E$38,LEN(E$38)-1))-1,_xlpm.ROWNUM,11+14*_xlpm.Person+_xlpm.Period,_xlpm.FTE,7+14*_xlpm.Person,
(INDEX('Calc - SENIOR PERS'!$C:$C,_xlpm.ROWNUM) + INDEX('Calc - SENIOR PERS'!$D:$D,_xlpm.ROWNUM) + INDEX('Calc - SENIOR PERS'!$V:$V,_xlpm.ROWNUM)) * INDEX('Calc - SENIOR PERS'!$F:$F,_xlpm.FTE))</f>
        <v>0</v>
      </c>
      <c r="F105" s="3050" cm="1">
        <f t="array" aca="1" ref="F105" ca="1">_xlfn.LET(_xlpm.Person,INT((ROW()-ROW($A$38))/9),_xlpm.Period,VALUE(RIGHT(F$38,LEN(F$38)-1))-1,_xlpm.ROWNUM,11+14*_xlpm.Person+_xlpm.Period,_xlpm.FTE,7+14*_xlpm.Person,
(INDEX('Calc - SENIOR PERS'!$C:$C,_xlpm.ROWNUM) + INDEX('Calc - SENIOR PERS'!$D:$D,_xlpm.ROWNUM) + INDEX('Calc - SENIOR PERS'!$V:$V,_xlpm.ROWNUM)) * INDEX('Calc - SENIOR PERS'!$F:$F,_xlpm.FTE))</f>
        <v>0</v>
      </c>
      <c r="G105" s="3050" cm="1">
        <f t="array" aca="1" ref="G105" ca="1">_xlfn.LET(_xlpm.Person,INT((ROW()-ROW($A$38))/9),_xlpm.Period,VALUE(RIGHT(G$38,LEN(G$38)-1))-1,_xlpm.ROWNUM,11+14*_xlpm.Person+_xlpm.Period,_xlpm.FTE,7+14*_xlpm.Person,
(INDEX('Calc - SENIOR PERS'!$C:$C,_xlpm.ROWNUM) + INDEX('Calc - SENIOR PERS'!$D:$D,_xlpm.ROWNUM) + INDEX('Calc - SENIOR PERS'!$V:$V,_xlpm.ROWNUM)) * INDEX('Calc - SENIOR PERS'!$F:$F,_xlpm.FTE))</f>
        <v>0</v>
      </c>
      <c r="H105" s="3050" cm="1">
        <f t="array" aca="1" ref="H105" ca="1">_xlfn.LET(_xlpm.Person,INT((ROW()-ROW($A$38))/9),_xlpm.Period,VALUE(RIGHT(H$38,LEN(H$38)-1))-1,_xlpm.ROWNUM,11+14*_xlpm.Person+_xlpm.Period,_xlpm.FTE,7+14*_xlpm.Person,
(INDEX('Calc - SENIOR PERS'!$C:$C,_xlpm.ROWNUM) + INDEX('Calc - SENIOR PERS'!$D:$D,_xlpm.ROWNUM) + INDEX('Calc - SENIOR PERS'!$V:$V,_xlpm.ROWNUM)) * INDEX('Calc - SENIOR PERS'!$F:$F,_xlpm.FTE))</f>
        <v>0</v>
      </c>
      <c r="I105" s="926"/>
    </row>
    <row r="106" spans="1:9" hidden="1" x14ac:dyDescent="0.25">
      <c r="A106" s="3049">
        <f t="shared" ca="1" si="29"/>
        <v>0</v>
      </c>
      <c r="B106" s="847" t="s">
        <v>1054</v>
      </c>
      <c r="C106" s="3050" cm="1">
        <f t="array" aca="1" ref="C106" ca="1">_xlfn.LET(_xlpm.Person,INT((ROW()-ROW($A$38))/9),_xlpm.Period,VALUE(RIGHT(C$38,LEN(C$38)-1))-1,_xlpm.ROWNUM,11+14*_xlpm.Person+_xlpm.Period,_xlpm.FTE,7+14*_xlpm.Person,
(INDEX('Calc - SENIOR PERS'!$C:$C,_xlpm.ROWNUM) + INDEX('Calc - SENIOR PERS'!$D:$D,_xlpm.ROWNUM)) * INDEX('Calc - SENIOR PERS'!$F:$F,_xlpm.FTE))</f>
        <v>0</v>
      </c>
      <c r="D106" s="3050" cm="1">
        <f t="array" aca="1" ref="D106" ca="1">_xlfn.LET(_xlpm.Person,INT((ROW()-ROW($A$38))/9),_xlpm.Period,VALUE(RIGHT(D$38,LEN(D$38)-1))-1,_xlpm.ROWNUM,11+14*_xlpm.Person+_xlpm.Period,_xlpm.FTE,7+14*_xlpm.Person,
(INDEX('Calc - SENIOR PERS'!$C:$C,_xlpm.ROWNUM) + INDEX('Calc - SENIOR PERS'!$D:$D,_xlpm.ROWNUM)) * INDEX('Calc - SENIOR PERS'!$F:$F,_xlpm.FTE))</f>
        <v>0</v>
      </c>
      <c r="E106" s="3050" cm="1">
        <f t="array" aca="1" ref="E106" ca="1">_xlfn.LET(_xlpm.Person,INT((ROW()-ROW($A$38))/9),_xlpm.Period,VALUE(RIGHT(E$38,LEN(E$38)-1))-1,_xlpm.ROWNUM,11+14*_xlpm.Person+_xlpm.Period,_xlpm.FTE,7+14*_xlpm.Person,
(INDEX('Calc - SENIOR PERS'!$C:$C,_xlpm.ROWNUM) + INDEX('Calc - SENIOR PERS'!$D:$D,_xlpm.ROWNUM)) * INDEX('Calc - SENIOR PERS'!$F:$F,_xlpm.FTE))</f>
        <v>0</v>
      </c>
      <c r="F106" s="3050" cm="1">
        <f t="array" aca="1" ref="F106" ca="1">_xlfn.LET(_xlpm.Person,INT((ROW()-ROW($A$38))/9),_xlpm.Period,VALUE(RIGHT(F$38,LEN(F$38)-1))-1,_xlpm.ROWNUM,11+14*_xlpm.Person+_xlpm.Period,_xlpm.FTE,7+14*_xlpm.Person,
(INDEX('Calc - SENIOR PERS'!$C:$C,_xlpm.ROWNUM) + INDEX('Calc - SENIOR PERS'!$D:$D,_xlpm.ROWNUM)) * INDEX('Calc - SENIOR PERS'!$F:$F,_xlpm.FTE))</f>
        <v>0</v>
      </c>
      <c r="G106" s="3050" cm="1">
        <f t="array" aca="1" ref="G106" ca="1">_xlfn.LET(_xlpm.Person,INT((ROW()-ROW($A$38))/9),_xlpm.Period,VALUE(RIGHT(G$38,LEN(G$38)-1))-1,_xlpm.ROWNUM,11+14*_xlpm.Person+_xlpm.Period,_xlpm.FTE,7+14*_xlpm.Person,
(INDEX('Calc - SENIOR PERS'!$C:$C,_xlpm.ROWNUM) + INDEX('Calc - SENIOR PERS'!$D:$D,_xlpm.ROWNUM)) * INDEX('Calc - SENIOR PERS'!$F:$F,_xlpm.FTE))</f>
        <v>0</v>
      </c>
      <c r="H106" s="3050" cm="1">
        <f t="array" aca="1" ref="H106" ca="1">_xlfn.LET(_xlpm.Person,INT((ROW()-ROW($A$38))/9),_xlpm.Period,VALUE(RIGHT(H$38,LEN(H$38)-1))-1,_xlpm.ROWNUM,11+14*_xlpm.Person+_xlpm.Period,_xlpm.FTE,7+14*_xlpm.Person,
(INDEX('Calc - SENIOR PERS'!$C:$C,_xlpm.ROWNUM) + INDEX('Calc - SENIOR PERS'!$D:$D,_xlpm.ROWNUM)) * INDEX('Calc - SENIOR PERS'!$F:$F,_xlpm.FTE))</f>
        <v>0</v>
      </c>
      <c r="I106" s="926"/>
    </row>
    <row r="107" spans="1:9" hidden="1" x14ac:dyDescent="0.25">
      <c r="A107" s="3049">
        <f t="shared" ca="1" si="29"/>
        <v>0</v>
      </c>
      <c r="B107" s="847" t="s">
        <v>1055</v>
      </c>
      <c r="C107" s="3050" cm="1">
        <f t="array" aca="1" ref="C107" ca="1">_xlfn.LET(_xlpm.Person,INT((ROW()-ROW($A$38))/9),_xlpm.Period,VALUE(RIGHT(C$38,LEN(C$38)-1))-1,_xlpm.ROWNUM,11+14*_xlpm.Person+_xlpm.Period,_xlpm.FTE,7+14*_xlpm.Person,
(INDEX('Calc - SENIOR PERS'!$C:$C,_xlpm.ROWNUM) * INDEX('Calc - SENIOR PERS'!$F:$F,_xlpm.FTE)))</f>
        <v>0</v>
      </c>
      <c r="D107" s="3050" cm="1">
        <f t="array" aca="1" ref="D107" ca="1">_xlfn.LET(_xlpm.Person,INT((ROW()-ROW($A$38))/9),_xlpm.Period,VALUE(RIGHT(D$38,LEN(D$38)-1))-1,_xlpm.ROWNUM,11+14*_xlpm.Person+_xlpm.Period,_xlpm.FTE,7+14*_xlpm.Person,
(INDEX('Calc - SENIOR PERS'!$C:$C,_xlpm.ROWNUM) * INDEX('Calc - SENIOR PERS'!$F:$F,_xlpm.FTE)))</f>
        <v>0</v>
      </c>
      <c r="E107" s="3050" cm="1">
        <f t="array" aca="1" ref="E107" ca="1">_xlfn.LET(_xlpm.Person,INT((ROW()-ROW($A$38))/9),_xlpm.Period,VALUE(RIGHT(E$38,LEN(E$38)-1))-1,_xlpm.ROWNUM,11+14*_xlpm.Person+_xlpm.Period,_xlpm.FTE,7+14*_xlpm.Person,
(INDEX('Calc - SENIOR PERS'!$C:$C,_xlpm.ROWNUM) * INDEX('Calc - SENIOR PERS'!$F:$F,_xlpm.FTE)))</f>
        <v>0</v>
      </c>
      <c r="F107" s="3050" cm="1">
        <f t="array" aca="1" ref="F107" ca="1">_xlfn.LET(_xlpm.Person,INT((ROW()-ROW($A$38))/9),_xlpm.Period,VALUE(RIGHT(F$38,LEN(F$38)-1))-1,_xlpm.ROWNUM,11+14*_xlpm.Person+_xlpm.Period,_xlpm.FTE,7+14*_xlpm.Person,
(INDEX('Calc - SENIOR PERS'!$C:$C,_xlpm.ROWNUM) * INDEX('Calc - SENIOR PERS'!$F:$F,_xlpm.FTE)))</f>
        <v>0</v>
      </c>
      <c r="G107" s="3050" cm="1">
        <f t="array" aca="1" ref="G107" ca="1">_xlfn.LET(_xlpm.Person,INT((ROW()-ROW($A$38))/9),_xlpm.Period,VALUE(RIGHT(G$38,LEN(G$38)-1))-1,_xlpm.ROWNUM,11+14*_xlpm.Person+_xlpm.Period,_xlpm.FTE,7+14*_xlpm.Person,
(INDEX('Calc - SENIOR PERS'!$C:$C,_xlpm.ROWNUM) * INDEX('Calc - SENIOR PERS'!$F:$F,_xlpm.FTE)))</f>
        <v>0</v>
      </c>
      <c r="H107" s="3050" cm="1">
        <f t="array" aca="1" ref="H107" ca="1">_xlfn.LET(_xlpm.Person,INT((ROW()-ROW($A$38))/9),_xlpm.Period,VALUE(RIGHT(H$38,LEN(H$38)-1))-1,_xlpm.ROWNUM,11+14*_xlpm.Person+_xlpm.Period,_xlpm.FTE,7+14*_xlpm.Person,
(INDEX('Calc - SENIOR PERS'!$C:$C,_xlpm.ROWNUM) * INDEX('Calc - SENIOR PERS'!$F:$F,_xlpm.FTE)))</f>
        <v>0</v>
      </c>
      <c r="I107" s="926"/>
    </row>
    <row r="108" spans="1:9" hidden="1" x14ac:dyDescent="0.25">
      <c r="I108" s="926"/>
    </row>
    <row r="109" spans="1:9" hidden="1" x14ac:dyDescent="0.25">
      <c r="I109" s="926"/>
    </row>
    <row r="110" spans="1:9" hidden="1" x14ac:dyDescent="0.25">
      <c r="A110" s="3041" cm="1">
        <f t="array" ref="A110">INDEX('DATA INPUT'!B:B,11+INT((ROW()-ROW($B$38))/9))</f>
        <v>0</v>
      </c>
      <c r="B110" s="847"/>
      <c r="C110" s="3042" t="s">
        <v>1041</v>
      </c>
      <c r="D110" s="3042" t="s">
        <v>1042</v>
      </c>
      <c r="E110" s="3042" t="s">
        <v>1043</v>
      </c>
      <c r="F110" s="3042" t="s">
        <v>1044</v>
      </c>
      <c r="G110" s="3042" t="s">
        <v>1045</v>
      </c>
      <c r="H110" s="3042" t="s">
        <v>1046</v>
      </c>
      <c r="I110" s="926"/>
    </row>
    <row r="111" spans="1:9" ht="17.25" hidden="1" x14ac:dyDescent="0.3">
      <c r="A111" s="3043">
        <f t="shared" ref="A111" ca="1" si="30">SUM(C111:H111)</f>
        <v>0</v>
      </c>
      <c r="B111" s="3044" t="s">
        <v>3</v>
      </c>
      <c r="C111" s="3045">
        <f t="shared" ref="C111:H111" ca="1" si="31">ROUND(C112*C115*(1+C113), 2)</f>
        <v>0</v>
      </c>
      <c r="D111" s="3045">
        <f t="shared" ca="1" si="31"/>
        <v>0</v>
      </c>
      <c r="E111" s="3045">
        <f t="shared" ca="1" si="31"/>
        <v>0</v>
      </c>
      <c r="F111" s="3045">
        <f t="shared" ca="1" si="31"/>
        <v>0</v>
      </c>
      <c r="G111" s="3045">
        <f t="shared" ca="1" si="31"/>
        <v>0</v>
      </c>
      <c r="H111" s="3045">
        <f t="shared" ca="1" si="31"/>
        <v>0</v>
      </c>
      <c r="I111" s="926"/>
    </row>
    <row r="112" spans="1:9" hidden="1" x14ac:dyDescent="0.25">
      <c r="A112" s="503" t="s">
        <v>110</v>
      </c>
      <c r="B112" s="847" t="s">
        <v>1050</v>
      </c>
      <c r="C112" s="3058" cm="1">
        <f t="array" aca="1" ref="C112" ca="1">_xlfn.LET(_xlpm.Person,INT((ROW()-ROW($A$38))/9),_xlpm.Period,VALUE(RIGHT(C$38,LEN(C$38)-1))-1,_xlpm.ROWNUM,11+14*_xlpm.Person+_xlpm.Period,
ROUND(INDEX('Calc - SENIOR PERS'!$K:$K,_xlpm.ROWNUM),2))</f>
        <v>0</v>
      </c>
      <c r="D112" s="3058" cm="1">
        <f t="array" aca="1" ref="D112" ca="1">_xlfn.LET(_xlpm.Person,INT((ROW()-ROW($A$38))/9),_xlpm.Period,VALUE(RIGHT(D$38,LEN(D$38)-1))-1,_xlpm.ROWNUM,11+14*_xlpm.Person+_xlpm.Period,
ROUND(INDEX('Calc - SENIOR PERS'!$K:$K,_xlpm.ROWNUM),2))</f>
        <v>0</v>
      </c>
      <c r="E112" s="3058" cm="1">
        <f t="array" aca="1" ref="E112" ca="1">_xlfn.LET(_xlpm.Person,INT((ROW()-ROW($A$38))/9),_xlpm.Period,VALUE(RIGHT(E$38,LEN(E$38)-1))-1,_xlpm.ROWNUM,11+14*_xlpm.Person+_xlpm.Period,
ROUND(INDEX('Calc - SENIOR PERS'!$K:$K,_xlpm.ROWNUM),2))</f>
        <v>0</v>
      </c>
      <c r="F112" s="3058" cm="1">
        <f t="array" aca="1" ref="F112" ca="1">_xlfn.LET(_xlpm.Person,INT((ROW()-ROW($A$38))/9),_xlpm.Period,VALUE(RIGHT(F$38,LEN(F$38)-1))-1,_xlpm.ROWNUM,11+14*_xlpm.Person+_xlpm.Period,
ROUND(INDEX('Calc - SENIOR PERS'!$K:$K,_xlpm.ROWNUM),2))</f>
        <v>0</v>
      </c>
      <c r="G112" s="3058" cm="1">
        <f t="array" aca="1" ref="G112" ca="1">_xlfn.LET(_xlpm.Person,INT((ROW()-ROW($A$38))/9),_xlpm.Period,VALUE(RIGHT(G$38,LEN(G$38)-1))-1,_xlpm.ROWNUM,11+14*_xlpm.Person+_xlpm.Period,
ROUND(INDEX('Calc - SENIOR PERS'!$K:$K,_xlpm.ROWNUM),2))</f>
        <v>0</v>
      </c>
      <c r="H112" s="3058" cm="1">
        <f t="array" aca="1" ref="H112" ca="1">_xlfn.LET(_xlpm.Person,INT((ROW()-ROW($A$38))/9),_xlpm.Period,VALUE(RIGHT(H$38,LEN(H$38)-1))-1,_xlpm.ROWNUM,11+14*_xlpm.Person+_xlpm.Period,
ROUND(INDEX('Calc - SENIOR PERS'!$K:$K,_xlpm.ROWNUM),2))</f>
        <v>0</v>
      </c>
      <c r="I112" s="926"/>
    </row>
    <row r="113" spans="1:9" hidden="1" x14ac:dyDescent="0.25">
      <c r="A113" s="3047" t="s">
        <v>1051</v>
      </c>
      <c r="B113" s="847" t="s">
        <v>1052</v>
      </c>
      <c r="C113" s="3048" cm="1">
        <f t="array" aca="1" ref="C113" ca="1">_xlfn.LET(_xlpm.Person,INT((ROW()-ROW($A$38))/9),_xlpm.Period,VALUE(RIGHT(C$38,LEN(C$38)-1))-1,_xlpm.ROWNUM,11+14*_xlpm.Person+_xlpm.Period,
INDEX('Calc - SENIOR PERS'!$P:$P,_xlpm.ROWNUM))</f>
        <v>0.50700000000000001</v>
      </c>
      <c r="D113" s="3048" cm="1">
        <f t="array" aca="1" ref="D113" ca="1">_xlfn.LET(_xlpm.Person,INT((ROW()-ROW($A$38))/9),_xlpm.Period,VALUE(RIGHT(D$38,LEN(D$38)-1))-1,_xlpm.ROWNUM,11+14*_xlpm.Person+_xlpm.Period,
INDEX('Calc - SENIOR PERS'!$P:$P,_xlpm.ROWNUM))</f>
        <v>0.52700000000000002</v>
      </c>
      <c r="E113" s="3048" cm="1">
        <f t="array" aca="1" ref="E113" ca="1">_xlfn.LET(_xlpm.Person,INT((ROW()-ROW($A$38))/9),_xlpm.Period,VALUE(RIGHT(E$38,LEN(E$38)-1))-1,_xlpm.ROWNUM,11+14*_xlpm.Person+_xlpm.Period,
INDEX('Calc - SENIOR PERS'!$P:$P,_xlpm.ROWNUM))</f>
        <v>0.54700000000000004</v>
      </c>
      <c r="F113" s="3048" cm="1">
        <f t="array" aca="1" ref="F113" ca="1">_xlfn.LET(_xlpm.Person,INT((ROW()-ROW($A$38))/9),_xlpm.Period,VALUE(RIGHT(F$38,LEN(F$38)-1))-1,_xlpm.ROWNUM,11+14*_xlpm.Person+_xlpm.Period,
INDEX('Calc - SENIOR PERS'!$P:$P,_xlpm.ROWNUM))</f>
        <v>0.56700000000000006</v>
      </c>
      <c r="G113" s="3048" cm="1">
        <f t="array" aca="1" ref="G113" ca="1">_xlfn.LET(_xlpm.Person,INT((ROW()-ROW($A$38))/9),_xlpm.Period,VALUE(RIGHT(G$38,LEN(G$38)-1))-1,_xlpm.ROWNUM,11+14*_xlpm.Person+_xlpm.Period,
INDEX('Calc - SENIOR PERS'!$P:$P,_xlpm.ROWNUM))</f>
        <v>0.58700000000000008</v>
      </c>
      <c r="H113" s="3048" cm="1">
        <f t="array" aca="1" ref="H113" ca="1">_xlfn.LET(_xlpm.Person,INT((ROW()-ROW($A$38))/9),_xlpm.Period,VALUE(RIGHT(H$38,LEN(H$38)-1))-1,_xlpm.ROWNUM,11+14*_xlpm.Person+_xlpm.Period,
INDEX('Calc - SENIOR PERS'!$P:$P,_xlpm.ROWNUM))</f>
        <v>0.6070000000000001</v>
      </c>
      <c r="I113" s="926"/>
    </row>
    <row r="114" spans="1:9" hidden="1" x14ac:dyDescent="0.25">
      <c r="A114" s="3049">
        <f t="shared" ref="A114:A116" ca="1" si="32">SUM(C114:H114)</f>
        <v>0</v>
      </c>
      <c r="B114" s="847" t="s">
        <v>1053</v>
      </c>
      <c r="C114" s="3050" cm="1">
        <f t="array" aca="1" ref="C114" ca="1">_xlfn.LET(_xlpm.Person,INT((ROW()-ROW($A$38))/9),_xlpm.Period,VALUE(RIGHT(C$38,LEN(C$38)-1))-1,_xlpm.ROWNUM,11+14*_xlpm.Person+_xlpm.Period,_xlpm.FTE,7+14*_xlpm.Person,
(INDEX('Calc - SENIOR PERS'!$C:$C,_xlpm.ROWNUM) + INDEX('Calc - SENIOR PERS'!$D:$D,_xlpm.ROWNUM) + INDEX('Calc - SENIOR PERS'!$V:$V,_xlpm.ROWNUM)) * INDEX('Calc - SENIOR PERS'!$F:$F,_xlpm.FTE))</f>
        <v>0</v>
      </c>
      <c r="D114" s="3050" cm="1">
        <f t="array" aca="1" ref="D114" ca="1">_xlfn.LET(_xlpm.Person,INT((ROW()-ROW($A$38))/9),_xlpm.Period,VALUE(RIGHT(D$38,LEN(D$38)-1))-1,_xlpm.ROWNUM,11+14*_xlpm.Person+_xlpm.Period,_xlpm.FTE,7+14*_xlpm.Person,
(INDEX('Calc - SENIOR PERS'!$C:$C,_xlpm.ROWNUM) + INDEX('Calc - SENIOR PERS'!$D:$D,_xlpm.ROWNUM) + INDEX('Calc - SENIOR PERS'!$V:$V,_xlpm.ROWNUM)) * INDEX('Calc - SENIOR PERS'!$F:$F,_xlpm.FTE))</f>
        <v>0</v>
      </c>
      <c r="E114" s="3050" cm="1">
        <f t="array" aca="1" ref="E114" ca="1">_xlfn.LET(_xlpm.Person,INT((ROW()-ROW($A$38))/9),_xlpm.Period,VALUE(RIGHT(E$38,LEN(E$38)-1))-1,_xlpm.ROWNUM,11+14*_xlpm.Person+_xlpm.Period,_xlpm.FTE,7+14*_xlpm.Person,
(INDEX('Calc - SENIOR PERS'!$C:$C,_xlpm.ROWNUM) + INDEX('Calc - SENIOR PERS'!$D:$D,_xlpm.ROWNUM) + INDEX('Calc - SENIOR PERS'!$V:$V,_xlpm.ROWNUM)) * INDEX('Calc - SENIOR PERS'!$F:$F,_xlpm.FTE))</f>
        <v>0</v>
      </c>
      <c r="F114" s="3050" cm="1">
        <f t="array" aca="1" ref="F114" ca="1">_xlfn.LET(_xlpm.Person,INT((ROW()-ROW($A$38))/9),_xlpm.Period,VALUE(RIGHT(F$38,LEN(F$38)-1))-1,_xlpm.ROWNUM,11+14*_xlpm.Person+_xlpm.Period,_xlpm.FTE,7+14*_xlpm.Person,
(INDEX('Calc - SENIOR PERS'!$C:$C,_xlpm.ROWNUM) + INDEX('Calc - SENIOR PERS'!$D:$D,_xlpm.ROWNUM) + INDEX('Calc - SENIOR PERS'!$V:$V,_xlpm.ROWNUM)) * INDEX('Calc - SENIOR PERS'!$F:$F,_xlpm.FTE))</f>
        <v>0</v>
      </c>
      <c r="G114" s="3050" cm="1">
        <f t="array" aca="1" ref="G114" ca="1">_xlfn.LET(_xlpm.Person,INT((ROW()-ROW($A$38))/9),_xlpm.Period,VALUE(RIGHT(G$38,LEN(G$38)-1))-1,_xlpm.ROWNUM,11+14*_xlpm.Person+_xlpm.Period,_xlpm.FTE,7+14*_xlpm.Person,
(INDEX('Calc - SENIOR PERS'!$C:$C,_xlpm.ROWNUM) + INDEX('Calc - SENIOR PERS'!$D:$D,_xlpm.ROWNUM) + INDEX('Calc - SENIOR PERS'!$V:$V,_xlpm.ROWNUM)) * INDEX('Calc - SENIOR PERS'!$F:$F,_xlpm.FTE))</f>
        <v>0</v>
      </c>
      <c r="H114" s="3050" cm="1">
        <f t="array" aca="1" ref="H114" ca="1">_xlfn.LET(_xlpm.Person,INT((ROW()-ROW($A$38))/9),_xlpm.Period,VALUE(RIGHT(H$38,LEN(H$38)-1))-1,_xlpm.ROWNUM,11+14*_xlpm.Person+_xlpm.Period,_xlpm.FTE,7+14*_xlpm.Person,
(INDEX('Calc - SENIOR PERS'!$C:$C,_xlpm.ROWNUM) + INDEX('Calc - SENIOR PERS'!$D:$D,_xlpm.ROWNUM) + INDEX('Calc - SENIOR PERS'!$V:$V,_xlpm.ROWNUM)) * INDEX('Calc - SENIOR PERS'!$F:$F,_xlpm.FTE))</f>
        <v>0</v>
      </c>
      <c r="I114" s="926"/>
    </row>
    <row r="115" spans="1:9" hidden="1" x14ac:dyDescent="0.25">
      <c r="A115" s="3049">
        <f t="shared" ca="1" si="32"/>
        <v>0</v>
      </c>
      <c r="B115" s="847" t="s">
        <v>1054</v>
      </c>
      <c r="C115" s="3050" cm="1">
        <f t="array" aca="1" ref="C115" ca="1">_xlfn.LET(_xlpm.Person,INT((ROW()-ROW($A$38))/9),_xlpm.Period,VALUE(RIGHT(C$38,LEN(C$38)-1))-1,_xlpm.ROWNUM,11+14*_xlpm.Person+_xlpm.Period,_xlpm.FTE,7+14*_xlpm.Person,
(INDEX('Calc - SENIOR PERS'!$C:$C,_xlpm.ROWNUM) + INDEX('Calc - SENIOR PERS'!$D:$D,_xlpm.ROWNUM)) * INDEX('Calc - SENIOR PERS'!$F:$F,_xlpm.FTE))</f>
        <v>0</v>
      </c>
      <c r="D115" s="3050" cm="1">
        <f t="array" aca="1" ref="D115" ca="1">_xlfn.LET(_xlpm.Person,INT((ROW()-ROW($A$38))/9),_xlpm.Period,VALUE(RIGHT(D$38,LEN(D$38)-1))-1,_xlpm.ROWNUM,11+14*_xlpm.Person+_xlpm.Period,_xlpm.FTE,7+14*_xlpm.Person,
(INDEX('Calc - SENIOR PERS'!$C:$C,_xlpm.ROWNUM) + INDEX('Calc - SENIOR PERS'!$D:$D,_xlpm.ROWNUM)) * INDEX('Calc - SENIOR PERS'!$F:$F,_xlpm.FTE))</f>
        <v>0</v>
      </c>
      <c r="E115" s="3050" cm="1">
        <f t="array" aca="1" ref="E115" ca="1">_xlfn.LET(_xlpm.Person,INT((ROW()-ROW($A$38))/9),_xlpm.Period,VALUE(RIGHT(E$38,LEN(E$38)-1))-1,_xlpm.ROWNUM,11+14*_xlpm.Person+_xlpm.Period,_xlpm.FTE,7+14*_xlpm.Person,
(INDEX('Calc - SENIOR PERS'!$C:$C,_xlpm.ROWNUM) + INDEX('Calc - SENIOR PERS'!$D:$D,_xlpm.ROWNUM)) * INDEX('Calc - SENIOR PERS'!$F:$F,_xlpm.FTE))</f>
        <v>0</v>
      </c>
      <c r="F115" s="3050" cm="1">
        <f t="array" aca="1" ref="F115" ca="1">_xlfn.LET(_xlpm.Person,INT((ROW()-ROW($A$38))/9),_xlpm.Period,VALUE(RIGHT(F$38,LEN(F$38)-1))-1,_xlpm.ROWNUM,11+14*_xlpm.Person+_xlpm.Period,_xlpm.FTE,7+14*_xlpm.Person,
(INDEX('Calc - SENIOR PERS'!$C:$C,_xlpm.ROWNUM) + INDEX('Calc - SENIOR PERS'!$D:$D,_xlpm.ROWNUM)) * INDEX('Calc - SENIOR PERS'!$F:$F,_xlpm.FTE))</f>
        <v>0</v>
      </c>
      <c r="G115" s="3050" cm="1">
        <f t="array" aca="1" ref="G115" ca="1">_xlfn.LET(_xlpm.Person,INT((ROW()-ROW($A$38))/9),_xlpm.Period,VALUE(RIGHT(G$38,LEN(G$38)-1))-1,_xlpm.ROWNUM,11+14*_xlpm.Person+_xlpm.Period,_xlpm.FTE,7+14*_xlpm.Person,
(INDEX('Calc - SENIOR PERS'!$C:$C,_xlpm.ROWNUM) + INDEX('Calc - SENIOR PERS'!$D:$D,_xlpm.ROWNUM)) * INDEX('Calc - SENIOR PERS'!$F:$F,_xlpm.FTE))</f>
        <v>0</v>
      </c>
      <c r="H115" s="3050" cm="1">
        <f t="array" aca="1" ref="H115" ca="1">_xlfn.LET(_xlpm.Person,INT((ROW()-ROW($A$38))/9),_xlpm.Period,VALUE(RIGHT(H$38,LEN(H$38)-1))-1,_xlpm.ROWNUM,11+14*_xlpm.Person+_xlpm.Period,_xlpm.FTE,7+14*_xlpm.Person,
(INDEX('Calc - SENIOR PERS'!$C:$C,_xlpm.ROWNUM) + INDEX('Calc - SENIOR PERS'!$D:$D,_xlpm.ROWNUM)) * INDEX('Calc - SENIOR PERS'!$F:$F,_xlpm.FTE))</f>
        <v>0</v>
      </c>
      <c r="I115" s="926"/>
    </row>
    <row r="116" spans="1:9" hidden="1" x14ac:dyDescent="0.25">
      <c r="A116" s="3049">
        <f t="shared" ca="1" si="32"/>
        <v>0</v>
      </c>
      <c r="B116" s="847" t="s">
        <v>1055</v>
      </c>
      <c r="C116" s="3050" cm="1">
        <f t="array" aca="1" ref="C116" ca="1">_xlfn.LET(_xlpm.Person,INT((ROW()-ROW($A$38))/9),_xlpm.Period,VALUE(RIGHT(C$38,LEN(C$38)-1))-1,_xlpm.ROWNUM,11+14*_xlpm.Person+_xlpm.Period,_xlpm.FTE,7+14*_xlpm.Person,
(INDEX('Calc - SENIOR PERS'!$C:$C,_xlpm.ROWNUM) * INDEX('Calc - SENIOR PERS'!$F:$F,_xlpm.FTE)))</f>
        <v>0</v>
      </c>
      <c r="D116" s="3050" cm="1">
        <f t="array" aca="1" ref="D116" ca="1">_xlfn.LET(_xlpm.Person,INT((ROW()-ROW($A$38))/9),_xlpm.Period,VALUE(RIGHT(D$38,LEN(D$38)-1))-1,_xlpm.ROWNUM,11+14*_xlpm.Person+_xlpm.Period,_xlpm.FTE,7+14*_xlpm.Person,
(INDEX('Calc - SENIOR PERS'!$C:$C,_xlpm.ROWNUM) * INDEX('Calc - SENIOR PERS'!$F:$F,_xlpm.FTE)))</f>
        <v>0</v>
      </c>
      <c r="E116" s="3050" cm="1">
        <f t="array" aca="1" ref="E116" ca="1">_xlfn.LET(_xlpm.Person,INT((ROW()-ROW($A$38))/9),_xlpm.Period,VALUE(RIGHT(E$38,LEN(E$38)-1))-1,_xlpm.ROWNUM,11+14*_xlpm.Person+_xlpm.Period,_xlpm.FTE,7+14*_xlpm.Person,
(INDEX('Calc - SENIOR PERS'!$C:$C,_xlpm.ROWNUM) * INDEX('Calc - SENIOR PERS'!$F:$F,_xlpm.FTE)))</f>
        <v>0</v>
      </c>
      <c r="F116" s="3050" cm="1">
        <f t="array" aca="1" ref="F116" ca="1">_xlfn.LET(_xlpm.Person,INT((ROW()-ROW($A$38))/9),_xlpm.Period,VALUE(RIGHT(F$38,LEN(F$38)-1))-1,_xlpm.ROWNUM,11+14*_xlpm.Person+_xlpm.Period,_xlpm.FTE,7+14*_xlpm.Person,
(INDEX('Calc - SENIOR PERS'!$C:$C,_xlpm.ROWNUM) * INDEX('Calc - SENIOR PERS'!$F:$F,_xlpm.FTE)))</f>
        <v>0</v>
      </c>
      <c r="G116" s="3050" cm="1">
        <f t="array" aca="1" ref="G116" ca="1">_xlfn.LET(_xlpm.Person,INT((ROW()-ROW($A$38))/9),_xlpm.Period,VALUE(RIGHT(G$38,LEN(G$38)-1))-1,_xlpm.ROWNUM,11+14*_xlpm.Person+_xlpm.Period,_xlpm.FTE,7+14*_xlpm.Person,
(INDEX('Calc - SENIOR PERS'!$C:$C,_xlpm.ROWNUM) * INDEX('Calc - SENIOR PERS'!$F:$F,_xlpm.FTE)))</f>
        <v>0</v>
      </c>
      <c r="H116" s="3050" cm="1">
        <f t="array" aca="1" ref="H116" ca="1">_xlfn.LET(_xlpm.Person,INT((ROW()-ROW($A$38))/9),_xlpm.Period,VALUE(RIGHT(H$38,LEN(H$38)-1))-1,_xlpm.ROWNUM,11+14*_xlpm.Person+_xlpm.Period,_xlpm.FTE,7+14*_xlpm.Person,
(INDEX('Calc - SENIOR PERS'!$C:$C,_xlpm.ROWNUM) * INDEX('Calc - SENIOR PERS'!$F:$F,_xlpm.FTE)))</f>
        <v>0</v>
      </c>
      <c r="I116" s="926"/>
    </row>
    <row r="117" spans="1:9" hidden="1" x14ac:dyDescent="0.25">
      <c r="I117" s="926"/>
    </row>
    <row r="118" spans="1:9" hidden="1" x14ac:dyDescent="0.25">
      <c r="I118" s="926"/>
    </row>
    <row r="119" spans="1:9" hidden="1" x14ac:dyDescent="0.25">
      <c r="A119" s="3041" cm="1">
        <f t="array" ref="A119">INDEX('DATA INPUT'!B:B,11+INT((ROW()-ROW($B$38))/9))</f>
        <v>0</v>
      </c>
      <c r="B119" s="847"/>
      <c r="C119" s="3042" t="s">
        <v>1041</v>
      </c>
      <c r="D119" s="3042" t="s">
        <v>1042</v>
      </c>
      <c r="E119" s="3042" t="s">
        <v>1043</v>
      </c>
      <c r="F119" s="3042" t="s">
        <v>1044</v>
      </c>
      <c r="G119" s="3042" t="s">
        <v>1045</v>
      </c>
      <c r="H119" s="3042" t="s">
        <v>1046</v>
      </c>
      <c r="I119" s="926"/>
    </row>
    <row r="120" spans="1:9" ht="17.25" hidden="1" x14ac:dyDescent="0.3">
      <c r="A120" s="3043">
        <f t="shared" ref="A120" ca="1" si="33">SUM(C120:H120)</f>
        <v>0</v>
      </c>
      <c r="B120" s="3044" t="s">
        <v>3</v>
      </c>
      <c r="C120" s="3045">
        <f t="shared" ref="C120:H120" ca="1" si="34">ROUND(C121*C124*(1+C122), 2)</f>
        <v>0</v>
      </c>
      <c r="D120" s="3045">
        <f t="shared" ca="1" si="34"/>
        <v>0</v>
      </c>
      <c r="E120" s="3045">
        <f t="shared" ca="1" si="34"/>
        <v>0</v>
      </c>
      <c r="F120" s="3045">
        <f t="shared" ca="1" si="34"/>
        <v>0</v>
      </c>
      <c r="G120" s="3045">
        <f t="shared" ca="1" si="34"/>
        <v>0</v>
      </c>
      <c r="H120" s="3045">
        <f t="shared" ca="1" si="34"/>
        <v>0</v>
      </c>
      <c r="I120" s="926"/>
    </row>
    <row r="121" spans="1:9" hidden="1" x14ac:dyDescent="0.25">
      <c r="A121" s="503" t="s">
        <v>110</v>
      </c>
      <c r="B121" s="847" t="s">
        <v>1050</v>
      </c>
      <c r="C121" s="3058" cm="1">
        <f t="array" aca="1" ref="C121" ca="1">_xlfn.LET(_xlpm.Person,INT((ROW()-ROW($A$38))/9),_xlpm.Period,VALUE(RIGHT(C$38,LEN(C$38)-1))-1,_xlpm.ROWNUM,11+14*_xlpm.Person+_xlpm.Period,
ROUND(INDEX('Calc - SENIOR PERS'!$K:$K,_xlpm.ROWNUM),2))</f>
        <v>0</v>
      </c>
      <c r="D121" s="3058" cm="1">
        <f t="array" aca="1" ref="D121" ca="1">_xlfn.LET(_xlpm.Person,INT((ROW()-ROW($A$38))/9),_xlpm.Period,VALUE(RIGHT(D$38,LEN(D$38)-1))-1,_xlpm.ROWNUM,11+14*_xlpm.Person+_xlpm.Period,
ROUND(INDEX('Calc - SENIOR PERS'!$K:$K,_xlpm.ROWNUM),2))</f>
        <v>0</v>
      </c>
      <c r="E121" s="3058" cm="1">
        <f t="array" aca="1" ref="E121" ca="1">_xlfn.LET(_xlpm.Person,INT((ROW()-ROW($A$38))/9),_xlpm.Period,VALUE(RIGHT(E$38,LEN(E$38)-1))-1,_xlpm.ROWNUM,11+14*_xlpm.Person+_xlpm.Period,
ROUND(INDEX('Calc - SENIOR PERS'!$K:$K,_xlpm.ROWNUM),2))</f>
        <v>0</v>
      </c>
      <c r="F121" s="3058" cm="1">
        <f t="array" aca="1" ref="F121" ca="1">_xlfn.LET(_xlpm.Person,INT((ROW()-ROW($A$38))/9),_xlpm.Period,VALUE(RIGHT(F$38,LEN(F$38)-1))-1,_xlpm.ROWNUM,11+14*_xlpm.Person+_xlpm.Period,
ROUND(INDEX('Calc - SENIOR PERS'!$K:$K,_xlpm.ROWNUM),2))</f>
        <v>0</v>
      </c>
      <c r="G121" s="3058" cm="1">
        <f t="array" aca="1" ref="G121" ca="1">_xlfn.LET(_xlpm.Person,INT((ROW()-ROW($A$38))/9),_xlpm.Period,VALUE(RIGHT(G$38,LEN(G$38)-1))-1,_xlpm.ROWNUM,11+14*_xlpm.Person+_xlpm.Period,
ROUND(INDEX('Calc - SENIOR PERS'!$K:$K,_xlpm.ROWNUM),2))</f>
        <v>0</v>
      </c>
      <c r="H121" s="3058" cm="1">
        <f t="array" aca="1" ref="H121" ca="1">_xlfn.LET(_xlpm.Person,INT((ROW()-ROW($A$38))/9),_xlpm.Period,VALUE(RIGHT(H$38,LEN(H$38)-1))-1,_xlpm.ROWNUM,11+14*_xlpm.Person+_xlpm.Period,
ROUND(INDEX('Calc - SENIOR PERS'!$K:$K,_xlpm.ROWNUM),2))</f>
        <v>0</v>
      </c>
      <c r="I121" s="926"/>
    </row>
    <row r="122" spans="1:9" hidden="1" x14ac:dyDescent="0.25">
      <c r="A122" s="3047" t="s">
        <v>1051</v>
      </c>
      <c r="B122" s="847" t="s">
        <v>1052</v>
      </c>
      <c r="C122" s="3048" cm="1">
        <f t="array" aca="1" ref="C122" ca="1">_xlfn.LET(_xlpm.Person,INT((ROW()-ROW($A$38))/9),_xlpm.Period,VALUE(RIGHT(C$38,LEN(C$38)-1))-1,_xlpm.ROWNUM,11+14*_xlpm.Person+_xlpm.Period,
INDEX('Calc - SENIOR PERS'!$P:$P,_xlpm.ROWNUM))</f>
        <v>0.50700000000000001</v>
      </c>
      <c r="D122" s="3048" cm="1">
        <f t="array" aca="1" ref="D122" ca="1">_xlfn.LET(_xlpm.Person,INT((ROW()-ROW($A$38))/9),_xlpm.Period,VALUE(RIGHT(D$38,LEN(D$38)-1))-1,_xlpm.ROWNUM,11+14*_xlpm.Person+_xlpm.Period,
INDEX('Calc - SENIOR PERS'!$P:$P,_xlpm.ROWNUM))</f>
        <v>0.52700000000000002</v>
      </c>
      <c r="E122" s="3048" cm="1">
        <f t="array" aca="1" ref="E122" ca="1">_xlfn.LET(_xlpm.Person,INT((ROW()-ROW($A$38))/9),_xlpm.Period,VALUE(RIGHT(E$38,LEN(E$38)-1))-1,_xlpm.ROWNUM,11+14*_xlpm.Person+_xlpm.Period,
INDEX('Calc - SENIOR PERS'!$P:$P,_xlpm.ROWNUM))</f>
        <v>0.54700000000000004</v>
      </c>
      <c r="F122" s="3048" cm="1">
        <f t="array" aca="1" ref="F122" ca="1">_xlfn.LET(_xlpm.Person,INT((ROW()-ROW($A$38))/9),_xlpm.Period,VALUE(RIGHT(F$38,LEN(F$38)-1))-1,_xlpm.ROWNUM,11+14*_xlpm.Person+_xlpm.Period,
INDEX('Calc - SENIOR PERS'!$P:$P,_xlpm.ROWNUM))</f>
        <v>0.56700000000000006</v>
      </c>
      <c r="G122" s="3048" cm="1">
        <f t="array" aca="1" ref="G122" ca="1">_xlfn.LET(_xlpm.Person,INT((ROW()-ROW($A$38))/9),_xlpm.Period,VALUE(RIGHT(G$38,LEN(G$38)-1))-1,_xlpm.ROWNUM,11+14*_xlpm.Person+_xlpm.Period,
INDEX('Calc - SENIOR PERS'!$P:$P,_xlpm.ROWNUM))</f>
        <v>0.58700000000000008</v>
      </c>
      <c r="H122" s="3048" cm="1">
        <f t="array" aca="1" ref="H122" ca="1">_xlfn.LET(_xlpm.Person,INT((ROW()-ROW($A$38))/9),_xlpm.Period,VALUE(RIGHT(H$38,LEN(H$38)-1))-1,_xlpm.ROWNUM,11+14*_xlpm.Person+_xlpm.Period,
INDEX('Calc - SENIOR PERS'!$P:$P,_xlpm.ROWNUM))</f>
        <v>0.6070000000000001</v>
      </c>
      <c r="I122" s="926"/>
    </row>
    <row r="123" spans="1:9" hidden="1" x14ac:dyDescent="0.25">
      <c r="A123" s="3049">
        <f t="shared" ref="A123:A125" ca="1" si="35">SUM(C123:H123)</f>
        <v>0</v>
      </c>
      <c r="B123" s="847" t="s">
        <v>1053</v>
      </c>
      <c r="C123" s="3050" cm="1">
        <f t="array" aca="1" ref="C123" ca="1">_xlfn.LET(_xlpm.Person,INT((ROW()-ROW($A$38))/9),_xlpm.Period,VALUE(RIGHT(C$38,LEN(C$38)-1))-1,_xlpm.ROWNUM,11+14*_xlpm.Person+_xlpm.Period,_xlpm.FTE,7+14*_xlpm.Person,
(INDEX('Calc - SENIOR PERS'!$C:$C,_xlpm.ROWNUM) + INDEX('Calc - SENIOR PERS'!$D:$D,_xlpm.ROWNUM) + INDEX('Calc - SENIOR PERS'!$V:$V,_xlpm.ROWNUM)) * INDEX('Calc - SENIOR PERS'!$F:$F,_xlpm.FTE))</f>
        <v>0</v>
      </c>
      <c r="D123" s="3050" cm="1">
        <f t="array" aca="1" ref="D123" ca="1">_xlfn.LET(_xlpm.Person,INT((ROW()-ROW($A$38))/9),_xlpm.Period,VALUE(RIGHT(D$38,LEN(D$38)-1))-1,_xlpm.ROWNUM,11+14*_xlpm.Person+_xlpm.Period,_xlpm.FTE,7+14*_xlpm.Person,
(INDEX('Calc - SENIOR PERS'!$C:$C,_xlpm.ROWNUM) + INDEX('Calc - SENIOR PERS'!$D:$D,_xlpm.ROWNUM) + INDEX('Calc - SENIOR PERS'!$V:$V,_xlpm.ROWNUM)) * INDEX('Calc - SENIOR PERS'!$F:$F,_xlpm.FTE))</f>
        <v>0</v>
      </c>
      <c r="E123" s="3050" cm="1">
        <f t="array" aca="1" ref="E123" ca="1">_xlfn.LET(_xlpm.Person,INT((ROW()-ROW($A$38))/9),_xlpm.Period,VALUE(RIGHT(E$38,LEN(E$38)-1))-1,_xlpm.ROWNUM,11+14*_xlpm.Person+_xlpm.Period,_xlpm.FTE,7+14*_xlpm.Person,
(INDEX('Calc - SENIOR PERS'!$C:$C,_xlpm.ROWNUM) + INDEX('Calc - SENIOR PERS'!$D:$D,_xlpm.ROWNUM) + INDEX('Calc - SENIOR PERS'!$V:$V,_xlpm.ROWNUM)) * INDEX('Calc - SENIOR PERS'!$F:$F,_xlpm.FTE))</f>
        <v>0</v>
      </c>
      <c r="F123" s="3050" cm="1">
        <f t="array" aca="1" ref="F123" ca="1">_xlfn.LET(_xlpm.Person,INT((ROW()-ROW($A$38))/9),_xlpm.Period,VALUE(RIGHT(F$38,LEN(F$38)-1))-1,_xlpm.ROWNUM,11+14*_xlpm.Person+_xlpm.Period,_xlpm.FTE,7+14*_xlpm.Person,
(INDEX('Calc - SENIOR PERS'!$C:$C,_xlpm.ROWNUM) + INDEX('Calc - SENIOR PERS'!$D:$D,_xlpm.ROWNUM) + INDEX('Calc - SENIOR PERS'!$V:$V,_xlpm.ROWNUM)) * INDEX('Calc - SENIOR PERS'!$F:$F,_xlpm.FTE))</f>
        <v>0</v>
      </c>
      <c r="G123" s="3050" cm="1">
        <f t="array" aca="1" ref="G123" ca="1">_xlfn.LET(_xlpm.Person,INT((ROW()-ROW($A$38))/9),_xlpm.Period,VALUE(RIGHT(G$38,LEN(G$38)-1))-1,_xlpm.ROWNUM,11+14*_xlpm.Person+_xlpm.Period,_xlpm.FTE,7+14*_xlpm.Person,
(INDEX('Calc - SENIOR PERS'!$C:$C,_xlpm.ROWNUM) + INDEX('Calc - SENIOR PERS'!$D:$D,_xlpm.ROWNUM) + INDEX('Calc - SENIOR PERS'!$V:$V,_xlpm.ROWNUM)) * INDEX('Calc - SENIOR PERS'!$F:$F,_xlpm.FTE))</f>
        <v>0</v>
      </c>
      <c r="H123" s="3050" cm="1">
        <f t="array" aca="1" ref="H123" ca="1">_xlfn.LET(_xlpm.Person,INT((ROW()-ROW($A$38))/9),_xlpm.Period,VALUE(RIGHT(H$38,LEN(H$38)-1))-1,_xlpm.ROWNUM,11+14*_xlpm.Person+_xlpm.Period,_xlpm.FTE,7+14*_xlpm.Person,
(INDEX('Calc - SENIOR PERS'!$C:$C,_xlpm.ROWNUM) + INDEX('Calc - SENIOR PERS'!$D:$D,_xlpm.ROWNUM) + INDEX('Calc - SENIOR PERS'!$V:$V,_xlpm.ROWNUM)) * INDEX('Calc - SENIOR PERS'!$F:$F,_xlpm.FTE))</f>
        <v>0</v>
      </c>
      <c r="I123" s="926"/>
    </row>
    <row r="124" spans="1:9" hidden="1" x14ac:dyDescent="0.25">
      <c r="A124" s="3049">
        <f t="shared" ca="1" si="35"/>
        <v>0</v>
      </c>
      <c r="B124" s="847" t="s">
        <v>1054</v>
      </c>
      <c r="C124" s="3050" cm="1">
        <f t="array" aca="1" ref="C124" ca="1">_xlfn.LET(_xlpm.Person,INT((ROW()-ROW($A$38))/9),_xlpm.Period,VALUE(RIGHT(C$38,LEN(C$38)-1))-1,_xlpm.ROWNUM,11+14*_xlpm.Person+_xlpm.Period,_xlpm.FTE,7+14*_xlpm.Person,
(INDEX('Calc - SENIOR PERS'!$C:$C,_xlpm.ROWNUM) + INDEX('Calc - SENIOR PERS'!$D:$D,_xlpm.ROWNUM)) * INDEX('Calc - SENIOR PERS'!$F:$F,_xlpm.FTE))</f>
        <v>0</v>
      </c>
      <c r="D124" s="3050" cm="1">
        <f t="array" aca="1" ref="D124" ca="1">_xlfn.LET(_xlpm.Person,INT((ROW()-ROW($A$38))/9),_xlpm.Period,VALUE(RIGHT(D$38,LEN(D$38)-1))-1,_xlpm.ROWNUM,11+14*_xlpm.Person+_xlpm.Period,_xlpm.FTE,7+14*_xlpm.Person,
(INDEX('Calc - SENIOR PERS'!$C:$C,_xlpm.ROWNUM) + INDEX('Calc - SENIOR PERS'!$D:$D,_xlpm.ROWNUM)) * INDEX('Calc - SENIOR PERS'!$F:$F,_xlpm.FTE))</f>
        <v>0</v>
      </c>
      <c r="E124" s="3050" cm="1">
        <f t="array" aca="1" ref="E124" ca="1">_xlfn.LET(_xlpm.Person,INT((ROW()-ROW($A$38))/9),_xlpm.Period,VALUE(RIGHT(E$38,LEN(E$38)-1))-1,_xlpm.ROWNUM,11+14*_xlpm.Person+_xlpm.Period,_xlpm.FTE,7+14*_xlpm.Person,
(INDEX('Calc - SENIOR PERS'!$C:$C,_xlpm.ROWNUM) + INDEX('Calc - SENIOR PERS'!$D:$D,_xlpm.ROWNUM)) * INDEX('Calc - SENIOR PERS'!$F:$F,_xlpm.FTE))</f>
        <v>0</v>
      </c>
      <c r="F124" s="3050" cm="1">
        <f t="array" aca="1" ref="F124" ca="1">_xlfn.LET(_xlpm.Person,INT((ROW()-ROW($A$38))/9),_xlpm.Period,VALUE(RIGHT(F$38,LEN(F$38)-1))-1,_xlpm.ROWNUM,11+14*_xlpm.Person+_xlpm.Period,_xlpm.FTE,7+14*_xlpm.Person,
(INDEX('Calc - SENIOR PERS'!$C:$C,_xlpm.ROWNUM) + INDEX('Calc - SENIOR PERS'!$D:$D,_xlpm.ROWNUM)) * INDEX('Calc - SENIOR PERS'!$F:$F,_xlpm.FTE))</f>
        <v>0</v>
      </c>
      <c r="G124" s="3050" cm="1">
        <f t="array" aca="1" ref="G124" ca="1">_xlfn.LET(_xlpm.Person,INT((ROW()-ROW($A$38))/9),_xlpm.Period,VALUE(RIGHT(G$38,LEN(G$38)-1))-1,_xlpm.ROWNUM,11+14*_xlpm.Person+_xlpm.Period,_xlpm.FTE,7+14*_xlpm.Person,
(INDEX('Calc - SENIOR PERS'!$C:$C,_xlpm.ROWNUM) + INDEX('Calc - SENIOR PERS'!$D:$D,_xlpm.ROWNUM)) * INDEX('Calc - SENIOR PERS'!$F:$F,_xlpm.FTE))</f>
        <v>0</v>
      </c>
      <c r="H124" s="3050" cm="1">
        <f t="array" aca="1" ref="H124" ca="1">_xlfn.LET(_xlpm.Person,INT((ROW()-ROW($A$38))/9),_xlpm.Period,VALUE(RIGHT(H$38,LEN(H$38)-1))-1,_xlpm.ROWNUM,11+14*_xlpm.Person+_xlpm.Period,_xlpm.FTE,7+14*_xlpm.Person,
(INDEX('Calc - SENIOR PERS'!$C:$C,_xlpm.ROWNUM) + INDEX('Calc - SENIOR PERS'!$D:$D,_xlpm.ROWNUM)) * INDEX('Calc - SENIOR PERS'!$F:$F,_xlpm.FTE))</f>
        <v>0</v>
      </c>
      <c r="I124" s="926"/>
    </row>
    <row r="125" spans="1:9" hidden="1" x14ac:dyDescent="0.25">
      <c r="A125" s="3049">
        <f t="shared" ca="1" si="35"/>
        <v>0</v>
      </c>
      <c r="B125" s="847" t="s">
        <v>1055</v>
      </c>
      <c r="C125" s="3050" cm="1">
        <f t="array" aca="1" ref="C125" ca="1">_xlfn.LET(_xlpm.Person,INT((ROW()-ROW($A$38))/9),_xlpm.Period,VALUE(RIGHT(C$38,LEN(C$38)-1))-1,_xlpm.ROWNUM,11+14*_xlpm.Person+_xlpm.Period,_xlpm.FTE,7+14*_xlpm.Person,
(INDEX('Calc - SENIOR PERS'!$C:$C,_xlpm.ROWNUM) * INDEX('Calc - SENIOR PERS'!$F:$F,_xlpm.FTE)))</f>
        <v>0</v>
      </c>
      <c r="D125" s="3050" cm="1">
        <f t="array" aca="1" ref="D125" ca="1">_xlfn.LET(_xlpm.Person,INT((ROW()-ROW($A$38))/9),_xlpm.Period,VALUE(RIGHT(D$38,LEN(D$38)-1))-1,_xlpm.ROWNUM,11+14*_xlpm.Person+_xlpm.Period,_xlpm.FTE,7+14*_xlpm.Person,
(INDEX('Calc - SENIOR PERS'!$C:$C,_xlpm.ROWNUM) * INDEX('Calc - SENIOR PERS'!$F:$F,_xlpm.FTE)))</f>
        <v>0</v>
      </c>
      <c r="E125" s="3050" cm="1">
        <f t="array" aca="1" ref="E125" ca="1">_xlfn.LET(_xlpm.Person,INT((ROW()-ROW($A$38))/9),_xlpm.Period,VALUE(RIGHT(E$38,LEN(E$38)-1))-1,_xlpm.ROWNUM,11+14*_xlpm.Person+_xlpm.Period,_xlpm.FTE,7+14*_xlpm.Person,
(INDEX('Calc - SENIOR PERS'!$C:$C,_xlpm.ROWNUM) * INDEX('Calc - SENIOR PERS'!$F:$F,_xlpm.FTE)))</f>
        <v>0</v>
      </c>
      <c r="F125" s="3050" cm="1">
        <f t="array" aca="1" ref="F125" ca="1">_xlfn.LET(_xlpm.Person,INT((ROW()-ROW($A$38))/9),_xlpm.Period,VALUE(RIGHT(F$38,LEN(F$38)-1))-1,_xlpm.ROWNUM,11+14*_xlpm.Person+_xlpm.Period,_xlpm.FTE,7+14*_xlpm.Person,
(INDEX('Calc - SENIOR PERS'!$C:$C,_xlpm.ROWNUM) * INDEX('Calc - SENIOR PERS'!$F:$F,_xlpm.FTE)))</f>
        <v>0</v>
      </c>
      <c r="G125" s="3050" cm="1">
        <f t="array" aca="1" ref="G125" ca="1">_xlfn.LET(_xlpm.Person,INT((ROW()-ROW($A$38))/9),_xlpm.Period,VALUE(RIGHT(G$38,LEN(G$38)-1))-1,_xlpm.ROWNUM,11+14*_xlpm.Person+_xlpm.Period,_xlpm.FTE,7+14*_xlpm.Person,
(INDEX('Calc - SENIOR PERS'!$C:$C,_xlpm.ROWNUM) * INDEX('Calc - SENIOR PERS'!$F:$F,_xlpm.FTE)))</f>
        <v>0</v>
      </c>
      <c r="H125" s="3050" cm="1">
        <f t="array" aca="1" ref="H125" ca="1">_xlfn.LET(_xlpm.Person,INT((ROW()-ROW($A$38))/9),_xlpm.Period,VALUE(RIGHT(H$38,LEN(H$38)-1))-1,_xlpm.ROWNUM,11+14*_xlpm.Person+_xlpm.Period,_xlpm.FTE,7+14*_xlpm.Person,
(INDEX('Calc - SENIOR PERS'!$C:$C,_xlpm.ROWNUM) * INDEX('Calc - SENIOR PERS'!$F:$F,_xlpm.FTE)))</f>
        <v>0</v>
      </c>
      <c r="I125" s="926"/>
    </row>
    <row r="126" spans="1:9" hidden="1" x14ac:dyDescent="0.25">
      <c r="I126" s="926"/>
    </row>
    <row r="127" spans="1:9" hidden="1" x14ac:dyDescent="0.25">
      <c r="I127" s="926"/>
    </row>
    <row r="128" spans="1:9" hidden="1" x14ac:dyDescent="0.25">
      <c r="A128" s="3041" cm="1">
        <f t="array" ref="A128">INDEX('DATA INPUT'!B:B,11+INT((ROW()-ROW($B$38))/9))</f>
        <v>0</v>
      </c>
      <c r="B128" s="847"/>
      <c r="C128" s="3042" t="s">
        <v>1041</v>
      </c>
      <c r="D128" s="3042" t="s">
        <v>1042</v>
      </c>
      <c r="E128" s="3042" t="s">
        <v>1043</v>
      </c>
      <c r="F128" s="3042" t="s">
        <v>1044</v>
      </c>
      <c r="G128" s="3042" t="s">
        <v>1045</v>
      </c>
      <c r="H128" s="3042" t="s">
        <v>1046</v>
      </c>
      <c r="I128" s="926"/>
    </row>
    <row r="129" spans="1:9" ht="17.25" hidden="1" x14ac:dyDescent="0.3">
      <c r="A129" s="3043">
        <f t="shared" ref="A129" ca="1" si="36">SUM(C129:H129)</f>
        <v>0</v>
      </c>
      <c r="B129" s="3044" t="s">
        <v>3</v>
      </c>
      <c r="C129" s="3045">
        <f t="shared" ref="C129:H129" ca="1" si="37">ROUND(C130*C133*(1+C131), 2)</f>
        <v>0</v>
      </c>
      <c r="D129" s="3045">
        <f t="shared" ca="1" si="37"/>
        <v>0</v>
      </c>
      <c r="E129" s="3045">
        <f t="shared" ca="1" si="37"/>
        <v>0</v>
      </c>
      <c r="F129" s="3045">
        <f t="shared" ca="1" si="37"/>
        <v>0</v>
      </c>
      <c r="G129" s="3045">
        <f t="shared" ca="1" si="37"/>
        <v>0</v>
      </c>
      <c r="H129" s="3045">
        <f t="shared" ca="1" si="37"/>
        <v>0</v>
      </c>
      <c r="I129" s="926"/>
    </row>
    <row r="130" spans="1:9" hidden="1" x14ac:dyDescent="0.25">
      <c r="A130" s="503" t="s">
        <v>110</v>
      </c>
      <c r="B130" s="847" t="s">
        <v>1050</v>
      </c>
      <c r="C130" s="3058" cm="1">
        <f t="array" aca="1" ref="C130" ca="1">_xlfn.LET(_xlpm.Person,INT((ROW()-ROW($A$38))/9),_xlpm.Period,VALUE(RIGHT(C$38,LEN(C$38)-1))-1,_xlpm.ROWNUM,11+14*_xlpm.Person+_xlpm.Period,
ROUND(INDEX('Calc - SENIOR PERS'!$K:$K,_xlpm.ROWNUM),2))</f>
        <v>0</v>
      </c>
      <c r="D130" s="3058" cm="1">
        <f t="array" aca="1" ref="D130" ca="1">_xlfn.LET(_xlpm.Person,INT((ROW()-ROW($A$38))/9),_xlpm.Period,VALUE(RIGHT(D$38,LEN(D$38)-1))-1,_xlpm.ROWNUM,11+14*_xlpm.Person+_xlpm.Period,
ROUND(INDEX('Calc - SENIOR PERS'!$K:$K,_xlpm.ROWNUM),2))</f>
        <v>0</v>
      </c>
      <c r="E130" s="3058" cm="1">
        <f t="array" aca="1" ref="E130" ca="1">_xlfn.LET(_xlpm.Person,INT((ROW()-ROW($A$38))/9),_xlpm.Period,VALUE(RIGHT(E$38,LEN(E$38)-1))-1,_xlpm.ROWNUM,11+14*_xlpm.Person+_xlpm.Period,
ROUND(INDEX('Calc - SENIOR PERS'!$K:$K,_xlpm.ROWNUM),2))</f>
        <v>0</v>
      </c>
      <c r="F130" s="3058" cm="1">
        <f t="array" aca="1" ref="F130" ca="1">_xlfn.LET(_xlpm.Person,INT((ROW()-ROW($A$38))/9),_xlpm.Period,VALUE(RIGHT(F$38,LEN(F$38)-1))-1,_xlpm.ROWNUM,11+14*_xlpm.Person+_xlpm.Period,
ROUND(INDEX('Calc - SENIOR PERS'!$K:$K,_xlpm.ROWNUM),2))</f>
        <v>0</v>
      </c>
      <c r="G130" s="3058" cm="1">
        <f t="array" aca="1" ref="G130" ca="1">_xlfn.LET(_xlpm.Person,INT((ROW()-ROW($A$38))/9),_xlpm.Period,VALUE(RIGHT(G$38,LEN(G$38)-1))-1,_xlpm.ROWNUM,11+14*_xlpm.Person+_xlpm.Period,
ROUND(INDEX('Calc - SENIOR PERS'!$K:$K,_xlpm.ROWNUM),2))</f>
        <v>0</v>
      </c>
      <c r="H130" s="3058" cm="1">
        <f t="array" aca="1" ref="H130" ca="1">_xlfn.LET(_xlpm.Person,INT((ROW()-ROW($A$38))/9),_xlpm.Period,VALUE(RIGHT(H$38,LEN(H$38)-1))-1,_xlpm.ROWNUM,11+14*_xlpm.Person+_xlpm.Period,
ROUND(INDEX('Calc - SENIOR PERS'!$K:$K,_xlpm.ROWNUM),2))</f>
        <v>0</v>
      </c>
      <c r="I130" s="926"/>
    </row>
    <row r="131" spans="1:9" hidden="1" x14ac:dyDescent="0.25">
      <c r="A131" s="3047" t="s">
        <v>1051</v>
      </c>
      <c r="B131" s="847" t="s">
        <v>1052</v>
      </c>
      <c r="C131" s="3048" cm="1">
        <f t="array" aca="1" ref="C131" ca="1">_xlfn.LET(_xlpm.Person,INT((ROW()-ROW($A$38))/9),_xlpm.Period,VALUE(RIGHT(C$38,LEN(C$38)-1))-1,_xlpm.ROWNUM,11+14*_xlpm.Person+_xlpm.Period,
INDEX('Calc - SENIOR PERS'!$P:$P,_xlpm.ROWNUM))</f>
        <v>0.50700000000000001</v>
      </c>
      <c r="D131" s="3048" cm="1">
        <f t="array" aca="1" ref="D131" ca="1">_xlfn.LET(_xlpm.Person,INT((ROW()-ROW($A$38))/9),_xlpm.Period,VALUE(RIGHT(D$38,LEN(D$38)-1))-1,_xlpm.ROWNUM,11+14*_xlpm.Person+_xlpm.Period,
INDEX('Calc - SENIOR PERS'!$P:$P,_xlpm.ROWNUM))</f>
        <v>0.52700000000000002</v>
      </c>
      <c r="E131" s="3048" cm="1">
        <f t="array" aca="1" ref="E131" ca="1">_xlfn.LET(_xlpm.Person,INT((ROW()-ROW($A$38))/9),_xlpm.Period,VALUE(RIGHT(E$38,LEN(E$38)-1))-1,_xlpm.ROWNUM,11+14*_xlpm.Person+_xlpm.Period,
INDEX('Calc - SENIOR PERS'!$P:$P,_xlpm.ROWNUM))</f>
        <v>0.54700000000000004</v>
      </c>
      <c r="F131" s="3048" cm="1">
        <f t="array" aca="1" ref="F131" ca="1">_xlfn.LET(_xlpm.Person,INT((ROW()-ROW($A$38))/9),_xlpm.Period,VALUE(RIGHT(F$38,LEN(F$38)-1))-1,_xlpm.ROWNUM,11+14*_xlpm.Person+_xlpm.Period,
INDEX('Calc - SENIOR PERS'!$P:$P,_xlpm.ROWNUM))</f>
        <v>0.56700000000000006</v>
      </c>
      <c r="G131" s="3048" cm="1">
        <f t="array" aca="1" ref="G131" ca="1">_xlfn.LET(_xlpm.Person,INT((ROW()-ROW($A$38))/9),_xlpm.Period,VALUE(RIGHT(G$38,LEN(G$38)-1))-1,_xlpm.ROWNUM,11+14*_xlpm.Person+_xlpm.Period,
INDEX('Calc - SENIOR PERS'!$P:$P,_xlpm.ROWNUM))</f>
        <v>0.58700000000000008</v>
      </c>
      <c r="H131" s="3048" cm="1">
        <f t="array" aca="1" ref="H131" ca="1">_xlfn.LET(_xlpm.Person,INT((ROW()-ROW($A$38))/9),_xlpm.Period,VALUE(RIGHT(H$38,LEN(H$38)-1))-1,_xlpm.ROWNUM,11+14*_xlpm.Person+_xlpm.Period,
INDEX('Calc - SENIOR PERS'!$P:$P,_xlpm.ROWNUM))</f>
        <v>0.6070000000000001</v>
      </c>
      <c r="I131" s="926"/>
    </row>
    <row r="132" spans="1:9" hidden="1" x14ac:dyDescent="0.25">
      <c r="A132" s="3049">
        <f t="shared" ref="A132:A134" ca="1" si="38">SUM(C132:H132)</f>
        <v>0</v>
      </c>
      <c r="B132" s="847" t="s">
        <v>1053</v>
      </c>
      <c r="C132" s="3050" cm="1">
        <f t="array" aca="1" ref="C132" ca="1">_xlfn.LET(_xlpm.Person,INT((ROW()-ROW($A$38))/9),_xlpm.Period,VALUE(RIGHT(C$38,LEN(C$38)-1))-1,_xlpm.ROWNUM,11+14*_xlpm.Person+_xlpm.Period,_xlpm.FTE,7+14*_xlpm.Person,
(INDEX('Calc - SENIOR PERS'!$C:$C,_xlpm.ROWNUM) + INDEX('Calc - SENIOR PERS'!$D:$D,_xlpm.ROWNUM) + INDEX('Calc - SENIOR PERS'!$V:$V,_xlpm.ROWNUM)) * INDEX('Calc - SENIOR PERS'!$F:$F,_xlpm.FTE))</f>
        <v>0</v>
      </c>
      <c r="D132" s="3050" cm="1">
        <f t="array" aca="1" ref="D132" ca="1">_xlfn.LET(_xlpm.Person,INT((ROW()-ROW($A$38))/9),_xlpm.Period,VALUE(RIGHT(D$38,LEN(D$38)-1))-1,_xlpm.ROWNUM,11+14*_xlpm.Person+_xlpm.Period,_xlpm.FTE,7+14*_xlpm.Person,
(INDEX('Calc - SENIOR PERS'!$C:$C,_xlpm.ROWNUM) + INDEX('Calc - SENIOR PERS'!$D:$D,_xlpm.ROWNUM) + INDEX('Calc - SENIOR PERS'!$V:$V,_xlpm.ROWNUM)) * INDEX('Calc - SENIOR PERS'!$F:$F,_xlpm.FTE))</f>
        <v>0</v>
      </c>
      <c r="E132" s="3050" cm="1">
        <f t="array" aca="1" ref="E132" ca="1">_xlfn.LET(_xlpm.Person,INT((ROW()-ROW($A$38))/9),_xlpm.Period,VALUE(RIGHT(E$38,LEN(E$38)-1))-1,_xlpm.ROWNUM,11+14*_xlpm.Person+_xlpm.Period,_xlpm.FTE,7+14*_xlpm.Person,
(INDEX('Calc - SENIOR PERS'!$C:$C,_xlpm.ROWNUM) + INDEX('Calc - SENIOR PERS'!$D:$D,_xlpm.ROWNUM) + INDEX('Calc - SENIOR PERS'!$V:$V,_xlpm.ROWNUM)) * INDEX('Calc - SENIOR PERS'!$F:$F,_xlpm.FTE))</f>
        <v>0</v>
      </c>
      <c r="F132" s="3050" cm="1">
        <f t="array" aca="1" ref="F132" ca="1">_xlfn.LET(_xlpm.Person,INT((ROW()-ROW($A$38))/9),_xlpm.Period,VALUE(RIGHT(F$38,LEN(F$38)-1))-1,_xlpm.ROWNUM,11+14*_xlpm.Person+_xlpm.Period,_xlpm.FTE,7+14*_xlpm.Person,
(INDEX('Calc - SENIOR PERS'!$C:$C,_xlpm.ROWNUM) + INDEX('Calc - SENIOR PERS'!$D:$D,_xlpm.ROWNUM) + INDEX('Calc - SENIOR PERS'!$V:$V,_xlpm.ROWNUM)) * INDEX('Calc - SENIOR PERS'!$F:$F,_xlpm.FTE))</f>
        <v>0</v>
      </c>
      <c r="G132" s="3050" cm="1">
        <f t="array" aca="1" ref="G132" ca="1">_xlfn.LET(_xlpm.Person,INT((ROW()-ROW($A$38))/9),_xlpm.Period,VALUE(RIGHT(G$38,LEN(G$38)-1))-1,_xlpm.ROWNUM,11+14*_xlpm.Person+_xlpm.Period,_xlpm.FTE,7+14*_xlpm.Person,
(INDEX('Calc - SENIOR PERS'!$C:$C,_xlpm.ROWNUM) + INDEX('Calc - SENIOR PERS'!$D:$D,_xlpm.ROWNUM) + INDEX('Calc - SENIOR PERS'!$V:$V,_xlpm.ROWNUM)) * INDEX('Calc - SENIOR PERS'!$F:$F,_xlpm.FTE))</f>
        <v>0</v>
      </c>
      <c r="H132" s="3050" cm="1">
        <f t="array" aca="1" ref="H132" ca="1">_xlfn.LET(_xlpm.Person,INT((ROW()-ROW($A$38))/9),_xlpm.Period,VALUE(RIGHT(H$38,LEN(H$38)-1))-1,_xlpm.ROWNUM,11+14*_xlpm.Person+_xlpm.Period,_xlpm.FTE,7+14*_xlpm.Person,
(INDEX('Calc - SENIOR PERS'!$C:$C,_xlpm.ROWNUM) + INDEX('Calc - SENIOR PERS'!$D:$D,_xlpm.ROWNUM) + INDEX('Calc - SENIOR PERS'!$V:$V,_xlpm.ROWNUM)) * INDEX('Calc - SENIOR PERS'!$F:$F,_xlpm.FTE))</f>
        <v>0</v>
      </c>
      <c r="I132" s="926"/>
    </row>
    <row r="133" spans="1:9" hidden="1" x14ac:dyDescent="0.25">
      <c r="A133" s="3049">
        <f t="shared" ca="1" si="38"/>
        <v>0</v>
      </c>
      <c r="B133" s="847" t="s">
        <v>1054</v>
      </c>
      <c r="C133" s="3050" cm="1">
        <f t="array" aca="1" ref="C133" ca="1">_xlfn.LET(_xlpm.Person,INT((ROW()-ROW($A$38))/9),_xlpm.Period,VALUE(RIGHT(C$38,LEN(C$38)-1))-1,_xlpm.ROWNUM,11+14*_xlpm.Person+_xlpm.Period,_xlpm.FTE,7+14*_xlpm.Person,
(INDEX('Calc - SENIOR PERS'!$C:$C,_xlpm.ROWNUM) + INDEX('Calc - SENIOR PERS'!$D:$D,_xlpm.ROWNUM)) * INDEX('Calc - SENIOR PERS'!$F:$F,_xlpm.FTE))</f>
        <v>0</v>
      </c>
      <c r="D133" s="3050" cm="1">
        <f t="array" aca="1" ref="D133" ca="1">_xlfn.LET(_xlpm.Person,INT((ROW()-ROW($A$38))/9),_xlpm.Period,VALUE(RIGHT(D$38,LEN(D$38)-1))-1,_xlpm.ROWNUM,11+14*_xlpm.Person+_xlpm.Period,_xlpm.FTE,7+14*_xlpm.Person,
(INDEX('Calc - SENIOR PERS'!$C:$C,_xlpm.ROWNUM) + INDEX('Calc - SENIOR PERS'!$D:$D,_xlpm.ROWNUM)) * INDEX('Calc - SENIOR PERS'!$F:$F,_xlpm.FTE))</f>
        <v>0</v>
      </c>
      <c r="E133" s="3050" cm="1">
        <f t="array" aca="1" ref="E133" ca="1">_xlfn.LET(_xlpm.Person,INT((ROW()-ROW($A$38))/9),_xlpm.Period,VALUE(RIGHT(E$38,LEN(E$38)-1))-1,_xlpm.ROWNUM,11+14*_xlpm.Person+_xlpm.Period,_xlpm.FTE,7+14*_xlpm.Person,
(INDEX('Calc - SENIOR PERS'!$C:$C,_xlpm.ROWNUM) + INDEX('Calc - SENIOR PERS'!$D:$D,_xlpm.ROWNUM)) * INDEX('Calc - SENIOR PERS'!$F:$F,_xlpm.FTE))</f>
        <v>0</v>
      </c>
      <c r="F133" s="3050" cm="1">
        <f t="array" aca="1" ref="F133" ca="1">_xlfn.LET(_xlpm.Person,INT((ROW()-ROW($A$38))/9),_xlpm.Period,VALUE(RIGHT(F$38,LEN(F$38)-1))-1,_xlpm.ROWNUM,11+14*_xlpm.Person+_xlpm.Period,_xlpm.FTE,7+14*_xlpm.Person,
(INDEX('Calc - SENIOR PERS'!$C:$C,_xlpm.ROWNUM) + INDEX('Calc - SENIOR PERS'!$D:$D,_xlpm.ROWNUM)) * INDEX('Calc - SENIOR PERS'!$F:$F,_xlpm.FTE))</f>
        <v>0</v>
      </c>
      <c r="G133" s="3050" cm="1">
        <f t="array" aca="1" ref="G133" ca="1">_xlfn.LET(_xlpm.Person,INT((ROW()-ROW($A$38))/9),_xlpm.Period,VALUE(RIGHT(G$38,LEN(G$38)-1))-1,_xlpm.ROWNUM,11+14*_xlpm.Person+_xlpm.Period,_xlpm.FTE,7+14*_xlpm.Person,
(INDEX('Calc - SENIOR PERS'!$C:$C,_xlpm.ROWNUM) + INDEX('Calc - SENIOR PERS'!$D:$D,_xlpm.ROWNUM)) * INDEX('Calc - SENIOR PERS'!$F:$F,_xlpm.FTE))</f>
        <v>0</v>
      </c>
      <c r="H133" s="3050" cm="1">
        <f t="array" aca="1" ref="H133" ca="1">_xlfn.LET(_xlpm.Person,INT((ROW()-ROW($A$38))/9),_xlpm.Period,VALUE(RIGHT(H$38,LEN(H$38)-1))-1,_xlpm.ROWNUM,11+14*_xlpm.Person+_xlpm.Period,_xlpm.FTE,7+14*_xlpm.Person,
(INDEX('Calc - SENIOR PERS'!$C:$C,_xlpm.ROWNUM) + INDEX('Calc - SENIOR PERS'!$D:$D,_xlpm.ROWNUM)) * INDEX('Calc - SENIOR PERS'!$F:$F,_xlpm.FTE))</f>
        <v>0</v>
      </c>
      <c r="I133" s="926"/>
    </row>
    <row r="134" spans="1:9" hidden="1" x14ac:dyDescent="0.25">
      <c r="A134" s="3049">
        <f t="shared" ca="1" si="38"/>
        <v>0</v>
      </c>
      <c r="B134" s="847" t="s">
        <v>1055</v>
      </c>
      <c r="C134" s="3050" cm="1">
        <f t="array" aca="1" ref="C134" ca="1">_xlfn.LET(_xlpm.Person,INT((ROW()-ROW($A$38))/9),_xlpm.Period,VALUE(RIGHT(C$38,LEN(C$38)-1))-1,_xlpm.ROWNUM,11+14*_xlpm.Person+_xlpm.Period,_xlpm.FTE,7+14*_xlpm.Person,
(INDEX('Calc - SENIOR PERS'!$C:$C,_xlpm.ROWNUM) * INDEX('Calc - SENIOR PERS'!$F:$F,_xlpm.FTE)))</f>
        <v>0</v>
      </c>
      <c r="D134" s="3050" cm="1">
        <f t="array" aca="1" ref="D134" ca="1">_xlfn.LET(_xlpm.Person,INT((ROW()-ROW($A$38))/9),_xlpm.Period,VALUE(RIGHT(D$38,LEN(D$38)-1))-1,_xlpm.ROWNUM,11+14*_xlpm.Person+_xlpm.Period,_xlpm.FTE,7+14*_xlpm.Person,
(INDEX('Calc - SENIOR PERS'!$C:$C,_xlpm.ROWNUM) * INDEX('Calc - SENIOR PERS'!$F:$F,_xlpm.FTE)))</f>
        <v>0</v>
      </c>
      <c r="E134" s="3050" cm="1">
        <f t="array" aca="1" ref="E134" ca="1">_xlfn.LET(_xlpm.Person,INT((ROW()-ROW($A$38))/9),_xlpm.Period,VALUE(RIGHT(E$38,LEN(E$38)-1))-1,_xlpm.ROWNUM,11+14*_xlpm.Person+_xlpm.Period,_xlpm.FTE,7+14*_xlpm.Person,
(INDEX('Calc - SENIOR PERS'!$C:$C,_xlpm.ROWNUM) * INDEX('Calc - SENIOR PERS'!$F:$F,_xlpm.FTE)))</f>
        <v>0</v>
      </c>
      <c r="F134" s="3050" cm="1">
        <f t="array" aca="1" ref="F134" ca="1">_xlfn.LET(_xlpm.Person,INT((ROW()-ROW($A$38))/9),_xlpm.Period,VALUE(RIGHT(F$38,LEN(F$38)-1))-1,_xlpm.ROWNUM,11+14*_xlpm.Person+_xlpm.Period,_xlpm.FTE,7+14*_xlpm.Person,
(INDEX('Calc - SENIOR PERS'!$C:$C,_xlpm.ROWNUM) * INDEX('Calc - SENIOR PERS'!$F:$F,_xlpm.FTE)))</f>
        <v>0</v>
      </c>
      <c r="G134" s="3050" cm="1">
        <f t="array" aca="1" ref="G134" ca="1">_xlfn.LET(_xlpm.Person,INT((ROW()-ROW($A$38))/9),_xlpm.Period,VALUE(RIGHT(G$38,LEN(G$38)-1))-1,_xlpm.ROWNUM,11+14*_xlpm.Person+_xlpm.Period,_xlpm.FTE,7+14*_xlpm.Person,
(INDEX('Calc - SENIOR PERS'!$C:$C,_xlpm.ROWNUM) * INDEX('Calc - SENIOR PERS'!$F:$F,_xlpm.FTE)))</f>
        <v>0</v>
      </c>
      <c r="H134" s="3050" cm="1">
        <f t="array" aca="1" ref="H134" ca="1">_xlfn.LET(_xlpm.Person,INT((ROW()-ROW($A$38))/9),_xlpm.Period,VALUE(RIGHT(H$38,LEN(H$38)-1))-1,_xlpm.ROWNUM,11+14*_xlpm.Person+_xlpm.Period,_xlpm.FTE,7+14*_xlpm.Person,
(INDEX('Calc - SENIOR PERS'!$C:$C,_xlpm.ROWNUM) * INDEX('Calc - SENIOR PERS'!$F:$F,_xlpm.FTE)))</f>
        <v>0</v>
      </c>
      <c r="I134" s="926"/>
    </row>
    <row r="135" spans="1:9" hidden="1" x14ac:dyDescent="0.25">
      <c r="I135" s="926"/>
    </row>
    <row r="136" spans="1:9" hidden="1" x14ac:dyDescent="0.25">
      <c r="I136" s="926"/>
    </row>
    <row r="137" spans="1:9" hidden="1" x14ac:dyDescent="0.25">
      <c r="A137" s="3041" cm="1">
        <f t="array" ref="A137">INDEX('DATA INPUT'!B:B,11+INT((ROW()-ROW($B$38))/9))</f>
        <v>0</v>
      </c>
      <c r="B137" s="847"/>
      <c r="C137" s="3042" t="s">
        <v>1041</v>
      </c>
      <c r="D137" s="3042" t="s">
        <v>1042</v>
      </c>
      <c r="E137" s="3042" t="s">
        <v>1043</v>
      </c>
      <c r="F137" s="3042" t="s">
        <v>1044</v>
      </c>
      <c r="G137" s="3042" t="s">
        <v>1045</v>
      </c>
      <c r="H137" s="3042" t="s">
        <v>1046</v>
      </c>
      <c r="I137" s="926"/>
    </row>
    <row r="138" spans="1:9" ht="17.25" hidden="1" x14ac:dyDescent="0.3">
      <c r="A138" s="3043">
        <f t="shared" ref="A138" ca="1" si="39">SUM(C138:H138)</f>
        <v>0</v>
      </c>
      <c r="B138" s="3044" t="s">
        <v>3</v>
      </c>
      <c r="C138" s="3045">
        <f t="shared" ref="C138:H138" ca="1" si="40">ROUND(C139*C142*(1+C140), 2)</f>
        <v>0</v>
      </c>
      <c r="D138" s="3045">
        <f t="shared" ca="1" si="40"/>
        <v>0</v>
      </c>
      <c r="E138" s="3045">
        <f t="shared" ca="1" si="40"/>
        <v>0</v>
      </c>
      <c r="F138" s="3045">
        <f t="shared" ca="1" si="40"/>
        <v>0</v>
      </c>
      <c r="G138" s="3045">
        <f t="shared" ca="1" si="40"/>
        <v>0</v>
      </c>
      <c r="H138" s="3045">
        <f t="shared" ca="1" si="40"/>
        <v>0</v>
      </c>
      <c r="I138" s="926"/>
    </row>
    <row r="139" spans="1:9" hidden="1" x14ac:dyDescent="0.25">
      <c r="A139" s="503" t="s">
        <v>110</v>
      </c>
      <c r="B139" s="847" t="s">
        <v>1050</v>
      </c>
      <c r="C139" s="3058" cm="1">
        <f t="array" aca="1" ref="C139" ca="1">_xlfn.LET(_xlpm.Person,INT((ROW()-ROW($A$38))/9),_xlpm.Period,VALUE(RIGHT(C$38,LEN(C$38)-1))-1,_xlpm.ROWNUM,11+14*_xlpm.Person+_xlpm.Period,
ROUND(INDEX('Calc - SENIOR PERS'!$K:$K,_xlpm.ROWNUM),2))</f>
        <v>0</v>
      </c>
      <c r="D139" s="3058" cm="1">
        <f t="array" aca="1" ref="D139" ca="1">_xlfn.LET(_xlpm.Person,INT((ROW()-ROW($A$38))/9),_xlpm.Period,VALUE(RIGHT(D$38,LEN(D$38)-1))-1,_xlpm.ROWNUM,11+14*_xlpm.Person+_xlpm.Period,
ROUND(INDEX('Calc - SENIOR PERS'!$K:$K,_xlpm.ROWNUM),2))</f>
        <v>0</v>
      </c>
      <c r="E139" s="3058" cm="1">
        <f t="array" aca="1" ref="E139" ca="1">_xlfn.LET(_xlpm.Person,INT((ROW()-ROW($A$38))/9),_xlpm.Period,VALUE(RIGHT(E$38,LEN(E$38)-1))-1,_xlpm.ROWNUM,11+14*_xlpm.Person+_xlpm.Period,
ROUND(INDEX('Calc - SENIOR PERS'!$K:$K,_xlpm.ROWNUM),2))</f>
        <v>0</v>
      </c>
      <c r="F139" s="3058" cm="1">
        <f t="array" aca="1" ref="F139" ca="1">_xlfn.LET(_xlpm.Person,INT((ROW()-ROW($A$38))/9),_xlpm.Period,VALUE(RIGHT(F$38,LEN(F$38)-1))-1,_xlpm.ROWNUM,11+14*_xlpm.Person+_xlpm.Period,
ROUND(INDEX('Calc - SENIOR PERS'!$K:$K,_xlpm.ROWNUM),2))</f>
        <v>0</v>
      </c>
      <c r="G139" s="3058" cm="1">
        <f t="array" aca="1" ref="G139" ca="1">_xlfn.LET(_xlpm.Person,INT((ROW()-ROW($A$38))/9),_xlpm.Period,VALUE(RIGHT(G$38,LEN(G$38)-1))-1,_xlpm.ROWNUM,11+14*_xlpm.Person+_xlpm.Period,
ROUND(INDEX('Calc - SENIOR PERS'!$K:$K,_xlpm.ROWNUM),2))</f>
        <v>0</v>
      </c>
      <c r="H139" s="3058" cm="1">
        <f t="array" aca="1" ref="H139" ca="1">_xlfn.LET(_xlpm.Person,INT((ROW()-ROW($A$38))/9),_xlpm.Period,VALUE(RIGHT(H$38,LEN(H$38)-1))-1,_xlpm.ROWNUM,11+14*_xlpm.Person+_xlpm.Period,
ROUND(INDEX('Calc - SENIOR PERS'!$K:$K,_xlpm.ROWNUM),2))</f>
        <v>0</v>
      </c>
      <c r="I139" s="926"/>
    </row>
    <row r="140" spans="1:9" hidden="1" x14ac:dyDescent="0.25">
      <c r="A140" s="3047" t="s">
        <v>1051</v>
      </c>
      <c r="B140" s="847" t="s">
        <v>1052</v>
      </c>
      <c r="C140" s="3048" cm="1">
        <f t="array" aca="1" ref="C140" ca="1">_xlfn.LET(_xlpm.Person,INT((ROW()-ROW($A$38))/9),_xlpm.Period,VALUE(RIGHT(C$38,LEN(C$38)-1))-1,_xlpm.ROWNUM,11+14*_xlpm.Person+_xlpm.Period,
INDEX('Calc - SENIOR PERS'!$P:$P,_xlpm.ROWNUM))</f>
        <v>0.50700000000000001</v>
      </c>
      <c r="D140" s="3048" cm="1">
        <f t="array" aca="1" ref="D140" ca="1">_xlfn.LET(_xlpm.Person,INT((ROW()-ROW($A$38))/9),_xlpm.Period,VALUE(RIGHT(D$38,LEN(D$38)-1))-1,_xlpm.ROWNUM,11+14*_xlpm.Person+_xlpm.Period,
INDEX('Calc - SENIOR PERS'!$P:$P,_xlpm.ROWNUM))</f>
        <v>0.52700000000000002</v>
      </c>
      <c r="E140" s="3048" cm="1">
        <f t="array" aca="1" ref="E140" ca="1">_xlfn.LET(_xlpm.Person,INT((ROW()-ROW($A$38))/9),_xlpm.Period,VALUE(RIGHT(E$38,LEN(E$38)-1))-1,_xlpm.ROWNUM,11+14*_xlpm.Person+_xlpm.Period,
INDEX('Calc - SENIOR PERS'!$P:$P,_xlpm.ROWNUM))</f>
        <v>0.54700000000000004</v>
      </c>
      <c r="F140" s="3048" cm="1">
        <f t="array" aca="1" ref="F140" ca="1">_xlfn.LET(_xlpm.Person,INT((ROW()-ROW($A$38))/9),_xlpm.Period,VALUE(RIGHT(F$38,LEN(F$38)-1))-1,_xlpm.ROWNUM,11+14*_xlpm.Person+_xlpm.Period,
INDEX('Calc - SENIOR PERS'!$P:$P,_xlpm.ROWNUM))</f>
        <v>0.56700000000000006</v>
      </c>
      <c r="G140" s="3048" cm="1">
        <f t="array" aca="1" ref="G140" ca="1">_xlfn.LET(_xlpm.Person,INT((ROW()-ROW($A$38))/9),_xlpm.Period,VALUE(RIGHT(G$38,LEN(G$38)-1))-1,_xlpm.ROWNUM,11+14*_xlpm.Person+_xlpm.Period,
INDEX('Calc - SENIOR PERS'!$P:$P,_xlpm.ROWNUM))</f>
        <v>0.58700000000000008</v>
      </c>
      <c r="H140" s="3048" cm="1">
        <f t="array" aca="1" ref="H140" ca="1">_xlfn.LET(_xlpm.Person,INT((ROW()-ROW($A$38))/9),_xlpm.Period,VALUE(RIGHT(H$38,LEN(H$38)-1))-1,_xlpm.ROWNUM,11+14*_xlpm.Person+_xlpm.Period,
INDEX('Calc - SENIOR PERS'!$P:$P,_xlpm.ROWNUM))</f>
        <v>0.6070000000000001</v>
      </c>
      <c r="I140" s="926"/>
    </row>
    <row r="141" spans="1:9" hidden="1" x14ac:dyDescent="0.25">
      <c r="A141" s="3049">
        <f t="shared" ref="A141:A143" ca="1" si="41">SUM(C141:H141)</f>
        <v>0</v>
      </c>
      <c r="B141" s="847" t="s">
        <v>1053</v>
      </c>
      <c r="C141" s="3050" cm="1">
        <f t="array" aca="1" ref="C141" ca="1">_xlfn.LET(_xlpm.Person,INT((ROW()-ROW($A$38))/9),_xlpm.Period,VALUE(RIGHT(C$38,LEN(C$38)-1))-1,_xlpm.ROWNUM,11+14*_xlpm.Person+_xlpm.Period,_xlpm.FTE,7+14*_xlpm.Person,
(INDEX('Calc - SENIOR PERS'!$C:$C,_xlpm.ROWNUM) + INDEX('Calc - SENIOR PERS'!$D:$D,_xlpm.ROWNUM) + INDEX('Calc - SENIOR PERS'!$V:$V,_xlpm.ROWNUM)) * INDEX('Calc - SENIOR PERS'!$F:$F,_xlpm.FTE))</f>
        <v>0</v>
      </c>
      <c r="D141" s="3050" cm="1">
        <f t="array" aca="1" ref="D141" ca="1">_xlfn.LET(_xlpm.Person,INT((ROW()-ROW($A$38))/9),_xlpm.Period,VALUE(RIGHT(D$38,LEN(D$38)-1))-1,_xlpm.ROWNUM,11+14*_xlpm.Person+_xlpm.Period,_xlpm.FTE,7+14*_xlpm.Person,
(INDEX('Calc - SENIOR PERS'!$C:$C,_xlpm.ROWNUM) + INDEX('Calc - SENIOR PERS'!$D:$D,_xlpm.ROWNUM) + INDEX('Calc - SENIOR PERS'!$V:$V,_xlpm.ROWNUM)) * INDEX('Calc - SENIOR PERS'!$F:$F,_xlpm.FTE))</f>
        <v>0</v>
      </c>
      <c r="E141" s="3050" cm="1">
        <f t="array" aca="1" ref="E141" ca="1">_xlfn.LET(_xlpm.Person,INT((ROW()-ROW($A$38))/9),_xlpm.Period,VALUE(RIGHT(E$38,LEN(E$38)-1))-1,_xlpm.ROWNUM,11+14*_xlpm.Person+_xlpm.Period,_xlpm.FTE,7+14*_xlpm.Person,
(INDEX('Calc - SENIOR PERS'!$C:$C,_xlpm.ROWNUM) + INDEX('Calc - SENIOR PERS'!$D:$D,_xlpm.ROWNUM) + INDEX('Calc - SENIOR PERS'!$V:$V,_xlpm.ROWNUM)) * INDEX('Calc - SENIOR PERS'!$F:$F,_xlpm.FTE))</f>
        <v>0</v>
      </c>
      <c r="F141" s="3050" cm="1">
        <f t="array" aca="1" ref="F141" ca="1">_xlfn.LET(_xlpm.Person,INT((ROW()-ROW($A$38))/9),_xlpm.Period,VALUE(RIGHT(F$38,LEN(F$38)-1))-1,_xlpm.ROWNUM,11+14*_xlpm.Person+_xlpm.Period,_xlpm.FTE,7+14*_xlpm.Person,
(INDEX('Calc - SENIOR PERS'!$C:$C,_xlpm.ROWNUM) + INDEX('Calc - SENIOR PERS'!$D:$D,_xlpm.ROWNUM) + INDEX('Calc - SENIOR PERS'!$V:$V,_xlpm.ROWNUM)) * INDEX('Calc - SENIOR PERS'!$F:$F,_xlpm.FTE))</f>
        <v>0</v>
      </c>
      <c r="G141" s="3050" cm="1">
        <f t="array" aca="1" ref="G141" ca="1">_xlfn.LET(_xlpm.Person,INT((ROW()-ROW($A$38))/9),_xlpm.Period,VALUE(RIGHT(G$38,LEN(G$38)-1))-1,_xlpm.ROWNUM,11+14*_xlpm.Person+_xlpm.Period,_xlpm.FTE,7+14*_xlpm.Person,
(INDEX('Calc - SENIOR PERS'!$C:$C,_xlpm.ROWNUM) + INDEX('Calc - SENIOR PERS'!$D:$D,_xlpm.ROWNUM) + INDEX('Calc - SENIOR PERS'!$V:$V,_xlpm.ROWNUM)) * INDEX('Calc - SENIOR PERS'!$F:$F,_xlpm.FTE))</f>
        <v>0</v>
      </c>
      <c r="H141" s="3050" cm="1">
        <f t="array" aca="1" ref="H141" ca="1">_xlfn.LET(_xlpm.Person,INT((ROW()-ROW($A$38))/9),_xlpm.Period,VALUE(RIGHT(H$38,LEN(H$38)-1))-1,_xlpm.ROWNUM,11+14*_xlpm.Person+_xlpm.Period,_xlpm.FTE,7+14*_xlpm.Person,
(INDEX('Calc - SENIOR PERS'!$C:$C,_xlpm.ROWNUM) + INDEX('Calc - SENIOR PERS'!$D:$D,_xlpm.ROWNUM) + INDEX('Calc - SENIOR PERS'!$V:$V,_xlpm.ROWNUM)) * INDEX('Calc - SENIOR PERS'!$F:$F,_xlpm.FTE))</f>
        <v>0</v>
      </c>
      <c r="I141" s="926"/>
    </row>
    <row r="142" spans="1:9" hidden="1" x14ac:dyDescent="0.25">
      <c r="A142" s="3049">
        <f t="shared" ca="1" si="41"/>
        <v>0</v>
      </c>
      <c r="B142" s="847" t="s">
        <v>1054</v>
      </c>
      <c r="C142" s="3050" cm="1">
        <f t="array" aca="1" ref="C142" ca="1">_xlfn.LET(_xlpm.Person,INT((ROW()-ROW($A$38))/9),_xlpm.Period,VALUE(RIGHT(C$38,LEN(C$38)-1))-1,_xlpm.ROWNUM,11+14*_xlpm.Person+_xlpm.Period,_xlpm.FTE,7+14*_xlpm.Person,
(INDEX('Calc - SENIOR PERS'!$C:$C,_xlpm.ROWNUM) + INDEX('Calc - SENIOR PERS'!$D:$D,_xlpm.ROWNUM)) * INDEX('Calc - SENIOR PERS'!$F:$F,_xlpm.FTE))</f>
        <v>0</v>
      </c>
      <c r="D142" s="3050" cm="1">
        <f t="array" aca="1" ref="D142" ca="1">_xlfn.LET(_xlpm.Person,INT((ROW()-ROW($A$38))/9),_xlpm.Period,VALUE(RIGHT(D$38,LEN(D$38)-1))-1,_xlpm.ROWNUM,11+14*_xlpm.Person+_xlpm.Period,_xlpm.FTE,7+14*_xlpm.Person,
(INDEX('Calc - SENIOR PERS'!$C:$C,_xlpm.ROWNUM) + INDEX('Calc - SENIOR PERS'!$D:$D,_xlpm.ROWNUM)) * INDEX('Calc - SENIOR PERS'!$F:$F,_xlpm.FTE))</f>
        <v>0</v>
      </c>
      <c r="E142" s="3050" cm="1">
        <f t="array" aca="1" ref="E142" ca="1">_xlfn.LET(_xlpm.Person,INT((ROW()-ROW($A$38))/9),_xlpm.Period,VALUE(RIGHT(E$38,LEN(E$38)-1))-1,_xlpm.ROWNUM,11+14*_xlpm.Person+_xlpm.Period,_xlpm.FTE,7+14*_xlpm.Person,
(INDEX('Calc - SENIOR PERS'!$C:$C,_xlpm.ROWNUM) + INDEX('Calc - SENIOR PERS'!$D:$D,_xlpm.ROWNUM)) * INDEX('Calc - SENIOR PERS'!$F:$F,_xlpm.FTE))</f>
        <v>0</v>
      </c>
      <c r="F142" s="3050" cm="1">
        <f t="array" aca="1" ref="F142" ca="1">_xlfn.LET(_xlpm.Person,INT((ROW()-ROW($A$38))/9),_xlpm.Period,VALUE(RIGHT(F$38,LEN(F$38)-1))-1,_xlpm.ROWNUM,11+14*_xlpm.Person+_xlpm.Period,_xlpm.FTE,7+14*_xlpm.Person,
(INDEX('Calc - SENIOR PERS'!$C:$C,_xlpm.ROWNUM) + INDEX('Calc - SENIOR PERS'!$D:$D,_xlpm.ROWNUM)) * INDEX('Calc - SENIOR PERS'!$F:$F,_xlpm.FTE))</f>
        <v>0</v>
      </c>
      <c r="G142" s="3050" cm="1">
        <f t="array" aca="1" ref="G142" ca="1">_xlfn.LET(_xlpm.Person,INT((ROW()-ROW($A$38))/9),_xlpm.Period,VALUE(RIGHT(G$38,LEN(G$38)-1))-1,_xlpm.ROWNUM,11+14*_xlpm.Person+_xlpm.Period,_xlpm.FTE,7+14*_xlpm.Person,
(INDEX('Calc - SENIOR PERS'!$C:$C,_xlpm.ROWNUM) + INDEX('Calc - SENIOR PERS'!$D:$D,_xlpm.ROWNUM)) * INDEX('Calc - SENIOR PERS'!$F:$F,_xlpm.FTE))</f>
        <v>0</v>
      </c>
      <c r="H142" s="3050" cm="1">
        <f t="array" aca="1" ref="H142" ca="1">_xlfn.LET(_xlpm.Person,INT((ROW()-ROW($A$38))/9),_xlpm.Period,VALUE(RIGHT(H$38,LEN(H$38)-1))-1,_xlpm.ROWNUM,11+14*_xlpm.Person+_xlpm.Period,_xlpm.FTE,7+14*_xlpm.Person,
(INDEX('Calc - SENIOR PERS'!$C:$C,_xlpm.ROWNUM) + INDEX('Calc - SENIOR PERS'!$D:$D,_xlpm.ROWNUM)) * INDEX('Calc - SENIOR PERS'!$F:$F,_xlpm.FTE))</f>
        <v>0</v>
      </c>
      <c r="I142" s="926"/>
    </row>
    <row r="143" spans="1:9" hidden="1" x14ac:dyDescent="0.25">
      <c r="A143" s="3049">
        <f t="shared" ca="1" si="41"/>
        <v>0</v>
      </c>
      <c r="B143" s="847" t="s">
        <v>1055</v>
      </c>
      <c r="C143" s="3050" cm="1">
        <f t="array" aca="1" ref="C143" ca="1">_xlfn.LET(_xlpm.Person,INT((ROW()-ROW($A$38))/9),_xlpm.Period,VALUE(RIGHT(C$38,LEN(C$38)-1))-1,_xlpm.ROWNUM,11+14*_xlpm.Person+_xlpm.Period,_xlpm.FTE,7+14*_xlpm.Person,
(INDEX('Calc - SENIOR PERS'!$C:$C,_xlpm.ROWNUM) * INDEX('Calc - SENIOR PERS'!$F:$F,_xlpm.FTE)))</f>
        <v>0</v>
      </c>
      <c r="D143" s="3050" cm="1">
        <f t="array" aca="1" ref="D143" ca="1">_xlfn.LET(_xlpm.Person,INT((ROW()-ROW($A$38))/9),_xlpm.Period,VALUE(RIGHT(D$38,LEN(D$38)-1))-1,_xlpm.ROWNUM,11+14*_xlpm.Person+_xlpm.Period,_xlpm.FTE,7+14*_xlpm.Person,
(INDEX('Calc - SENIOR PERS'!$C:$C,_xlpm.ROWNUM) * INDEX('Calc - SENIOR PERS'!$F:$F,_xlpm.FTE)))</f>
        <v>0</v>
      </c>
      <c r="E143" s="3050" cm="1">
        <f t="array" aca="1" ref="E143" ca="1">_xlfn.LET(_xlpm.Person,INT((ROW()-ROW($A$38))/9),_xlpm.Period,VALUE(RIGHT(E$38,LEN(E$38)-1))-1,_xlpm.ROWNUM,11+14*_xlpm.Person+_xlpm.Period,_xlpm.FTE,7+14*_xlpm.Person,
(INDEX('Calc - SENIOR PERS'!$C:$C,_xlpm.ROWNUM) * INDEX('Calc - SENIOR PERS'!$F:$F,_xlpm.FTE)))</f>
        <v>0</v>
      </c>
      <c r="F143" s="3050" cm="1">
        <f t="array" aca="1" ref="F143" ca="1">_xlfn.LET(_xlpm.Person,INT((ROW()-ROW($A$38))/9),_xlpm.Period,VALUE(RIGHT(F$38,LEN(F$38)-1))-1,_xlpm.ROWNUM,11+14*_xlpm.Person+_xlpm.Period,_xlpm.FTE,7+14*_xlpm.Person,
(INDEX('Calc - SENIOR PERS'!$C:$C,_xlpm.ROWNUM) * INDEX('Calc - SENIOR PERS'!$F:$F,_xlpm.FTE)))</f>
        <v>0</v>
      </c>
      <c r="G143" s="3050" cm="1">
        <f t="array" aca="1" ref="G143" ca="1">_xlfn.LET(_xlpm.Person,INT((ROW()-ROW($A$38))/9),_xlpm.Period,VALUE(RIGHT(G$38,LEN(G$38)-1))-1,_xlpm.ROWNUM,11+14*_xlpm.Person+_xlpm.Period,_xlpm.FTE,7+14*_xlpm.Person,
(INDEX('Calc - SENIOR PERS'!$C:$C,_xlpm.ROWNUM) * INDEX('Calc - SENIOR PERS'!$F:$F,_xlpm.FTE)))</f>
        <v>0</v>
      </c>
      <c r="H143" s="3050" cm="1">
        <f t="array" aca="1" ref="H143" ca="1">_xlfn.LET(_xlpm.Person,INT((ROW()-ROW($A$38))/9),_xlpm.Period,VALUE(RIGHT(H$38,LEN(H$38)-1))-1,_xlpm.ROWNUM,11+14*_xlpm.Person+_xlpm.Period,_xlpm.FTE,7+14*_xlpm.Person,
(INDEX('Calc - SENIOR PERS'!$C:$C,_xlpm.ROWNUM) * INDEX('Calc - SENIOR PERS'!$F:$F,_xlpm.FTE)))</f>
        <v>0</v>
      </c>
      <c r="I143" s="926"/>
    </row>
    <row r="144" spans="1:9" hidden="1" x14ac:dyDescent="0.25">
      <c r="I144" s="926"/>
    </row>
    <row r="145" spans="1:9" hidden="1" x14ac:dyDescent="0.25">
      <c r="I145" s="926"/>
    </row>
    <row r="146" spans="1:9" hidden="1" x14ac:dyDescent="0.25">
      <c r="A146" s="3041" cm="1">
        <f t="array" ref="A146">INDEX('DATA INPUT'!B:B,11+INT((ROW()-ROW($B$38))/9))</f>
        <v>0</v>
      </c>
      <c r="B146" s="847"/>
      <c r="C146" s="3042" t="s">
        <v>1041</v>
      </c>
      <c r="D146" s="3042" t="s">
        <v>1042</v>
      </c>
      <c r="E146" s="3042" t="s">
        <v>1043</v>
      </c>
      <c r="F146" s="3042" t="s">
        <v>1044</v>
      </c>
      <c r="G146" s="3042" t="s">
        <v>1045</v>
      </c>
      <c r="H146" s="3042" t="s">
        <v>1046</v>
      </c>
      <c r="I146" s="926"/>
    </row>
    <row r="147" spans="1:9" ht="17.25" hidden="1" x14ac:dyDescent="0.3">
      <c r="A147" s="3043">
        <f t="shared" ref="A147" ca="1" si="42">SUM(C147:H147)</f>
        <v>0</v>
      </c>
      <c r="B147" s="3044" t="s">
        <v>3</v>
      </c>
      <c r="C147" s="3045">
        <f t="shared" ref="C147:H147" ca="1" si="43">ROUND(C148*C151*(1+C149), 2)</f>
        <v>0</v>
      </c>
      <c r="D147" s="3045">
        <f t="shared" ca="1" si="43"/>
        <v>0</v>
      </c>
      <c r="E147" s="3045">
        <f t="shared" ca="1" si="43"/>
        <v>0</v>
      </c>
      <c r="F147" s="3045">
        <f t="shared" ca="1" si="43"/>
        <v>0</v>
      </c>
      <c r="G147" s="3045">
        <f t="shared" ca="1" si="43"/>
        <v>0</v>
      </c>
      <c r="H147" s="3045">
        <f t="shared" ca="1" si="43"/>
        <v>0</v>
      </c>
      <c r="I147" s="926"/>
    </row>
    <row r="148" spans="1:9" hidden="1" x14ac:dyDescent="0.25">
      <c r="A148" s="503" t="s">
        <v>110</v>
      </c>
      <c r="B148" s="847" t="s">
        <v>1050</v>
      </c>
      <c r="C148" s="3058" cm="1">
        <f t="array" aca="1" ref="C148" ca="1">_xlfn.LET(_xlpm.Person,INT((ROW()-ROW($A$38))/9),_xlpm.Period,VALUE(RIGHT(C$38,LEN(C$38)-1))-1,_xlpm.ROWNUM,11+14*_xlpm.Person+_xlpm.Period,
ROUND(INDEX('Calc - SENIOR PERS'!$K:$K,_xlpm.ROWNUM),2))</f>
        <v>0</v>
      </c>
      <c r="D148" s="3058" cm="1">
        <f t="array" aca="1" ref="D148" ca="1">_xlfn.LET(_xlpm.Person,INT((ROW()-ROW($A$38))/9),_xlpm.Period,VALUE(RIGHT(D$38,LEN(D$38)-1))-1,_xlpm.ROWNUM,11+14*_xlpm.Person+_xlpm.Period,
ROUND(INDEX('Calc - SENIOR PERS'!$K:$K,_xlpm.ROWNUM),2))</f>
        <v>0</v>
      </c>
      <c r="E148" s="3058" cm="1">
        <f t="array" aca="1" ref="E148" ca="1">_xlfn.LET(_xlpm.Person,INT((ROW()-ROW($A$38))/9),_xlpm.Period,VALUE(RIGHT(E$38,LEN(E$38)-1))-1,_xlpm.ROWNUM,11+14*_xlpm.Person+_xlpm.Period,
ROUND(INDEX('Calc - SENIOR PERS'!$K:$K,_xlpm.ROWNUM),2))</f>
        <v>0</v>
      </c>
      <c r="F148" s="3058" cm="1">
        <f t="array" aca="1" ref="F148" ca="1">_xlfn.LET(_xlpm.Person,INT((ROW()-ROW($A$38))/9),_xlpm.Period,VALUE(RIGHT(F$38,LEN(F$38)-1))-1,_xlpm.ROWNUM,11+14*_xlpm.Person+_xlpm.Period,
ROUND(INDEX('Calc - SENIOR PERS'!$K:$K,_xlpm.ROWNUM),2))</f>
        <v>0</v>
      </c>
      <c r="G148" s="3058" cm="1">
        <f t="array" aca="1" ref="G148" ca="1">_xlfn.LET(_xlpm.Person,INT((ROW()-ROW($A$38))/9),_xlpm.Period,VALUE(RIGHT(G$38,LEN(G$38)-1))-1,_xlpm.ROWNUM,11+14*_xlpm.Person+_xlpm.Period,
ROUND(INDEX('Calc - SENIOR PERS'!$K:$K,_xlpm.ROWNUM),2))</f>
        <v>0</v>
      </c>
      <c r="H148" s="3058" cm="1">
        <f t="array" aca="1" ref="H148" ca="1">_xlfn.LET(_xlpm.Person,INT((ROW()-ROW($A$38))/9),_xlpm.Period,VALUE(RIGHT(H$38,LEN(H$38)-1))-1,_xlpm.ROWNUM,11+14*_xlpm.Person+_xlpm.Period,
ROUND(INDEX('Calc - SENIOR PERS'!$K:$K,_xlpm.ROWNUM),2))</f>
        <v>0</v>
      </c>
      <c r="I148" s="926"/>
    </row>
    <row r="149" spans="1:9" hidden="1" x14ac:dyDescent="0.25">
      <c r="A149" s="3047" t="s">
        <v>1051</v>
      </c>
      <c r="B149" s="847" t="s">
        <v>1052</v>
      </c>
      <c r="C149" s="3048" cm="1">
        <f t="array" aca="1" ref="C149" ca="1">_xlfn.LET(_xlpm.Person,INT((ROW()-ROW($A$38))/9),_xlpm.Period,VALUE(RIGHT(C$38,LEN(C$38)-1))-1,_xlpm.ROWNUM,11+14*_xlpm.Person+_xlpm.Period,
INDEX('Calc - SENIOR PERS'!$P:$P,_xlpm.ROWNUM))</f>
        <v>0.50700000000000001</v>
      </c>
      <c r="D149" s="3048" cm="1">
        <f t="array" aca="1" ref="D149" ca="1">_xlfn.LET(_xlpm.Person,INT((ROW()-ROW($A$38))/9),_xlpm.Period,VALUE(RIGHT(D$38,LEN(D$38)-1))-1,_xlpm.ROWNUM,11+14*_xlpm.Person+_xlpm.Period,
INDEX('Calc - SENIOR PERS'!$P:$P,_xlpm.ROWNUM))</f>
        <v>0.52700000000000002</v>
      </c>
      <c r="E149" s="3048" cm="1">
        <f t="array" aca="1" ref="E149" ca="1">_xlfn.LET(_xlpm.Person,INT((ROW()-ROW($A$38))/9),_xlpm.Period,VALUE(RIGHT(E$38,LEN(E$38)-1))-1,_xlpm.ROWNUM,11+14*_xlpm.Person+_xlpm.Period,
INDEX('Calc - SENIOR PERS'!$P:$P,_xlpm.ROWNUM))</f>
        <v>0.54700000000000004</v>
      </c>
      <c r="F149" s="3048" cm="1">
        <f t="array" aca="1" ref="F149" ca="1">_xlfn.LET(_xlpm.Person,INT((ROW()-ROW($A$38))/9),_xlpm.Period,VALUE(RIGHT(F$38,LEN(F$38)-1))-1,_xlpm.ROWNUM,11+14*_xlpm.Person+_xlpm.Period,
INDEX('Calc - SENIOR PERS'!$P:$P,_xlpm.ROWNUM))</f>
        <v>0.56700000000000006</v>
      </c>
      <c r="G149" s="3048" cm="1">
        <f t="array" aca="1" ref="G149" ca="1">_xlfn.LET(_xlpm.Person,INT((ROW()-ROW($A$38))/9),_xlpm.Period,VALUE(RIGHT(G$38,LEN(G$38)-1))-1,_xlpm.ROWNUM,11+14*_xlpm.Person+_xlpm.Period,
INDEX('Calc - SENIOR PERS'!$P:$P,_xlpm.ROWNUM))</f>
        <v>0.58700000000000008</v>
      </c>
      <c r="H149" s="3048" cm="1">
        <f t="array" aca="1" ref="H149" ca="1">_xlfn.LET(_xlpm.Person,INT((ROW()-ROW($A$38))/9),_xlpm.Period,VALUE(RIGHT(H$38,LEN(H$38)-1))-1,_xlpm.ROWNUM,11+14*_xlpm.Person+_xlpm.Period,
INDEX('Calc - SENIOR PERS'!$P:$P,_xlpm.ROWNUM))</f>
        <v>0.6070000000000001</v>
      </c>
      <c r="I149" s="926"/>
    </row>
    <row r="150" spans="1:9" hidden="1" x14ac:dyDescent="0.25">
      <c r="A150" s="3049">
        <f t="shared" ref="A150:A152" ca="1" si="44">SUM(C150:H150)</f>
        <v>0</v>
      </c>
      <c r="B150" s="847" t="s">
        <v>1053</v>
      </c>
      <c r="C150" s="3050" cm="1">
        <f t="array" aca="1" ref="C150" ca="1">_xlfn.LET(_xlpm.Person,INT((ROW()-ROW($A$38))/9),_xlpm.Period,VALUE(RIGHT(C$38,LEN(C$38)-1))-1,_xlpm.ROWNUM,11+14*_xlpm.Person+_xlpm.Period,_xlpm.FTE,7+14*_xlpm.Person,
(INDEX('Calc - SENIOR PERS'!$C:$C,_xlpm.ROWNUM) + INDEX('Calc - SENIOR PERS'!$D:$D,_xlpm.ROWNUM) + INDEX('Calc - SENIOR PERS'!$V:$V,_xlpm.ROWNUM)) * INDEX('Calc - SENIOR PERS'!$F:$F,_xlpm.FTE))</f>
        <v>0</v>
      </c>
      <c r="D150" s="3050" cm="1">
        <f t="array" aca="1" ref="D150" ca="1">_xlfn.LET(_xlpm.Person,INT((ROW()-ROW($A$38))/9),_xlpm.Period,VALUE(RIGHT(D$38,LEN(D$38)-1))-1,_xlpm.ROWNUM,11+14*_xlpm.Person+_xlpm.Period,_xlpm.FTE,7+14*_xlpm.Person,
(INDEX('Calc - SENIOR PERS'!$C:$C,_xlpm.ROWNUM) + INDEX('Calc - SENIOR PERS'!$D:$D,_xlpm.ROWNUM) + INDEX('Calc - SENIOR PERS'!$V:$V,_xlpm.ROWNUM)) * INDEX('Calc - SENIOR PERS'!$F:$F,_xlpm.FTE))</f>
        <v>0</v>
      </c>
      <c r="E150" s="3050" cm="1">
        <f t="array" aca="1" ref="E150" ca="1">_xlfn.LET(_xlpm.Person,INT((ROW()-ROW($A$38))/9),_xlpm.Period,VALUE(RIGHT(E$38,LEN(E$38)-1))-1,_xlpm.ROWNUM,11+14*_xlpm.Person+_xlpm.Period,_xlpm.FTE,7+14*_xlpm.Person,
(INDEX('Calc - SENIOR PERS'!$C:$C,_xlpm.ROWNUM) + INDEX('Calc - SENIOR PERS'!$D:$D,_xlpm.ROWNUM) + INDEX('Calc - SENIOR PERS'!$V:$V,_xlpm.ROWNUM)) * INDEX('Calc - SENIOR PERS'!$F:$F,_xlpm.FTE))</f>
        <v>0</v>
      </c>
      <c r="F150" s="3050" cm="1">
        <f t="array" aca="1" ref="F150" ca="1">_xlfn.LET(_xlpm.Person,INT((ROW()-ROW($A$38))/9),_xlpm.Period,VALUE(RIGHT(F$38,LEN(F$38)-1))-1,_xlpm.ROWNUM,11+14*_xlpm.Person+_xlpm.Period,_xlpm.FTE,7+14*_xlpm.Person,
(INDEX('Calc - SENIOR PERS'!$C:$C,_xlpm.ROWNUM) + INDEX('Calc - SENIOR PERS'!$D:$D,_xlpm.ROWNUM) + INDEX('Calc - SENIOR PERS'!$V:$V,_xlpm.ROWNUM)) * INDEX('Calc - SENIOR PERS'!$F:$F,_xlpm.FTE))</f>
        <v>0</v>
      </c>
      <c r="G150" s="3050" cm="1">
        <f t="array" aca="1" ref="G150" ca="1">_xlfn.LET(_xlpm.Person,INT((ROW()-ROW($A$38))/9),_xlpm.Period,VALUE(RIGHT(G$38,LEN(G$38)-1))-1,_xlpm.ROWNUM,11+14*_xlpm.Person+_xlpm.Period,_xlpm.FTE,7+14*_xlpm.Person,
(INDEX('Calc - SENIOR PERS'!$C:$C,_xlpm.ROWNUM) + INDEX('Calc - SENIOR PERS'!$D:$D,_xlpm.ROWNUM) + INDEX('Calc - SENIOR PERS'!$V:$V,_xlpm.ROWNUM)) * INDEX('Calc - SENIOR PERS'!$F:$F,_xlpm.FTE))</f>
        <v>0</v>
      </c>
      <c r="H150" s="3050" cm="1">
        <f t="array" aca="1" ref="H150" ca="1">_xlfn.LET(_xlpm.Person,INT((ROW()-ROW($A$38))/9),_xlpm.Period,VALUE(RIGHT(H$38,LEN(H$38)-1))-1,_xlpm.ROWNUM,11+14*_xlpm.Person+_xlpm.Period,_xlpm.FTE,7+14*_xlpm.Person,
(INDEX('Calc - SENIOR PERS'!$C:$C,_xlpm.ROWNUM) + INDEX('Calc - SENIOR PERS'!$D:$D,_xlpm.ROWNUM) + INDEX('Calc - SENIOR PERS'!$V:$V,_xlpm.ROWNUM)) * INDEX('Calc - SENIOR PERS'!$F:$F,_xlpm.FTE))</f>
        <v>0</v>
      </c>
      <c r="I150" s="926"/>
    </row>
    <row r="151" spans="1:9" hidden="1" x14ac:dyDescent="0.25">
      <c r="A151" s="3049">
        <f t="shared" ca="1" si="44"/>
        <v>0</v>
      </c>
      <c r="B151" s="847" t="s">
        <v>1054</v>
      </c>
      <c r="C151" s="3050" cm="1">
        <f t="array" aca="1" ref="C151" ca="1">_xlfn.LET(_xlpm.Person,INT((ROW()-ROW($A$38))/9),_xlpm.Period,VALUE(RIGHT(C$38,LEN(C$38)-1))-1,_xlpm.ROWNUM,11+14*_xlpm.Person+_xlpm.Period,_xlpm.FTE,7+14*_xlpm.Person,
(INDEX('Calc - SENIOR PERS'!$C:$C,_xlpm.ROWNUM) + INDEX('Calc - SENIOR PERS'!$D:$D,_xlpm.ROWNUM)) * INDEX('Calc - SENIOR PERS'!$F:$F,_xlpm.FTE))</f>
        <v>0</v>
      </c>
      <c r="D151" s="3050" cm="1">
        <f t="array" aca="1" ref="D151" ca="1">_xlfn.LET(_xlpm.Person,INT((ROW()-ROW($A$38))/9),_xlpm.Period,VALUE(RIGHT(D$38,LEN(D$38)-1))-1,_xlpm.ROWNUM,11+14*_xlpm.Person+_xlpm.Period,_xlpm.FTE,7+14*_xlpm.Person,
(INDEX('Calc - SENIOR PERS'!$C:$C,_xlpm.ROWNUM) + INDEX('Calc - SENIOR PERS'!$D:$D,_xlpm.ROWNUM)) * INDEX('Calc - SENIOR PERS'!$F:$F,_xlpm.FTE))</f>
        <v>0</v>
      </c>
      <c r="E151" s="3050" cm="1">
        <f t="array" aca="1" ref="E151" ca="1">_xlfn.LET(_xlpm.Person,INT((ROW()-ROW($A$38))/9),_xlpm.Period,VALUE(RIGHT(E$38,LEN(E$38)-1))-1,_xlpm.ROWNUM,11+14*_xlpm.Person+_xlpm.Period,_xlpm.FTE,7+14*_xlpm.Person,
(INDEX('Calc - SENIOR PERS'!$C:$C,_xlpm.ROWNUM) + INDEX('Calc - SENIOR PERS'!$D:$D,_xlpm.ROWNUM)) * INDEX('Calc - SENIOR PERS'!$F:$F,_xlpm.FTE))</f>
        <v>0</v>
      </c>
      <c r="F151" s="3050" cm="1">
        <f t="array" aca="1" ref="F151" ca="1">_xlfn.LET(_xlpm.Person,INT((ROW()-ROW($A$38))/9),_xlpm.Period,VALUE(RIGHT(F$38,LEN(F$38)-1))-1,_xlpm.ROWNUM,11+14*_xlpm.Person+_xlpm.Period,_xlpm.FTE,7+14*_xlpm.Person,
(INDEX('Calc - SENIOR PERS'!$C:$C,_xlpm.ROWNUM) + INDEX('Calc - SENIOR PERS'!$D:$D,_xlpm.ROWNUM)) * INDEX('Calc - SENIOR PERS'!$F:$F,_xlpm.FTE))</f>
        <v>0</v>
      </c>
      <c r="G151" s="3050" cm="1">
        <f t="array" aca="1" ref="G151" ca="1">_xlfn.LET(_xlpm.Person,INT((ROW()-ROW($A$38))/9),_xlpm.Period,VALUE(RIGHT(G$38,LEN(G$38)-1))-1,_xlpm.ROWNUM,11+14*_xlpm.Person+_xlpm.Period,_xlpm.FTE,7+14*_xlpm.Person,
(INDEX('Calc - SENIOR PERS'!$C:$C,_xlpm.ROWNUM) + INDEX('Calc - SENIOR PERS'!$D:$D,_xlpm.ROWNUM)) * INDEX('Calc - SENIOR PERS'!$F:$F,_xlpm.FTE))</f>
        <v>0</v>
      </c>
      <c r="H151" s="3050" cm="1">
        <f t="array" aca="1" ref="H151" ca="1">_xlfn.LET(_xlpm.Person,INT((ROW()-ROW($A$38))/9),_xlpm.Period,VALUE(RIGHT(H$38,LEN(H$38)-1))-1,_xlpm.ROWNUM,11+14*_xlpm.Person+_xlpm.Period,_xlpm.FTE,7+14*_xlpm.Person,
(INDEX('Calc - SENIOR PERS'!$C:$C,_xlpm.ROWNUM) + INDEX('Calc - SENIOR PERS'!$D:$D,_xlpm.ROWNUM)) * INDEX('Calc - SENIOR PERS'!$F:$F,_xlpm.FTE))</f>
        <v>0</v>
      </c>
      <c r="I151" s="926"/>
    </row>
    <row r="152" spans="1:9" hidden="1" x14ac:dyDescent="0.25">
      <c r="A152" s="3049">
        <f t="shared" ca="1" si="44"/>
        <v>0</v>
      </c>
      <c r="B152" s="847" t="s">
        <v>1055</v>
      </c>
      <c r="C152" s="3050" cm="1">
        <f t="array" aca="1" ref="C152" ca="1">_xlfn.LET(_xlpm.Person,INT((ROW()-ROW($A$38))/9),_xlpm.Period,VALUE(RIGHT(C$38,LEN(C$38)-1))-1,_xlpm.ROWNUM,11+14*_xlpm.Person+_xlpm.Period,_xlpm.FTE,7+14*_xlpm.Person,
(INDEX('Calc - SENIOR PERS'!$C:$C,_xlpm.ROWNUM) * INDEX('Calc - SENIOR PERS'!$F:$F,_xlpm.FTE)))</f>
        <v>0</v>
      </c>
      <c r="D152" s="3050" cm="1">
        <f t="array" aca="1" ref="D152" ca="1">_xlfn.LET(_xlpm.Person,INT((ROW()-ROW($A$38))/9),_xlpm.Period,VALUE(RIGHT(D$38,LEN(D$38)-1))-1,_xlpm.ROWNUM,11+14*_xlpm.Person+_xlpm.Period,_xlpm.FTE,7+14*_xlpm.Person,
(INDEX('Calc - SENIOR PERS'!$C:$C,_xlpm.ROWNUM) * INDEX('Calc - SENIOR PERS'!$F:$F,_xlpm.FTE)))</f>
        <v>0</v>
      </c>
      <c r="E152" s="3050" cm="1">
        <f t="array" aca="1" ref="E152" ca="1">_xlfn.LET(_xlpm.Person,INT((ROW()-ROW($A$38))/9),_xlpm.Period,VALUE(RIGHT(E$38,LEN(E$38)-1))-1,_xlpm.ROWNUM,11+14*_xlpm.Person+_xlpm.Period,_xlpm.FTE,7+14*_xlpm.Person,
(INDEX('Calc - SENIOR PERS'!$C:$C,_xlpm.ROWNUM) * INDEX('Calc - SENIOR PERS'!$F:$F,_xlpm.FTE)))</f>
        <v>0</v>
      </c>
      <c r="F152" s="3050" cm="1">
        <f t="array" aca="1" ref="F152" ca="1">_xlfn.LET(_xlpm.Person,INT((ROW()-ROW($A$38))/9),_xlpm.Period,VALUE(RIGHT(F$38,LEN(F$38)-1))-1,_xlpm.ROWNUM,11+14*_xlpm.Person+_xlpm.Period,_xlpm.FTE,7+14*_xlpm.Person,
(INDEX('Calc - SENIOR PERS'!$C:$C,_xlpm.ROWNUM) * INDEX('Calc - SENIOR PERS'!$F:$F,_xlpm.FTE)))</f>
        <v>0</v>
      </c>
      <c r="G152" s="3050" cm="1">
        <f t="array" aca="1" ref="G152" ca="1">_xlfn.LET(_xlpm.Person,INT((ROW()-ROW($A$38))/9),_xlpm.Period,VALUE(RIGHT(G$38,LEN(G$38)-1))-1,_xlpm.ROWNUM,11+14*_xlpm.Person+_xlpm.Period,_xlpm.FTE,7+14*_xlpm.Person,
(INDEX('Calc - SENIOR PERS'!$C:$C,_xlpm.ROWNUM) * INDEX('Calc - SENIOR PERS'!$F:$F,_xlpm.FTE)))</f>
        <v>0</v>
      </c>
      <c r="H152" s="3050" cm="1">
        <f t="array" aca="1" ref="H152" ca="1">_xlfn.LET(_xlpm.Person,INT((ROW()-ROW($A$38))/9),_xlpm.Period,VALUE(RIGHT(H$38,LEN(H$38)-1))-1,_xlpm.ROWNUM,11+14*_xlpm.Person+_xlpm.Period,_xlpm.FTE,7+14*_xlpm.Person,
(INDEX('Calc - SENIOR PERS'!$C:$C,_xlpm.ROWNUM) * INDEX('Calc - SENIOR PERS'!$F:$F,_xlpm.FTE)))</f>
        <v>0</v>
      </c>
      <c r="I152" s="926"/>
    </row>
    <row r="153" spans="1:9" hidden="1" x14ac:dyDescent="0.25">
      <c r="I153" s="926"/>
    </row>
    <row r="154" spans="1:9" hidden="1" x14ac:dyDescent="0.25">
      <c r="I154" s="926"/>
    </row>
    <row r="155" spans="1:9" hidden="1" x14ac:dyDescent="0.25">
      <c r="A155" s="3041" cm="1">
        <f t="array" ref="A155">INDEX('DATA INPUT'!B:B,11+INT((ROW()-ROW($B$38))/9))</f>
        <v>0</v>
      </c>
      <c r="B155" s="847"/>
      <c r="C155" s="3042" t="s">
        <v>1041</v>
      </c>
      <c r="D155" s="3042" t="s">
        <v>1042</v>
      </c>
      <c r="E155" s="3042" t="s">
        <v>1043</v>
      </c>
      <c r="F155" s="3042" t="s">
        <v>1044</v>
      </c>
      <c r="G155" s="3042" t="s">
        <v>1045</v>
      </c>
      <c r="H155" s="3042" t="s">
        <v>1046</v>
      </c>
      <c r="I155" s="926"/>
    </row>
    <row r="156" spans="1:9" ht="17.25" hidden="1" x14ac:dyDescent="0.3">
      <c r="A156" s="3043">
        <f t="shared" ref="A156" ca="1" si="45">SUM(C156:H156)</f>
        <v>0</v>
      </c>
      <c r="B156" s="3044" t="s">
        <v>3</v>
      </c>
      <c r="C156" s="3045">
        <f t="shared" ref="C156:H156" ca="1" si="46">ROUND(C157*C160*(1+C158), 2)</f>
        <v>0</v>
      </c>
      <c r="D156" s="3045">
        <f t="shared" ca="1" si="46"/>
        <v>0</v>
      </c>
      <c r="E156" s="3045">
        <f t="shared" ca="1" si="46"/>
        <v>0</v>
      </c>
      <c r="F156" s="3045">
        <f t="shared" ca="1" si="46"/>
        <v>0</v>
      </c>
      <c r="G156" s="3045">
        <f t="shared" ca="1" si="46"/>
        <v>0</v>
      </c>
      <c r="H156" s="3045">
        <f t="shared" ca="1" si="46"/>
        <v>0</v>
      </c>
      <c r="I156" s="926"/>
    </row>
    <row r="157" spans="1:9" hidden="1" x14ac:dyDescent="0.25">
      <c r="A157" s="503" t="s">
        <v>110</v>
      </c>
      <c r="B157" s="847" t="s">
        <v>1050</v>
      </c>
      <c r="C157" s="3058" cm="1">
        <f t="array" aca="1" ref="C157" ca="1">_xlfn.LET(_xlpm.Person,INT((ROW()-ROW($A$38))/9),_xlpm.Period,VALUE(RIGHT(C$38,LEN(C$38)-1))-1,_xlpm.ROWNUM,11+14*_xlpm.Person+_xlpm.Period,
ROUND(INDEX('Calc - SENIOR PERS'!$K:$K,_xlpm.ROWNUM),2))</f>
        <v>0</v>
      </c>
      <c r="D157" s="3058" cm="1">
        <f t="array" aca="1" ref="D157" ca="1">_xlfn.LET(_xlpm.Person,INT((ROW()-ROW($A$38))/9),_xlpm.Period,VALUE(RIGHT(D$38,LEN(D$38)-1))-1,_xlpm.ROWNUM,11+14*_xlpm.Person+_xlpm.Period,
ROUND(INDEX('Calc - SENIOR PERS'!$K:$K,_xlpm.ROWNUM),2))</f>
        <v>0</v>
      </c>
      <c r="E157" s="3058" cm="1">
        <f t="array" aca="1" ref="E157" ca="1">_xlfn.LET(_xlpm.Person,INT((ROW()-ROW($A$38))/9),_xlpm.Period,VALUE(RIGHT(E$38,LEN(E$38)-1))-1,_xlpm.ROWNUM,11+14*_xlpm.Person+_xlpm.Period,
ROUND(INDEX('Calc - SENIOR PERS'!$K:$K,_xlpm.ROWNUM),2))</f>
        <v>0</v>
      </c>
      <c r="F157" s="3058" cm="1">
        <f t="array" aca="1" ref="F157" ca="1">_xlfn.LET(_xlpm.Person,INT((ROW()-ROW($A$38))/9),_xlpm.Period,VALUE(RIGHT(F$38,LEN(F$38)-1))-1,_xlpm.ROWNUM,11+14*_xlpm.Person+_xlpm.Period,
ROUND(INDEX('Calc - SENIOR PERS'!$K:$K,_xlpm.ROWNUM),2))</f>
        <v>0</v>
      </c>
      <c r="G157" s="3058" cm="1">
        <f t="array" aca="1" ref="G157" ca="1">_xlfn.LET(_xlpm.Person,INT((ROW()-ROW($A$38))/9),_xlpm.Period,VALUE(RIGHT(G$38,LEN(G$38)-1))-1,_xlpm.ROWNUM,11+14*_xlpm.Person+_xlpm.Period,
ROUND(INDEX('Calc - SENIOR PERS'!$K:$K,_xlpm.ROWNUM),2))</f>
        <v>0</v>
      </c>
      <c r="H157" s="3058" cm="1">
        <f t="array" aca="1" ref="H157" ca="1">_xlfn.LET(_xlpm.Person,INT((ROW()-ROW($A$38))/9),_xlpm.Period,VALUE(RIGHT(H$38,LEN(H$38)-1))-1,_xlpm.ROWNUM,11+14*_xlpm.Person+_xlpm.Period,
ROUND(INDEX('Calc - SENIOR PERS'!$K:$K,_xlpm.ROWNUM),2))</f>
        <v>0</v>
      </c>
      <c r="I157" s="926"/>
    </row>
    <row r="158" spans="1:9" hidden="1" x14ac:dyDescent="0.25">
      <c r="A158" s="3047" t="s">
        <v>1051</v>
      </c>
      <c r="B158" s="847" t="s">
        <v>1052</v>
      </c>
      <c r="C158" s="3048" cm="1">
        <f t="array" aca="1" ref="C158" ca="1">_xlfn.LET(_xlpm.Person,INT((ROW()-ROW($A$38))/9),_xlpm.Period,VALUE(RIGHT(C$38,LEN(C$38)-1))-1,_xlpm.ROWNUM,11+14*_xlpm.Person+_xlpm.Period,
INDEX('Calc - SENIOR PERS'!$P:$P,_xlpm.ROWNUM))</f>
        <v>0.50700000000000001</v>
      </c>
      <c r="D158" s="3048" cm="1">
        <f t="array" aca="1" ref="D158" ca="1">_xlfn.LET(_xlpm.Person,INT((ROW()-ROW($A$38))/9),_xlpm.Period,VALUE(RIGHT(D$38,LEN(D$38)-1))-1,_xlpm.ROWNUM,11+14*_xlpm.Person+_xlpm.Period,
INDEX('Calc - SENIOR PERS'!$P:$P,_xlpm.ROWNUM))</f>
        <v>0.52700000000000002</v>
      </c>
      <c r="E158" s="3048" cm="1">
        <f t="array" aca="1" ref="E158" ca="1">_xlfn.LET(_xlpm.Person,INT((ROW()-ROW($A$38))/9),_xlpm.Period,VALUE(RIGHT(E$38,LEN(E$38)-1))-1,_xlpm.ROWNUM,11+14*_xlpm.Person+_xlpm.Period,
INDEX('Calc - SENIOR PERS'!$P:$P,_xlpm.ROWNUM))</f>
        <v>0.54700000000000004</v>
      </c>
      <c r="F158" s="3048" cm="1">
        <f t="array" aca="1" ref="F158" ca="1">_xlfn.LET(_xlpm.Person,INT((ROW()-ROW($A$38))/9),_xlpm.Period,VALUE(RIGHT(F$38,LEN(F$38)-1))-1,_xlpm.ROWNUM,11+14*_xlpm.Person+_xlpm.Period,
INDEX('Calc - SENIOR PERS'!$P:$P,_xlpm.ROWNUM))</f>
        <v>0.56700000000000006</v>
      </c>
      <c r="G158" s="3048" cm="1">
        <f t="array" aca="1" ref="G158" ca="1">_xlfn.LET(_xlpm.Person,INT((ROW()-ROW($A$38))/9),_xlpm.Period,VALUE(RIGHT(G$38,LEN(G$38)-1))-1,_xlpm.ROWNUM,11+14*_xlpm.Person+_xlpm.Period,
INDEX('Calc - SENIOR PERS'!$P:$P,_xlpm.ROWNUM))</f>
        <v>0.58700000000000008</v>
      </c>
      <c r="H158" s="3048" cm="1">
        <f t="array" aca="1" ref="H158" ca="1">_xlfn.LET(_xlpm.Person,INT((ROW()-ROW($A$38))/9),_xlpm.Period,VALUE(RIGHT(H$38,LEN(H$38)-1))-1,_xlpm.ROWNUM,11+14*_xlpm.Person+_xlpm.Period,
INDEX('Calc - SENIOR PERS'!$P:$P,_xlpm.ROWNUM))</f>
        <v>0.6070000000000001</v>
      </c>
      <c r="I158" s="926"/>
    </row>
    <row r="159" spans="1:9" hidden="1" x14ac:dyDescent="0.25">
      <c r="A159" s="3049">
        <f t="shared" ref="A159:A161" ca="1" si="47">SUM(C159:H159)</f>
        <v>0</v>
      </c>
      <c r="B159" s="847" t="s">
        <v>1053</v>
      </c>
      <c r="C159" s="3050" cm="1">
        <f t="array" aca="1" ref="C159" ca="1">_xlfn.LET(_xlpm.Person,INT((ROW()-ROW($A$38))/9),_xlpm.Period,VALUE(RIGHT(C$38,LEN(C$38)-1))-1,_xlpm.ROWNUM,11+14*_xlpm.Person+_xlpm.Period,_xlpm.FTE,7+14*_xlpm.Person,
(INDEX('Calc - SENIOR PERS'!$C:$C,_xlpm.ROWNUM) + INDEX('Calc - SENIOR PERS'!$D:$D,_xlpm.ROWNUM) + INDEX('Calc - SENIOR PERS'!$V:$V,_xlpm.ROWNUM)) * INDEX('Calc - SENIOR PERS'!$F:$F,_xlpm.FTE))</f>
        <v>0</v>
      </c>
      <c r="D159" s="3050" cm="1">
        <f t="array" aca="1" ref="D159" ca="1">_xlfn.LET(_xlpm.Person,INT((ROW()-ROW($A$38))/9),_xlpm.Period,VALUE(RIGHT(D$38,LEN(D$38)-1))-1,_xlpm.ROWNUM,11+14*_xlpm.Person+_xlpm.Period,_xlpm.FTE,7+14*_xlpm.Person,
(INDEX('Calc - SENIOR PERS'!$C:$C,_xlpm.ROWNUM) + INDEX('Calc - SENIOR PERS'!$D:$D,_xlpm.ROWNUM) + INDEX('Calc - SENIOR PERS'!$V:$V,_xlpm.ROWNUM)) * INDEX('Calc - SENIOR PERS'!$F:$F,_xlpm.FTE))</f>
        <v>0</v>
      </c>
      <c r="E159" s="3050" cm="1">
        <f t="array" aca="1" ref="E159" ca="1">_xlfn.LET(_xlpm.Person,INT((ROW()-ROW($A$38))/9),_xlpm.Period,VALUE(RIGHT(E$38,LEN(E$38)-1))-1,_xlpm.ROWNUM,11+14*_xlpm.Person+_xlpm.Period,_xlpm.FTE,7+14*_xlpm.Person,
(INDEX('Calc - SENIOR PERS'!$C:$C,_xlpm.ROWNUM) + INDEX('Calc - SENIOR PERS'!$D:$D,_xlpm.ROWNUM) + INDEX('Calc - SENIOR PERS'!$V:$V,_xlpm.ROWNUM)) * INDEX('Calc - SENIOR PERS'!$F:$F,_xlpm.FTE))</f>
        <v>0</v>
      </c>
      <c r="F159" s="3050" cm="1">
        <f t="array" aca="1" ref="F159" ca="1">_xlfn.LET(_xlpm.Person,INT((ROW()-ROW($A$38))/9),_xlpm.Period,VALUE(RIGHT(F$38,LEN(F$38)-1))-1,_xlpm.ROWNUM,11+14*_xlpm.Person+_xlpm.Period,_xlpm.FTE,7+14*_xlpm.Person,
(INDEX('Calc - SENIOR PERS'!$C:$C,_xlpm.ROWNUM) + INDEX('Calc - SENIOR PERS'!$D:$D,_xlpm.ROWNUM) + INDEX('Calc - SENIOR PERS'!$V:$V,_xlpm.ROWNUM)) * INDEX('Calc - SENIOR PERS'!$F:$F,_xlpm.FTE))</f>
        <v>0</v>
      </c>
      <c r="G159" s="3050" cm="1">
        <f t="array" aca="1" ref="G159" ca="1">_xlfn.LET(_xlpm.Person,INT((ROW()-ROW($A$38))/9),_xlpm.Period,VALUE(RIGHT(G$38,LEN(G$38)-1))-1,_xlpm.ROWNUM,11+14*_xlpm.Person+_xlpm.Period,_xlpm.FTE,7+14*_xlpm.Person,
(INDEX('Calc - SENIOR PERS'!$C:$C,_xlpm.ROWNUM) + INDEX('Calc - SENIOR PERS'!$D:$D,_xlpm.ROWNUM) + INDEX('Calc - SENIOR PERS'!$V:$V,_xlpm.ROWNUM)) * INDEX('Calc - SENIOR PERS'!$F:$F,_xlpm.FTE))</f>
        <v>0</v>
      </c>
      <c r="H159" s="3050" cm="1">
        <f t="array" aca="1" ref="H159" ca="1">_xlfn.LET(_xlpm.Person,INT((ROW()-ROW($A$38))/9),_xlpm.Period,VALUE(RIGHT(H$38,LEN(H$38)-1))-1,_xlpm.ROWNUM,11+14*_xlpm.Person+_xlpm.Period,_xlpm.FTE,7+14*_xlpm.Person,
(INDEX('Calc - SENIOR PERS'!$C:$C,_xlpm.ROWNUM) + INDEX('Calc - SENIOR PERS'!$D:$D,_xlpm.ROWNUM) + INDEX('Calc - SENIOR PERS'!$V:$V,_xlpm.ROWNUM)) * INDEX('Calc - SENIOR PERS'!$F:$F,_xlpm.FTE))</f>
        <v>0</v>
      </c>
      <c r="I159" s="926"/>
    </row>
    <row r="160" spans="1:9" hidden="1" x14ac:dyDescent="0.25">
      <c r="A160" s="3049">
        <f t="shared" ca="1" si="47"/>
        <v>0</v>
      </c>
      <c r="B160" s="847" t="s">
        <v>1054</v>
      </c>
      <c r="C160" s="3050" cm="1">
        <f t="array" aca="1" ref="C160" ca="1">_xlfn.LET(_xlpm.Person,INT((ROW()-ROW($A$38))/9),_xlpm.Period,VALUE(RIGHT(C$38,LEN(C$38)-1))-1,_xlpm.ROWNUM,11+14*_xlpm.Person+_xlpm.Period,_xlpm.FTE,7+14*_xlpm.Person,
(INDEX('Calc - SENIOR PERS'!$C:$C,_xlpm.ROWNUM) + INDEX('Calc - SENIOR PERS'!$D:$D,_xlpm.ROWNUM)) * INDEX('Calc - SENIOR PERS'!$F:$F,_xlpm.FTE))</f>
        <v>0</v>
      </c>
      <c r="D160" s="3050" cm="1">
        <f t="array" aca="1" ref="D160" ca="1">_xlfn.LET(_xlpm.Person,INT((ROW()-ROW($A$38))/9),_xlpm.Period,VALUE(RIGHT(D$38,LEN(D$38)-1))-1,_xlpm.ROWNUM,11+14*_xlpm.Person+_xlpm.Period,_xlpm.FTE,7+14*_xlpm.Person,
(INDEX('Calc - SENIOR PERS'!$C:$C,_xlpm.ROWNUM) + INDEX('Calc - SENIOR PERS'!$D:$D,_xlpm.ROWNUM)) * INDEX('Calc - SENIOR PERS'!$F:$F,_xlpm.FTE))</f>
        <v>0</v>
      </c>
      <c r="E160" s="3050" cm="1">
        <f t="array" aca="1" ref="E160" ca="1">_xlfn.LET(_xlpm.Person,INT((ROW()-ROW($A$38))/9),_xlpm.Period,VALUE(RIGHT(E$38,LEN(E$38)-1))-1,_xlpm.ROWNUM,11+14*_xlpm.Person+_xlpm.Period,_xlpm.FTE,7+14*_xlpm.Person,
(INDEX('Calc - SENIOR PERS'!$C:$C,_xlpm.ROWNUM) + INDEX('Calc - SENIOR PERS'!$D:$D,_xlpm.ROWNUM)) * INDEX('Calc - SENIOR PERS'!$F:$F,_xlpm.FTE))</f>
        <v>0</v>
      </c>
      <c r="F160" s="3050" cm="1">
        <f t="array" aca="1" ref="F160" ca="1">_xlfn.LET(_xlpm.Person,INT((ROW()-ROW($A$38))/9),_xlpm.Period,VALUE(RIGHT(F$38,LEN(F$38)-1))-1,_xlpm.ROWNUM,11+14*_xlpm.Person+_xlpm.Period,_xlpm.FTE,7+14*_xlpm.Person,
(INDEX('Calc - SENIOR PERS'!$C:$C,_xlpm.ROWNUM) + INDEX('Calc - SENIOR PERS'!$D:$D,_xlpm.ROWNUM)) * INDEX('Calc - SENIOR PERS'!$F:$F,_xlpm.FTE))</f>
        <v>0</v>
      </c>
      <c r="G160" s="3050" cm="1">
        <f t="array" aca="1" ref="G160" ca="1">_xlfn.LET(_xlpm.Person,INT((ROW()-ROW($A$38))/9),_xlpm.Period,VALUE(RIGHT(G$38,LEN(G$38)-1))-1,_xlpm.ROWNUM,11+14*_xlpm.Person+_xlpm.Period,_xlpm.FTE,7+14*_xlpm.Person,
(INDEX('Calc - SENIOR PERS'!$C:$C,_xlpm.ROWNUM) + INDEX('Calc - SENIOR PERS'!$D:$D,_xlpm.ROWNUM)) * INDEX('Calc - SENIOR PERS'!$F:$F,_xlpm.FTE))</f>
        <v>0</v>
      </c>
      <c r="H160" s="3050" cm="1">
        <f t="array" aca="1" ref="H160" ca="1">_xlfn.LET(_xlpm.Person,INT((ROW()-ROW($A$38))/9),_xlpm.Period,VALUE(RIGHT(H$38,LEN(H$38)-1))-1,_xlpm.ROWNUM,11+14*_xlpm.Person+_xlpm.Period,_xlpm.FTE,7+14*_xlpm.Person,
(INDEX('Calc - SENIOR PERS'!$C:$C,_xlpm.ROWNUM) + INDEX('Calc - SENIOR PERS'!$D:$D,_xlpm.ROWNUM)) * INDEX('Calc - SENIOR PERS'!$F:$F,_xlpm.FTE))</f>
        <v>0</v>
      </c>
      <c r="I160" s="926"/>
    </row>
    <row r="161" spans="1:9" hidden="1" x14ac:dyDescent="0.25">
      <c r="A161" s="3049">
        <f t="shared" ca="1" si="47"/>
        <v>0</v>
      </c>
      <c r="B161" s="847" t="s">
        <v>1055</v>
      </c>
      <c r="C161" s="3050" cm="1">
        <f t="array" aca="1" ref="C161" ca="1">_xlfn.LET(_xlpm.Person,INT((ROW()-ROW($A$38))/9),_xlpm.Period,VALUE(RIGHT(C$38,LEN(C$38)-1))-1,_xlpm.ROWNUM,11+14*_xlpm.Person+_xlpm.Period,_xlpm.FTE,7+14*_xlpm.Person,
(INDEX('Calc - SENIOR PERS'!$C:$C,_xlpm.ROWNUM) * INDEX('Calc - SENIOR PERS'!$F:$F,_xlpm.FTE)))</f>
        <v>0</v>
      </c>
      <c r="D161" s="3050" cm="1">
        <f t="array" aca="1" ref="D161" ca="1">_xlfn.LET(_xlpm.Person,INT((ROW()-ROW($A$38))/9),_xlpm.Period,VALUE(RIGHT(D$38,LEN(D$38)-1))-1,_xlpm.ROWNUM,11+14*_xlpm.Person+_xlpm.Period,_xlpm.FTE,7+14*_xlpm.Person,
(INDEX('Calc - SENIOR PERS'!$C:$C,_xlpm.ROWNUM) * INDEX('Calc - SENIOR PERS'!$F:$F,_xlpm.FTE)))</f>
        <v>0</v>
      </c>
      <c r="E161" s="3050" cm="1">
        <f t="array" aca="1" ref="E161" ca="1">_xlfn.LET(_xlpm.Person,INT((ROW()-ROW($A$38))/9),_xlpm.Period,VALUE(RIGHT(E$38,LEN(E$38)-1))-1,_xlpm.ROWNUM,11+14*_xlpm.Person+_xlpm.Period,_xlpm.FTE,7+14*_xlpm.Person,
(INDEX('Calc - SENIOR PERS'!$C:$C,_xlpm.ROWNUM) * INDEX('Calc - SENIOR PERS'!$F:$F,_xlpm.FTE)))</f>
        <v>0</v>
      </c>
      <c r="F161" s="3050" cm="1">
        <f t="array" aca="1" ref="F161" ca="1">_xlfn.LET(_xlpm.Person,INT((ROW()-ROW($A$38))/9),_xlpm.Period,VALUE(RIGHT(F$38,LEN(F$38)-1))-1,_xlpm.ROWNUM,11+14*_xlpm.Person+_xlpm.Period,_xlpm.FTE,7+14*_xlpm.Person,
(INDEX('Calc - SENIOR PERS'!$C:$C,_xlpm.ROWNUM) * INDEX('Calc - SENIOR PERS'!$F:$F,_xlpm.FTE)))</f>
        <v>0</v>
      </c>
      <c r="G161" s="3050" cm="1">
        <f t="array" aca="1" ref="G161" ca="1">_xlfn.LET(_xlpm.Person,INT((ROW()-ROW($A$38))/9),_xlpm.Period,VALUE(RIGHT(G$38,LEN(G$38)-1))-1,_xlpm.ROWNUM,11+14*_xlpm.Person+_xlpm.Period,_xlpm.FTE,7+14*_xlpm.Person,
(INDEX('Calc - SENIOR PERS'!$C:$C,_xlpm.ROWNUM) * INDEX('Calc - SENIOR PERS'!$F:$F,_xlpm.FTE)))</f>
        <v>0</v>
      </c>
      <c r="H161" s="3050" cm="1">
        <f t="array" aca="1" ref="H161" ca="1">_xlfn.LET(_xlpm.Person,INT((ROW()-ROW($A$38))/9),_xlpm.Period,VALUE(RIGHT(H$38,LEN(H$38)-1))-1,_xlpm.ROWNUM,11+14*_xlpm.Person+_xlpm.Period,_xlpm.FTE,7+14*_xlpm.Person,
(INDEX('Calc - SENIOR PERS'!$C:$C,_xlpm.ROWNUM) * INDEX('Calc - SENIOR PERS'!$F:$F,_xlpm.FTE)))</f>
        <v>0</v>
      </c>
      <c r="I161" s="926"/>
    </row>
    <row r="162" spans="1:9" hidden="1" x14ac:dyDescent="0.25">
      <c r="I162" s="926"/>
    </row>
    <row r="163" spans="1:9" hidden="1" x14ac:dyDescent="0.25">
      <c r="I163" s="926"/>
    </row>
    <row r="164" spans="1:9" hidden="1" x14ac:dyDescent="0.25">
      <c r="A164" s="3041" cm="1">
        <f t="array" ref="A164">INDEX('DATA INPUT'!B:B,11+INT((ROW()-ROW($B$38))/9))</f>
        <v>0</v>
      </c>
      <c r="B164" s="847"/>
      <c r="C164" s="3042" t="s">
        <v>1041</v>
      </c>
      <c r="D164" s="3042" t="s">
        <v>1042</v>
      </c>
      <c r="E164" s="3042" t="s">
        <v>1043</v>
      </c>
      <c r="F164" s="3042" t="s">
        <v>1044</v>
      </c>
      <c r="G164" s="3042" t="s">
        <v>1045</v>
      </c>
      <c r="H164" s="3042" t="s">
        <v>1046</v>
      </c>
      <c r="I164" s="926"/>
    </row>
    <row r="165" spans="1:9" ht="17.25" hidden="1" x14ac:dyDescent="0.3">
      <c r="A165" s="3043">
        <f t="shared" ref="A165" ca="1" si="48">SUM(C165:H165)</f>
        <v>0</v>
      </c>
      <c r="B165" s="3044" t="s">
        <v>3</v>
      </c>
      <c r="C165" s="3045">
        <f t="shared" ref="C165:H165" ca="1" si="49">ROUND(C166*C169*(1+C167), 2)</f>
        <v>0</v>
      </c>
      <c r="D165" s="3045">
        <f t="shared" ca="1" si="49"/>
        <v>0</v>
      </c>
      <c r="E165" s="3045">
        <f t="shared" ca="1" si="49"/>
        <v>0</v>
      </c>
      <c r="F165" s="3045">
        <f t="shared" ca="1" si="49"/>
        <v>0</v>
      </c>
      <c r="G165" s="3045">
        <f t="shared" ca="1" si="49"/>
        <v>0</v>
      </c>
      <c r="H165" s="3045">
        <f t="shared" ca="1" si="49"/>
        <v>0</v>
      </c>
      <c r="I165" s="926"/>
    </row>
    <row r="166" spans="1:9" hidden="1" x14ac:dyDescent="0.25">
      <c r="A166" s="503" t="s">
        <v>110</v>
      </c>
      <c r="B166" s="847" t="s">
        <v>1050</v>
      </c>
      <c r="C166" s="3058" cm="1">
        <f t="array" aca="1" ref="C166" ca="1">_xlfn.LET(_xlpm.Person,INT((ROW()-ROW($A$38))/9),_xlpm.Period,VALUE(RIGHT(C$38,LEN(C$38)-1))-1,_xlpm.ROWNUM,11+14*_xlpm.Person+_xlpm.Period,
ROUND(INDEX('Calc - SENIOR PERS'!$K:$K,_xlpm.ROWNUM),2))</f>
        <v>0</v>
      </c>
      <c r="D166" s="3058" cm="1">
        <f t="array" aca="1" ref="D166" ca="1">_xlfn.LET(_xlpm.Person,INT((ROW()-ROW($A$38))/9),_xlpm.Period,VALUE(RIGHT(D$38,LEN(D$38)-1))-1,_xlpm.ROWNUM,11+14*_xlpm.Person+_xlpm.Period,
ROUND(INDEX('Calc - SENIOR PERS'!$K:$K,_xlpm.ROWNUM),2))</f>
        <v>0</v>
      </c>
      <c r="E166" s="3058" cm="1">
        <f t="array" aca="1" ref="E166" ca="1">_xlfn.LET(_xlpm.Person,INT((ROW()-ROW($A$38))/9),_xlpm.Period,VALUE(RIGHT(E$38,LEN(E$38)-1))-1,_xlpm.ROWNUM,11+14*_xlpm.Person+_xlpm.Period,
ROUND(INDEX('Calc - SENIOR PERS'!$K:$K,_xlpm.ROWNUM),2))</f>
        <v>0</v>
      </c>
      <c r="F166" s="3058" cm="1">
        <f t="array" aca="1" ref="F166" ca="1">_xlfn.LET(_xlpm.Person,INT((ROW()-ROW($A$38))/9),_xlpm.Period,VALUE(RIGHT(F$38,LEN(F$38)-1))-1,_xlpm.ROWNUM,11+14*_xlpm.Person+_xlpm.Period,
ROUND(INDEX('Calc - SENIOR PERS'!$K:$K,_xlpm.ROWNUM),2))</f>
        <v>0</v>
      </c>
      <c r="G166" s="3058" cm="1">
        <f t="array" aca="1" ref="G166" ca="1">_xlfn.LET(_xlpm.Person,INT((ROW()-ROW($A$38))/9),_xlpm.Period,VALUE(RIGHT(G$38,LEN(G$38)-1))-1,_xlpm.ROWNUM,11+14*_xlpm.Person+_xlpm.Period,
ROUND(INDEX('Calc - SENIOR PERS'!$K:$K,_xlpm.ROWNUM),2))</f>
        <v>0</v>
      </c>
      <c r="H166" s="3058" cm="1">
        <f t="array" aca="1" ref="H166" ca="1">_xlfn.LET(_xlpm.Person,INT((ROW()-ROW($A$38))/9),_xlpm.Period,VALUE(RIGHT(H$38,LEN(H$38)-1))-1,_xlpm.ROWNUM,11+14*_xlpm.Person+_xlpm.Period,
ROUND(INDEX('Calc - SENIOR PERS'!$K:$K,_xlpm.ROWNUM),2))</f>
        <v>0</v>
      </c>
      <c r="I166" s="926"/>
    </row>
    <row r="167" spans="1:9" hidden="1" x14ac:dyDescent="0.25">
      <c r="A167" s="3047" t="s">
        <v>1051</v>
      </c>
      <c r="B167" s="847" t="s">
        <v>1052</v>
      </c>
      <c r="C167" s="3048" cm="1">
        <f t="array" aca="1" ref="C167" ca="1">_xlfn.LET(_xlpm.Person,INT((ROW()-ROW($A$38))/9),_xlpm.Period,VALUE(RIGHT(C$38,LEN(C$38)-1))-1,_xlpm.ROWNUM,11+14*_xlpm.Person+_xlpm.Period,
INDEX('Calc - SENIOR PERS'!$P:$P,_xlpm.ROWNUM))</f>
        <v>0.50700000000000001</v>
      </c>
      <c r="D167" s="3048" cm="1">
        <f t="array" aca="1" ref="D167" ca="1">_xlfn.LET(_xlpm.Person,INT((ROW()-ROW($A$38))/9),_xlpm.Period,VALUE(RIGHT(D$38,LEN(D$38)-1))-1,_xlpm.ROWNUM,11+14*_xlpm.Person+_xlpm.Period,
INDEX('Calc - SENIOR PERS'!$P:$P,_xlpm.ROWNUM))</f>
        <v>0.52700000000000002</v>
      </c>
      <c r="E167" s="3048" cm="1">
        <f t="array" aca="1" ref="E167" ca="1">_xlfn.LET(_xlpm.Person,INT((ROW()-ROW($A$38))/9),_xlpm.Period,VALUE(RIGHT(E$38,LEN(E$38)-1))-1,_xlpm.ROWNUM,11+14*_xlpm.Person+_xlpm.Period,
INDEX('Calc - SENIOR PERS'!$P:$P,_xlpm.ROWNUM))</f>
        <v>0.54700000000000004</v>
      </c>
      <c r="F167" s="3048" cm="1">
        <f t="array" aca="1" ref="F167" ca="1">_xlfn.LET(_xlpm.Person,INT((ROW()-ROW($A$38))/9),_xlpm.Period,VALUE(RIGHT(F$38,LEN(F$38)-1))-1,_xlpm.ROWNUM,11+14*_xlpm.Person+_xlpm.Period,
INDEX('Calc - SENIOR PERS'!$P:$P,_xlpm.ROWNUM))</f>
        <v>0.56700000000000006</v>
      </c>
      <c r="G167" s="3048" cm="1">
        <f t="array" aca="1" ref="G167" ca="1">_xlfn.LET(_xlpm.Person,INT((ROW()-ROW($A$38))/9),_xlpm.Period,VALUE(RIGHT(G$38,LEN(G$38)-1))-1,_xlpm.ROWNUM,11+14*_xlpm.Person+_xlpm.Period,
INDEX('Calc - SENIOR PERS'!$P:$P,_xlpm.ROWNUM))</f>
        <v>0.58700000000000008</v>
      </c>
      <c r="H167" s="3048" cm="1">
        <f t="array" aca="1" ref="H167" ca="1">_xlfn.LET(_xlpm.Person,INT((ROW()-ROW($A$38))/9),_xlpm.Period,VALUE(RIGHT(H$38,LEN(H$38)-1))-1,_xlpm.ROWNUM,11+14*_xlpm.Person+_xlpm.Period,
INDEX('Calc - SENIOR PERS'!$P:$P,_xlpm.ROWNUM))</f>
        <v>0.6070000000000001</v>
      </c>
      <c r="I167" s="926"/>
    </row>
    <row r="168" spans="1:9" hidden="1" x14ac:dyDescent="0.25">
      <c r="A168" s="3049">
        <f t="shared" ref="A168:A170" ca="1" si="50">SUM(C168:H168)</f>
        <v>0</v>
      </c>
      <c r="B168" s="847" t="s">
        <v>1053</v>
      </c>
      <c r="C168" s="3050" cm="1">
        <f t="array" aca="1" ref="C168" ca="1">_xlfn.LET(_xlpm.Person,INT((ROW()-ROW($A$38))/9),_xlpm.Period,VALUE(RIGHT(C$38,LEN(C$38)-1))-1,_xlpm.ROWNUM,11+14*_xlpm.Person+_xlpm.Period,_xlpm.FTE,7+14*_xlpm.Person,
(INDEX('Calc - SENIOR PERS'!$C:$C,_xlpm.ROWNUM) + INDEX('Calc - SENIOR PERS'!$D:$D,_xlpm.ROWNUM) + INDEX('Calc - SENIOR PERS'!$V:$V,_xlpm.ROWNUM)) * INDEX('Calc - SENIOR PERS'!$F:$F,_xlpm.FTE))</f>
        <v>0</v>
      </c>
      <c r="D168" s="3050" cm="1">
        <f t="array" aca="1" ref="D168" ca="1">_xlfn.LET(_xlpm.Person,INT((ROW()-ROW($A$38))/9),_xlpm.Period,VALUE(RIGHT(D$38,LEN(D$38)-1))-1,_xlpm.ROWNUM,11+14*_xlpm.Person+_xlpm.Period,_xlpm.FTE,7+14*_xlpm.Person,
(INDEX('Calc - SENIOR PERS'!$C:$C,_xlpm.ROWNUM) + INDEX('Calc - SENIOR PERS'!$D:$D,_xlpm.ROWNUM) + INDEX('Calc - SENIOR PERS'!$V:$V,_xlpm.ROWNUM)) * INDEX('Calc - SENIOR PERS'!$F:$F,_xlpm.FTE))</f>
        <v>0</v>
      </c>
      <c r="E168" s="3050" cm="1">
        <f t="array" aca="1" ref="E168" ca="1">_xlfn.LET(_xlpm.Person,INT((ROW()-ROW($A$38))/9),_xlpm.Period,VALUE(RIGHT(E$38,LEN(E$38)-1))-1,_xlpm.ROWNUM,11+14*_xlpm.Person+_xlpm.Period,_xlpm.FTE,7+14*_xlpm.Person,
(INDEX('Calc - SENIOR PERS'!$C:$C,_xlpm.ROWNUM) + INDEX('Calc - SENIOR PERS'!$D:$D,_xlpm.ROWNUM) + INDEX('Calc - SENIOR PERS'!$V:$V,_xlpm.ROWNUM)) * INDEX('Calc - SENIOR PERS'!$F:$F,_xlpm.FTE))</f>
        <v>0</v>
      </c>
      <c r="F168" s="3050" cm="1">
        <f t="array" aca="1" ref="F168" ca="1">_xlfn.LET(_xlpm.Person,INT((ROW()-ROW($A$38))/9),_xlpm.Period,VALUE(RIGHT(F$38,LEN(F$38)-1))-1,_xlpm.ROWNUM,11+14*_xlpm.Person+_xlpm.Period,_xlpm.FTE,7+14*_xlpm.Person,
(INDEX('Calc - SENIOR PERS'!$C:$C,_xlpm.ROWNUM) + INDEX('Calc - SENIOR PERS'!$D:$D,_xlpm.ROWNUM) + INDEX('Calc - SENIOR PERS'!$V:$V,_xlpm.ROWNUM)) * INDEX('Calc - SENIOR PERS'!$F:$F,_xlpm.FTE))</f>
        <v>0</v>
      </c>
      <c r="G168" s="3050" cm="1">
        <f t="array" aca="1" ref="G168" ca="1">_xlfn.LET(_xlpm.Person,INT((ROW()-ROW($A$38))/9),_xlpm.Period,VALUE(RIGHT(G$38,LEN(G$38)-1))-1,_xlpm.ROWNUM,11+14*_xlpm.Person+_xlpm.Period,_xlpm.FTE,7+14*_xlpm.Person,
(INDEX('Calc - SENIOR PERS'!$C:$C,_xlpm.ROWNUM) + INDEX('Calc - SENIOR PERS'!$D:$D,_xlpm.ROWNUM) + INDEX('Calc - SENIOR PERS'!$V:$V,_xlpm.ROWNUM)) * INDEX('Calc - SENIOR PERS'!$F:$F,_xlpm.FTE))</f>
        <v>0</v>
      </c>
      <c r="H168" s="3050" cm="1">
        <f t="array" aca="1" ref="H168" ca="1">_xlfn.LET(_xlpm.Person,INT((ROW()-ROW($A$38))/9),_xlpm.Period,VALUE(RIGHT(H$38,LEN(H$38)-1))-1,_xlpm.ROWNUM,11+14*_xlpm.Person+_xlpm.Period,_xlpm.FTE,7+14*_xlpm.Person,
(INDEX('Calc - SENIOR PERS'!$C:$C,_xlpm.ROWNUM) + INDEX('Calc - SENIOR PERS'!$D:$D,_xlpm.ROWNUM) + INDEX('Calc - SENIOR PERS'!$V:$V,_xlpm.ROWNUM)) * INDEX('Calc - SENIOR PERS'!$F:$F,_xlpm.FTE))</f>
        <v>0</v>
      </c>
      <c r="I168" s="926"/>
    </row>
    <row r="169" spans="1:9" hidden="1" x14ac:dyDescent="0.25">
      <c r="A169" s="3049">
        <f t="shared" ca="1" si="50"/>
        <v>0</v>
      </c>
      <c r="B169" s="847" t="s">
        <v>1054</v>
      </c>
      <c r="C169" s="3050" cm="1">
        <f t="array" aca="1" ref="C169" ca="1">_xlfn.LET(_xlpm.Person,INT((ROW()-ROW($A$38))/9),_xlpm.Period,VALUE(RIGHT(C$38,LEN(C$38)-1))-1,_xlpm.ROWNUM,11+14*_xlpm.Person+_xlpm.Period,_xlpm.FTE,7+14*_xlpm.Person,
(INDEX('Calc - SENIOR PERS'!$C:$C,_xlpm.ROWNUM) + INDEX('Calc - SENIOR PERS'!$D:$D,_xlpm.ROWNUM)) * INDEX('Calc - SENIOR PERS'!$F:$F,_xlpm.FTE))</f>
        <v>0</v>
      </c>
      <c r="D169" s="3050" cm="1">
        <f t="array" aca="1" ref="D169" ca="1">_xlfn.LET(_xlpm.Person,INT((ROW()-ROW($A$38))/9),_xlpm.Period,VALUE(RIGHT(D$38,LEN(D$38)-1))-1,_xlpm.ROWNUM,11+14*_xlpm.Person+_xlpm.Period,_xlpm.FTE,7+14*_xlpm.Person,
(INDEX('Calc - SENIOR PERS'!$C:$C,_xlpm.ROWNUM) + INDEX('Calc - SENIOR PERS'!$D:$D,_xlpm.ROWNUM)) * INDEX('Calc - SENIOR PERS'!$F:$F,_xlpm.FTE))</f>
        <v>0</v>
      </c>
      <c r="E169" s="3050" cm="1">
        <f t="array" aca="1" ref="E169" ca="1">_xlfn.LET(_xlpm.Person,INT((ROW()-ROW($A$38))/9),_xlpm.Period,VALUE(RIGHT(E$38,LEN(E$38)-1))-1,_xlpm.ROWNUM,11+14*_xlpm.Person+_xlpm.Period,_xlpm.FTE,7+14*_xlpm.Person,
(INDEX('Calc - SENIOR PERS'!$C:$C,_xlpm.ROWNUM) + INDEX('Calc - SENIOR PERS'!$D:$D,_xlpm.ROWNUM)) * INDEX('Calc - SENIOR PERS'!$F:$F,_xlpm.FTE))</f>
        <v>0</v>
      </c>
      <c r="F169" s="3050" cm="1">
        <f t="array" aca="1" ref="F169" ca="1">_xlfn.LET(_xlpm.Person,INT((ROW()-ROW($A$38))/9),_xlpm.Period,VALUE(RIGHT(F$38,LEN(F$38)-1))-1,_xlpm.ROWNUM,11+14*_xlpm.Person+_xlpm.Period,_xlpm.FTE,7+14*_xlpm.Person,
(INDEX('Calc - SENIOR PERS'!$C:$C,_xlpm.ROWNUM) + INDEX('Calc - SENIOR PERS'!$D:$D,_xlpm.ROWNUM)) * INDEX('Calc - SENIOR PERS'!$F:$F,_xlpm.FTE))</f>
        <v>0</v>
      </c>
      <c r="G169" s="3050" cm="1">
        <f t="array" aca="1" ref="G169" ca="1">_xlfn.LET(_xlpm.Person,INT((ROW()-ROW($A$38))/9),_xlpm.Period,VALUE(RIGHT(G$38,LEN(G$38)-1))-1,_xlpm.ROWNUM,11+14*_xlpm.Person+_xlpm.Period,_xlpm.FTE,7+14*_xlpm.Person,
(INDEX('Calc - SENIOR PERS'!$C:$C,_xlpm.ROWNUM) + INDEX('Calc - SENIOR PERS'!$D:$D,_xlpm.ROWNUM)) * INDEX('Calc - SENIOR PERS'!$F:$F,_xlpm.FTE))</f>
        <v>0</v>
      </c>
      <c r="H169" s="3050" cm="1">
        <f t="array" aca="1" ref="H169" ca="1">_xlfn.LET(_xlpm.Person,INT((ROW()-ROW($A$38))/9),_xlpm.Period,VALUE(RIGHT(H$38,LEN(H$38)-1))-1,_xlpm.ROWNUM,11+14*_xlpm.Person+_xlpm.Period,_xlpm.FTE,7+14*_xlpm.Person,
(INDEX('Calc - SENIOR PERS'!$C:$C,_xlpm.ROWNUM) + INDEX('Calc - SENIOR PERS'!$D:$D,_xlpm.ROWNUM)) * INDEX('Calc - SENIOR PERS'!$F:$F,_xlpm.FTE))</f>
        <v>0</v>
      </c>
      <c r="I169" s="926"/>
    </row>
    <row r="170" spans="1:9" hidden="1" x14ac:dyDescent="0.25">
      <c r="A170" s="3049">
        <f t="shared" ca="1" si="50"/>
        <v>0</v>
      </c>
      <c r="B170" s="847" t="s">
        <v>1055</v>
      </c>
      <c r="C170" s="3050" cm="1">
        <f t="array" aca="1" ref="C170" ca="1">_xlfn.LET(_xlpm.Person,INT((ROW()-ROW($A$38))/9),_xlpm.Period,VALUE(RIGHT(C$38,LEN(C$38)-1))-1,_xlpm.ROWNUM,11+14*_xlpm.Person+_xlpm.Period,_xlpm.FTE,7+14*_xlpm.Person,
(INDEX('Calc - SENIOR PERS'!$C:$C,_xlpm.ROWNUM) * INDEX('Calc - SENIOR PERS'!$F:$F,_xlpm.FTE)))</f>
        <v>0</v>
      </c>
      <c r="D170" s="3050" cm="1">
        <f t="array" aca="1" ref="D170" ca="1">_xlfn.LET(_xlpm.Person,INT((ROW()-ROW($A$38))/9),_xlpm.Period,VALUE(RIGHT(D$38,LEN(D$38)-1))-1,_xlpm.ROWNUM,11+14*_xlpm.Person+_xlpm.Period,_xlpm.FTE,7+14*_xlpm.Person,
(INDEX('Calc - SENIOR PERS'!$C:$C,_xlpm.ROWNUM) * INDEX('Calc - SENIOR PERS'!$F:$F,_xlpm.FTE)))</f>
        <v>0</v>
      </c>
      <c r="E170" s="3050" cm="1">
        <f t="array" aca="1" ref="E170" ca="1">_xlfn.LET(_xlpm.Person,INT((ROW()-ROW($A$38))/9),_xlpm.Period,VALUE(RIGHT(E$38,LEN(E$38)-1))-1,_xlpm.ROWNUM,11+14*_xlpm.Person+_xlpm.Period,_xlpm.FTE,7+14*_xlpm.Person,
(INDEX('Calc - SENIOR PERS'!$C:$C,_xlpm.ROWNUM) * INDEX('Calc - SENIOR PERS'!$F:$F,_xlpm.FTE)))</f>
        <v>0</v>
      </c>
      <c r="F170" s="3050" cm="1">
        <f t="array" aca="1" ref="F170" ca="1">_xlfn.LET(_xlpm.Person,INT((ROW()-ROW($A$38))/9),_xlpm.Period,VALUE(RIGHT(F$38,LEN(F$38)-1))-1,_xlpm.ROWNUM,11+14*_xlpm.Person+_xlpm.Period,_xlpm.FTE,7+14*_xlpm.Person,
(INDEX('Calc - SENIOR PERS'!$C:$C,_xlpm.ROWNUM) * INDEX('Calc - SENIOR PERS'!$F:$F,_xlpm.FTE)))</f>
        <v>0</v>
      </c>
      <c r="G170" s="3050" cm="1">
        <f t="array" aca="1" ref="G170" ca="1">_xlfn.LET(_xlpm.Person,INT((ROW()-ROW($A$38))/9),_xlpm.Period,VALUE(RIGHT(G$38,LEN(G$38)-1))-1,_xlpm.ROWNUM,11+14*_xlpm.Person+_xlpm.Period,_xlpm.FTE,7+14*_xlpm.Person,
(INDEX('Calc - SENIOR PERS'!$C:$C,_xlpm.ROWNUM) * INDEX('Calc - SENIOR PERS'!$F:$F,_xlpm.FTE)))</f>
        <v>0</v>
      </c>
      <c r="H170" s="3050" cm="1">
        <f t="array" aca="1" ref="H170" ca="1">_xlfn.LET(_xlpm.Person,INT((ROW()-ROW($A$38))/9),_xlpm.Period,VALUE(RIGHT(H$38,LEN(H$38)-1))-1,_xlpm.ROWNUM,11+14*_xlpm.Person+_xlpm.Period,_xlpm.FTE,7+14*_xlpm.Person,
(INDEX('Calc - SENIOR PERS'!$C:$C,_xlpm.ROWNUM) * INDEX('Calc - SENIOR PERS'!$F:$F,_xlpm.FTE)))</f>
        <v>0</v>
      </c>
      <c r="I170" s="926"/>
    </row>
    <row r="171" spans="1:9" hidden="1" x14ac:dyDescent="0.25">
      <c r="I171" s="926"/>
    </row>
    <row r="172" spans="1:9" hidden="1" x14ac:dyDescent="0.25">
      <c r="I172" s="926"/>
    </row>
    <row r="173" spans="1:9" hidden="1" x14ac:dyDescent="0.25">
      <c r="A173" s="847" t="str" cm="1">
        <f t="array" ref="A173">INDEX('DATA INPUT'!B:B,51+INT((ROW()-ROW($A$173))/8))</f>
        <v>TBD</v>
      </c>
      <c r="B173" s="847"/>
      <c r="C173" s="3042" t="s">
        <v>1041</v>
      </c>
      <c r="D173" s="3042" t="s">
        <v>1042</v>
      </c>
      <c r="E173" s="3042" t="s">
        <v>1043</v>
      </c>
      <c r="F173" s="3042" t="s">
        <v>1044</v>
      </c>
      <c r="G173" s="3042" t="s">
        <v>1045</v>
      </c>
      <c r="H173" s="3042" t="s">
        <v>1046</v>
      </c>
      <c r="I173" s="926"/>
    </row>
    <row r="174" spans="1:9" ht="17.25" hidden="1" x14ac:dyDescent="0.3">
      <c r="A174" s="3043">
        <f t="shared" ref="A174" ca="1" si="51">SUM(C174:H174)</f>
        <v>21320.01</v>
      </c>
      <c r="B174" s="3044" t="s">
        <v>3</v>
      </c>
      <c r="C174" s="3045">
        <f t="shared" ref="C174:H174" ca="1" si="52">ROUND(C175*C178*(1+C176), 2)</f>
        <v>21320.01</v>
      </c>
      <c r="D174" s="3045">
        <f t="shared" ca="1" si="52"/>
        <v>0</v>
      </c>
      <c r="E174" s="3045">
        <f t="shared" ca="1" si="52"/>
        <v>0</v>
      </c>
      <c r="F174" s="3045">
        <f t="shared" ca="1" si="52"/>
        <v>0</v>
      </c>
      <c r="G174" s="3045">
        <f t="shared" ca="1" si="52"/>
        <v>0</v>
      </c>
      <c r="H174" s="3045">
        <f t="shared" ca="1" si="52"/>
        <v>0</v>
      </c>
      <c r="I174" s="926"/>
    </row>
    <row r="175" spans="1:9" hidden="1" x14ac:dyDescent="0.25">
      <c r="A175" s="503" t="s">
        <v>133</v>
      </c>
      <c r="B175" s="847" t="s">
        <v>1050</v>
      </c>
      <c r="C175" s="3058" cm="1">
        <f t="array" aca="1" ref="C175" ca="1">_xlfn.LET(_xlpm.Person,INT((ROW()-ROW($A$173))/8),_xlpm.Period,VALUE(RIGHT(C$38,LEN(C$38)-1))-1,_xlpm.ROWNUM,11+14*_xlpm.Person+_xlpm.Period,
ROUND(INDEX('Calc - OTHER PERS'!$G:$G,_xlpm.ROWNUM),2))</f>
        <v>5416.67</v>
      </c>
      <c r="D175" s="3058" cm="1">
        <f t="array" aca="1" ref="D175" ca="1">_xlfn.LET(_xlpm.Person,INT((ROW()-ROW($A$173))/8),_xlpm.Period,VALUE(RIGHT(D$38,LEN(D$38)-1))-1,_xlpm.ROWNUM,11+14*_xlpm.Person+_xlpm.Period,
ROUND(INDEX('Calc - OTHER PERS'!$G:$G,_xlpm.ROWNUM),2))</f>
        <v>5579.17</v>
      </c>
      <c r="E175" s="3058" cm="1">
        <f t="array" aca="1" ref="E175" ca="1">_xlfn.LET(_xlpm.Person,INT((ROW()-ROW($A$173))/8),_xlpm.Period,VALUE(RIGHT(E$38,LEN(E$38)-1))-1,_xlpm.ROWNUM,11+14*_xlpm.Person+_xlpm.Period,
ROUND(INDEX('Calc - OTHER PERS'!$G:$G,_xlpm.ROWNUM),2))</f>
        <v>5746.54</v>
      </c>
      <c r="F175" s="3058" cm="1">
        <f t="array" aca="1" ref="F175" ca="1">_xlfn.LET(_xlpm.Person,INT((ROW()-ROW($A$173))/8),_xlpm.Period,VALUE(RIGHT(F$38,LEN(F$38)-1))-1,_xlpm.ROWNUM,11+14*_xlpm.Person+_xlpm.Period,
ROUND(INDEX('Calc - OTHER PERS'!$G:$G,_xlpm.ROWNUM),2))</f>
        <v>5918.94</v>
      </c>
      <c r="G175" s="3058" cm="1">
        <f t="array" aca="1" ref="G175" ca="1">_xlfn.LET(_xlpm.Person,INT((ROW()-ROW($A$173))/8),_xlpm.Period,VALUE(RIGHT(G$38,LEN(G$38)-1))-1,_xlpm.ROWNUM,11+14*_xlpm.Person+_xlpm.Period,
ROUND(INDEX('Calc - OTHER PERS'!$G:$G,_xlpm.ROWNUM),2))</f>
        <v>6096.51</v>
      </c>
      <c r="H175" s="3058" cm="1">
        <f t="array" aca="1" ref="H175" ca="1">_xlfn.LET(_xlpm.Person,INT((ROW()-ROW($A$173))/8),_xlpm.Period,VALUE(RIGHT(H$38,LEN(H$38)-1))-1,_xlpm.ROWNUM,11+14*_xlpm.Person+_xlpm.Period,
ROUND(INDEX('Calc - OTHER PERS'!$G:$G,_xlpm.ROWNUM),2))</f>
        <v>6279.4</v>
      </c>
      <c r="I175" s="926"/>
    </row>
    <row r="176" spans="1:9" hidden="1" x14ac:dyDescent="0.25">
      <c r="A176" s="3047" t="s">
        <v>1051</v>
      </c>
      <c r="B176" s="847" t="s">
        <v>1052</v>
      </c>
      <c r="C176" s="3048" cm="1">
        <f t="array" aca="1" ref="C176" ca="1">_xlfn.LET(_xlpm.Person,INT((ROW()-ROW($A$173))/8),_xlpm.Period,VALUE(RIGHT(C$38,LEN(C$38)-1))-1,_xlpm.ROWNUM,11+14*_xlpm.Person+_xlpm.Period,
INDEX('Calc - OTHER PERS'!$K:$K,_xlpm.ROWNUM))</f>
        <v>0.312</v>
      </c>
      <c r="D176" s="3048" cm="1">
        <f t="array" aca="1" ref="D176" ca="1">_xlfn.LET(_xlpm.Person,INT((ROW()-ROW($A$173))/8),_xlpm.Period,VALUE(RIGHT(D$38,LEN(D$38)-1))-1,_xlpm.ROWNUM,11+14*_xlpm.Person+_xlpm.Period,
INDEX('Calc - OTHER PERS'!$K:$K,_xlpm.ROWNUM))</f>
        <v>0.33200000000000002</v>
      </c>
      <c r="E176" s="3048" cm="1">
        <f t="array" aca="1" ref="E176" ca="1">_xlfn.LET(_xlpm.Person,INT((ROW()-ROW($A$173))/8),_xlpm.Period,VALUE(RIGHT(E$38,LEN(E$38)-1))-1,_xlpm.ROWNUM,11+14*_xlpm.Person+_xlpm.Period,
INDEX('Calc - OTHER PERS'!$K:$K,_xlpm.ROWNUM))</f>
        <v>0.35200000000000004</v>
      </c>
      <c r="F176" s="3048" cm="1">
        <f t="array" aca="1" ref="F176" ca="1">_xlfn.LET(_xlpm.Person,INT((ROW()-ROW($A$173))/8),_xlpm.Period,VALUE(RIGHT(F$38,LEN(F$38)-1))-1,_xlpm.ROWNUM,11+14*_xlpm.Person+_xlpm.Period,
INDEX('Calc - OTHER PERS'!$K:$K,_xlpm.ROWNUM))</f>
        <v>0.37200000000000005</v>
      </c>
      <c r="G176" s="3048" cm="1">
        <f t="array" aca="1" ref="G176" ca="1">_xlfn.LET(_xlpm.Person,INT((ROW()-ROW($A$173))/8),_xlpm.Period,VALUE(RIGHT(G$38,LEN(G$38)-1))-1,_xlpm.ROWNUM,11+14*_xlpm.Person+_xlpm.Period,
INDEX('Calc - OTHER PERS'!$K:$K,_xlpm.ROWNUM))</f>
        <v>0.39200000000000007</v>
      </c>
      <c r="H176" s="3048" cm="1">
        <f t="array" aca="1" ref="H176" ca="1">_xlfn.LET(_xlpm.Person,INT((ROW()-ROW($A$173))/8),_xlpm.Period,VALUE(RIGHT(H$38,LEN(H$38)-1))-1,_xlpm.ROWNUM,11+14*_xlpm.Person+_xlpm.Period,
INDEX('Calc - OTHER PERS'!$K:$K,_xlpm.ROWNUM))</f>
        <v>0.41200000000000009</v>
      </c>
      <c r="I176" s="926"/>
    </row>
    <row r="177" spans="1:9" hidden="1" x14ac:dyDescent="0.25">
      <c r="A177" s="3049">
        <f t="shared" ref="A177:A178" si="53">SUM(C177:H177)</f>
        <v>3</v>
      </c>
      <c r="B177" s="847" t="s">
        <v>1053</v>
      </c>
      <c r="C177" s="3050" cm="1">
        <f t="array" ref="C177">_xlfn.LET(_xlpm.Person,INT((ROW()-ROW($A$173))/8),_xlpm.Period,VALUE(RIGHT(C$38,LEN(C$38)-1))-1,_xlpm.ROWNUM,11+14*_xlpm.Person+_xlpm.Period,_xlpm.FTE,6+14*_xlpm.Person,
(INDEX('Calc - OTHER PERS'!$C:$C,_xlpm.ROWNUM) + INDEX('Calc - OTHER PERS'!$N:$N,_xlpm.ROWNUM)) * INDEX('Calc - OTHER PERS'!$K:$K,_xlpm.FTE))</f>
        <v>3</v>
      </c>
      <c r="D177" s="3050" cm="1">
        <f t="array" ref="D177">_xlfn.LET(_xlpm.Person,INT((ROW()-ROW($A$173))/8),_xlpm.Period,VALUE(RIGHT(D$38,LEN(D$38)-1))-1,_xlpm.ROWNUM,11+14*_xlpm.Person+_xlpm.Period,_xlpm.FTE,6+14*_xlpm.Person,
(INDEX('Calc - OTHER PERS'!$C:$C,_xlpm.ROWNUM) + INDEX('Calc - OTHER PERS'!$N:$N,_xlpm.ROWNUM)) * INDEX('Calc - OTHER PERS'!$K:$K,_xlpm.FTE))</f>
        <v>0</v>
      </c>
      <c r="E177" s="3050" cm="1">
        <f t="array" ref="E177">_xlfn.LET(_xlpm.Person,INT((ROW()-ROW($A$173))/8),_xlpm.Period,VALUE(RIGHT(E$38,LEN(E$38)-1))-1,_xlpm.ROWNUM,11+14*_xlpm.Person+_xlpm.Period,_xlpm.FTE,6+14*_xlpm.Person,
(INDEX('Calc - OTHER PERS'!$C:$C,_xlpm.ROWNUM) + INDEX('Calc - OTHER PERS'!$N:$N,_xlpm.ROWNUM)) * INDEX('Calc - OTHER PERS'!$K:$K,_xlpm.FTE))</f>
        <v>0</v>
      </c>
      <c r="F177" s="3050" cm="1">
        <f t="array" ref="F177">_xlfn.LET(_xlpm.Person,INT((ROW()-ROW($A$173))/8),_xlpm.Period,VALUE(RIGHT(F$38,LEN(F$38)-1))-1,_xlpm.ROWNUM,11+14*_xlpm.Person+_xlpm.Period,_xlpm.FTE,6+14*_xlpm.Person,
(INDEX('Calc - OTHER PERS'!$C:$C,_xlpm.ROWNUM) + INDEX('Calc - OTHER PERS'!$N:$N,_xlpm.ROWNUM)) * INDEX('Calc - OTHER PERS'!$K:$K,_xlpm.FTE))</f>
        <v>0</v>
      </c>
      <c r="G177" s="3050" cm="1">
        <f t="array" ref="G177">_xlfn.LET(_xlpm.Person,INT((ROW()-ROW($A$173))/8),_xlpm.Period,VALUE(RIGHT(G$38,LEN(G$38)-1))-1,_xlpm.ROWNUM,11+14*_xlpm.Person+_xlpm.Period,_xlpm.FTE,6+14*_xlpm.Person,
(INDEX('Calc - OTHER PERS'!$C:$C,_xlpm.ROWNUM) + INDEX('Calc - OTHER PERS'!$N:$N,_xlpm.ROWNUM)) * INDEX('Calc - OTHER PERS'!$K:$K,_xlpm.FTE))</f>
        <v>0</v>
      </c>
      <c r="H177" s="3050" cm="1">
        <f t="array" ref="H177">_xlfn.LET(_xlpm.Person,INT((ROW()-ROW($A$173))/8),_xlpm.Period,VALUE(RIGHT(H$38,LEN(H$38)-1))-1,_xlpm.ROWNUM,11+14*_xlpm.Person+_xlpm.Period,_xlpm.FTE,6+14*_xlpm.Person,
(INDEX('Calc - OTHER PERS'!$C:$C,_xlpm.ROWNUM) + INDEX('Calc - OTHER PERS'!$N:$N,_xlpm.ROWNUM)) * INDEX('Calc - OTHER PERS'!$K:$K,_xlpm.FTE))</f>
        <v>0</v>
      </c>
      <c r="I177" s="926"/>
    </row>
    <row r="178" spans="1:9" hidden="1" x14ac:dyDescent="0.25">
      <c r="A178" s="3049">
        <f t="shared" si="53"/>
        <v>3</v>
      </c>
      <c r="B178" s="847" t="s">
        <v>1054</v>
      </c>
      <c r="C178" s="3050" cm="1">
        <f t="array" ref="C178">_xlfn.LET(_xlpm.Person,INT((ROW()-ROW($A$173))/8),_xlpm.Period,VALUE(RIGHT(C$38,LEN(C$38)-1))-1,_xlpm.ROWNUM,11+14*_xlpm.Person+_xlpm.Period,_xlpm.FTE,6+14*_xlpm.Person,
(INDEX('Calc - OTHER PERS'!$C:$C,_xlpm.ROWNUM) * INDEX('Calc - OTHER PERS'!$K:$K,_xlpm.FTE)))</f>
        <v>3</v>
      </c>
      <c r="D178" s="3050" cm="1">
        <f t="array" ref="D178">_xlfn.LET(_xlpm.Person,INT((ROW()-ROW($A$173))/8),_xlpm.Period,VALUE(RIGHT(D$38,LEN(D$38)-1))-1,_xlpm.ROWNUM,11+14*_xlpm.Person+_xlpm.Period,_xlpm.FTE,6+14*_xlpm.Person,
(INDEX('Calc - OTHER PERS'!$C:$C,_xlpm.ROWNUM) * INDEX('Calc - OTHER PERS'!$K:$K,_xlpm.FTE)))</f>
        <v>0</v>
      </c>
      <c r="E178" s="3050" cm="1">
        <f t="array" ref="E178">_xlfn.LET(_xlpm.Person,INT((ROW()-ROW($A$173))/8),_xlpm.Period,VALUE(RIGHT(E$38,LEN(E$38)-1))-1,_xlpm.ROWNUM,11+14*_xlpm.Person+_xlpm.Period,_xlpm.FTE,6+14*_xlpm.Person,
(INDEX('Calc - OTHER PERS'!$C:$C,_xlpm.ROWNUM) * INDEX('Calc - OTHER PERS'!$K:$K,_xlpm.FTE)))</f>
        <v>0</v>
      </c>
      <c r="F178" s="3050" cm="1">
        <f t="array" ref="F178">_xlfn.LET(_xlpm.Person,INT((ROW()-ROW($A$173))/8),_xlpm.Period,VALUE(RIGHT(F$38,LEN(F$38)-1))-1,_xlpm.ROWNUM,11+14*_xlpm.Person+_xlpm.Period,_xlpm.FTE,6+14*_xlpm.Person,
(INDEX('Calc - OTHER PERS'!$C:$C,_xlpm.ROWNUM) * INDEX('Calc - OTHER PERS'!$K:$K,_xlpm.FTE)))</f>
        <v>0</v>
      </c>
      <c r="G178" s="3050" cm="1">
        <f t="array" ref="G178">_xlfn.LET(_xlpm.Person,INT((ROW()-ROW($A$173))/8),_xlpm.Period,VALUE(RIGHT(G$38,LEN(G$38)-1))-1,_xlpm.ROWNUM,11+14*_xlpm.Person+_xlpm.Period,_xlpm.FTE,6+14*_xlpm.Person,
(INDEX('Calc - OTHER PERS'!$C:$C,_xlpm.ROWNUM) * INDEX('Calc - OTHER PERS'!$K:$K,_xlpm.FTE)))</f>
        <v>0</v>
      </c>
      <c r="H178" s="3050" cm="1">
        <f t="array" ref="H178">_xlfn.LET(_xlpm.Person,INT((ROW()-ROW($A$173))/8),_xlpm.Period,VALUE(RIGHT(H$38,LEN(H$38)-1))-1,_xlpm.ROWNUM,11+14*_xlpm.Person+_xlpm.Period,_xlpm.FTE,6+14*_xlpm.Person,
(INDEX('Calc - OTHER PERS'!$C:$C,_xlpm.ROWNUM) * INDEX('Calc - OTHER PERS'!$K:$K,_xlpm.FTE)))</f>
        <v>0</v>
      </c>
      <c r="I178" s="926"/>
    </row>
    <row r="179" spans="1:9" hidden="1" x14ac:dyDescent="0.25">
      <c r="I179" s="926"/>
    </row>
    <row r="180" spans="1:9" hidden="1" x14ac:dyDescent="0.25">
      <c r="I180" s="926"/>
    </row>
    <row r="181" spans="1:9" hidden="1" x14ac:dyDescent="0.25">
      <c r="A181" s="847" cm="1">
        <f t="array" ref="A181">INDEX('DATA INPUT'!B:B,51+INT((ROW()-ROW($A$173))/8))</f>
        <v>0</v>
      </c>
      <c r="B181" s="847"/>
      <c r="C181" s="3042" t="s">
        <v>1041</v>
      </c>
      <c r="D181" s="3042" t="s">
        <v>1042</v>
      </c>
      <c r="E181" s="3042" t="s">
        <v>1043</v>
      </c>
      <c r="F181" s="3042" t="s">
        <v>1044</v>
      </c>
      <c r="G181" s="3042" t="s">
        <v>1045</v>
      </c>
      <c r="H181" s="3042" t="s">
        <v>1046</v>
      </c>
      <c r="I181" s="926"/>
    </row>
    <row r="182" spans="1:9" ht="17.25" hidden="1" x14ac:dyDescent="0.3">
      <c r="A182" s="3043">
        <f t="shared" ref="A182" ca="1" si="54">SUM(C182:H182)</f>
        <v>0</v>
      </c>
      <c r="B182" s="3044" t="s">
        <v>3</v>
      </c>
      <c r="C182" s="3045">
        <f t="shared" ref="C182:H182" ca="1" si="55">ROUND(C183*C186*(1+C184), 2)</f>
        <v>0</v>
      </c>
      <c r="D182" s="3045">
        <f t="shared" ca="1" si="55"/>
        <v>0</v>
      </c>
      <c r="E182" s="3045">
        <f t="shared" ca="1" si="55"/>
        <v>0</v>
      </c>
      <c r="F182" s="3045">
        <f t="shared" ca="1" si="55"/>
        <v>0</v>
      </c>
      <c r="G182" s="3045">
        <f t="shared" ca="1" si="55"/>
        <v>0</v>
      </c>
      <c r="H182" s="3045">
        <f t="shared" ca="1" si="55"/>
        <v>0</v>
      </c>
      <c r="I182" s="926"/>
    </row>
    <row r="183" spans="1:9" hidden="1" x14ac:dyDescent="0.25">
      <c r="A183" s="503" t="s">
        <v>133</v>
      </c>
      <c r="B183" s="847" t="s">
        <v>1050</v>
      </c>
      <c r="C183" s="3058" cm="1">
        <f t="array" aca="1" ref="C183" ca="1">_xlfn.LET(_xlpm.Person,INT((ROW()-ROW($A$173))/8),_xlpm.Period,VALUE(RIGHT(C$38,LEN(C$38)-1))-1,_xlpm.ROWNUM,11+14*_xlpm.Person+_xlpm.Period,
ROUND(INDEX('Calc - OTHER PERS'!$G:$G,_xlpm.ROWNUM),2))</f>
        <v>0</v>
      </c>
      <c r="D183" s="3058" cm="1">
        <f t="array" aca="1" ref="D183" ca="1">_xlfn.LET(_xlpm.Person,INT((ROW()-ROW($A$173))/8),_xlpm.Period,VALUE(RIGHT(D$38,LEN(D$38)-1))-1,_xlpm.ROWNUM,11+14*_xlpm.Person+_xlpm.Period,
ROUND(INDEX('Calc - OTHER PERS'!$G:$G,_xlpm.ROWNUM),2))</f>
        <v>0</v>
      </c>
      <c r="E183" s="3058" cm="1">
        <f t="array" aca="1" ref="E183" ca="1">_xlfn.LET(_xlpm.Person,INT((ROW()-ROW($A$173))/8),_xlpm.Period,VALUE(RIGHT(E$38,LEN(E$38)-1))-1,_xlpm.ROWNUM,11+14*_xlpm.Person+_xlpm.Period,
ROUND(INDEX('Calc - OTHER PERS'!$G:$G,_xlpm.ROWNUM),2))</f>
        <v>0</v>
      </c>
      <c r="F183" s="3058" cm="1">
        <f t="array" aca="1" ref="F183" ca="1">_xlfn.LET(_xlpm.Person,INT((ROW()-ROW($A$173))/8),_xlpm.Period,VALUE(RIGHT(F$38,LEN(F$38)-1))-1,_xlpm.ROWNUM,11+14*_xlpm.Person+_xlpm.Period,
ROUND(INDEX('Calc - OTHER PERS'!$G:$G,_xlpm.ROWNUM),2))</f>
        <v>0</v>
      </c>
      <c r="G183" s="3058" cm="1">
        <f t="array" aca="1" ref="G183" ca="1">_xlfn.LET(_xlpm.Person,INT((ROW()-ROW($A$173))/8),_xlpm.Period,VALUE(RIGHT(G$38,LEN(G$38)-1))-1,_xlpm.ROWNUM,11+14*_xlpm.Person+_xlpm.Period,
ROUND(INDEX('Calc - OTHER PERS'!$G:$G,_xlpm.ROWNUM),2))</f>
        <v>0</v>
      </c>
      <c r="H183" s="3058" cm="1">
        <f t="array" aca="1" ref="H183" ca="1">_xlfn.LET(_xlpm.Person,INT((ROW()-ROW($A$173))/8),_xlpm.Period,VALUE(RIGHT(H$38,LEN(H$38)-1))-1,_xlpm.ROWNUM,11+14*_xlpm.Person+_xlpm.Period,
ROUND(INDEX('Calc - OTHER PERS'!$G:$G,_xlpm.ROWNUM),2))</f>
        <v>0</v>
      </c>
      <c r="I183" s="926"/>
    </row>
    <row r="184" spans="1:9" hidden="1" x14ac:dyDescent="0.25">
      <c r="A184" s="3047" t="s">
        <v>1051</v>
      </c>
      <c r="B184" s="847" t="s">
        <v>1052</v>
      </c>
      <c r="C184" s="3048" cm="1">
        <f t="array" aca="1" ref="C184" ca="1">_xlfn.LET(_xlpm.Person,INT((ROW()-ROW($A$173))/8),_xlpm.Period,VALUE(RIGHT(C$38,LEN(C$38)-1))-1,_xlpm.ROWNUM,11+14*_xlpm.Person+_xlpm.Period,
INDEX('Calc - OTHER PERS'!$K:$K,_xlpm.ROWNUM))</f>
        <v>0</v>
      </c>
      <c r="D184" s="3048" cm="1">
        <f t="array" aca="1" ref="D184" ca="1">_xlfn.LET(_xlpm.Person,INT((ROW()-ROW($A$173))/8),_xlpm.Period,VALUE(RIGHT(D$38,LEN(D$38)-1))-1,_xlpm.ROWNUM,11+14*_xlpm.Person+_xlpm.Period,
INDEX('Calc - OTHER PERS'!$K:$K,_xlpm.ROWNUM))</f>
        <v>0.02</v>
      </c>
      <c r="E184" s="3048" cm="1">
        <f t="array" aca="1" ref="E184" ca="1">_xlfn.LET(_xlpm.Person,INT((ROW()-ROW($A$173))/8),_xlpm.Period,VALUE(RIGHT(E$38,LEN(E$38)-1))-1,_xlpm.ROWNUM,11+14*_xlpm.Person+_xlpm.Period,
INDEX('Calc - OTHER PERS'!$K:$K,_xlpm.ROWNUM))</f>
        <v>0.04</v>
      </c>
      <c r="F184" s="3048" cm="1">
        <f t="array" aca="1" ref="F184" ca="1">_xlfn.LET(_xlpm.Person,INT((ROW()-ROW($A$173))/8),_xlpm.Period,VALUE(RIGHT(F$38,LEN(F$38)-1))-1,_xlpm.ROWNUM,11+14*_xlpm.Person+_xlpm.Period,
INDEX('Calc - OTHER PERS'!$K:$K,_xlpm.ROWNUM))</f>
        <v>0.06</v>
      </c>
      <c r="G184" s="3048" cm="1">
        <f t="array" aca="1" ref="G184" ca="1">_xlfn.LET(_xlpm.Person,INT((ROW()-ROW($A$173))/8),_xlpm.Period,VALUE(RIGHT(G$38,LEN(G$38)-1))-1,_xlpm.ROWNUM,11+14*_xlpm.Person+_xlpm.Period,
INDEX('Calc - OTHER PERS'!$K:$K,_xlpm.ROWNUM))</f>
        <v>0.08</v>
      </c>
      <c r="H184" s="3048" cm="1">
        <f t="array" aca="1" ref="H184" ca="1">_xlfn.LET(_xlpm.Person,INT((ROW()-ROW($A$173))/8),_xlpm.Period,VALUE(RIGHT(H$38,LEN(H$38)-1))-1,_xlpm.ROWNUM,11+14*_xlpm.Person+_xlpm.Period,
INDEX('Calc - OTHER PERS'!$K:$K,_xlpm.ROWNUM))</f>
        <v>0.1</v>
      </c>
      <c r="I184" s="926"/>
    </row>
    <row r="185" spans="1:9" hidden="1" x14ac:dyDescent="0.25">
      <c r="A185" s="3049">
        <f t="shared" ref="A185:A186" si="56">SUM(C185:H185)</f>
        <v>0</v>
      </c>
      <c r="B185" s="847" t="s">
        <v>1053</v>
      </c>
      <c r="C185" s="3050" cm="1">
        <f t="array" ref="C185">_xlfn.LET(_xlpm.Person,INT((ROW()-ROW($A$173))/8),_xlpm.Period,VALUE(RIGHT(C$38,LEN(C$38)-1))-1,_xlpm.ROWNUM,11+14*_xlpm.Person+_xlpm.Period,_xlpm.FTE,6+14*_xlpm.Person,
(INDEX('Calc - OTHER PERS'!$C:$C,_xlpm.ROWNUM) + INDEX('Calc - OTHER PERS'!$N:$N,_xlpm.ROWNUM)) * INDEX('Calc - OTHER PERS'!$K:$K,_xlpm.FTE))</f>
        <v>0</v>
      </c>
      <c r="D185" s="3050" cm="1">
        <f t="array" ref="D185">_xlfn.LET(_xlpm.Person,INT((ROW()-ROW($A$173))/8),_xlpm.Period,VALUE(RIGHT(D$38,LEN(D$38)-1))-1,_xlpm.ROWNUM,11+14*_xlpm.Person+_xlpm.Period,_xlpm.FTE,6+14*_xlpm.Person,
(INDEX('Calc - OTHER PERS'!$C:$C,_xlpm.ROWNUM) + INDEX('Calc - OTHER PERS'!$N:$N,_xlpm.ROWNUM)) * INDEX('Calc - OTHER PERS'!$K:$K,_xlpm.FTE))</f>
        <v>0</v>
      </c>
      <c r="E185" s="3050" cm="1">
        <f t="array" ref="E185">_xlfn.LET(_xlpm.Person,INT((ROW()-ROW($A$173))/8),_xlpm.Period,VALUE(RIGHT(E$38,LEN(E$38)-1))-1,_xlpm.ROWNUM,11+14*_xlpm.Person+_xlpm.Period,_xlpm.FTE,6+14*_xlpm.Person,
(INDEX('Calc - OTHER PERS'!$C:$C,_xlpm.ROWNUM) + INDEX('Calc - OTHER PERS'!$N:$N,_xlpm.ROWNUM)) * INDEX('Calc - OTHER PERS'!$K:$K,_xlpm.FTE))</f>
        <v>0</v>
      </c>
      <c r="F185" s="3050" cm="1">
        <f t="array" ref="F185">_xlfn.LET(_xlpm.Person,INT((ROW()-ROW($A$173))/8),_xlpm.Period,VALUE(RIGHT(F$38,LEN(F$38)-1))-1,_xlpm.ROWNUM,11+14*_xlpm.Person+_xlpm.Period,_xlpm.FTE,6+14*_xlpm.Person,
(INDEX('Calc - OTHER PERS'!$C:$C,_xlpm.ROWNUM) + INDEX('Calc - OTHER PERS'!$N:$N,_xlpm.ROWNUM)) * INDEX('Calc - OTHER PERS'!$K:$K,_xlpm.FTE))</f>
        <v>0</v>
      </c>
      <c r="G185" s="3050" cm="1">
        <f t="array" ref="G185">_xlfn.LET(_xlpm.Person,INT((ROW()-ROW($A$173))/8),_xlpm.Period,VALUE(RIGHT(G$38,LEN(G$38)-1))-1,_xlpm.ROWNUM,11+14*_xlpm.Person+_xlpm.Period,_xlpm.FTE,6+14*_xlpm.Person,
(INDEX('Calc - OTHER PERS'!$C:$C,_xlpm.ROWNUM) + INDEX('Calc - OTHER PERS'!$N:$N,_xlpm.ROWNUM)) * INDEX('Calc - OTHER PERS'!$K:$K,_xlpm.FTE))</f>
        <v>0</v>
      </c>
      <c r="H185" s="3050" cm="1">
        <f t="array" ref="H185">_xlfn.LET(_xlpm.Person,INT((ROW()-ROW($A$173))/8),_xlpm.Period,VALUE(RIGHT(H$38,LEN(H$38)-1))-1,_xlpm.ROWNUM,11+14*_xlpm.Person+_xlpm.Period,_xlpm.FTE,6+14*_xlpm.Person,
(INDEX('Calc - OTHER PERS'!$C:$C,_xlpm.ROWNUM) + INDEX('Calc - OTHER PERS'!$N:$N,_xlpm.ROWNUM)) * INDEX('Calc - OTHER PERS'!$K:$K,_xlpm.FTE))</f>
        <v>0</v>
      </c>
      <c r="I185" s="926"/>
    </row>
    <row r="186" spans="1:9" hidden="1" x14ac:dyDescent="0.25">
      <c r="A186" s="3049">
        <f t="shared" si="56"/>
        <v>0</v>
      </c>
      <c r="B186" s="847" t="s">
        <v>1054</v>
      </c>
      <c r="C186" s="3050" cm="1">
        <f t="array" ref="C186">_xlfn.LET(_xlpm.Person,INT((ROW()-ROW($A$173))/8),_xlpm.Period,VALUE(RIGHT(C$38,LEN(C$38)-1))-1,_xlpm.ROWNUM,11+14*_xlpm.Person+_xlpm.Period,_xlpm.FTE,6+14*_xlpm.Person,
(INDEX('Calc - OTHER PERS'!$C:$C,_xlpm.ROWNUM) * INDEX('Calc - OTHER PERS'!$K:$K,_xlpm.FTE)))</f>
        <v>0</v>
      </c>
      <c r="D186" s="3050" cm="1">
        <f t="array" ref="D186">_xlfn.LET(_xlpm.Person,INT((ROW()-ROW($A$173))/8),_xlpm.Period,VALUE(RIGHT(D$38,LEN(D$38)-1))-1,_xlpm.ROWNUM,11+14*_xlpm.Person+_xlpm.Period,_xlpm.FTE,6+14*_xlpm.Person,
(INDEX('Calc - OTHER PERS'!$C:$C,_xlpm.ROWNUM) * INDEX('Calc - OTHER PERS'!$K:$K,_xlpm.FTE)))</f>
        <v>0</v>
      </c>
      <c r="E186" s="3050" cm="1">
        <f t="array" ref="E186">_xlfn.LET(_xlpm.Person,INT((ROW()-ROW($A$173))/8),_xlpm.Period,VALUE(RIGHT(E$38,LEN(E$38)-1))-1,_xlpm.ROWNUM,11+14*_xlpm.Person+_xlpm.Period,_xlpm.FTE,6+14*_xlpm.Person,
(INDEX('Calc - OTHER PERS'!$C:$C,_xlpm.ROWNUM) * INDEX('Calc - OTHER PERS'!$K:$K,_xlpm.FTE)))</f>
        <v>0</v>
      </c>
      <c r="F186" s="3050" cm="1">
        <f t="array" ref="F186">_xlfn.LET(_xlpm.Person,INT((ROW()-ROW($A$173))/8),_xlpm.Period,VALUE(RIGHT(F$38,LEN(F$38)-1))-1,_xlpm.ROWNUM,11+14*_xlpm.Person+_xlpm.Period,_xlpm.FTE,6+14*_xlpm.Person,
(INDEX('Calc - OTHER PERS'!$C:$C,_xlpm.ROWNUM) * INDEX('Calc - OTHER PERS'!$K:$K,_xlpm.FTE)))</f>
        <v>0</v>
      </c>
      <c r="G186" s="3050" cm="1">
        <f t="array" ref="G186">_xlfn.LET(_xlpm.Person,INT((ROW()-ROW($A$173))/8),_xlpm.Period,VALUE(RIGHT(G$38,LEN(G$38)-1))-1,_xlpm.ROWNUM,11+14*_xlpm.Person+_xlpm.Period,_xlpm.FTE,6+14*_xlpm.Person,
(INDEX('Calc - OTHER PERS'!$C:$C,_xlpm.ROWNUM) * INDEX('Calc - OTHER PERS'!$K:$K,_xlpm.FTE)))</f>
        <v>0</v>
      </c>
      <c r="H186" s="3050" cm="1">
        <f t="array" ref="H186">_xlfn.LET(_xlpm.Person,INT((ROW()-ROW($A$173))/8),_xlpm.Period,VALUE(RIGHT(H$38,LEN(H$38)-1))-1,_xlpm.ROWNUM,11+14*_xlpm.Person+_xlpm.Period,_xlpm.FTE,6+14*_xlpm.Person,
(INDEX('Calc - OTHER PERS'!$C:$C,_xlpm.ROWNUM) * INDEX('Calc - OTHER PERS'!$K:$K,_xlpm.FTE)))</f>
        <v>0</v>
      </c>
      <c r="I186" s="926"/>
    </row>
    <row r="187" spans="1:9" hidden="1" x14ac:dyDescent="0.25">
      <c r="I187" s="926"/>
    </row>
    <row r="188" spans="1:9" hidden="1" x14ac:dyDescent="0.25">
      <c r="I188" s="926"/>
    </row>
    <row r="189" spans="1:9" hidden="1" x14ac:dyDescent="0.25">
      <c r="A189" s="847" cm="1">
        <f t="array" ref="A189">INDEX('DATA INPUT'!B:B,51+INT((ROW()-ROW($A$173))/8))</f>
        <v>0</v>
      </c>
      <c r="B189" s="847"/>
      <c r="C189" s="3042" t="s">
        <v>1041</v>
      </c>
      <c r="D189" s="3042" t="s">
        <v>1042</v>
      </c>
      <c r="E189" s="3042" t="s">
        <v>1043</v>
      </c>
      <c r="F189" s="3042" t="s">
        <v>1044</v>
      </c>
      <c r="G189" s="3042" t="s">
        <v>1045</v>
      </c>
      <c r="H189" s="3042" t="s">
        <v>1046</v>
      </c>
      <c r="I189" s="926"/>
    </row>
    <row r="190" spans="1:9" ht="17.25" hidden="1" x14ac:dyDescent="0.3">
      <c r="A190" s="3043">
        <f t="shared" ref="A190" ca="1" si="57">SUM(C190:H190)</f>
        <v>0</v>
      </c>
      <c r="B190" s="3044" t="s">
        <v>3</v>
      </c>
      <c r="C190" s="3045">
        <f t="shared" ref="C190:H190" ca="1" si="58">ROUND(C191*C194*(1+C192), 2)</f>
        <v>0</v>
      </c>
      <c r="D190" s="3045">
        <f t="shared" ca="1" si="58"/>
        <v>0</v>
      </c>
      <c r="E190" s="3045">
        <f t="shared" ca="1" si="58"/>
        <v>0</v>
      </c>
      <c r="F190" s="3045">
        <f t="shared" ca="1" si="58"/>
        <v>0</v>
      </c>
      <c r="G190" s="3045">
        <f t="shared" ca="1" si="58"/>
        <v>0</v>
      </c>
      <c r="H190" s="3045">
        <f t="shared" ca="1" si="58"/>
        <v>0</v>
      </c>
      <c r="I190" s="926"/>
    </row>
    <row r="191" spans="1:9" hidden="1" x14ac:dyDescent="0.25">
      <c r="A191" s="503" t="s">
        <v>133</v>
      </c>
      <c r="B191" s="847" t="s">
        <v>1050</v>
      </c>
      <c r="C191" s="3058" cm="1">
        <f t="array" aca="1" ref="C191" ca="1">_xlfn.LET(_xlpm.Person,INT((ROW()-ROW($A$173))/8),_xlpm.Period,VALUE(RIGHT(C$38,LEN(C$38)-1))-1,_xlpm.ROWNUM,11+14*_xlpm.Person+_xlpm.Period,
ROUND(INDEX('Calc - OTHER PERS'!$G:$G,_xlpm.ROWNUM),2))</f>
        <v>0</v>
      </c>
      <c r="D191" s="3058" cm="1">
        <f t="array" aca="1" ref="D191" ca="1">_xlfn.LET(_xlpm.Person,INT((ROW()-ROW($A$173))/8),_xlpm.Period,VALUE(RIGHT(D$38,LEN(D$38)-1))-1,_xlpm.ROWNUM,11+14*_xlpm.Person+_xlpm.Period,
ROUND(INDEX('Calc - OTHER PERS'!$G:$G,_xlpm.ROWNUM),2))</f>
        <v>0</v>
      </c>
      <c r="E191" s="3058" cm="1">
        <f t="array" aca="1" ref="E191" ca="1">_xlfn.LET(_xlpm.Person,INT((ROW()-ROW($A$173))/8),_xlpm.Period,VALUE(RIGHT(E$38,LEN(E$38)-1))-1,_xlpm.ROWNUM,11+14*_xlpm.Person+_xlpm.Period,
ROUND(INDEX('Calc - OTHER PERS'!$G:$G,_xlpm.ROWNUM),2))</f>
        <v>0</v>
      </c>
      <c r="F191" s="3058" cm="1">
        <f t="array" aca="1" ref="F191" ca="1">_xlfn.LET(_xlpm.Person,INT((ROW()-ROW($A$173))/8),_xlpm.Period,VALUE(RIGHT(F$38,LEN(F$38)-1))-1,_xlpm.ROWNUM,11+14*_xlpm.Person+_xlpm.Period,
ROUND(INDEX('Calc - OTHER PERS'!$G:$G,_xlpm.ROWNUM),2))</f>
        <v>0</v>
      </c>
      <c r="G191" s="3058" cm="1">
        <f t="array" aca="1" ref="G191" ca="1">_xlfn.LET(_xlpm.Person,INT((ROW()-ROW($A$173))/8),_xlpm.Period,VALUE(RIGHT(G$38,LEN(G$38)-1))-1,_xlpm.ROWNUM,11+14*_xlpm.Person+_xlpm.Period,
ROUND(INDEX('Calc - OTHER PERS'!$G:$G,_xlpm.ROWNUM),2))</f>
        <v>0</v>
      </c>
      <c r="H191" s="3058" cm="1">
        <f t="array" aca="1" ref="H191" ca="1">_xlfn.LET(_xlpm.Person,INT((ROW()-ROW($A$173))/8),_xlpm.Period,VALUE(RIGHT(H$38,LEN(H$38)-1))-1,_xlpm.ROWNUM,11+14*_xlpm.Person+_xlpm.Period,
ROUND(INDEX('Calc - OTHER PERS'!$G:$G,_xlpm.ROWNUM),2))</f>
        <v>0</v>
      </c>
      <c r="I191" s="926"/>
    </row>
    <row r="192" spans="1:9" hidden="1" x14ac:dyDescent="0.25">
      <c r="A192" s="3047" t="s">
        <v>1051</v>
      </c>
      <c r="B192" s="847" t="s">
        <v>1052</v>
      </c>
      <c r="C192" s="3048" cm="1">
        <f t="array" aca="1" ref="C192" ca="1">_xlfn.LET(_xlpm.Person,INT((ROW()-ROW($A$173))/8),_xlpm.Period,VALUE(RIGHT(C$38,LEN(C$38)-1))-1,_xlpm.ROWNUM,11+14*_xlpm.Person+_xlpm.Period,
INDEX('Calc - OTHER PERS'!$K:$K,_xlpm.ROWNUM))</f>
        <v>0</v>
      </c>
      <c r="D192" s="3048" cm="1">
        <f t="array" aca="1" ref="D192" ca="1">_xlfn.LET(_xlpm.Person,INT((ROW()-ROW($A$173))/8),_xlpm.Period,VALUE(RIGHT(D$38,LEN(D$38)-1))-1,_xlpm.ROWNUM,11+14*_xlpm.Person+_xlpm.Period,
INDEX('Calc - OTHER PERS'!$K:$K,_xlpm.ROWNUM))</f>
        <v>0.02</v>
      </c>
      <c r="E192" s="3048" cm="1">
        <f t="array" aca="1" ref="E192" ca="1">_xlfn.LET(_xlpm.Person,INT((ROW()-ROW($A$173))/8),_xlpm.Period,VALUE(RIGHT(E$38,LEN(E$38)-1))-1,_xlpm.ROWNUM,11+14*_xlpm.Person+_xlpm.Period,
INDEX('Calc - OTHER PERS'!$K:$K,_xlpm.ROWNUM))</f>
        <v>0.04</v>
      </c>
      <c r="F192" s="3048" cm="1">
        <f t="array" aca="1" ref="F192" ca="1">_xlfn.LET(_xlpm.Person,INT((ROW()-ROW($A$173))/8),_xlpm.Period,VALUE(RIGHT(F$38,LEN(F$38)-1))-1,_xlpm.ROWNUM,11+14*_xlpm.Person+_xlpm.Period,
INDEX('Calc - OTHER PERS'!$K:$K,_xlpm.ROWNUM))</f>
        <v>0.06</v>
      </c>
      <c r="G192" s="3048" cm="1">
        <f t="array" aca="1" ref="G192" ca="1">_xlfn.LET(_xlpm.Person,INT((ROW()-ROW($A$173))/8),_xlpm.Period,VALUE(RIGHT(G$38,LEN(G$38)-1))-1,_xlpm.ROWNUM,11+14*_xlpm.Person+_xlpm.Period,
INDEX('Calc - OTHER PERS'!$K:$K,_xlpm.ROWNUM))</f>
        <v>0.08</v>
      </c>
      <c r="H192" s="3048" cm="1">
        <f t="array" aca="1" ref="H192" ca="1">_xlfn.LET(_xlpm.Person,INT((ROW()-ROW($A$173))/8),_xlpm.Period,VALUE(RIGHT(H$38,LEN(H$38)-1))-1,_xlpm.ROWNUM,11+14*_xlpm.Person+_xlpm.Period,
INDEX('Calc - OTHER PERS'!$K:$K,_xlpm.ROWNUM))</f>
        <v>0.1</v>
      </c>
      <c r="I192" s="926"/>
    </row>
    <row r="193" spans="1:9" hidden="1" x14ac:dyDescent="0.25">
      <c r="A193" s="3049">
        <f t="shared" ref="A193:A194" si="59">SUM(C193:H193)</f>
        <v>0</v>
      </c>
      <c r="B193" s="847" t="s">
        <v>1053</v>
      </c>
      <c r="C193" s="3050" cm="1">
        <f t="array" ref="C193">_xlfn.LET(_xlpm.Person,INT((ROW()-ROW($A$173))/8),_xlpm.Period,VALUE(RIGHT(C$38,LEN(C$38)-1))-1,_xlpm.ROWNUM,11+14*_xlpm.Person+_xlpm.Period,_xlpm.FTE,6+14*_xlpm.Person,
(INDEX('Calc - OTHER PERS'!$C:$C,_xlpm.ROWNUM) + INDEX('Calc - OTHER PERS'!$N:$N,_xlpm.ROWNUM)) * INDEX('Calc - OTHER PERS'!$K:$K,_xlpm.FTE))</f>
        <v>0</v>
      </c>
      <c r="D193" s="3050" cm="1">
        <f t="array" ref="D193">_xlfn.LET(_xlpm.Person,INT((ROW()-ROW($A$173))/8),_xlpm.Period,VALUE(RIGHT(D$38,LEN(D$38)-1))-1,_xlpm.ROWNUM,11+14*_xlpm.Person+_xlpm.Period,_xlpm.FTE,6+14*_xlpm.Person,
(INDEX('Calc - OTHER PERS'!$C:$C,_xlpm.ROWNUM) + INDEX('Calc - OTHER PERS'!$N:$N,_xlpm.ROWNUM)) * INDEX('Calc - OTHER PERS'!$K:$K,_xlpm.FTE))</f>
        <v>0</v>
      </c>
      <c r="E193" s="3050" cm="1">
        <f t="array" ref="E193">_xlfn.LET(_xlpm.Person,INT((ROW()-ROW($A$173))/8),_xlpm.Period,VALUE(RIGHT(E$38,LEN(E$38)-1))-1,_xlpm.ROWNUM,11+14*_xlpm.Person+_xlpm.Period,_xlpm.FTE,6+14*_xlpm.Person,
(INDEX('Calc - OTHER PERS'!$C:$C,_xlpm.ROWNUM) + INDEX('Calc - OTHER PERS'!$N:$N,_xlpm.ROWNUM)) * INDEX('Calc - OTHER PERS'!$K:$K,_xlpm.FTE))</f>
        <v>0</v>
      </c>
      <c r="F193" s="3050" cm="1">
        <f t="array" ref="F193">_xlfn.LET(_xlpm.Person,INT((ROW()-ROW($A$173))/8),_xlpm.Period,VALUE(RIGHT(F$38,LEN(F$38)-1))-1,_xlpm.ROWNUM,11+14*_xlpm.Person+_xlpm.Period,_xlpm.FTE,6+14*_xlpm.Person,
(INDEX('Calc - OTHER PERS'!$C:$C,_xlpm.ROWNUM) + INDEX('Calc - OTHER PERS'!$N:$N,_xlpm.ROWNUM)) * INDEX('Calc - OTHER PERS'!$K:$K,_xlpm.FTE))</f>
        <v>0</v>
      </c>
      <c r="G193" s="3050" cm="1">
        <f t="array" ref="G193">_xlfn.LET(_xlpm.Person,INT((ROW()-ROW($A$173))/8),_xlpm.Period,VALUE(RIGHT(G$38,LEN(G$38)-1))-1,_xlpm.ROWNUM,11+14*_xlpm.Person+_xlpm.Period,_xlpm.FTE,6+14*_xlpm.Person,
(INDEX('Calc - OTHER PERS'!$C:$C,_xlpm.ROWNUM) + INDEX('Calc - OTHER PERS'!$N:$N,_xlpm.ROWNUM)) * INDEX('Calc - OTHER PERS'!$K:$K,_xlpm.FTE))</f>
        <v>0</v>
      </c>
      <c r="H193" s="3050" cm="1">
        <f t="array" ref="H193">_xlfn.LET(_xlpm.Person,INT((ROW()-ROW($A$173))/8),_xlpm.Period,VALUE(RIGHT(H$38,LEN(H$38)-1))-1,_xlpm.ROWNUM,11+14*_xlpm.Person+_xlpm.Period,_xlpm.FTE,6+14*_xlpm.Person,
(INDEX('Calc - OTHER PERS'!$C:$C,_xlpm.ROWNUM) + INDEX('Calc - OTHER PERS'!$N:$N,_xlpm.ROWNUM)) * INDEX('Calc - OTHER PERS'!$K:$K,_xlpm.FTE))</f>
        <v>0</v>
      </c>
      <c r="I193" s="926"/>
    </row>
    <row r="194" spans="1:9" hidden="1" x14ac:dyDescent="0.25">
      <c r="A194" s="3049">
        <f t="shared" si="59"/>
        <v>0</v>
      </c>
      <c r="B194" s="847" t="s">
        <v>1054</v>
      </c>
      <c r="C194" s="3050" cm="1">
        <f t="array" ref="C194">_xlfn.LET(_xlpm.Person,INT((ROW()-ROW($A$173))/8),_xlpm.Period,VALUE(RIGHT(C$38,LEN(C$38)-1))-1,_xlpm.ROWNUM,11+14*_xlpm.Person+_xlpm.Period,_xlpm.FTE,6+14*_xlpm.Person,
(INDEX('Calc - OTHER PERS'!$C:$C,_xlpm.ROWNUM) * INDEX('Calc - OTHER PERS'!$K:$K,_xlpm.FTE)))</f>
        <v>0</v>
      </c>
      <c r="D194" s="3050" cm="1">
        <f t="array" ref="D194">_xlfn.LET(_xlpm.Person,INT((ROW()-ROW($A$173))/8),_xlpm.Period,VALUE(RIGHT(D$38,LEN(D$38)-1))-1,_xlpm.ROWNUM,11+14*_xlpm.Person+_xlpm.Period,_xlpm.FTE,6+14*_xlpm.Person,
(INDEX('Calc - OTHER PERS'!$C:$C,_xlpm.ROWNUM) * INDEX('Calc - OTHER PERS'!$K:$K,_xlpm.FTE)))</f>
        <v>0</v>
      </c>
      <c r="E194" s="3050" cm="1">
        <f t="array" ref="E194">_xlfn.LET(_xlpm.Person,INT((ROW()-ROW($A$173))/8),_xlpm.Period,VALUE(RIGHT(E$38,LEN(E$38)-1))-1,_xlpm.ROWNUM,11+14*_xlpm.Person+_xlpm.Period,_xlpm.FTE,6+14*_xlpm.Person,
(INDEX('Calc - OTHER PERS'!$C:$C,_xlpm.ROWNUM) * INDEX('Calc - OTHER PERS'!$K:$K,_xlpm.FTE)))</f>
        <v>0</v>
      </c>
      <c r="F194" s="3050" cm="1">
        <f t="array" ref="F194">_xlfn.LET(_xlpm.Person,INT((ROW()-ROW($A$173))/8),_xlpm.Period,VALUE(RIGHT(F$38,LEN(F$38)-1))-1,_xlpm.ROWNUM,11+14*_xlpm.Person+_xlpm.Period,_xlpm.FTE,6+14*_xlpm.Person,
(INDEX('Calc - OTHER PERS'!$C:$C,_xlpm.ROWNUM) * INDEX('Calc - OTHER PERS'!$K:$K,_xlpm.FTE)))</f>
        <v>0</v>
      </c>
      <c r="G194" s="3050" cm="1">
        <f t="array" ref="G194">_xlfn.LET(_xlpm.Person,INT((ROW()-ROW($A$173))/8),_xlpm.Period,VALUE(RIGHT(G$38,LEN(G$38)-1))-1,_xlpm.ROWNUM,11+14*_xlpm.Person+_xlpm.Period,_xlpm.FTE,6+14*_xlpm.Person,
(INDEX('Calc - OTHER PERS'!$C:$C,_xlpm.ROWNUM) * INDEX('Calc - OTHER PERS'!$K:$K,_xlpm.FTE)))</f>
        <v>0</v>
      </c>
      <c r="H194" s="3050" cm="1">
        <f t="array" ref="H194">_xlfn.LET(_xlpm.Person,INT((ROW()-ROW($A$173))/8),_xlpm.Period,VALUE(RIGHT(H$38,LEN(H$38)-1))-1,_xlpm.ROWNUM,11+14*_xlpm.Person+_xlpm.Period,_xlpm.FTE,6+14*_xlpm.Person,
(INDEX('Calc - OTHER PERS'!$C:$C,_xlpm.ROWNUM) * INDEX('Calc - OTHER PERS'!$K:$K,_xlpm.FTE)))</f>
        <v>0</v>
      </c>
      <c r="I194" s="926"/>
    </row>
    <row r="195" spans="1:9" hidden="1" x14ac:dyDescent="0.25">
      <c r="I195" s="926"/>
    </row>
    <row r="196" spans="1:9" hidden="1" x14ac:dyDescent="0.25">
      <c r="I196" s="926"/>
    </row>
    <row r="197" spans="1:9" hidden="1" x14ac:dyDescent="0.25">
      <c r="A197" s="847" cm="1">
        <f t="array" ref="A197">INDEX('DATA INPUT'!B:B,51+INT((ROW()-ROW($A$173))/8))</f>
        <v>0</v>
      </c>
      <c r="B197" s="847"/>
      <c r="C197" s="3042" t="s">
        <v>1041</v>
      </c>
      <c r="D197" s="3042" t="s">
        <v>1042</v>
      </c>
      <c r="E197" s="3042" t="s">
        <v>1043</v>
      </c>
      <c r="F197" s="3042" t="s">
        <v>1044</v>
      </c>
      <c r="G197" s="3042" t="s">
        <v>1045</v>
      </c>
      <c r="H197" s="3042" t="s">
        <v>1046</v>
      </c>
      <c r="I197" s="926"/>
    </row>
    <row r="198" spans="1:9" ht="17.25" hidden="1" x14ac:dyDescent="0.3">
      <c r="A198" s="3043">
        <f t="shared" ref="A198" ca="1" si="60">SUM(C198:H198)</f>
        <v>0</v>
      </c>
      <c r="B198" s="3044" t="s">
        <v>3</v>
      </c>
      <c r="C198" s="3045">
        <f t="shared" ref="C198:H198" ca="1" si="61">ROUND(C199*C202*(1+C200), 2)</f>
        <v>0</v>
      </c>
      <c r="D198" s="3045">
        <f t="shared" ca="1" si="61"/>
        <v>0</v>
      </c>
      <c r="E198" s="3045">
        <f t="shared" ca="1" si="61"/>
        <v>0</v>
      </c>
      <c r="F198" s="3045">
        <f t="shared" ca="1" si="61"/>
        <v>0</v>
      </c>
      <c r="G198" s="3045">
        <f t="shared" ca="1" si="61"/>
        <v>0</v>
      </c>
      <c r="H198" s="3045">
        <f t="shared" ca="1" si="61"/>
        <v>0</v>
      </c>
      <c r="I198" s="926"/>
    </row>
    <row r="199" spans="1:9" hidden="1" x14ac:dyDescent="0.25">
      <c r="A199" s="503" t="s">
        <v>133</v>
      </c>
      <c r="B199" s="847" t="s">
        <v>1050</v>
      </c>
      <c r="C199" s="3058" cm="1">
        <f t="array" aca="1" ref="C199" ca="1">_xlfn.LET(_xlpm.Person,INT((ROW()-ROW($A$173))/8),_xlpm.Period,VALUE(RIGHT(C$38,LEN(C$38)-1))-1,_xlpm.ROWNUM,11+14*_xlpm.Person+_xlpm.Period,
ROUND(INDEX('Calc - OTHER PERS'!$G:$G,_xlpm.ROWNUM),2))</f>
        <v>0</v>
      </c>
      <c r="D199" s="3058" cm="1">
        <f t="array" aca="1" ref="D199" ca="1">_xlfn.LET(_xlpm.Person,INT((ROW()-ROW($A$173))/8),_xlpm.Period,VALUE(RIGHT(D$38,LEN(D$38)-1))-1,_xlpm.ROWNUM,11+14*_xlpm.Person+_xlpm.Period,
ROUND(INDEX('Calc - OTHER PERS'!$G:$G,_xlpm.ROWNUM),2))</f>
        <v>0</v>
      </c>
      <c r="E199" s="3058" cm="1">
        <f t="array" aca="1" ref="E199" ca="1">_xlfn.LET(_xlpm.Person,INT((ROW()-ROW($A$173))/8),_xlpm.Period,VALUE(RIGHT(E$38,LEN(E$38)-1))-1,_xlpm.ROWNUM,11+14*_xlpm.Person+_xlpm.Period,
ROUND(INDEX('Calc - OTHER PERS'!$G:$G,_xlpm.ROWNUM),2))</f>
        <v>0</v>
      </c>
      <c r="F199" s="3058" cm="1">
        <f t="array" aca="1" ref="F199" ca="1">_xlfn.LET(_xlpm.Person,INT((ROW()-ROW($A$173))/8),_xlpm.Period,VALUE(RIGHT(F$38,LEN(F$38)-1))-1,_xlpm.ROWNUM,11+14*_xlpm.Person+_xlpm.Period,
ROUND(INDEX('Calc - OTHER PERS'!$G:$G,_xlpm.ROWNUM),2))</f>
        <v>0</v>
      </c>
      <c r="G199" s="3058" cm="1">
        <f t="array" aca="1" ref="G199" ca="1">_xlfn.LET(_xlpm.Person,INT((ROW()-ROW($A$173))/8),_xlpm.Period,VALUE(RIGHT(G$38,LEN(G$38)-1))-1,_xlpm.ROWNUM,11+14*_xlpm.Person+_xlpm.Period,
ROUND(INDEX('Calc - OTHER PERS'!$G:$G,_xlpm.ROWNUM),2))</f>
        <v>0</v>
      </c>
      <c r="H199" s="3058" cm="1">
        <f t="array" aca="1" ref="H199" ca="1">_xlfn.LET(_xlpm.Person,INT((ROW()-ROW($A$173))/8),_xlpm.Period,VALUE(RIGHT(H$38,LEN(H$38)-1))-1,_xlpm.ROWNUM,11+14*_xlpm.Person+_xlpm.Period,
ROUND(INDEX('Calc - OTHER PERS'!$G:$G,_xlpm.ROWNUM),2))</f>
        <v>0</v>
      </c>
      <c r="I199" s="926"/>
    </row>
    <row r="200" spans="1:9" hidden="1" x14ac:dyDescent="0.25">
      <c r="A200" s="3047" t="s">
        <v>1051</v>
      </c>
      <c r="B200" s="847" t="s">
        <v>1052</v>
      </c>
      <c r="C200" s="3048" cm="1">
        <f t="array" aca="1" ref="C200" ca="1">_xlfn.LET(_xlpm.Person,INT((ROW()-ROW($A$173))/8),_xlpm.Period,VALUE(RIGHT(C$38,LEN(C$38)-1))-1,_xlpm.ROWNUM,11+14*_xlpm.Person+_xlpm.Period,
INDEX('Calc - OTHER PERS'!$K:$K,_xlpm.ROWNUM))</f>
        <v>0</v>
      </c>
      <c r="D200" s="3048" cm="1">
        <f t="array" aca="1" ref="D200" ca="1">_xlfn.LET(_xlpm.Person,INT((ROW()-ROW($A$173))/8),_xlpm.Period,VALUE(RIGHT(D$38,LEN(D$38)-1))-1,_xlpm.ROWNUM,11+14*_xlpm.Person+_xlpm.Period,
INDEX('Calc - OTHER PERS'!$K:$K,_xlpm.ROWNUM))</f>
        <v>0.02</v>
      </c>
      <c r="E200" s="3048" cm="1">
        <f t="array" aca="1" ref="E200" ca="1">_xlfn.LET(_xlpm.Person,INT((ROW()-ROW($A$173))/8),_xlpm.Period,VALUE(RIGHT(E$38,LEN(E$38)-1))-1,_xlpm.ROWNUM,11+14*_xlpm.Person+_xlpm.Period,
INDEX('Calc - OTHER PERS'!$K:$K,_xlpm.ROWNUM))</f>
        <v>0.04</v>
      </c>
      <c r="F200" s="3048" cm="1">
        <f t="array" aca="1" ref="F200" ca="1">_xlfn.LET(_xlpm.Person,INT((ROW()-ROW($A$173))/8),_xlpm.Period,VALUE(RIGHT(F$38,LEN(F$38)-1))-1,_xlpm.ROWNUM,11+14*_xlpm.Person+_xlpm.Period,
INDEX('Calc - OTHER PERS'!$K:$K,_xlpm.ROWNUM))</f>
        <v>0.06</v>
      </c>
      <c r="G200" s="3048" cm="1">
        <f t="array" aca="1" ref="G200" ca="1">_xlfn.LET(_xlpm.Person,INT((ROW()-ROW($A$173))/8),_xlpm.Period,VALUE(RIGHT(G$38,LEN(G$38)-1))-1,_xlpm.ROWNUM,11+14*_xlpm.Person+_xlpm.Period,
INDEX('Calc - OTHER PERS'!$K:$K,_xlpm.ROWNUM))</f>
        <v>0.08</v>
      </c>
      <c r="H200" s="3048" cm="1">
        <f t="array" aca="1" ref="H200" ca="1">_xlfn.LET(_xlpm.Person,INT((ROW()-ROW($A$173))/8),_xlpm.Period,VALUE(RIGHT(H$38,LEN(H$38)-1))-1,_xlpm.ROWNUM,11+14*_xlpm.Person+_xlpm.Period,
INDEX('Calc - OTHER PERS'!$K:$K,_xlpm.ROWNUM))</f>
        <v>0.1</v>
      </c>
      <c r="I200" s="926"/>
    </row>
    <row r="201" spans="1:9" hidden="1" x14ac:dyDescent="0.25">
      <c r="A201" s="3049">
        <f t="shared" ref="A201:A202" si="62">SUM(C201:H201)</f>
        <v>0</v>
      </c>
      <c r="B201" s="847" t="s">
        <v>1053</v>
      </c>
      <c r="C201" s="3050" cm="1">
        <f t="array" ref="C201">_xlfn.LET(_xlpm.Person,INT((ROW()-ROW($A$173))/8),_xlpm.Period,VALUE(RIGHT(C$38,LEN(C$38)-1))-1,_xlpm.ROWNUM,11+14*_xlpm.Person+_xlpm.Period,_xlpm.FTE,6+14*_xlpm.Person,
(INDEX('Calc - OTHER PERS'!$C:$C,_xlpm.ROWNUM) + INDEX('Calc - OTHER PERS'!$N:$N,_xlpm.ROWNUM)) * INDEX('Calc - OTHER PERS'!$K:$K,_xlpm.FTE))</f>
        <v>0</v>
      </c>
      <c r="D201" s="3050" cm="1">
        <f t="array" ref="D201">_xlfn.LET(_xlpm.Person,INT((ROW()-ROW($A$173))/8),_xlpm.Period,VALUE(RIGHT(D$38,LEN(D$38)-1))-1,_xlpm.ROWNUM,11+14*_xlpm.Person+_xlpm.Period,_xlpm.FTE,6+14*_xlpm.Person,
(INDEX('Calc - OTHER PERS'!$C:$C,_xlpm.ROWNUM) + INDEX('Calc - OTHER PERS'!$N:$N,_xlpm.ROWNUM)) * INDEX('Calc - OTHER PERS'!$K:$K,_xlpm.FTE))</f>
        <v>0</v>
      </c>
      <c r="E201" s="3050" cm="1">
        <f t="array" ref="E201">_xlfn.LET(_xlpm.Person,INT((ROW()-ROW($A$173))/8),_xlpm.Period,VALUE(RIGHT(E$38,LEN(E$38)-1))-1,_xlpm.ROWNUM,11+14*_xlpm.Person+_xlpm.Period,_xlpm.FTE,6+14*_xlpm.Person,
(INDEX('Calc - OTHER PERS'!$C:$C,_xlpm.ROWNUM) + INDEX('Calc - OTHER PERS'!$N:$N,_xlpm.ROWNUM)) * INDEX('Calc - OTHER PERS'!$K:$K,_xlpm.FTE))</f>
        <v>0</v>
      </c>
      <c r="F201" s="3050" cm="1">
        <f t="array" ref="F201">_xlfn.LET(_xlpm.Person,INT((ROW()-ROW($A$173))/8),_xlpm.Period,VALUE(RIGHT(F$38,LEN(F$38)-1))-1,_xlpm.ROWNUM,11+14*_xlpm.Person+_xlpm.Period,_xlpm.FTE,6+14*_xlpm.Person,
(INDEX('Calc - OTHER PERS'!$C:$C,_xlpm.ROWNUM) + INDEX('Calc - OTHER PERS'!$N:$N,_xlpm.ROWNUM)) * INDEX('Calc - OTHER PERS'!$K:$K,_xlpm.FTE))</f>
        <v>0</v>
      </c>
      <c r="G201" s="3050" cm="1">
        <f t="array" ref="G201">_xlfn.LET(_xlpm.Person,INT((ROW()-ROW($A$173))/8),_xlpm.Period,VALUE(RIGHT(G$38,LEN(G$38)-1))-1,_xlpm.ROWNUM,11+14*_xlpm.Person+_xlpm.Period,_xlpm.FTE,6+14*_xlpm.Person,
(INDEX('Calc - OTHER PERS'!$C:$C,_xlpm.ROWNUM) + INDEX('Calc - OTHER PERS'!$N:$N,_xlpm.ROWNUM)) * INDEX('Calc - OTHER PERS'!$K:$K,_xlpm.FTE))</f>
        <v>0</v>
      </c>
      <c r="H201" s="3050" cm="1">
        <f t="array" ref="H201">_xlfn.LET(_xlpm.Person,INT((ROW()-ROW($A$173))/8),_xlpm.Period,VALUE(RIGHT(H$38,LEN(H$38)-1))-1,_xlpm.ROWNUM,11+14*_xlpm.Person+_xlpm.Period,_xlpm.FTE,6+14*_xlpm.Person,
(INDEX('Calc - OTHER PERS'!$C:$C,_xlpm.ROWNUM) + INDEX('Calc - OTHER PERS'!$N:$N,_xlpm.ROWNUM)) * INDEX('Calc - OTHER PERS'!$K:$K,_xlpm.FTE))</f>
        <v>0</v>
      </c>
      <c r="I201" s="926"/>
    </row>
    <row r="202" spans="1:9" hidden="1" x14ac:dyDescent="0.25">
      <c r="A202" s="3049">
        <f t="shared" si="62"/>
        <v>0</v>
      </c>
      <c r="B202" s="847" t="s">
        <v>1054</v>
      </c>
      <c r="C202" s="3050" cm="1">
        <f t="array" ref="C202">_xlfn.LET(_xlpm.Person,INT((ROW()-ROW($A$173))/8),_xlpm.Period,VALUE(RIGHT(C$38,LEN(C$38)-1))-1,_xlpm.ROWNUM,11+14*_xlpm.Person+_xlpm.Period,_xlpm.FTE,6+14*_xlpm.Person,
(INDEX('Calc - OTHER PERS'!$C:$C,_xlpm.ROWNUM) * INDEX('Calc - OTHER PERS'!$K:$K,_xlpm.FTE)))</f>
        <v>0</v>
      </c>
      <c r="D202" s="3050" cm="1">
        <f t="array" ref="D202">_xlfn.LET(_xlpm.Person,INT((ROW()-ROW($A$173))/8),_xlpm.Period,VALUE(RIGHT(D$38,LEN(D$38)-1))-1,_xlpm.ROWNUM,11+14*_xlpm.Person+_xlpm.Period,_xlpm.FTE,6+14*_xlpm.Person,
(INDEX('Calc - OTHER PERS'!$C:$C,_xlpm.ROWNUM) * INDEX('Calc - OTHER PERS'!$K:$K,_xlpm.FTE)))</f>
        <v>0</v>
      </c>
      <c r="E202" s="3050" cm="1">
        <f t="array" ref="E202">_xlfn.LET(_xlpm.Person,INT((ROW()-ROW($A$173))/8),_xlpm.Period,VALUE(RIGHT(E$38,LEN(E$38)-1))-1,_xlpm.ROWNUM,11+14*_xlpm.Person+_xlpm.Period,_xlpm.FTE,6+14*_xlpm.Person,
(INDEX('Calc - OTHER PERS'!$C:$C,_xlpm.ROWNUM) * INDEX('Calc - OTHER PERS'!$K:$K,_xlpm.FTE)))</f>
        <v>0</v>
      </c>
      <c r="F202" s="3050" cm="1">
        <f t="array" ref="F202">_xlfn.LET(_xlpm.Person,INT((ROW()-ROW($A$173))/8),_xlpm.Period,VALUE(RIGHT(F$38,LEN(F$38)-1))-1,_xlpm.ROWNUM,11+14*_xlpm.Person+_xlpm.Period,_xlpm.FTE,6+14*_xlpm.Person,
(INDEX('Calc - OTHER PERS'!$C:$C,_xlpm.ROWNUM) * INDEX('Calc - OTHER PERS'!$K:$K,_xlpm.FTE)))</f>
        <v>0</v>
      </c>
      <c r="G202" s="3050" cm="1">
        <f t="array" ref="G202">_xlfn.LET(_xlpm.Person,INT((ROW()-ROW($A$173))/8),_xlpm.Period,VALUE(RIGHT(G$38,LEN(G$38)-1))-1,_xlpm.ROWNUM,11+14*_xlpm.Person+_xlpm.Period,_xlpm.FTE,6+14*_xlpm.Person,
(INDEX('Calc - OTHER PERS'!$C:$C,_xlpm.ROWNUM) * INDEX('Calc - OTHER PERS'!$K:$K,_xlpm.FTE)))</f>
        <v>0</v>
      </c>
      <c r="H202" s="3050" cm="1">
        <f t="array" ref="H202">_xlfn.LET(_xlpm.Person,INT((ROW()-ROW($A$173))/8),_xlpm.Period,VALUE(RIGHT(H$38,LEN(H$38)-1))-1,_xlpm.ROWNUM,11+14*_xlpm.Person+_xlpm.Period,_xlpm.FTE,6+14*_xlpm.Person,
(INDEX('Calc - OTHER PERS'!$C:$C,_xlpm.ROWNUM) * INDEX('Calc - OTHER PERS'!$K:$K,_xlpm.FTE)))</f>
        <v>0</v>
      </c>
      <c r="I202" s="926"/>
    </row>
    <row r="203" spans="1:9" hidden="1" x14ac:dyDescent="0.25">
      <c r="I203" s="926"/>
    </row>
    <row r="204" spans="1:9" hidden="1" x14ac:dyDescent="0.25">
      <c r="I204" s="926"/>
    </row>
    <row r="205" spans="1:9" hidden="1" x14ac:dyDescent="0.25">
      <c r="A205" s="847" cm="1">
        <f t="array" ref="A205">INDEX('DATA INPUT'!B:B,51+INT((ROW()-ROW($A$173))/8))</f>
        <v>0</v>
      </c>
      <c r="B205" s="847"/>
      <c r="C205" s="3042" t="s">
        <v>1041</v>
      </c>
      <c r="D205" s="3042" t="s">
        <v>1042</v>
      </c>
      <c r="E205" s="3042" t="s">
        <v>1043</v>
      </c>
      <c r="F205" s="3042" t="s">
        <v>1044</v>
      </c>
      <c r="G205" s="3042" t="s">
        <v>1045</v>
      </c>
      <c r="H205" s="3042" t="s">
        <v>1046</v>
      </c>
      <c r="I205" s="926"/>
    </row>
    <row r="206" spans="1:9" ht="17.25" hidden="1" x14ac:dyDescent="0.3">
      <c r="A206" s="3043">
        <f t="shared" ref="A206" ca="1" si="63">SUM(C206:H206)</f>
        <v>0</v>
      </c>
      <c r="B206" s="3044" t="s">
        <v>3</v>
      </c>
      <c r="C206" s="3045">
        <f t="shared" ref="C206:H206" ca="1" si="64">ROUND(C207*C210*(1+C208), 2)</f>
        <v>0</v>
      </c>
      <c r="D206" s="3045">
        <f t="shared" ca="1" si="64"/>
        <v>0</v>
      </c>
      <c r="E206" s="3045">
        <f t="shared" ca="1" si="64"/>
        <v>0</v>
      </c>
      <c r="F206" s="3045">
        <f t="shared" ca="1" si="64"/>
        <v>0</v>
      </c>
      <c r="G206" s="3045">
        <f t="shared" ca="1" si="64"/>
        <v>0</v>
      </c>
      <c r="H206" s="3045">
        <f t="shared" ca="1" si="64"/>
        <v>0</v>
      </c>
      <c r="I206" s="926"/>
    </row>
    <row r="207" spans="1:9" hidden="1" x14ac:dyDescent="0.25">
      <c r="A207" s="503" t="s">
        <v>133</v>
      </c>
      <c r="B207" s="847" t="s">
        <v>1050</v>
      </c>
      <c r="C207" s="3058" cm="1">
        <f t="array" aca="1" ref="C207" ca="1">_xlfn.LET(_xlpm.Person,INT((ROW()-ROW($A$173))/8),_xlpm.Period,VALUE(RIGHT(C$38,LEN(C$38)-1))-1,_xlpm.ROWNUM,11+14*_xlpm.Person+_xlpm.Period,
ROUND(INDEX('Calc - OTHER PERS'!$G:$G,_xlpm.ROWNUM),2))</f>
        <v>0</v>
      </c>
      <c r="D207" s="3058" cm="1">
        <f t="array" aca="1" ref="D207" ca="1">_xlfn.LET(_xlpm.Person,INT((ROW()-ROW($A$173))/8),_xlpm.Period,VALUE(RIGHT(D$38,LEN(D$38)-1))-1,_xlpm.ROWNUM,11+14*_xlpm.Person+_xlpm.Period,
ROUND(INDEX('Calc - OTHER PERS'!$G:$G,_xlpm.ROWNUM),2))</f>
        <v>0</v>
      </c>
      <c r="E207" s="3058" cm="1">
        <f t="array" aca="1" ref="E207" ca="1">_xlfn.LET(_xlpm.Person,INT((ROW()-ROW($A$173))/8),_xlpm.Period,VALUE(RIGHT(E$38,LEN(E$38)-1))-1,_xlpm.ROWNUM,11+14*_xlpm.Person+_xlpm.Period,
ROUND(INDEX('Calc - OTHER PERS'!$G:$G,_xlpm.ROWNUM),2))</f>
        <v>0</v>
      </c>
      <c r="F207" s="3058" cm="1">
        <f t="array" aca="1" ref="F207" ca="1">_xlfn.LET(_xlpm.Person,INT((ROW()-ROW($A$173))/8),_xlpm.Period,VALUE(RIGHT(F$38,LEN(F$38)-1))-1,_xlpm.ROWNUM,11+14*_xlpm.Person+_xlpm.Period,
ROUND(INDEX('Calc - OTHER PERS'!$G:$G,_xlpm.ROWNUM),2))</f>
        <v>0</v>
      </c>
      <c r="G207" s="3058" cm="1">
        <f t="array" aca="1" ref="G207" ca="1">_xlfn.LET(_xlpm.Person,INT((ROW()-ROW($A$173))/8),_xlpm.Period,VALUE(RIGHT(G$38,LEN(G$38)-1))-1,_xlpm.ROWNUM,11+14*_xlpm.Person+_xlpm.Period,
ROUND(INDEX('Calc - OTHER PERS'!$G:$G,_xlpm.ROWNUM),2))</f>
        <v>0</v>
      </c>
      <c r="H207" s="3058" cm="1">
        <f t="array" aca="1" ref="H207" ca="1">_xlfn.LET(_xlpm.Person,INT((ROW()-ROW($A$173))/8),_xlpm.Period,VALUE(RIGHT(H$38,LEN(H$38)-1))-1,_xlpm.ROWNUM,11+14*_xlpm.Person+_xlpm.Period,
ROUND(INDEX('Calc - OTHER PERS'!$G:$G,_xlpm.ROWNUM),2))</f>
        <v>0</v>
      </c>
      <c r="I207" s="926"/>
    </row>
    <row r="208" spans="1:9" hidden="1" x14ac:dyDescent="0.25">
      <c r="A208" s="3047" t="s">
        <v>1051</v>
      </c>
      <c r="B208" s="847" t="s">
        <v>1052</v>
      </c>
      <c r="C208" s="3048" cm="1">
        <f t="array" aca="1" ref="C208" ca="1">_xlfn.LET(_xlpm.Person,INT((ROW()-ROW($A$173))/8),_xlpm.Period,VALUE(RIGHT(C$38,LEN(C$38)-1))-1,_xlpm.ROWNUM,11+14*_xlpm.Person+_xlpm.Period,
INDEX('Calc - OTHER PERS'!$K:$K,_xlpm.ROWNUM))</f>
        <v>0</v>
      </c>
      <c r="D208" s="3048" cm="1">
        <f t="array" aca="1" ref="D208" ca="1">_xlfn.LET(_xlpm.Person,INT((ROW()-ROW($A$173))/8),_xlpm.Period,VALUE(RIGHT(D$38,LEN(D$38)-1))-1,_xlpm.ROWNUM,11+14*_xlpm.Person+_xlpm.Period,
INDEX('Calc - OTHER PERS'!$K:$K,_xlpm.ROWNUM))</f>
        <v>0.02</v>
      </c>
      <c r="E208" s="3048" cm="1">
        <f t="array" aca="1" ref="E208" ca="1">_xlfn.LET(_xlpm.Person,INT((ROW()-ROW($A$173))/8),_xlpm.Period,VALUE(RIGHT(E$38,LEN(E$38)-1))-1,_xlpm.ROWNUM,11+14*_xlpm.Person+_xlpm.Period,
INDEX('Calc - OTHER PERS'!$K:$K,_xlpm.ROWNUM))</f>
        <v>0.04</v>
      </c>
      <c r="F208" s="3048" cm="1">
        <f t="array" aca="1" ref="F208" ca="1">_xlfn.LET(_xlpm.Person,INT((ROW()-ROW($A$173))/8),_xlpm.Period,VALUE(RIGHT(F$38,LEN(F$38)-1))-1,_xlpm.ROWNUM,11+14*_xlpm.Person+_xlpm.Period,
INDEX('Calc - OTHER PERS'!$K:$K,_xlpm.ROWNUM))</f>
        <v>0.06</v>
      </c>
      <c r="G208" s="3048" cm="1">
        <f t="array" aca="1" ref="G208" ca="1">_xlfn.LET(_xlpm.Person,INT((ROW()-ROW($A$173))/8),_xlpm.Period,VALUE(RIGHT(G$38,LEN(G$38)-1))-1,_xlpm.ROWNUM,11+14*_xlpm.Person+_xlpm.Period,
INDEX('Calc - OTHER PERS'!$K:$K,_xlpm.ROWNUM))</f>
        <v>0.08</v>
      </c>
      <c r="H208" s="3048" cm="1">
        <f t="array" aca="1" ref="H208" ca="1">_xlfn.LET(_xlpm.Person,INT((ROW()-ROW($A$173))/8),_xlpm.Period,VALUE(RIGHT(H$38,LEN(H$38)-1))-1,_xlpm.ROWNUM,11+14*_xlpm.Person+_xlpm.Period,
INDEX('Calc - OTHER PERS'!$K:$K,_xlpm.ROWNUM))</f>
        <v>0.1</v>
      </c>
      <c r="I208" s="926"/>
    </row>
    <row r="209" spans="1:9" hidden="1" x14ac:dyDescent="0.25">
      <c r="A209" s="3049">
        <f t="shared" ref="A209:A210" si="65">SUM(C209:H209)</f>
        <v>0</v>
      </c>
      <c r="B209" s="847" t="s">
        <v>1053</v>
      </c>
      <c r="C209" s="3050" cm="1">
        <f t="array" ref="C209">_xlfn.LET(_xlpm.Person,INT((ROW()-ROW($A$173))/8),_xlpm.Period,VALUE(RIGHT(C$38,LEN(C$38)-1))-1,_xlpm.ROWNUM,11+14*_xlpm.Person+_xlpm.Period,_xlpm.FTE,6+14*_xlpm.Person,
(INDEX('Calc - OTHER PERS'!$C:$C,_xlpm.ROWNUM) + INDEX('Calc - OTHER PERS'!$N:$N,_xlpm.ROWNUM)) * INDEX('Calc - OTHER PERS'!$K:$K,_xlpm.FTE))</f>
        <v>0</v>
      </c>
      <c r="D209" s="3050" cm="1">
        <f t="array" ref="D209">_xlfn.LET(_xlpm.Person,INT((ROW()-ROW($A$173))/8),_xlpm.Period,VALUE(RIGHT(D$38,LEN(D$38)-1))-1,_xlpm.ROWNUM,11+14*_xlpm.Person+_xlpm.Period,_xlpm.FTE,6+14*_xlpm.Person,
(INDEX('Calc - OTHER PERS'!$C:$C,_xlpm.ROWNUM) + INDEX('Calc - OTHER PERS'!$N:$N,_xlpm.ROWNUM)) * INDEX('Calc - OTHER PERS'!$K:$K,_xlpm.FTE))</f>
        <v>0</v>
      </c>
      <c r="E209" s="3050" cm="1">
        <f t="array" ref="E209">_xlfn.LET(_xlpm.Person,INT((ROW()-ROW($A$173))/8),_xlpm.Period,VALUE(RIGHT(E$38,LEN(E$38)-1))-1,_xlpm.ROWNUM,11+14*_xlpm.Person+_xlpm.Period,_xlpm.FTE,6+14*_xlpm.Person,
(INDEX('Calc - OTHER PERS'!$C:$C,_xlpm.ROWNUM) + INDEX('Calc - OTHER PERS'!$N:$N,_xlpm.ROWNUM)) * INDEX('Calc - OTHER PERS'!$K:$K,_xlpm.FTE))</f>
        <v>0</v>
      </c>
      <c r="F209" s="3050" cm="1">
        <f t="array" ref="F209">_xlfn.LET(_xlpm.Person,INT((ROW()-ROW($A$173))/8),_xlpm.Period,VALUE(RIGHT(F$38,LEN(F$38)-1))-1,_xlpm.ROWNUM,11+14*_xlpm.Person+_xlpm.Period,_xlpm.FTE,6+14*_xlpm.Person,
(INDEX('Calc - OTHER PERS'!$C:$C,_xlpm.ROWNUM) + INDEX('Calc - OTHER PERS'!$N:$N,_xlpm.ROWNUM)) * INDEX('Calc - OTHER PERS'!$K:$K,_xlpm.FTE))</f>
        <v>0</v>
      </c>
      <c r="G209" s="3050" cm="1">
        <f t="array" ref="G209">_xlfn.LET(_xlpm.Person,INT((ROW()-ROW($A$173))/8),_xlpm.Period,VALUE(RIGHT(G$38,LEN(G$38)-1))-1,_xlpm.ROWNUM,11+14*_xlpm.Person+_xlpm.Period,_xlpm.FTE,6+14*_xlpm.Person,
(INDEX('Calc - OTHER PERS'!$C:$C,_xlpm.ROWNUM) + INDEX('Calc - OTHER PERS'!$N:$N,_xlpm.ROWNUM)) * INDEX('Calc - OTHER PERS'!$K:$K,_xlpm.FTE))</f>
        <v>0</v>
      </c>
      <c r="H209" s="3050" cm="1">
        <f t="array" ref="H209">_xlfn.LET(_xlpm.Person,INT((ROW()-ROW($A$173))/8),_xlpm.Period,VALUE(RIGHT(H$38,LEN(H$38)-1))-1,_xlpm.ROWNUM,11+14*_xlpm.Person+_xlpm.Period,_xlpm.FTE,6+14*_xlpm.Person,
(INDEX('Calc - OTHER PERS'!$C:$C,_xlpm.ROWNUM) + INDEX('Calc - OTHER PERS'!$N:$N,_xlpm.ROWNUM)) * INDEX('Calc - OTHER PERS'!$K:$K,_xlpm.FTE))</f>
        <v>0</v>
      </c>
      <c r="I209" s="926"/>
    </row>
    <row r="210" spans="1:9" hidden="1" x14ac:dyDescent="0.25">
      <c r="A210" s="3049">
        <f t="shared" si="65"/>
        <v>0</v>
      </c>
      <c r="B210" s="847" t="s">
        <v>1054</v>
      </c>
      <c r="C210" s="3050" cm="1">
        <f t="array" ref="C210">_xlfn.LET(_xlpm.Person,INT((ROW()-ROW($A$173))/8),_xlpm.Period,VALUE(RIGHT(C$38,LEN(C$38)-1))-1,_xlpm.ROWNUM,11+14*_xlpm.Person+_xlpm.Period,_xlpm.FTE,6+14*_xlpm.Person,
(INDEX('Calc - OTHER PERS'!$C:$C,_xlpm.ROWNUM) * INDEX('Calc - OTHER PERS'!$K:$K,_xlpm.FTE)))</f>
        <v>0</v>
      </c>
      <c r="D210" s="3050" cm="1">
        <f t="array" ref="D210">_xlfn.LET(_xlpm.Person,INT((ROW()-ROW($A$173))/8),_xlpm.Period,VALUE(RIGHT(D$38,LEN(D$38)-1))-1,_xlpm.ROWNUM,11+14*_xlpm.Person+_xlpm.Period,_xlpm.FTE,6+14*_xlpm.Person,
(INDEX('Calc - OTHER PERS'!$C:$C,_xlpm.ROWNUM) * INDEX('Calc - OTHER PERS'!$K:$K,_xlpm.FTE)))</f>
        <v>0</v>
      </c>
      <c r="E210" s="3050" cm="1">
        <f t="array" ref="E210">_xlfn.LET(_xlpm.Person,INT((ROW()-ROW($A$173))/8),_xlpm.Period,VALUE(RIGHT(E$38,LEN(E$38)-1))-1,_xlpm.ROWNUM,11+14*_xlpm.Person+_xlpm.Period,_xlpm.FTE,6+14*_xlpm.Person,
(INDEX('Calc - OTHER PERS'!$C:$C,_xlpm.ROWNUM) * INDEX('Calc - OTHER PERS'!$K:$K,_xlpm.FTE)))</f>
        <v>0</v>
      </c>
      <c r="F210" s="3050" cm="1">
        <f t="array" ref="F210">_xlfn.LET(_xlpm.Person,INT((ROW()-ROW($A$173))/8),_xlpm.Period,VALUE(RIGHT(F$38,LEN(F$38)-1))-1,_xlpm.ROWNUM,11+14*_xlpm.Person+_xlpm.Period,_xlpm.FTE,6+14*_xlpm.Person,
(INDEX('Calc - OTHER PERS'!$C:$C,_xlpm.ROWNUM) * INDEX('Calc - OTHER PERS'!$K:$K,_xlpm.FTE)))</f>
        <v>0</v>
      </c>
      <c r="G210" s="3050" cm="1">
        <f t="array" ref="G210">_xlfn.LET(_xlpm.Person,INT((ROW()-ROW($A$173))/8),_xlpm.Period,VALUE(RIGHT(G$38,LEN(G$38)-1))-1,_xlpm.ROWNUM,11+14*_xlpm.Person+_xlpm.Period,_xlpm.FTE,6+14*_xlpm.Person,
(INDEX('Calc - OTHER PERS'!$C:$C,_xlpm.ROWNUM) * INDEX('Calc - OTHER PERS'!$K:$K,_xlpm.FTE)))</f>
        <v>0</v>
      </c>
      <c r="H210" s="3050" cm="1">
        <f t="array" ref="H210">_xlfn.LET(_xlpm.Person,INT((ROW()-ROW($A$173))/8),_xlpm.Period,VALUE(RIGHT(H$38,LEN(H$38)-1))-1,_xlpm.ROWNUM,11+14*_xlpm.Person+_xlpm.Period,_xlpm.FTE,6+14*_xlpm.Person,
(INDEX('Calc - OTHER PERS'!$C:$C,_xlpm.ROWNUM) * INDEX('Calc - OTHER PERS'!$K:$K,_xlpm.FTE)))</f>
        <v>0</v>
      </c>
      <c r="I210" s="926"/>
    </row>
    <row r="211" spans="1:9" hidden="1" x14ac:dyDescent="0.25">
      <c r="I211" s="926"/>
    </row>
    <row r="212" spans="1:9" hidden="1" x14ac:dyDescent="0.25">
      <c r="I212" s="926"/>
    </row>
    <row r="213" spans="1:9" hidden="1" x14ac:dyDescent="0.25">
      <c r="A213" s="847" cm="1">
        <f t="array" ref="A213">INDEX('DATA INPUT'!B:B,51+INT((ROW()-ROW($A$173))/8))</f>
        <v>0</v>
      </c>
      <c r="B213" s="847"/>
      <c r="C213" s="3042" t="s">
        <v>1041</v>
      </c>
      <c r="D213" s="3042" t="s">
        <v>1042</v>
      </c>
      <c r="E213" s="3042" t="s">
        <v>1043</v>
      </c>
      <c r="F213" s="3042" t="s">
        <v>1044</v>
      </c>
      <c r="G213" s="3042" t="s">
        <v>1045</v>
      </c>
      <c r="H213" s="3042" t="s">
        <v>1046</v>
      </c>
      <c r="I213" s="926"/>
    </row>
    <row r="214" spans="1:9" ht="17.25" hidden="1" x14ac:dyDescent="0.3">
      <c r="A214" s="3043">
        <f t="shared" ref="A214" ca="1" si="66">SUM(C214:H214)</f>
        <v>0</v>
      </c>
      <c r="B214" s="3044" t="s">
        <v>3</v>
      </c>
      <c r="C214" s="3045">
        <f t="shared" ref="C214:H214" ca="1" si="67">ROUND(C215*C218*(1+C216), 2)</f>
        <v>0</v>
      </c>
      <c r="D214" s="3045">
        <f t="shared" ca="1" si="67"/>
        <v>0</v>
      </c>
      <c r="E214" s="3045">
        <f t="shared" ca="1" si="67"/>
        <v>0</v>
      </c>
      <c r="F214" s="3045">
        <f t="shared" ca="1" si="67"/>
        <v>0</v>
      </c>
      <c r="G214" s="3045">
        <f t="shared" ca="1" si="67"/>
        <v>0</v>
      </c>
      <c r="H214" s="3045">
        <f t="shared" ca="1" si="67"/>
        <v>0</v>
      </c>
      <c r="I214" s="926"/>
    </row>
    <row r="215" spans="1:9" hidden="1" x14ac:dyDescent="0.25">
      <c r="A215" s="503" t="s">
        <v>133</v>
      </c>
      <c r="B215" s="847" t="s">
        <v>1050</v>
      </c>
      <c r="C215" s="3058" cm="1">
        <f t="array" aca="1" ref="C215" ca="1">_xlfn.LET(_xlpm.Person,INT((ROW()-ROW($A$173))/8),_xlpm.Period,VALUE(RIGHT(C$38,LEN(C$38)-1))-1,_xlpm.ROWNUM,11+14*_xlpm.Person+_xlpm.Period,
ROUND(INDEX('Calc - OTHER PERS'!$G:$G,_xlpm.ROWNUM),2))</f>
        <v>0</v>
      </c>
      <c r="D215" s="3058" cm="1">
        <f t="array" aca="1" ref="D215" ca="1">_xlfn.LET(_xlpm.Person,INT((ROW()-ROW($A$173))/8),_xlpm.Period,VALUE(RIGHT(D$38,LEN(D$38)-1))-1,_xlpm.ROWNUM,11+14*_xlpm.Person+_xlpm.Period,
ROUND(INDEX('Calc - OTHER PERS'!$G:$G,_xlpm.ROWNUM),2))</f>
        <v>0</v>
      </c>
      <c r="E215" s="3058" cm="1">
        <f t="array" aca="1" ref="E215" ca="1">_xlfn.LET(_xlpm.Person,INT((ROW()-ROW($A$173))/8),_xlpm.Period,VALUE(RIGHT(E$38,LEN(E$38)-1))-1,_xlpm.ROWNUM,11+14*_xlpm.Person+_xlpm.Period,
ROUND(INDEX('Calc - OTHER PERS'!$G:$G,_xlpm.ROWNUM),2))</f>
        <v>0</v>
      </c>
      <c r="F215" s="3058" cm="1">
        <f t="array" aca="1" ref="F215" ca="1">_xlfn.LET(_xlpm.Person,INT((ROW()-ROW($A$173))/8),_xlpm.Period,VALUE(RIGHT(F$38,LEN(F$38)-1))-1,_xlpm.ROWNUM,11+14*_xlpm.Person+_xlpm.Period,
ROUND(INDEX('Calc - OTHER PERS'!$G:$G,_xlpm.ROWNUM),2))</f>
        <v>0</v>
      </c>
      <c r="G215" s="3058" cm="1">
        <f t="array" aca="1" ref="G215" ca="1">_xlfn.LET(_xlpm.Person,INT((ROW()-ROW($A$173))/8),_xlpm.Period,VALUE(RIGHT(G$38,LEN(G$38)-1))-1,_xlpm.ROWNUM,11+14*_xlpm.Person+_xlpm.Period,
ROUND(INDEX('Calc - OTHER PERS'!$G:$G,_xlpm.ROWNUM),2))</f>
        <v>0</v>
      </c>
      <c r="H215" s="3058" cm="1">
        <f t="array" aca="1" ref="H215" ca="1">_xlfn.LET(_xlpm.Person,INT((ROW()-ROW($A$173))/8),_xlpm.Period,VALUE(RIGHT(H$38,LEN(H$38)-1))-1,_xlpm.ROWNUM,11+14*_xlpm.Person+_xlpm.Period,
ROUND(INDEX('Calc - OTHER PERS'!$G:$G,_xlpm.ROWNUM),2))</f>
        <v>0</v>
      </c>
      <c r="I215" s="926"/>
    </row>
    <row r="216" spans="1:9" hidden="1" x14ac:dyDescent="0.25">
      <c r="A216" s="3047" t="s">
        <v>1051</v>
      </c>
      <c r="B216" s="847" t="s">
        <v>1052</v>
      </c>
      <c r="C216" s="3048" cm="1">
        <f t="array" aca="1" ref="C216" ca="1">_xlfn.LET(_xlpm.Person,INT((ROW()-ROW($A$173))/8),_xlpm.Period,VALUE(RIGHT(C$38,LEN(C$38)-1))-1,_xlpm.ROWNUM,11+14*_xlpm.Person+_xlpm.Period,
INDEX('Calc - OTHER PERS'!$K:$K,_xlpm.ROWNUM))</f>
        <v>0</v>
      </c>
      <c r="D216" s="3048" cm="1">
        <f t="array" aca="1" ref="D216" ca="1">_xlfn.LET(_xlpm.Person,INT((ROW()-ROW($A$173))/8),_xlpm.Period,VALUE(RIGHT(D$38,LEN(D$38)-1))-1,_xlpm.ROWNUM,11+14*_xlpm.Person+_xlpm.Period,
INDEX('Calc - OTHER PERS'!$K:$K,_xlpm.ROWNUM))</f>
        <v>0.02</v>
      </c>
      <c r="E216" s="3048" cm="1">
        <f t="array" aca="1" ref="E216" ca="1">_xlfn.LET(_xlpm.Person,INT((ROW()-ROW($A$173))/8),_xlpm.Period,VALUE(RIGHT(E$38,LEN(E$38)-1))-1,_xlpm.ROWNUM,11+14*_xlpm.Person+_xlpm.Period,
INDEX('Calc - OTHER PERS'!$K:$K,_xlpm.ROWNUM))</f>
        <v>0.04</v>
      </c>
      <c r="F216" s="3048" cm="1">
        <f t="array" aca="1" ref="F216" ca="1">_xlfn.LET(_xlpm.Person,INT((ROW()-ROW($A$173))/8),_xlpm.Period,VALUE(RIGHT(F$38,LEN(F$38)-1))-1,_xlpm.ROWNUM,11+14*_xlpm.Person+_xlpm.Period,
INDEX('Calc - OTHER PERS'!$K:$K,_xlpm.ROWNUM))</f>
        <v>0.06</v>
      </c>
      <c r="G216" s="3048" cm="1">
        <f t="array" aca="1" ref="G216" ca="1">_xlfn.LET(_xlpm.Person,INT((ROW()-ROW($A$173))/8),_xlpm.Period,VALUE(RIGHT(G$38,LEN(G$38)-1))-1,_xlpm.ROWNUM,11+14*_xlpm.Person+_xlpm.Period,
INDEX('Calc - OTHER PERS'!$K:$K,_xlpm.ROWNUM))</f>
        <v>0.08</v>
      </c>
      <c r="H216" s="3048" cm="1">
        <f t="array" aca="1" ref="H216" ca="1">_xlfn.LET(_xlpm.Person,INT((ROW()-ROW($A$173))/8),_xlpm.Period,VALUE(RIGHT(H$38,LEN(H$38)-1))-1,_xlpm.ROWNUM,11+14*_xlpm.Person+_xlpm.Period,
INDEX('Calc - OTHER PERS'!$K:$K,_xlpm.ROWNUM))</f>
        <v>0.1</v>
      </c>
      <c r="I216" s="926"/>
    </row>
    <row r="217" spans="1:9" hidden="1" x14ac:dyDescent="0.25">
      <c r="A217" s="3049">
        <f t="shared" ref="A217:A218" si="68">SUM(C217:H217)</f>
        <v>0</v>
      </c>
      <c r="B217" s="847" t="s">
        <v>1053</v>
      </c>
      <c r="C217" s="3050" cm="1">
        <f t="array" ref="C217">_xlfn.LET(_xlpm.Person,INT((ROW()-ROW($A$173))/8),_xlpm.Period,VALUE(RIGHT(C$38,LEN(C$38)-1))-1,_xlpm.ROWNUM,11+14*_xlpm.Person+_xlpm.Period,_xlpm.FTE,6+14*_xlpm.Person,
(INDEX('Calc - OTHER PERS'!$C:$C,_xlpm.ROWNUM) + INDEX('Calc - OTHER PERS'!$N:$N,_xlpm.ROWNUM)) * INDEX('Calc - OTHER PERS'!$K:$K,_xlpm.FTE))</f>
        <v>0</v>
      </c>
      <c r="D217" s="3050" cm="1">
        <f t="array" ref="D217">_xlfn.LET(_xlpm.Person,INT((ROW()-ROW($A$173))/8),_xlpm.Period,VALUE(RIGHT(D$38,LEN(D$38)-1))-1,_xlpm.ROWNUM,11+14*_xlpm.Person+_xlpm.Period,_xlpm.FTE,6+14*_xlpm.Person,
(INDEX('Calc - OTHER PERS'!$C:$C,_xlpm.ROWNUM) + INDEX('Calc - OTHER PERS'!$N:$N,_xlpm.ROWNUM)) * INDEX('Calc - OTHER PERS'!$K:$K,_xlpm.FTE))</f>
        <v>0</v>
      </c>
      <c r="E217" s="3050" cm="1">
        <f t="array" ref="E217">_xlfn.LET(_xlpm.Person,INT((ROW()-ROW($A$173))/8),_xlpm.Period,VALUE(RIGHT(E$38,LEN(E$38)-1))-1,_xlpm.ROWNUM,11+14*_xlpm.Person+_xlpm.Period,_xlpm.FTE,6+14*_xlpm.Person,
(INDEX('Calc - OTHER PERS'!$C:$C,_xlpm.ROWNUM) + INDEX('Calc - OTHER PERS'!$N:$N,_xlpm.ROWNUM)) * INDEX('Calc - OTHER PERS'!$K:$K,_xlpm.FTE))</f>
        <v>0</v>
      </c>
      <c r="F217" s="3050" cm="1">
        <f t="array" ref="F217">_xlfn.LET(_xlpm.Person,INT((ROW()-ROW($A$173))/8),_xlpm.Period,VALUE(RIGHT(F$38,LEN(F$38)-1))-1,_xlpm.ROWNUM,11+14*_xlpm.Person+_xlpm.Period,_xlpm.FTE,6+14*_xlpm.Person,
(INDEX('Calc - OTHER PERS'!$C:$C,_xlpm.ROWNUM) + INDEX('Calc - OTHER PERS'!$N:$N,_xlpm.ROWNUM)) * INDEX('Calc - OTHER PERS'!$K:$K,_xlpm.FTE))</f>
        <v>0</v>
      </c>
      <c r="G217" s="3050" cm="1">
        <f t="array" ref="G217">_xlfn.LET(_xlpm.Person,INT((ROW()-ROW($A$173))/8),_xlpm.Period,VALUE(RIGHT(G$38,LEN(G$38)-1))-1,_xlpm.ROWNUM,11+14*_xlpm.Person+_xlpm.Period,_xlpm.FTE,6+14*_xlpm.Person,
(INDEX('Calc - OTHER PERS'!$C:$C,_xlpm.ROWNUM) + INDEX('Calc - OTHER PERS'!$N:$N,_xlpm.ROWNUM)) * INDEX('Calc - OTHER PERS'!$K:$K,_xlpm.FTE))</f>
        <v>0</v>
      </c>
      <c r="H217" s="3050" cm="1">
        <f t="array" ref="H217">_xlfn.LET(_xlpm.Person,INT((ROW()-ROW($A$173))/8),_xlpm.Period,VALUE(RIGHT(H$38,LEN(H$38)-1))-1,_xlpm.ROWNUM,11+14*_xlpm.Person+_xlpm.Period,_xlpm.FTE,6+14*_xlpm.Person,
(INDEX('Calc - OTHER PERS'!$C:$C,_xlpm.ROWNUM) + INDEX('Calc - OTHER PERS'!$N:$N,_xlpm.ROWNUM)) * INDEX('Calc - OTHER PERS'!$K:$K,_xlpm.FTE))</f>
        <v>0</v>
      </c>
      <c r="I217" s="926"/>
    </row>
    <row r="218" spans="1:9" hidden="1" x14ac:dyDescent="0.25">
      <c r="A218" s="3049">
        <f t="shared" si="68"/>
        <v>0</v>
      </c>
      <c r="B218" s="847" t="s">
        <v>1054</v>
      </c>
      <c r="C218" s="3050" cm="1">
        <f t="array" ref="C218">_xlfn.LET(_xlpm.Person,INT((ROW()-ROW($A$173))/8),_xlpm.Period,VALUE(RIGHT(C$38,LEN(C$38)-1))-1,_xlpm.ROWNUM,11+14*_xlpm.Person+_xlpm.Period,_xlpm.FTE,6+14*_xlpm.Person,
(INDEX('Calc - OTHER PERS'!$C:$C,_xlpm.ROWNUM) * INDEX('Calc - OTHER PERS'!$K:$K,_xlpm.FTE)))</f>
        <v>0</v>
      </c>
      <c r="D218" s="3050" cm="1">
        <f t="array" ref="D218">_xlfn.LET(_xlpm.Person,INT((ROW()-ROW($A$173))/8),_xlpm.Period,VALUE(RIGHT(D$38,LEN(D$38)-1))-1,_xlpm.ROWNUM,11+14*_xlpm.Person+_xlpm.Period,_xlpm.FTE,6+14*_xlpm.Person,
(INDEX('Calc - OTHER PERS'!$C:$C,_xlpm.ROWNUM) * INDEX('Calc - OTHER PERS'!$K:$K,_xlpm.FTE)))</f>
        <v>0</v>
      </c>
      <c r="E218" s="3050" cm="1">
        <f t="array" ref="E218">_xlfn.LET(_xlpm.Person,INT((ROW()-ROW($A$173))/8),_xlpm.Period,VALUE(RIGHT(E$38,LEN(E$38)-1))-1,_xlpm.ROWNUM,11+14*_xlpm.Person+_xlpm.Period,_xlpm.FTE,6+14*_xlpm.Person,
(INDEX('Calc - OTHER PERS'!$C:$C,_xlpm.ROWNUM) * INDEX('Calc - OTHER PERS'!$K:$K,_xlpm.FTE)))</f>
        <v>0</v>
      </c>
      <c r="F218" s="3050" cm="1">
        <f t="array" ref="F218">_xlfn.LET(_xlpm.Person,INT((ROW()-ROW($A$173))/8),_xlpm.Period,VALUE(RIGHT(F$38,LEN(F$38)-1))-1,_xlpm.ROWNUM,11+14*_xlpm.Person+_xlpm.Period,_xlpm.FTE,6+14*_xlpm.Person,
(INDEX('Calc - OTHER PERS'!$C:$C,_xlpm.ROWNUM) * INDEX('Calc - OTHER PERS'!$K:$K,_xlpm.FTE)))</f>
        <v>0</v>
      </c>
      <c r="G218" s="3050" cm="1">
        <f t="array" ref="G218">_xlfn.LET(_xlpm.Person,INT((ROW()-ROW($A$173))/8),_xlpm.Period,VALUE(RIGHT(G$38,LEN(G$38)-1))-1,_xlpm.ROWNUM,11+14*_xlpm.Person+_xlpm.Period,_xlpm.FTE,6+14*_xlpm.Person,
(INDEX('Calc - OTHER PERS'!$C:$C,_xlpm.ROWNUM) * INDEX('Calc - OTHER PERS'!$K:$K,_xlpm.FTE)))</f>
        <v>0</v>
      </c>
      <c r="H218" s="3050" cm="1">
        <f t="array" ref="H218">_xlfn.LET(_xlpm.Person,INT((ROW()-ROW($A$173))/8),_xlpm.Period,VALUE(RIGHT(H$38,LEN(H$38)-1))-1,_xlpm.ROWNUM,11+14*_xlpm.Person+_xlpm.Period,_xlpm.FTE,6+14*_xlpm.Person,
(INDEX('Calc - OTHER PERS'!$C:$C,_xlpm.ROWNUM) * INDEX('Calc - OTHER PERS'!$K:$K,_xlpm.FTE)))</f>
        <v>0</v>
      </c>
      <c r="I218" s="926"/>
    </row>
    <row r="219" spans="1:9" hidden="1" x14ac:dyDescent="0.25">
      <c r="I219" s="926"/>
    </row>
    <row r="220" spans="1:9" hidden="1" x14ac:dyDescent="0.25">
      <c r="I220" s="926"/>
    </row>
    <row r="221" spans="1:9" hidden="1" x14ac:dyDescent="0.25">
      <c r="A221" s="847" cm="1">
        <f t="array" ref="A221">INDEX('DATA INPUT'!B:B,51+INT((ROW()-ROW($A$173))/8))</f>
        <v>0</v>
      </c>
      <c r="B221" s="847"/>
      <c r="C221" s="3042" t="s">
        <v>1041</v>
      </c>
      <c r="D221" s="3042" t="s">
        <v>1042</v>
      </c>
      <c r="E221" s="3042" t="s">
        <v>1043</v>
      </c>
      <c r="F221" s="3042" t="s">
        <v>1044</v>
      </c>
      <c r="G221" s="3042" t="s">
        <v>1045</v>
      </c>
      <c r="H221" s="3042" t="s">
        <v>1046</v>
      </c>
      <c r="I221" s="926"/>
    </row>
    <row r="222" spans="1:9" ht="17.25" hidden="1" x14ac:dyDescent="0.3">
      <c r="A222" s="3043">
        <f t="shared" ref="A222" ca="1" si="69">SUM(C222:H222)</f>
        <v>0</v>
      </c>
      <c r="B222" s="3044" t="s">
        <v>3</v>
      </c>
      <c r="C222" s="3045">
        <f t="shared" ref="C222:H222" ca="1" si="70">ROUND(C223*C226*(1+C224), 2)</f>
        <v>0</v>
      </c>
      <c r="D222" s="3045">
        <f t="shared" ca="1" si="70"/>
        <v>0</v>
      </c>
      <c r="E222" s="3045">
        <f t="shared" ca="1" si="70"/>
        <v>0</v>
      </c>
      <c r="F222" s="3045">
        <f t="shared" ca="1" si="70"/>
        <v>0</v>
      </c>
      <c r="G222" s="3045">
        <f t="shared" ca="1" si="70"/>
        <v>0</v>
      </c>
      <c r="H222" s="3045">
        <f t="shared" ca="1" si="70"/>
        <v>0</v>
      </c>
      <c r="I222" s="926"/>
    </row>
    <row r="223" spans="1:9" hidden="1" x14ac:dyDescent="0.25">
      <c r="A223" s="503" t="s">
        <v>133</v>
      </c>
      <c r="B223" s="847" t="s">
        <v>1050</v>
      </c>
      <c r="C223" s="3058" cm="1">
        <f t="array" aca="1" ref="C223" ca="1">_xlfn.LET(_xlpm.Person,INT((ROW()-ROW($A$173))/8),_xlpm.Period,VALUE(RIGHT(C$38,LEN(C$38)-1))-1,_xlpm.ROWNUM,11+14*_xlpm.Person+_xlpm.Period,
ROUND(INDEX('Calc - OTHER PERS'!$G:$G,_xlpm.ROWNUM),2))</f>
        <v>0</v>
      </c>
      <c r="D223" s="3058" cm="1">
        <f t="array" aca="1" ref="D223" ca="1">_xlfn.LET(_xlpm.Person,INT((ROW()-ROW($A$173))/8),_xlpm.Period,VALUE(RIGHT(D$38,LEN(D$38)-1))-1,_xlpm.ROWNUM,11+14*_xlpm.Person+_xlpm.Period,
ROUND(INDEX('Calc - OTHER PERS'!$G:$G,_xlpm.ROWNUM),2))</f>
        <v>0</v>
      </c>
      <c r="E223" s="3058" cm="1">
        <f t="array" aca="1" ref="E223" ca="1">_xlfn.LET(_xlpm.Person,INT((ROW()-ROW($A$173))/8),_xlpm.Period,VALUE(RIGHT(E$38,LEN(E$38)-1))-1,_xlpm.ROWNUM,11+14*_xlpm.Person+_xlpm.Period,
ROUND(INDEX('Calc - OTHER PERS'!$G:$G,_xlpm.ROWNUM),2))</f>
        <v>0</v>
      </c>
      <c r="F223" s="3058" cm="1">
        <f t="array" aca="1" ref="F223" ca="1">_xlfn.LET(_xlpm.Person,INT((ROW()-ROW($A$173))/8),_xlpm.Period,VALUE(RIGHT(F$38,LEN(F$38)-1))-1,_xlpm.ROWNUM,11+14*_xlpm.Person+_xlpm.Period,
ROUND(INDEX('Calc - OTHER PERS'!$G:$G,_xlpm.ROWNUM),2))</f>
        <v>0</v>
      </c>
      <c r="G223" s="3058" cm="1">
        <f t="array" aca="1" ref="G223" ca="1">_xlfn.LET(_xlpm.Person,INT((ROW()-ROW($A$173))/8),_xlpm.Period,VALUE(RIGHT(G$38,LEN(G$38)-1))-1,_xlpm.ROWNUM,11+14*_xlpm.Person+_xlpm.Period,
ROUND(INDEX('Calc - OTHER PERS'!$G:$G,_xlpm.ROWNUM),2))</f>
        <v>0</v>
      </c>
      <c r="H223" s="3058" cm="1">
        <f t="array" aca="1" ref="H223" ca="1">_xlfn.LET(_xlpm.Person,INT((ROW()-ROW($A$173))/8),_xlpm.Period,VALUE(RIGHT(H$38,LEN(H$38)-1))-1,_xlpm.ROWNUM,11+14*_xlpm.Person+_xlpm.Period,
ROUND(INDEX('Calc - OTHER PERS'!$G:$G,_xlpm.ROWNUM),2))</f>
        <v>0</v>
      </c>
      <c r="I223" s="926"/>
    </row>
    <row r="224" spans="1:9" hidden="1" x14ac:dyDescent="0.25">
      <c r="A224" s="3047" t="s">
        <v>1051</v>
      </c>
      <c r="B224" s="847" t="s">
        <v>1052</v>
      </c>
      <c r="C224" s="3048" cm="1">
        <f t="array" aca="1" ref="C224" ca="1">_xlfn.LET(_xlpm.Person,INT((ROW()-ROW($A$173))/8),_xlpm.Period,VALUE(RIGHT(C$38,LEN(C$38)-1))-1,_xlpm.ROWNUM,11+14*_xlpm.Person+_xlpm.Period,
INDEX('Calc - OTHER PERS'!$K:$K,_xlpm.ROWNUM))</f>
        <v>0</v>
      </c>
      <c r="D224" s="3048" cm="1">
        <f t="array" aca="1" ref="D224" ca="1">_xlfn.LET(_xlpm.Person,INT((ROW()-ROW($A$173))/8),_xlpm.Period,VALUE(RIGHT(D$38,LEN(D$38)-1))-1,_xlpm.ROWNUM,11+14*_xlpm.Person+_xlpm.Period,
INDEX('Calc - OTHER PERS'!$K:$K,_xlpm.ROWNUM))</f>
        <v>0.02</v>
      </c>
      <c r="E224" s="3048" cm="1">
        <f t="array" aca="1" ref="E224" ca="1">_xlfn.LET(_xlpm.Person,INT((ROW()-ROW($A$173))/8),_xlpm.Period,VALUE(RIGHT(E$38,LEN(E$38)-1))-1,_xlpm.ROWNUM,11+14*_xlpm.Person+_xlpm.Period,
INDEX('Calc - OTHER PERS'!$K:$K,_xlpm.ROWNUM))</f>
        <v>0.04</v>
      </c>
      <c r="F224" s="3048" cm="1">
        <f t="array" aca="1" ref="F224" ca="1">_xlfn.LET(_xlpm.Person,INT((ROW()-ROW($A$173))/8),_xlpm.Period,VALUE(RIGHT(F$38,LEN(F$38)-1))-1,_xlpm.ROWNUM,11+14*_xlpm.Person+_xlpm.Period,
INDEX('Calc - OTHER PERS'!$K:$K,_xlpm.ROWNUM))</f>
        <v>0.06</v>
      </c>
      <c r="G224" s="3048" cm="1">
        <f t="array" aca="1" ref="G224" ca="1">_xlfn.LET(_xlpm.Person,INT((ROW()-ROW($A$173))/8),_xlpm.Period,VALUE(RIGHT(G$38,LEN(G$38)-1))-1,_xlpm.ROWNUM,11+14*_xlpm.Person+_xlpm.Period,
INDEX('Calc - OTHER PERS'!$K:$K,_xlpm.ROWNUM))</f>
        <v>0.08</v>
      </c>
      <c r="H224" s="3048" cm="1">
        <f t="array" aca="1" ref="H224" ca="1">_xlfn.LET(_xlpm.Person,INT((ROW()-ROW($A$173))/8),_xlpm.Period,VALUE(RIGHT(H$38,LEN(H$38)-1))-1,_xlpm.ROWNUM,11+14*_xlpm.Person+_xlpm.Period,
INDEX('Calc - OTHER PERS'!$K:$K,_xlpm.ROWNUM))</f>
        <v>0.1</v>
      </c>
      <c r="I224" s="926"/>
    </row>
    <row r="225" spans="1:9" hidden="1" x14ac:dyDescent="0.25">
      <c r="A225" s="3049">
        <f t="shared" ref="A225:A226" si="71">SUM(C225:H225)</f>
        <v>0</v>
      </c>
      <c r="B225" s="847" t="s">
        <v>1053</v>
      </c>
      <c r="C225" s="3050" cm="1">
        <f t="array" ref="C225">_xlfn.LET(_xlpm.Person,INT((ROW()-ROW($A$173))/8),_xlpm.Period,VALUE(RIGHT(C$38,LEN(C$38)-1))-1,_xlpm.ROWNUM,11+14*_xlpm.Person+_xlpm.Period,_xlpm.FTE,6+14*_xlpm.Person,
(INDEX('Calc - OTHER PERS'!$C:$C,_xlpm.ROWNUM) + INDEX('Calc - OTHER PERS'!$N:$N,_xlpm.ROWNUM)) * INDEX('Calc - OTHER PERS'!$K:$K,_xlpm.FTE))</f>
        <v>0</v>
      </c>
      <c r="D225" s="3050" cm="1">
        <f t="array" ref="D225">_xlfn.LET(_xlpm.Person,INT((ROW()-ROW($A$173))/8),_xlpm.Period,VALUE(RIGHT(D$38,LEN(D$38)-1))-1,_xlpm.ROWNUM,11+14*_xlpm.Person+_xlpm.Period,_xlpm.FTE,6+14*_xlpm.Person,
(INDEX('Calc - OTHER PERS'!$C:$C,_xlpm.ROWNUM) + INDEX('Calc - OTHER PERS'!$N:$N,_xlpm.ROWNUM)) * INDEX('Calc - OTHER PERS'!$K:$K,_xlpm.FTE))</f>
        <v>0</v>
      </c>
      <c r="E225" s="3050" cm="1">
        <f t="array" ref="E225">_xlfn.LET(_xlpm.Person,INT((ROW()-ROW($A$173))/8),_xlpm.Period,VALUE(RIGHT(E$38,LEN(E$38)-1))-1,_xlpm.ROWNUM,11+14*_xlpm.Person+_xlpm.Period,_xlpm.FTE,6+14*_xlpm.Person,
(INDEX('Calc - OTHER PERS'!$C:$C,_xlpm.ROWNUM) + INDEX('Calc - OTHER PERS'!$N:$N,_xlpm.ROWNUM)) * INDEX('Calc - OTHER PERS'!$K:$K,_xlpm.FTE))</f>
        <v>0</v>
      </c>
      <c r="F225" s="3050" cm="1">
        <f t="array" ref="F225">_xlfn.LET(_xlpm.Person,INT((ROW()-ROW($A$173))/8),_xlpm.Period,VALUE(RIGHT(F$38,LEN(F$38)-1))-1,_xlpm.ROWNUM,11+14*_xlpm.Person+_xlpm.Period,_xlpm.FTE,6+14*_xlpm.Person,
(INDEX('Calc - OTHER PERS'!$C:$C,_xlpm.ROWNUM) + INDEX('Calc - OTHER PERS'!$N:$N,_xlpm.ROWNUM)) * INDEX('Calc - OTHER PERS'!$K:$K,_xlpm.FTE))</f>
        <v>0</v>
      </c>
      <c r="G225" s="3050" cm="1">
        <f t="array" ref="G225">_xlfn.LET(_xlpm.Person,INT((ROW()-ROW($A$173))/8),_xlpm.Period,VALUE(RIGHT(G$38,LEN(G$38)-1))-1,_xlpm.ROWNUM,11+14*_xlpm.Person+_xlpm.Period,_xlpm.FTE,6+14*_xlpm.Person,
(INDEX('Calc - OTHER PERS'!$C:$C,_xlpm.ROWNUM) + INDEX('Calc - OTHER PERS'!$N:$N,_xlpm.ROWNUM)) * INDEX('Calc - OTHER PERS'!$K:$K,_xlpm.FTE))</f>
        <v>0</v>
      </c>
      <c r="H225" s="3050" cm="1">
        <f t="array" ref="H225">_xlfn.LET(_xlpm.Person,INT((ROW()-ROW($A$173))/8),_xlpm.Period,VALUE(RIGHT(H$38,LEN(H$38)-1))-1,_xlpm.ROWNUM,11+14*_xlpm.Person+_xlpm.Period,_xlpm.FTE,6+14*_xlpm.Person,
(INDEX('Calc - OTHER PERS'!$C:$C,_xlpm.ROWNUM) + INDEX('Calc - OTHER PERS'!$N:$N,_xlpm.ROWNUM)) * INDEX('Calc - OTHER PERS'!$K:$K,_xlpm.FTE))</f>
        <v>0</v>
      </c>
      <c r="I225" s="926"/>
    </row>
    <row r="226" spans="1:9" hidden="1" x14ac:dyDescent="0.25">
      <c r="A226" s="3049">
        <f t="shared" si="71"/>
        <v>0</v>
      </c>
      <c r="B226" s="847" t="s">
        <v>1054</v>
      </c>
      <c r="C226" s="3050" cm="1">
        <f t="array" ref="C226">_xlfn.LET(_xlpm.Person,INT((ROW()-ROW($A$173))/8),_xlpm.Period,VALUE(RIGHT(C$38,LEN(C$38)-1))-1,_xlpm.ROWNUM,11+14*_xlpm.Person+_xlpm.Period,_xlpm.FTE,6+14*_xlpm.Person,
(INDEX('Calc - OTHER PERS'!$C:$C,_xlpm.ROWNUM) * INDEX('Calc - OTHER PERS'!$K:$K,_xlpm.FTE)))</f>
        <v>0</v>
      </c>
      <c r="D226" s="3050" cm="1">
        <f t="array" ref="D226">_xlfn.LET(_xlpm.Person,INT((ROW()-ROW($A$173))/8),_xlpm.Period,VALUE(RIGHT(D$38,LEN(D$38)-1))-1,_xlpm.ROWNUM,11+14*_xlpm.Person+_xlpm.Period,_xlpm.FTE,6+14*_xlpm.Person,
(INDEX('Calc - OTHER PERS'!$C:$C,_xlpm.ROWNUM) * INDEX('Calc - OTHER PERS'!$K:$K,_xlpm.FTE)))</f>
        <v>0</v>
      </c>
      <c r="E226" s="3050" cm="1">
        <f t="array" ref="E226">_xlfn.LET(_xlpm.Person,INT((ROW()-ROW($A$173))/8),_xlpm.Period,VALUE(RIGHT(E$38,LEN(E$38)-1))-1,_xlpm.ROWNUM,11+14*_xlpm.Person+_xlpm.Period,_xlpm.FTE,6+14*_xlpm.Person,
(INDEX('Calc - OTHER PERS'!$C:$C,_xlpm.ROWNUM) * INDEX('Calc - OTHER PERS'!$K:$K,_xlpm.FTE)))</f>
        <v>0</v>
      </c>
      <c r="F226" s="3050" cm="1">
        <f t="array" ref="F226">_xlfn.LET(_xlpm.Person,INT((ROW()-ROW($A$173))/8),_xlpm.Period,VALUE(RIGHT(F$38,LEN(F$38)-1))-1,_xlpm.ROWNUM,11+14*_xlpm.Person+_xlpm.Period,_xlpm.FTE,6+14*_xlpm.Person,
(INDEX('Calc - OTHER PERS'!$C:$C,_xlpm.ROWNUM) * INDEX('Calc - OTHER PERS'!$K:$K,_xlpm.FTE)))</f>
        <v>0</v>
      </c>
      <c r="G226" s="3050" cm="1">
        <f t="array" ref="G226">_xlfn.LET(_xlpm.Person,INT((ROW()-ROW($A$173))/8),_xlpm.Period,VALUE(RIGHT(G$38,LEN(G$38)-1))-1,_xlpm.ROWNUM,11+14*_xlpm.Person+_xlpm.Period,_xlpm.FTE,6+14*_xlpm.Person,
(INDEX('Calc - OTHER PERS'!$C:$C,_xlpm.ROWNUM) * INDEX('Calc - OTHER PERS'!$K:$K,_xlpm.FTE)))</f>
        <v>0</v>
      </c>
      <c r="H226" s="3050" cm="1">
        <f t="array" ref="H226">_xlfn.LET(_xlpm.Person,INT((ROW()-ROW($A$173))/8),_xlpm.Period,VALUE(RIGHT(H$38,LEN(H$38)-1))-1,_xlpm.ROWNUM,11+14*_xlpm.Person+_xlpm.Period,_xlpm.FTE,6+14*_xlpm.Person,
(INDEX('Calc - OTHER PERS'!$C:$C,_xlpm.ROWNUM) * INDEX('Calc - OTHER PERS'!$K:$K,_xlpm.FTE)))</f>
        <v>0</v>
      </c>
      <c r="I226" s="926"/>
    </row>
    <row r="227" spans="1:9" hidden="1" x14ac:dyDescent="0.25">
      <c r="I227" s="926"/>
    </row>
    <row r="228" spans="1:9" hidden="1" x14ac:dyDescent="0.25">
      <c r="I228" s="926"/>
    </row>
    <row r="229" spans="1:9" hidden="1" x14ac:dyDescent="0.25">
      <c r="A229" s="847" cm="1">
        <f t="array" ref="A229">INDEX('DATA INPUT'!B:B,51+INT((ROW()-ROW($A$173))/8))</f>
        <v>0</v>
      </c>
      <c r="B229" s="847"/>
      <c r="C229" s="3042" t="s">
        <v>1041</v>
      </c>
      <c r="D229" s="3042" t="s">
        <v>1042</v>
      </c>
      <c r="E229" s="3042" t="s">
        <v>1043</v>
      </c>
      <c r="F229" s="3042" t="s">
        <v>1044</v>
      </c>
      <c r="G229" s="3042" t="s">
        <v>1045</v>
      </c>
      <c r="H229" s="3042" t="s">
        <v>1046</v>
      </c>
      <c r="I229" s="926"/>
    </row>
    <row r="230" spans="1:9" ht="17.25" hidden="1" x14ac:dyDescent="0.3">
      <c r="A230" s="3043">
        <f t="shared" ref="A230" ca="1" si="72">SUM(C230:H230)</f>
        <v>0</v>
      </c>
      <c r="B230" s="3044" t="s">
        <v>3</v>
      </c>
      <c r="C230" s="3045">
        <f t="shared" ref="C230:H230" ca="1" si="73">ROUND(C231*C234*(1+C232), 2)</f>
        <v>0</v>
      </c>
      <c r="D230" s="3045">
        <f t="shared" ca="1" si="73"/>
        <v>0</v>
      </c>
      <c r="E230" s="3045">
        <f t="shared" ca="1" si="73"/>
        <v>0</v>
      </c>
      <c r="F230" s="3045">
        <f t="shared" ca="1" si="73"/>
        <v>0</v>
      </c>
      <c r="G230" s="3045">
        <f t="shared" ca="1" si="73"/>
        <v>0</v>
      </c>
      <c r="H230" s="3045">
        <f t="shared" ca="1" si="73"/>
        <v>0</v>
      </c>
      <c r="I230" s="926"/>
    </row>
    <row r="231" spans="1:9" hidden="1" x14ac:dyDescent="0.25">
      <c r="A231" s="503" t="s">
        <v>133</v>
      </c>
      <c r="B231" s="847" t="s">
        <v>1050</v>
      </c>
      <c r="C231" s="3058" cm="1">
        <f t="array" aca="1" ref="C231" ca="1">_xlfn.LET(_xlpm.Person,INT((ROW()-ROW($A$173))/8),_xlpm.Period,VALUE(RIGHT(C$38,LEN(C$38)-1))-1,_xlpm.ROWNUM,11+14*_xlpm.Person+_xlpm.Period,
ROUND(INDEX('Calc - OTHER PERS'!$G:$G,_xlpm.ROWNUM),2))</f>
        <v>0</v>
      </c>
      <c r="D231" s="3058" cm="1">
        <f t="array" aca="1" ref="D231" ca="1">_xlfn.LET(_xlpm.Person,INT((ROW()-ROW($A$173))/8),_xlpm.Period,VALUE(RIGHT(D$38,LEN(D$38)-1))-1,_xlpm.ROWNUM,11+14*_xlpm.Person+_xlpm.Period,
ROUND(INDEX('Calc - OTHER PERS'!$G:$G,_xlpm.ROWNUM),2))</f>
        <v>0</v>
      </c>
      <c r="E231" s="3058" cm="1">
        <f t="array" aca="1" ref="E231" ca="1">_xlfn.LET(_xlpm.Person,INT((ROW()-ROW($A$173))/8),_xlpm.Period,VALUE(RIGHT(E$38,LEN(E$38)-1))-1,_xlpm.ROWNUM,11+14*_xlpm.Person+_xlpm.Period,
ROUND(INDEX('Calc - OTHER PERS'!$G:$G,_xlpm.ROWNUM),2))</f>
        <v>0</v>
      </c>
      <c r="F231" s="3058" cm="1">
        <f t="array" aca="1" ref="F231" ca="1">_xlfn.LET(_xlpm.Person,INT((ROW()-ROW($A$173))/8),_xlpm.Period,VALUE(RIGHT(F$38,LEN(F$38)-1))-1,_xlpm.ROWNUM,11+14*_xlpm.Person+_xlpm.Period,
ROUND(INDEX('Calc - OTHER PERS'!$G:$G,_xlpm.ROWNUM),2))</f>
        <v>0</v>
      </c>
      <c r="G231" s="3058" cm="1">
        <f t="array" aca="1" ref="G231" ca="1">_xlfn.LET(_xlpm.Person,INT((ROW()-ROW($A$173))/8),_xlpm.Period,VALUE(RIGHT(G$38,LEN(G$38)-1))-1,_xlpm.ROWNUM,11+14*_xlpm.Person+_xlpm.Period,
ROUND(INDEX('Calc - OTHER PERS'!$G:$G,_xlpm.ROWNUM),2))</f>
        <v>0</v>
      </c>
      <c r="H231" s="3058" cm="1">
        <f t="array" aca="1" ref="H231" ca="1">_xlfn.LET(_xlpm.Person,INT((ROW()-ROW($A$173))/8),_xlpm.Period,VALUE(RIGHT(H$38,LEN(H$38)-1))-1,_xlpm.ROWNUM,11+14*_xlpm.Person+_xlpm.Period,
ROUND(INDEX('Calc - OTHER PERS'!$G:$G,_xlpm.ROWNUM),2))</f>
        <v>0</v>
      </c>
      <c r="I231" s="926"/>
    </row>
    <row r="232" spans="1:9" hidden="1" x14ac:dyDescent="0.25">
      <c r="A232" s="3047" t="s">
        <v>1051</v>
      </c>
      <c r="B232" s="847" t="s">
        <v>1052</v>
      </c>
      <c r="C232" s="3048" cm="1">
        <f t="array" aca="1" ref="C232" ca="1">_xlfn.LET(_xlpm.Person,INT((ROW()-ROW($A$173))/8),_xlpm.Period,VALUE(RIGHT(C$38,LEN(C$38)-1))-1,_xlpm.ROWNUM,11+14*_xlpm.Person+_xlpm.Period,
INDEX('Calc - OTHER PERS'!$K:$K,_xlpm.ROWNUM))</f>
        <v>0</v>
      </c>
      <c r="D232" s="3048" cm="1">
        <f t="array" aca="1" ref="D232" ca="1">_xlfn.LET(_xlpm.Person,INT((ROW()-ROW($A$173))/8),_xlpm.Period,VALUE(RIGHT(D$38,LEN(D$38)-1))-1,_xlpm.ROWNUM,11+14*_xlpm.Person+_xlpm.Period,
INDEX('Calc - OTHER PERS'!$K:$K,_xlpm.ROWNUM))</f>
        <v>0.02</v>
      </c>
      <c r="E232" s="3048" cm="1">
        <f t="array" aca="1" ref="E232" ca="1">_xlfn.LET(_xlpm.Person,INT((ROW()-ROW($A$173))/8),_xlpm.Period,VALUE(RIGHT(E$38,LEN(E$38)-1))-1,_xlpm.ROWNUM,11+14*_xlpm.Person+_xlpm.Period,
INDEX('Calc - OTHER PERS'!$K:$K,_xlpm.ROWNUM))</f>
        <v>0.04</v>
      </c>
      <c r="F232" s="3048" cm="1">
        <f t="array" aca="1" ref="F232" ca="1">_xlfn.LET(_xlpm.Person,INT((ROW()-ROW($A$173))/8),_xlpm.Period,VALUE(RIGHT(F$38,LEN(F$38)-1))-1,_xlpm.ROWNUM,11+14*_xlpm.Person+_xlpm.Period,
INDEX('Calc - OTHER PERS'!$K:$K,_xlpm.ROWNUM))</f>
        <v>0.06</v>
      </c>
      <c r="G232" s="3048" cm="1">
        <f t="array" aca="1" ref="G232" ca="1">_xlfn.LET(_xlpm.Person,INT((ROW()-ROW($A$173))/8),_xlpm.Period,VALUE(RIGHT(G$38,LEN(G$38)-1))-1,_xlpm.ROWNUM,11+14*_xlpm.Person+_xlpm.Period,
INDEX('Calc - OTHER PERS'!$K:$K,_xlpm.ROWNUM))</f>
        <v>0.08</v>
      </c>
      <c r="H232" s="3048" cm="1">
        <f t="array" aca="1" ref="H232" ca="1">_xlfn.LET(_xlpm.Person,INT((ROW()-ROW($A$173))/8),_xlpm.Period,VALUE(RIGHT(H$38,LEN(H$38)-1))-1,_xlpm.ROWNUM,11+14*_xlpm.Person+_xlpm.Period,
INDEX('Calc - OTHER PERS'!$K:$K,_xlpm.ROWNUM))</f>
        <v>0.1</v>
      </c>
      <c r="I232" s="926"/>
    </row>
    <row r="233" spans="1:9" hidden="1" x14ac:dyDescent="0.25">
      <c r="A233" s="3049">
        <f t="shared" ref="A233:A234" si="74">SUM(C233:H233)</f>
        <v>0</v>
      </c>
      <c r="B233" s="847" t="s">
        <v>1053</v>
      </c>
      <c r="C233" s="3050" cm="1">
        <f t="array" ref="C233">_xlfn.LET(_xlpm.Person,INT((ROW()-ROW($A$173))/8),_xlpm.Period,VALUE(RIGHT(C$38,LEN(C$38)-1))-1,_xlpm.ROWNUM,11+14*_xlpm.Person+_xlpm.Period,_xlpm.FTE,6+14*_xlpm.Person,
(INDEX('Calc - OTHER PERS'!$C:$C,_xlpm.ROWNUM) + INDEX('Calc - OTHER PERS'!$N:$N,_xlpm.ROWNUM)) * INDEX('Calc - OTHER PERS'!$K:$K,_xlpm.FTE))</f>
        <v>0</v>
      </c>
      <c r="D233" s="3050" cm="1">
        <f t="array" ref="D233">_xlfn.LET(_xlpm.Person,INT((ROW()-ROW($A$173))/8),_xlpm.Period,VALUE(RIGHT(D$38,LEN(D$38)-1))-1,_xlpm.ROWNUM,11+14*_xlpm.Person+_xlpm.Period,_xlpm.FTE,6+14*_xlpm.Person,
(INDEX('Calc - OTHER PERS'!$C:$C,_xlpm.ROWNUM) + INDEX('Calc - OTHER PERS'!$N:$N,_xlpm.ROWNUM)) * INDEX('Calc - OTHER PERS'!$K:$K,_xlpm.FTE))</f>
        <v>0</v>
      </c>
      <c r="E233" s="3050" cm="1">
        <f t="array" ref="E233">_xlfn.LET(_xlpm.Person,INT((ROW()-ROW($A$173))/8),_xlpm.Period,VALUE(RIGHT(E$38,LEN(E$38)-1))-1,_xlpm.ROWNUM,11+14*_xlpm.Person+_xlpm.Period,_xlpm.FTE,6+14*_xlpm.Person,
(INDEX('Calc - OTHER PERS'!$C:$C,_xlpm.ROWNUM) + INDEX('Calc - OTHER PERS'!$N:$N,_xlpm.ROWNUM)) * INDEX('Calc - OTHER PERS'!$K:$K,_xlpm.FTE))</f>
        <v>0</v>
      </c>
      <c r="F233" s="3050" cm="1">
        <f t="array" ref="F233">_xlfn.LET(_xlpm.Person,INT((ROW()-ROW($A$173))/8),_xlpm.Period,VALUE(RIGHT(F$38,LEN(F$38)-1))-1,_xlpm.ROWNUM,11+14*_xlpm.Person+_xlpm.Period,_xlpm.FTE,6+14*_xlpm.Person,
(INDEX('Calc - OTHER PERS'!$C:$C,_xlpm.ROWNUM) + INDEX('Calc - OTHER PERS'!$N:$N,_xlpm.ROWNUM)) * INDEX('Calc - OTHER PERS'!$K:$K,_xlpm.FTE))</f>
        <v>0</v>
      </c>
      <c r="G233" s="3050" cm="1">
        <f t="array" ref="G233">_xlfn.LET(_xlpm.Person,INT((ROW()-ROW($A$173))/8),_xlpm.Period,VALUE(RIGHT(G$38,LEN(G$38)-1))-1,_xlpm.ROWNUM,11+14*_xlpm.Person+_xlpm.Period,_xlpm.FTE,6+14*_xlpm.Person,
(INDEX('Calc - OTHER PERS'!$C:$C,_xlpm.ROWNUM) + INDEX('Calc - OTHER PERS'!$N:$N,_xlpm.ROWNUM)) * INDEX('Calc - OTHER PERS'!$K:$K,_xlpm.FTE))</f>
        <v>0</v>
      </c>
      <c r="H233" s="3050" cm="1">
        <f t="array" ref="H233">_xlfn.LET(_xlpm.Person,INT((ROW()-ROW($A$173))/8),_xlpm.Period,VALUE(RIGHT(H$38,LEN(H$38)-1))-1,_xlpm.ROWNUM,11+14*_xlpm.Person+_xlpm.Period,_xlpm.FTE,6+14*_xlpm.Person,
(INDEX('Calc - OTHER PERS'!$C:$C,_xlpm.ROWNUM) + INDEX('Calc - OTHER PERS'!$N:$N,_xlpm.ROWNUM)) * INDEX('Calc - OTHER PERS'!$K:$K,_xlpm.FTE))</f>
        <v>0</v>
      </c>
      <c r="I233" s="926"/>
    </row>
    <row r="234" spans="1:9" hidden="1" x14ac:dyDescent="0.25">
      <c r="A234" s="3049">
        <f t="shared" si="74"/>
        <v>0</v>
      </c>
      <c r="B234" s="847" t="s">
        <v>1054</v>
      </c>
      <c r="C234" s="3050" cm="1">
        <f t="array" ref="C234">_xlfn.LET(_xlpm.Person,INT((ROW()-ROW($A$173))/8),_xlpm.Period,VALUE(RIGHT(C$38,LEN(C$38)-1))-1,_xlpm.ROWNUM,11+14*_xlpm.Person+_xlpm.Period,_xlpm.FTE,6+14*_xlpm.Person,
(INDEX('Calc - OTHER PERS'!$C:$C,_xlpm.ROWNUM) * INDEX('Calc - OTHER PERS'!$K:$K,_xlpm.FTE)))</f>
        <v>0</v>
      </c>
      <c r="D234" s="3050" cm="1">
        <f t="array" ref="D234">_xlfn.LET(_xlpm.Person,INT((ROW()-ROW($A$173))/8),_xlpm.Period,VALUE(RIGHT(D$38,LEN(D$38)-1))-1,_xlpm.ROWNUM,11+14*_xlpm.Person+_xlpm.Period,_xlpm.FTE,6+14*_xlpm.Person,
(INDEX('Calc - OTHER PERS'!$C:$C,_xlpm.ROWNUM) * INDEX('Calc - OTHER PERS'!$K:$K,_xlpm.FTE)))</f>
        <v>0</v>
      </c>
      <c r="E234" s="3050" cm="1">
        <f t="array" ref="E234">_xlfn.LET(_xlpm.Person,INT((ROW()-ROW($A$173))/8),_xlpm.Period,VALUE(RIGHT(E$38,LEN(E$38)-1))-1,_xlpm.ROWNUM,11+14*_xlpm.Person+_xlpm.Period,_xlpm.FTE,6+14*_xlpm.Person,
(INDEX('Calc - OTHER PERS'!$C:$C,_xlpm.ROWNUM) * INDEX('Calc - OTHER PERS'!$K:$K,_xlpm.FTE)))</f>
        <v>0</v>
      </c>
      <c r="F234" s="3050" cm="1">
        <f t="array" ref="F234">_xlfn.LET(_xlpm.Person,INT((ROW()-ROW($A$173))/8),_xlpm.Period,VALUE(RIGHT(F$38,LEN(F$38)-1))-1,_xlpm.ROWNUM,11+14*_xlpm.Person+_xlpm.Period,_xlpm.FTE,6+14*_xlpm.Person,
(INDEX('Calc - OTHER PERS'!$C:$C,_xlpm.ROWNUM) * INDEX('Calc - OTHER PERS'!$K:$K,_xlpm.FTE)))</f>
        <v>0</v>
      </c>
      <c r="G234" s="3050" cm="1">
        <f t="array" ref="G234">_xlfn.LET(_xlpm.Person,INT((ROW()-ROW($A$173))/8),_xlpm.Period,VALUE(RIGHT(G$38,LEN(G$38)-1))-1,_xlpm.ROWNUM,11+14*_xlpm.Person+_xlpm.Period,_xlpm.FTE,6+14*_xlpm.Person,
(INDEX('Calc - OTHER PERS'!$C:$C,_xlpm.ROWNUM) * INDEX('Calc - OTHER PERS'!$K:$K,_xlpm.FTE)))</f>
        <v>0</v>
      </c>
      <c r="H234" s="3050" cm="1">
        <f t="array" ref="H234">_xlfn.LET(_xlpm.Person,INT((ROW()-ROW($A$173))/8),_xlpm.Period,VALUE(RIGHT(H$38,LEN(H$38)-1))-1,_xlpm.ROWNUM,11+14*_xlpm.Person+_xlpm.Period,_xlpm.FTE,6+14*_xlpm.Person,
(INDEX('Calc - OTHER PERS'!$C:$C,_xlpm.ROWNUM) * INDEX('Calc - OTHER PERS'!$K:$K,_xlpm.FTE)))</f>
        <v>0</v>
      </c>
      <c r="I234" s="926"/>
    </row>
    <row r="235" spans="1:9" hidden="1" x14ac:dyDescent="0.25">
      <c r="I235" s="926"/>
    </row>
    <row r="236" spans="1:9" hidden="1" x14ac:dyDescent="0.25">
      <c r="I236" s="926"/>
    </row>
    <row r="237" spans="1:9" hidden="1" x14ac:dyDescent="0.25">
      <c r="A237" s="847" cm="1">
        <f t="array" ref="A237">INDEX('DATA INPUT'!B:B,51+INT((ROW()-ROW($A$173))/8))</f>
        <v>0</v>
      </c>
      <c r="B237" s="847"/>
      <c r="C237" s="3042" t="s">
        <v>1041</v>
      </c>
      <c r="D237" s="3042" t="s">
        <v>1042</v>
      </c>
      <c r="E237" s="3042" t="s">
        <v>1043</v>
      </c>
      <c r="F237" s="3042" t="s">
        <v>1044</v>
      </c>
      <c r="G237" s="3042" t="s">
        <v>1045</v>
      </c>
      <c r="H237" s="3042" t="s">
        <v>1046</v>
      </c>
      <c r="I237" s="926"/>
    </row>
    <row r="238" spans="1:9" ht="17.25" hidden="1" x14ac:dyDescent="0.3">
      <c r="A238" s="3043">
        <f t="shared" ref="A238" ca="1" si="75">SUM(C238:H238)</f>
        <v>0</v>
      </c>
      <c r="B238" s="3044" t="s">
        <v>3</v>
      </c>
      <c r="C238" s="3045">
        <f t="shared" ref="C238:H238" ca="1" si="76">ROUND(C239*C242*(1+C240), 2)</f>
        <v>0</v>
      </c>
      <c r="D238" s="3045">
        <f t="shared" ca="1" si="76"/>
        <v>0</v>
      </c>
      <c r="E238" s="3045">
        <f t="shared" ca="1" si="76"/>
        <v>0</v>
      </c>
      <c r="F238" s="3045">
        <f t="shared" ca="1" si="76"/>
        <v>0</v>
      </c>
      <c r="G238" s="3045">
        <f t="shared" ca="1" si="76"/>
        <v>0</v>
      </c>
      <c r="H238" s="3045">
        <f t="shared" ca="1" si="76"/>
        <v>0</v>
      </c>
      <c r="I238" s="926"/>
    </row>
    <row r="239" spans="1:9" hidden="1" x14ac:dyDescent="0.25">
      <c r="A239" s="503" t="s">
        <v>133</v>
      </c>
      <c r="B239" s="847" t="s">
        <v>1050</v>
      </c>
      <c r="C239" s="3058" cm="1">
        <f t="array" aca="1" ref="C239" ca="1">_xlfn.LET(_xlpm.Person,INT((ROW()-ROW($A$173))/8),_xlpm.Period,VALUE(RIGHT(C$38,LEN(C$38)-1))-1,_xlpm.ROWNUM,11+14*_xlpm.Person+_xlpm.Period,
ROUND(INDEX('Calc - OTHER PERS'!$G:$G,_xlpm.ROWNUM),2))</f>
        <v>0</v>
      </c>
      <c r="D239" s="3058" cm="1">
        <f t="array" aca="1" ref="D239" ca="1">_xlfn.LET(_xlpm.Person,INT((ROW()-ROW($A$173))/8),_xlpm.Period,VALUE(RIGHT(D$38,LEN(D$38)-1))-1,_xlpm.ROWNUM,11+14*_xlpm.Person+_xlpm.Period,
ROUND(INDEX('Calc - OTHER PERS'!$G:$G,_xlpm.ROWNUM),2))</f>
        <v>0</v>
      </c>
      <c r="E239" s="3058" cm="1">
        <f t="array" aca="1" ref="E239" ca="1">_xlfn.LET(_xlpm.Person,INT((ROW()-ROW($A$173))/8),_xlpm.Period,VALUE(RIGHT(E$38,LEN(E$38)-1))-1,_xlpm.ROWNUM,11+14*_xlpm.Person+_xlpm.Period,
ROUND(INDEX('Calc - OTHER PERS'!$G:$G,_xlpm.ROWNUM),2))</f>
        <v>0</v>
      </c>
      <c r="F239" s="3058" cm="1">
        <f t="array" aca="1" ref="F239" ca="1">_xlfn.LET(_xlpm.Person,INT((ROW()-ROW($A$173))/8),_xlpm.Period,VALUE(RIGHT(F$38,LEN(F$38)-1))-1,_xlpm.ROWNUM,11+14*_xlpm.Person+_xlpm.Period,
ROUND(INDEX('Calc - OTHER PERS'!$G:$G,_xlpm.ROWNUM),2))</f>
        <v>0</v>
      </c>
      <c r="G239" s="3058" cm="1">
        <f t="array" aca="1" ref="G239" ca="1">_xlfn.LET(_xlpm.Person,INT((ROW()-ROW($A$173))/8),_xlpm.Period,VALUE(RIGHT(G$38,LEN(G$38)-1))-1,_xlpm.ROWNUM,11+14*_xlpm.Person+_xlpm.Period,
ROUND(INDEX('Calc - OTHER PERS'!$G:$G,_xlpm.ROWNUM),2))</f>
        <v>0</v>
      </c>
      <c r="H239" s="3058" cm="1">
        <f t="array" aca="1" ref="H239" ca="1">_xlfn.LET(_xlpm.Person,INT((ROW()-ROW($A$173))/8),_xlpm.Period,VALUE(RIGHT(H$38,LEN(H$38)-1))-1,_xlpm.ROWNUM,11+14*_xlpm.Person+_xlpm.Period,
ROUND(INDEX('Calc - OTHER PERS'!$G:$G,_xlpm.ROWNUM),2))</f>
        <v>0</v>
      </c>
      <c r="I239" s="926"/>
    </row>
    <row r="240" spans="1:9" hidden="1" x14ac:dyDescent="0.25">
      <c r="A240" s="3047" t="s">
        <v>1051</v>
      </c>
      <c r="B240" s="847" t="s">
        <v>1052</v>
      </c>
      <c r="C240" s="3048" cm="1">
        <f t="array" aca="1" ref="C240" ca="1">_xlfn.LET(_xlpm.Person,INT((ROW()-ROW($A$173))/8),_xlpm.Period,VALUE(RIGHT(C$38,LEN(C$38)-1))-1,_xlpm.ROWNUM,11+14*_xlpm.Person+_xlpm.Period,
INDEX('Calc - OTHER PERS'!$K:$K,_xlpm.ROWNUM))</f>
        <v>0</v>
      </c>
      <c r="D240" s="3048" cm="1">
        <f t="array" aca="1" ref="D240" ca="1">_xlfn.LET(_xlpm.Person,INT((ROW()-ROW($A$173))/8),_xlpm.Period,VALUE(RIGHT(D$38,LEN(D$38)-1))-1,_xlpm.ROWNUM,11+14*_xlpm.Person+_xlpm.Period,
INDEX('Calc - OTHER PERS'!$K:$K,_xlpm.ROWNUM))</f>
        <v>0.02</v>
      </c>
      <c r="E240" s="3048" cm="1">
        <f t="array" aca="1" ref="E240" ca="1">_xlfn.LET(_xlpm.Person,INT((ROW()-ROW($A$173))/8),_xlpm.Period,VALUE(RIGHT(E$38,LEN(E$38)-1))-1,_xlpm.ROWNUM,11+14*_xlpm.Person+_xlpm.Period,
INDEX('Calc - OTHER PERS'!$K:$K,_xlpm.ROWNUM))</f>
        <v>0.04</v>
      </c>
      <c r="F240" s="3048" cm="1">
        <f t="array" aca="1" ref="F240" ca="1">_xlfn.LET(_xlpm.Person,INT((ROW()-ROW($A$173))/8),_xlpm.Period,VALUE(RIGHT(F$38,LEN(F$38)-1))-1,_xlpm.ROWNUM,11+14*_xlpm.Person+_xlpm.Period,
INDEX('Calc - OTHER PERS'!$K:$K,_xlpm.ROWNUM))</f>
        <v>0.06</v>
      </c>
      <c r="G240" s="3048" cm="1">
        <f t="array" aca="1" ref="G240" ca="1">_xlfn.LET(_xlpm.Person,INT((ROW()-ROW($A$173))/8),_xlpm.Period,VALUE(RIGHT(G$38,LEN(G$38)-1))-1,_xlpm.ROWNUM,11+14*_xlpm.Person+_xlpm.Period,
INDEX('Calc - OTHER PERS'!$K:$K,_xlpm.ROWNUM))</f>
        <v>0.08</v>
      </c>
      <c r="H240" s="3048" cm="1">
        <f t="array" aca="1" ref="H240" ca="1">_xlfn.LET(_xlpm.Person,INT((ROW()-ROW($A$173))/8),_xlpm.Period,VALUE(RIGHT(H$38,LEN(H$38)-1))-1,_xlpm.ROWNUM,11+14*_xlpm.Person+_xlpm.Period,
INDEX('Calc - OTHER PERS'!$K:$K,_xlpm.ROWNUM))</f>
        <v>0.1</v>
      </c>
      <c r="I240" s="926"/>
    </row>
    <row r="241" spans="1:9" hidden="1" x14ac:dyDescent="0.25">
      <c r="A241" s="3049">
        <f t="shared" ref="A241:A242" si="77">SUM(C241:H241)</f>
        <v>0</v>
      </c>
      <c r="B241" s="847" t="s">
        <v>1053</v>
      </c>
      <c r="C241" s="3050" cm="1">
        <f t="array" ref="C241">_xlfn.LET(_xlpm.Person,INT((ROW()-ROW($A$173))/8),_xlpm.Period,VALUE(RIGHT(C$38,LEN(C$38)-1))-1,_xlpm.ROWNUM,11+14*_xlpm.Person+_xlpm.Period,_xlpm.FTE,6+14*_xlpm.Person,
(INDEX('Calc - OTHER PERS'!$C:$C,_xlpm.ROWNUM) + INDEX('Calc - OTHER PERS'!$N:$N,_xlpm.ROWNUM)) * INDEX('Calc - OTHER PERS'!$K:$K,_xlpm.FTE))</f>
        <v>0</v>
      </c>
      <c r="D241" s="3050" cm="1">
        <f t="array" ref="D241">_xlfn.LET(_xlpm.Person,INT((ROW()-ROW($A$173))/8),_xlpm.Period,VALUE(RIGHT(D$38,LEN(D$38)-1))-1,_xlpm.ROWNUM,11+14*_xlpm.Person+_xlpm.Period,_xlpm.FTE,6+14*_xlpm.Person,
(INDEX('Calc - OTHER PERS'!$C:$C,_xlpm.ROWNUM) + INDEX('Calc - OTHER PERS'!$N:$N,_xlpm.ROWNUM)) * INDEX('Calc - OTHER PERS'!$K:$K,_xlpm.FTE))</f>
        <v>0</v>
      </c>
      <c r="E241" s="3050" cm="1">
        <f t="array" ref="E241">_xlfn.LET(_xlpm.Person,INT((ROW()-ROW($A$173))/8),_xlpm.Period,VALUE(RIGHT(E$38,LEN(E$38)-1))-1,_xlpm.ROWNUM,11+14*_xlpm.Person+_xlpm.Period,_xlpm.FTE,6+14*_xlpm.Person,
(INDEX('Calc - OTHER PERS'!$C:$C,_xlpm.ROWNUM) + INDEX('Calc - OTHER PERS'!$N:$N,_xlpm.ROWNUM)) * INDEX('Calc - OTHER PERS'!$K:$K,_xlpm.FTE))</f>
        <v>0</v>
      </c>
      <c r="F241" s="3050" cm="1">
        <f t="array" ref="F241">_xlfn.LET(_xlpm.Person,INT((ROW()-ROW($A$173))/8),_xlpm.Period,VALUE(RIGHT(F$38,LEN(F$38)-1))-1,_xlpm.ROWNUM,11+14*_xlpm.Person+_xlpm.Period,_xlpm.FTE,6+14*_xlpm.Person,
(INDEX('Calc - OTHER PERS'!$C:$C,_xlpm.ROWNUM) + INDEX('Calc - OTHER PERS'!$N:$N,_xlpm.ROWNUM)) * INDEX('Calc - OTHER PERS'!$K:$K,_xlpm.FTE))</f>
        <v>0</v>
      </c>
      <c r="G241" s="3050" cm="1">
        <f t="array" ref="G241">_xlfn.LET(_xlpm.Person,INT((ROW()-ROW($A$173))/8),_xlpm.Period,VALUE(RIGHT(G$38,LEN(G$38)-1))-1,_xlpm.ROWNUM,11+14*_xlpm.Person+_xlpm.Period,_xlpm.FTE,6+14*_xlpm.Person,
(INDEX('Calc - OTHER PERS'!$C:$C,_xlpm.ROWNUM) + INDEX('Calc - OTHER PERS'!$N:$N,_xlpm.ROWNUM)) * INDEX('Calc - OTHER PERS'!$K:$K,_xlpm.FTE))</f>
        <v>0</v>
      </c>
      <c r="H241" s="3050" cm="1">
        <f t="array" ref="H241">_xlfn.LET(_xlpm.Person,INT((ROW()-ROW($A$173))/8),_xlpm.Period,VALUE(RIGHT(H$38,LEN(H$38)-1))-1,_xlpm.ROWNUM,11+14*_xlpm.Person+_xlpm.Period,_xlpm.FTE,6+14*_xlpm.Person,
(INDEX('Calc - OTHER PERS'!$C:$C,_xlpm.ROWNUM) + INDEX('Calc - OTHER PERS'!$N:$N,_xlpm.ROWNUM)) * INDEX('Calc - OTHER PERS'!$K:$K,_xlpm.FTE))</f>
        <v>0</v>
      </c>
      <c r="I241" s="926"/>
    </row>
    <row r="242" spans="1:9" hidden="1" x14ac:dyDescent="0.25">
      <c r="A242" s="3049">
        <f t="shared" si="77"/>
        <v>0</v>
      </c>
      <c r="B242" s="847" t="s">
        <v>1054</v>
      </c>
      <c r="C242" s="3050" cm="1">
        <f t="array" ref="C242">_xlfn.LET(_xlpm.Person,INT((ROW()-ROW($A$173))/8),_xlpm.Period,VALUE(RIGHT(C$38,LEN(C$38)-1))-1,_xlpm.ROWNUM,11+14*_xlpm.Person+_xlpm.Period,_xlpm.FTE,6+14*_xlpm.Person,
(INDEX('Calc - OTHER PERS'!$C:$C,_xlpm.ROWNUM) * INDEX('Calc - OTHER PERS'!$K:$K,_xlpm.FTE)))</f>
        <v>0</v>
      </c>
      <c r="D242" s="3050" cm="1">
        <f t="array" ref="D242">_xlfn.LET(_xlpm.Person,INT((ROW()-ROW($A$173))/8),_xlpm.Period,VALUE(RIGHT(D$38,LEN(D$38)-1))-1,_xlpm.ROWNUM,11+14*_xlpm.Person+_xlpm.Period,_xlpm.FTE,6+14*_xlpm.Person,
(INDEX('Calc - OTHER PERS'!$C:$C,_xlpm.ROWNUM) * INDEX('Calc - OTHER PERS'!$K:$K,_xlpm.FTE)))</f>
        <v>0</v>
      </c>
      <c r="E242" s="3050" cm="1">
        <f t="array" ref="E242">_xlfn.LET(_xlpm.Person,INT((ROW()-ROW($A$173))/8),_xlpm.Period,VALUE(RIGHT(E$38,LEN(E$38)-1))-1,_xlpm.ROWNUM,11+14*_xlpm.Person+_xlpm.Period,_xlpm.FTE,6+14*_xlpm.Person,
(INDEX('Calc - OTHER PERS'!$C:$C,_xlpm.ROWNUM) * INDEX('Calc - OTHER PERS'!$K:$K,_xlpm.FTE)))</f>
        <v>0</v>
      </c>
      <c r="F242" s="3050" cm="1">
        <f t="array" ref="F242">_xlfn.LET(_xlpm.Person,INT((ROW()-ROW($A$173))/8),_xlpm.Period,VALUE(RIGHT(F$38,LEN(F$38)-1))-1,_xlpm.ROWNUM,11+14*_xlpm.Person+_xlpm.Period,_xlpm.FTE,6+14*_xlpm.Person,
(INDEX('Calc - OTHER PERS'!$C:$C,_xlpm.ROWNUM) * INDEX('Calc - OTHER PERS'!$K:$K,_xlpm.FTE)))</f>
        <v>0</v>
      </c>
      <c r="G242" s="3050" cm="1">
        <f t="array" ref="G242">_xlfn.LET(_xlpm.Person,INT((ROW()-ROW($A$173))/8),_xlpm.Period,VALUE(RIGHT(G$38,LEN(G$38)-1))-1,_xlpm.ROWNUM,11+14*_xlpm.Person+_xlpm.Period,_xlpm.FTE,6+14*_xlpm.Person,
(INDEX('Calc - OTHER PERS'!$C:$C,_xlpm.ROWNUM) * INDEX('Calc - OTHER PERS'!$K:$K,_xlpm.FTE)))</f>
        <v>0</v>
      </c>
      <c r="H242" s="3050" cm="1">
        <f t="array" ref="H242">_xlfn.LET(_xlpm.Person,INT((ROW()-ROW($A$173))/8),_xlpm.Period,VALUE(RIGHT(H$38,LEN(H$38)-1))-1,_xlpm.ROWNUM,11+14*_xlpm.Person+_xlpm.Period,_xlpm.FTE,6+14*_xlpm.Person,
(INDEX('Calc - OTHER PERS'!$C:$C,_xlpm.ROWNUM) * INDEX('Calc - OTHER PERS'!$K:$K,_xlpm.FTE)))</f>
        <v>0</v>
      </c>
      <c r="I242" s="926"/>
    </row>
    <row r="243" spans="1:9" hidden="1" x14ac:dyDescent="0.25">
      <c r="I243" s="926"/>
    </row>
    <row r="244" spans="1:9" hidden="1" x14ac:dyDescent="0.25">
      <c r="I244" s="926"/>
    </row>
    <row r="245" spans="1:9" hidden="1" x14ac:dyDescent="0.25">
      <c r="A245" s="847" cm="1">
        <f t="array" ref="A245">INDEX('DATA INPUT'!B:B,51+INT((ROW()-ROW($A$173))/8))</f>
        <v>0</v>
      </c>
      <c r="B245" s="847"/>
      <c r="C245" s="3042" t="s">
        <v>1041</v>
      </c>
      <c r="D245" s="3042" t="s">
        <v>1042</v>
      </c>
      <c r="E245" s="3042" t="s">
        <v>1043</v>
      </c>
      <c r="F245" s="3042" t="s">
        <v>1044</v>
      </c>
      <c r="G245" s="3042" t="s">
        <v>1045</v>
      </c>
      <c r="H245" s="3042" t="s">
        <v>1046</v>
      </c>
      <c r="I245" s="926"/>
    </row>
    <row r="246" spans="1:9" ht="17.25" hidden="1" x14ac:dyDescent="0.3">
      <c r="A246" s="3043">
        <f t="shared" ref="A246" ca="1" si="78">SUM(C246:H246)</f>
        <v>0</v>
      </c>
      <c r="B246" s="3044" t="s">
        <v>3</v>
      </c>
      <c r="C246" s="3045">
        <f t="shared" ref="C246:H246" ca="1" si="79">ROUND(C247*C250*(1+C248), 2)</f>
        <v>0</v>
      </c>
      <c r="D246" s="3045">
        <f t="shared" ca="1" si="79"/>
        <v>0</v>
      </c>
      <c r="E246" s="3045">
        <f t="shared" ca="1" si="79"/>
        <v>0</v>
      </c>
      <c r="F246" s="3045">
        <f t="shared" ca="1" si="79"/>
        <v>0</v>
      </c>
      <c r="G246" s="3045">
        <f t="shared" ca="1" si="79"/>
        <v>0</v>
      </c>
      <c r="H246" s="3045">
        <f t="shared" ca="1" si="79"/>
        <v>0</v>
      </c>
      <c r="I246" s="926"/>
    </row>
    <row r="247" spans="1:9" hidden="1" x14ac:dyDescent="0.25">
      <c r="A247" s="503" t="s">
        <v>133</v>
      </c>
      <c r="B247" s="847" t="s">
        <v>1050</v>
      </c>
      <c r="C247" s="3058" cm="1">
        <f t="array" aca="1" ref="C247" ca="1">_xlfn.LET(_xlpm.Person,INT((ROW()-ROW($A$173))/8),_xlpm.Period,VALUE(RIGHT(C$38,LEN(C$38)-1))-1,_xlpm.ROWNUM,11+14*_xlpm.Person+_xlpm.Period,
ROUND(INDEX('Calc - OTHER PERS'!$G:$G,_xlpm.ROWNUM),2))</f>
        <v>0</v>
      </c>
      <c r="D247" s="3058" cm="1">
        <f t="array" aca="1" ref="D247" ca="1">_xlfn.LET(_xlpm.Person,INT((ROW()-ROW($A$173))/8),_xlpm.Period,VALUE(RIGHT(D$38,LEN(D$38)-1))-1,_xlpm.ROWNUM,11+14*_xlpm.Person+_xlpm.Period,
ROUND(INDEX('Calc - OTHER PERS'!$G:$G,_xlpm.ROWNUM),2))</f>
        <v>0</v>
      </c>
      <c r="E247" s="3058" cm="1">
        <f t="array" aca="1" ref="E247" ca="1">_xlfn.LET(_xlpm.Person,INT((ROW()-ROW($A$173))/8),_xlpm.Period,VALUE(RIGHT(E$38,LEN(E$38)-1))-1,_xlpm.ROWNUM,11+14*_xlpm.Person+_xlpm.Period,
ROUND(INDEX('Calc - OTHER PERS'!$G:$G,_xlpm.ROWNUM),2))</f>
        <v>0</v>
      </c>
      <c r="F247" s="3058" cm="1">
        <f t="array" aca="1" ref="F247" ca="1">_xlfn.LET(_xlpm.Person,INT((ROW()-ROW($A$173))/8),_xlpm.Period,VALUE(RIGHT(F$38,LEN(F$38)-1))-1,_xlpm.ROWNUM,11+14*_xlpm.Person+_xlpm.Period,
ROUND(INDEX('Calc - OTHER PERS'!$G:$G,_xlpm.ROWNUM),2))</f>
        <v>0</v>
      </c>
      <c r="G247" s="3058" cm="1">
        <f t="array" aca="1" ref="G247" ca="1">_xlfn.LET(_xlpm.Person,INT((ROW()-ROW($A$173))/8),_xlpm.Period,VALUE(RIGHT(G$38,LEN(G$38)-1))-1,_xlpm.ROWNUM,11+14*_xlpm.Person+_xlpm.Period,
ROUND(INDEX('Calc - OTHER PERS'!$G:$G,_xlpm.ROWNUM),2))</f>
        <v>0</v>
      </c>
      <c r="H247" s="3058" cm="1">
        <f t="array" aca="1" ref="H247" ca="1">_xlfn.LET(_xlpm.Person,INT((ROW()-ROW($A$173))/8),_xlpm.Period,VALUE(RIGHT(H$38,LEN(H$38)-1))-1,_xlpm.ROWNUM,11+14*_xlpm.Person+_xlpm.Period,
ROUND(INDEX('Calc - OTHER PERS'!$G:$G,_xlpm.ROWNUM),2))</f>
        <v>0</v>
      </c>
      <c r="I247" s="926"/>
    </row>
    <row r="248" spans="1:9" hidden="1" x14ac:dyDescent="0.25">
      <c r="A248" s="3047" t="s">
        <v>1051</v>
      </c>
      <c r="B248" s="847" t="s">
        <v>1052</v>
      </c>
      <c r="C248" s="3048" cm="1">
        <f t="array" aca="1" ref="C248" ca="1">_xlfn.LET(_xlpm.Person,INT((ROW()-ROW($A$173))/8),_xlpm.Period,VALUE(RIGHT(C$38,LEN(C$38)-1))-1,_xlpm.ROWNUM,11+14*_xlpm.Person+_xlpm.Period,
INDEX('Calc - OTHER PERS'!$K:$K,_xlpm.ROWNUM))</f>
        <v>0</v>
      </c>
      <c r="D248" s="3048" cm="1">
        <f t="array" aca="1" ref="D248" ca="1">_xlfn.LET(_xlpm.Person,INT((ROW()-ROW($A$173))/8),_xlpm.Period,VALUE(RIGHT(D$38,LEN(D$38)-1))-1,_xlpm.ROWNUM,11+14*_xlpm.Person+_xlpm.Period,
INDEX('Calc - OTHER PERS'!$K:$K,_xlpm.ROWNUM))</f>
        <v>0.02</v>
      </c>
      <c r="E248" s="3048" cm="1">
        <f t="array" aca="1" ref="E248" ca="1">_xlfn.LET(_xlpm.Person,INT((ROW()-ROW($A$173))/8),_xlpm.Period,VALUE(RIGHT(E$38,LEN(E$38)-1))-1,_xlpm.ROWNUM,11+14*_xlpm.Person+_xlpm.Period,
INDEX('Calc - OTHER PERS'!$K:$K,_xlpm.ROWNUM))</f>
        <v>0.04</v>
      </c>
      <c r="F248" s="3048" cm="1">
        <f t="array" aca="1" ref="F248" ca="1">_xlfn.LET(_xlpm.Person,INT((ROW()-ROW($A$173))/8),_xlpm.Period,VALUE(RIGHT(F$38,LEN(F$38)-1))-1,_xlpm.ROWNUM,11+14*_xlpm.Person+_xlpm.Period,
INDEX('Calc - OTHER PERS'!$K:$K,_xlpm.ROWNUM))</f>
        <v>0.06</v>
      </c>
      <c r="G248" s="3048" cm="1">
        <f t="array" aca="1" ref="G248" ca="1">_xlfn.LET(_xlpm.Person,INT((ROW()-ROW($A$173))/8),_xlpm.Period,VALUE(RIGHT(G$38,LEN(G$38)-1))-1,_xlpm.ROWNUM,11+14*_xlpm.Person+_xlpm.Period,
INDEX('Calc - OTHER PERS'!$K:$K,_xlpm.ROWNUM))</f>
        <v>0.08</v>
      </c>
      <c r="H248" s="3048" cm="1">
        <f t="array" aca="1" ref="H248" ca="1">_xlfn.LET(_xlpm.Person,INT((ROW()-ROW($A$173))/8),_xlpm.Period,VALUE(RIGHT(H$38,LEN(H$38)-1))-1,_xlpm.ROWNUM,11+14*_xlpm.Person+_xlpm.Period,
INDEX('Calc - OTHER PERS'!$K:$K,_xlpm.ROWNUM))</f>
        <v>0.1</v>
      </c>
      <c r="I248" s="926"/>
    </row>
    <row r="249" spans="1:9" hidden="1" x14ac:dyDescent="0.25">
      <c r="A249" s="3049">
        <f t="shared" ref="A249:A250" si="80">SUM(C249:H249)</f>
        <v>0</v>
      </c>
      <c r="B249" s="847" t="s">
        <v>1053</v>
      </c>
      <c r="C249" s="3050" cm="1">
        <f t="array" ref="C249">_xlfn.LET(_xlpm.Person,INT((ROW()-ROW($A$173))/8),_xlpm.Period,VALUE(RIGHT(C$38,LEN(C$38)-1))-1,_xlpm.ROWNUM,11+14*_xlpm.Person+_xlpm.Period,_xlpm.FTE,6+14*_xlpm.Person,
(INDEX('Calc - OTHER PERS'!$C:$C,_xlpm.ROWNUM) + INDEX('Calc - OTHER PERS'!$N:$N,_xlpm.ROWNUM)) * INDEX('Calc - OTHER PERS'!$K:$K,_xlpm.FTE))</f>
        <v>0</v>
      </c>
      <c r="D249" s="3050" cm="1">
        <f t="array" ref="D249">_xlfn.LET(_xlpm.Person,INT((ROW()-ROW($A$173))/8),_xlpm.Period,VALUE(RIGHT(D$38,LEN(D$38)-1))-1,_xlpm.ROWNUM,11+14*_xlpm.Person+_xlpm.Period,_xlpm.FTE,6+14*_xlpm.Person,
(INDEX('Calc - OTHER PERS'!$C:$C,_xlpm.ROWNUM) + INDEX('Calc - OTHER PERS'!$N:$N,_xlpm.ROWNUM)) * INDEX('Calc - OTHER PERS'!$K:$K,_xlpm.FTE))</f>
        <v>0</v>
      </c>
      <c r="E249" s="3050" cm="1">
        <f t="array" ref="E249">_xlfn.LET(_xlpm.Person,INT((ROW()-ROW($A$173))/8),_xlpm.Period,VALUE(RIGHT(E$38,LEN(E$38)-1))-1,_xlpm.ROWNUM,11+14*_xlpm.Person+_xlpm.Period,_xlpm.FTE,6+14*_xlpm.Person,
(INDEX('Calc - OTHER PERS'!$C:$C,_xlpm.ROWNUM) + INDEX('Calc - OTHER PERS'!$N:$N,_xlpm.ROWNUM)) * INDEX('Calc - OTHER PERS'!$K:$K,_xlpm.FTE))</f>
        <v>0</v>
      </c>
      <c r="F249" s="3050" cm="1">
        <f t="array" ref="F249">_xlfn.LET(_xlpm.Person,INT((ROW()-ROW($A$173))/8),_xlpm.Period,VALUE(RIGHT(F$38,LEN(F$38)-1))-1,_xlpm.ROWNUM,11+14*_xlpm.Person+_xlpm.Period,_xlpm.FTE,6+14*_xlpm.Person,
(INDEX('Calc - OTHER PERS'!$C:$C,_xlpm.ROWNUM) + INDEX('Calc - OTHER PERS'!$N:$N,_xlpm.ROWNUM)) * INDEX('Calc - OTHER PERS'!$K:$K,_xlpm.FTE))</f>
        <v>0</v>
      </c>
      <c r="G249" s="3050" cm="1">
        <f t="array" ref="G249">_xlfn.LET(_xlpm.Person,INT((ROW()-ROW($A$173))/8),_xlpm.Period,VALUE(RIGHT(G$38,LEN(G$38)-1))-1,_xlpm.ROWNUM,11+14*_xlpm.Person+_xlpm.Period,_xlpm.FTE,6+14*_xlpm.Person,
(INDEX('Calc - OTHER PERS'!$C:$C,_xlpm.ROWNUM) + INDEX('Calc - OTHER PERS'!$N:$N,_xlpm.ROWNUM)) * INDEX('Calc - OTHER PERS'!$K:$K,_xlpm.FTE))</f>
        <v>0</v>
      </c>
      <c r="H249" s="3050" cm="1">
        <f t="array" ref="H249">_xlfn.LET(_xlpm.Person,INT((ROW()-ROW($A$173))/8),_xlpm.Period,VALUE(RIGHT(H$38,LEN(H$38)-1))-1,_xlpm.ROWNUM,11+14*_xlpm.Person+_xlpm.Period,_xlpm.FTE,6+14*_xlpm.Person,
(INDEX('Calc - OTHER PERS'!$C:$C,_xlpm.ROWNUM) + INDEX('Calc - OTHER PERS'!$N:$N,_xlpm.ROWNUM)) * INDEX('Calc - OTHER PERS'!$K:$K,_xlpm.FTE))</f>
        <v>0</v>
      </c>
      <c r="I249" s="926"/>
    </row>
    <row r="250" spans="1:9" hidden="1" x14ac:dyDescent="0.25">
      <c r="A250" s="3049">
        <f t="shared" si="80"/>
        <v>0</v>
      </c>
      <c r="B250" s="847" t="s">
        <v>1054</v>
      </c>
      <c r="C250" s="3050" cm="1">
        <f t="array" ref="C250">_xlfn.LET(_xlpm.Person,INT((ROW()-ROW($A$173))/8),_xlpm.Period,VALUE(RIGHT(C$38,LEN(C$38)-1))-1,_xlpm.ROWNUM,11+14*_xlpm.Person+_xlpm.Period,_xlpm.FTE,6+14*_xlpm.Person,
(INDEX('Calc - OTHER PERS'!$C:$C,_xlpm.ROWNUM) * INDEX('Calc - OTHER PERS'!$K:$K,_xlpm.FTE)))</f>
        <v>0</v>
      </c>
      <c r="D250" s="3050" cm="1">
        <f t="array" ref="D250">_xlfn.LET(_xlpm.Person,INT((ROW()-ROW($A$173))/8),_xlpm.Period,VALUE(RIGHT(D$38,LEN(D$38)-1))-1,_xlpm.ROWNUM,11+14*_xlpm.Person+_xlpm.Period,_xlpm.FTE,6+14*_xlpm.Person,
(INDEX('Calc - OTHER PERS'!$C:$C,_xlpm.ROWNUM) * INDEX('Calc - OTHER PERS'!$K:$K,_xlpm.FTE)))</f>
        <v>0</v>
      </c>
      <c r="E250" s="3050" cm="1">
        <f t="array" ref="E250">_xlfn.LET(_xlpm.Person,INT((ROW()-ROW($A$173))/8),_xlpm.Period,VALUE(RIGHT(E$38,LEN(E$38)-1))-1,_xlpm.ROWNUM,11+14*_xlpm.Person+_xlpm.Period,_xlpm.FTE,6+14*_xlpm.Person,
(INDEX('Calc - OTHER PERS'!$C:$C,_xlpm.ROWNUM) * INDEX('Calc - OTHER PERS'!$K:$K,_xlpm.FTE)))</f>
        <v>0</v>
      </c>
      <c r="F250" s="3050" cm="1">
        <f t="array" ref="F250">_xlfn.LET(_xlpm.Person,INT((ROW()-ROW($A$173))/8),_xlpm.Period,VALUE(RIGHT(F$38,LEN(F$38)-1))-1,_xlpm.ROWNUM,11+14*_xlpm.Person+_xlpm.Period,_xlpm.FTE,6+14*_xlpm.Person,
(INDEX('Calc - OTHER PERS'!$C:$C,_xlpm.ROWNUM) * INDEX('Calc - OTHER PERS'!$K:$K,_xlpm.FTE)))</f>
        <v>0</v>
      </c>
      <c r="G250" s="3050" cm="1">
        <f t="array" ref="G250">_xlfn.LET(_xlpm.Person,INT((ROW()-ROW($A$173))/8),_xlpm.Period,VALUE(RIGHT(G$38,LEN(G$38)-1))-1,_xlpm.ROWNUM,11+14*_xlpm.Person+_xlpm.Period,_xlpm.FTE,6+14*_xlpm.Person,
(INDEX('Calc - OTHER PERS'!$C:$C,_xlpm.ROWNUM) * INDEX('Calc - OTHER PERS'!$K:$K,_xlpm.FTE)))</f>
        <v>0</v>
      </c>
      <c r="H250" s="3050" cm="1">
        <f t="array" ref="H250">_xlfn.LET(_xlpm.Person,INT((ROW()-ROW($A$173))/8),_xlpm.Period,VALUE(RIGHT(H$38,LEN(H$38)-1))-1,_xlpm.ROWNUM,11+14*_xlpm.Person+_xlpm.Period,_xlpm.FTE,6+14*_xlpm.Person,
(INDEX('Calc - OTHER PERS'!$C:$C,_xlpm.ROWNUM) * INDEX('Calc - OTHER PERS'!$K:$K,_xlpm.FTE)))</f>
        <v>0</v>
      </c>
      <c r="I250" s="926"/>
    </row>
    <row r="251" spans="1:9" hidden="1" x14ac:dyDescent="0.25">
      <c r="I251" s="926"/>
    </row>
    <row r="252" spans="1:9" hidden="1" x14ac:dyDescent="0.25">
      <c r="I252" s="926"/>
    </row>
    <row r="253" spans="1:9" hidden="1" x14ac:dyDescent="0.25">
      <c r="A253" s="847" cm="1">
        <f t="array" ref="A253">INDEX('DATA INPUT'!B:B,51+INT((ROW()-ROW($A$173))/8))</f>
        <v>0</v>
      </c>
      <c r="B253" s="847"/>
      <c r="C253" s="3042" t="s">
        <v>1041</v>
      </c>
      <c r="D253" s="3042" t="s">
        <v>1042</v>
      </c>
      <c r="E253" s="3042" t="s">
        <v>1043</v>
      </c>
      <c r="F253" s="3042" t="s">
        <v>1044</v>
      </c>
      <c r="G253" s="3042" t="s">
        <v>1045</v>
      </c>
      <c r="H253" s="3042" t="s">
        <v>1046</v>
      </c>
      <c r="I253" s="926"/>
    </row>
    <row r="254" spans="1:9" ht="17.25" hidden="1" x14ac:dyDescent="0.3">
      <c r="A254" s="3043">
        <f t="shared" ref="A254" ca="1" si="81">SUM(C254:H254)</f>
        <v>0</v>
      </c>
      <c r="B254" s="3044" t="s">
        <v>3</v>
      </c>
      <c r="C254" s="3045">
        <f t="shared" ref="C254:H254" ca="1" si="82">ROUND(C255*C258*(1+C256), 2)</f>
        <v>0</v>
      </c>
      <c r="D254" s="3045">
        <f t="shared" ca="1" si="82"/>
        <v>0</v>
      </c>
      <c r="E254" s="3045">
        <f t="shared" ca="1" si="82"/>
        <v>0</v>
      </c>
      <c r="F254" s="3045">
        <f t="shared" ca="1" si="82"/>
        <v>0</v>
      </c>
      <c r="G254" s="3045">
        <f t="shared" ca="1" si="82"/>
        <v>0</v>
      </c>
      <c r="H254" s="3045">
        <f t="shared" ca="1" si="82"/>
        <v>0</v>
      </c>
      <c r="I254" s="926"/>
    </row>
    <row r="255" spans="1:9" hidden="1" x14ac:dyDescent="0.25">
      <c r="A255" s="503" t="s">
        <v>133</v>
      </c>
      <c r="B255" s="847" t="s">
        <v>1050</v>
      </c>
      <c r="C255" s="3058" cm="1">
        <f t="array" aca="1" ref="C255" ca="1">_xlfn.LET(_xlpm.Person,INT((ROW()-ROW($A$173))/8),_xlpm.Period,VALUE(RIGHT(C$38,LEN(C$38)-1))-1,_xlpm.ROWNUM,11+14*_xlpm.Person+_xlpm.Period,
ROUND(INDEX('Calc - OTHER PERS'!$G:$G,_xlpm.ROWNUM),2))</f>
        <v>0</v>
      </c>
      <c r="D255" s="3058" cm="1">
        <f t="array" aca="1" ref="D255" ca="1">_xlfn.LET(_xlpm.Person,INT((ROW()-ROW($A$173))/8),_xlpm.Period,VALUE(RIGHT(D$38,LEN(D$38)-1))-1,_xlpm.ROWNUM,11+14*_xlpm.Person+_xlpm.Period,
ROUND(INDEX('Calc - OTHER PERS'!$G:$G,_xlpm.ROWNUM),2))</f>
        <v>0</v>
      </c>
      <c r="E255" s="3058" cm="1">
        <f t="array" aca="1" ref="E255" ca="1">_xlfn.LET(_xlpm.Person,INT((ROW()-ROW($A$173))/8),_xlpm.Period,VALUE(RIGHT(E$38,LEN(E$38)-1))-1,_xlpm.ROWNUM,11+14*_xlpm.Person+_xlpm.Period,
ROUND(INDEX('Calc - OTHER PERS'!$G:$G,_xlpm.ROWNUM),2))</f>
        <v>0</v>
      </c>
      <c r="F255" s="3058" cm="1">
        <f t="array" aca="1" ref="F255" ca="1">_xlfn.LET(_xlpm.Person,INT((ROW()-ROW($A$173))/8),_xlpm.Period,VALUE(RIGHT(F$38,LEN(F$38)-1))-1,_xlpm.ROWNUM,11+14*_xlpm.Person+_xlpm.Period,
ROUND(INDEX('Calc - OTHER PERS'!$G:$G,_xlpm.ROWNUM),2))</f>
        <v>0</v>
      </c>
      <c r="G255" s="3058" cm="1">
        <f t="array" aca="1" ref="G255" ca="1">_xlfn.LET(_xlpm.Person,INT((ROW()-ROW($A$173))/8),_xlpm.Period,VALUE(RIGHT(G$38,LEN(G$38)-1))-1,_xlpm.ROWNUM,11+14*_xlpm.Person+_xlpm.Period,
ROUND(INDEX('Calc - OTHER PERS'!$G:$G,_xlpm.ROWNUM),2))</f>
        <v>0</v>
      </c>
      <c r="H255" s="3058" cm="1">
        <f t="array" aca="1" ref="H255" ca="1">_xlfn.LET(_xlpm.Person,INT((ROW()-ROW($A$173))/8),_xlpm.Period,VALUE(RIGHT(H$38,LEN(H$38)-1))-1,_xlpm.ROWNUM,11+14*_xlpm.Person+_xlpm.Period,
ROUND(INDEX('Calc - OTHER PERS'!$G:$G,_xlpm.ROWNUM),2))</f>
        <v>0</v>
      </c>
      <c r="I255" s="926"/>
    </row>
    <row r="256" spans="1:9" hidden="1" x14ac:dyDescent="0.25">
      <c r="A256" s="3047" t="s">
        <v>1051</v>
      </c>
      <c r="B256" s="847" t="s">
        <v>1052</v>
      </c>
      <c r="C256" s="3048" cm="1">
        <f t="array" aca="1" ref="C256" ca="1">_xlfn.LET(_xlpm.Person,INT((ROW()-ROW($A$173))/8),_xlpm.Period,VALUE(RIGHT(C$38,LEN(C$38)-1))-1,_xlpm.ROWNUM,11+14*_xlpm.Person+_xlpm.Period,
INDEX('Calc - OTHER PERS'!$K:$K,_xlpm.ROWNUM))</f>
        <v>0</v>
      </c>
      <c r="D256" s="3048" cm="1">
        <f t="array" aca="1" ref="D256" ca="1">_xlfn.LET(_xlpm.Person,INT((ROW()-ROW($A$173))/8),_xlpm.Period,VALUE(RIGHT(D$38,LEN(D$38)-1))-1,_xlpm.ROWNUM,11+14*_xlpm.Person+_xlpm.Period,
INDEX('Calc - OTHER PERS'!$K:$K,_xlpm.ROWNUM))</f>
        <v>0.02</v>
      </c>
      <c r="E256" s="3048" cm="1">
        <f t="array" aca="1" ref="E256" ca="1">_xlfn.LET(_xlpm.Person,INT((ROW()-ROW($A$173))/8),_xlpm.Period,VALUE(RIGHT(E$38,LEN(E$38)-1))-1,_xlpm.ROWNUM,11+14*_xlpm.Person+_xlpm.Period,
INDEX('Calc - OTHER PERS'!$K:$K,_xlpm.ROWNUM))</f>
        <v>0.04</v>
      </c>
      <c r="F256" s="3048" cm="1">
        <f t="array" aca="1" ref="F256" ca="1">_xlfn.LET(_xlpm.Person,INT((ROW()-ROW($A$173))/8),_xlpm.Period,VALUE(RIGHT(F$38,LEN(F$38)-1))-1,_xlpm.ROWNUM,11+14*_xlpm.Person+_xlpm.Period,
INDEX('Calc - OTHER PERS'!$K:$K,_xlpm.ROWNUM))</f>
        <v>0.06</v>
      </c>
      <c r="G256" s="3048" cm="1">
        <f t="array" aca="1" ref="G256" ca="1">_xlfn.LET(_xlpm.Person,INT((ROW()-ROW($A$173))/8),_xlpm.Period,VALUE(RIGHT(G$38,LEN(G$38)-1))-1,_xlpm.ROWNUM,11+14*_xlpm.Person+_xlpm.Period,
INDEX('Calc - OTHER PERS'!$K:$K,_xlpm.ROWNUM))</f>
        <v>0.08</v>
      </c>
      <c r="H256" s="3048" cm="1">
        <f t="array" aca="1" ref="H256" ca="1">_xlfn.LET(_xlpm.Person,INT((ROW()-ROW($A$173))/8),_xlpm.Period,VALUE(RIGHT(H$38,LEN(H$38)-1))-1,_xlpm.ROWNUM,11+14*_xlpm.Person+_xlpm.Period,
INDEX('Calc - OTHER PERS'!$K:$K,_xlpm.ROWNUM))</f>
        <v>0.1</v>
      </c>
      <c r="I256" s="926"/>
    </row>
    <row r="257" spans="1:9" hidden="1" x14ac:dyDescent="0.25">
      <c r="A257" s="3049">
        <f t="shared" ref="A257:A258" si="83">SUM(C257:H257)</f>
        <v>0</v>
      </c>
      <c r="B257" s="847" t="s">
        <v>1053</v>
      </c>
      <c r="C257" s="3050" cm="1">
        <f t="array" ref="C257">_xlfn.LET(_xlpm.Person,INT((ROW()-ROW($A$173))/8),_xlpm.Period,VALUE(RIGHT(C$38,LEN(C$38)-1))-1,_xlpm.ROWNUM,11+14*_xlpm.Person+_xlpm.Period,_xlpm.FTE,6+14*_xlpm.Person,
(INDEX('Calc - OTHER PERS'!$C:$C,_xlpm.ROWNUM) + INDEX('Calc - OTHER PERS'!$N:$N,_xlpm.ROWNUM)) * INDEX('Calc - OTHER PERS'!$K:$K,_xlpm.FTE))</f>
        <v>0</v>
      </c>
      <c r="D257" s="3050" cm="1">
        <f t="array" ref="D257">_xlfn.LET(_xlpm.Person,INT((ROW()-ROW($A$173))/8),_xlpm.Period,VALUE(RIGHT(D$38,LEN(D$38)-1))-1,_xlpm.ROWNUM,11+14*_xlpm.Person+_xlpm.Period,_xlpm.FTE,6+14*_xlpm.Person,
(INDEX('Calc - OTHER PERS'!$C:$C,_xlpm.ROWNUM) + INDEX('Calc - OTHER PERS'!$N:$N,_xlpm.ROWNUM)) * INDEX('Calc - OTHER PERS'!$K:$K,_xlpm.FTE))</f>
        <v>0</v>
      </c>
      <c r="E257" s="3050" cm="1">
        <f t="array" ref="E257">_xlfn.LET(_xlpm.Person,INT((ROW()-ROW($A$173))/8),_xlpm.Period,VALUE(RIGHT(E$38,LEN(E$38)-1))-1,_xlpm.ROWNUM,11+14*_xlpm.Person+_xlpm.Period,_xlpm.FTE,6+14*_xlpm.Person,
(INDEX('Calc - OTHER PERS'!$C:$C,_xlpm.ROWNUM) + INDEX('Calc - OTHER PERS'!$N:$N,_xlpm.ROWNUM)) * INDEX('Calc - OTHER PERS'!$K:$K,_xlpm.FTE))</f>
        <v>0</v>
      </c>
      <c r="F257" s="3050" cm="1">
        <f t="array" ref="F257">_xlfn.LET(_xlpm.Person,INT((ROW()-ROW($A$173))/8),_xlpm.Period,VALUE(RIGHT(F$38,LEN(F$38)-1))-1,_xlpm.ROWNUM,11+14*_xlpm.Person+_xlpm.Period,_xlpm.FTE,6+14*_xlpm.Person,
(INDEX('Calc - OTHER PERS'!$C:$C,_xlpm.ROWNUM) + INDEX('Calc - OTHER PERS'!$N:$N,_xlpm.ROWNUM)) * INDEX('Calc - OTHER PERS'!$K:$K,_xlpm.FTE))</f>
        <v>0</v>
      </c>
      <c r="G257" s="3050" cm="1">
        <f t="array" ref="G257">_xlfn.LET(_xlpm.Person,INT((ROW()-ROW($A$173))/8),_xlpm.Period,VALUE(RIGHT(G$38,LEN(G$38)-1))-1,_xlpm.ROWNUM,11+14*_xlpm.Person+_xlpm.Period,_xlpm.FTE,6+14*_xlpm.Person,
(INDEX('Calc - OTHER PERS'!$C:$C,_xlpm.ROWNUM) + INDEX('Calc - OTHER PERS'!$N:$N,_xlpm.ROWNUM)) * INDEX('Calc - OTHER PERS'!$K:$K,_xlpm.FTE))</f>
        <v>0</v>
      </c>
      <c r="H257" s="3050" cm="1">
        <f t="array" ref="H257">_xlfn.LET(_xlpm.Person,INT((ROW()-ROW($A$173))/8),_xlpm.Period,VALUE(RIGHT(H$38,LEN(H$38)-1))-1,_xlpm.ROWNUM,11+14*_xlpm.Person+_xlpm.Period,_xlpm.FTE,6+14*_xlpm.Person,
(INDEX('Calc - OTHER PERS'!$C:$C,_xlpm.ROWNUM) + INDEX('Calc - OTHER PERS'!$N:$N,_xlpm.ROWNUM)) * INDEX('Calc - OTHER PERS'!$K:$K,_xlpm.FTE))</f>
        <v>0</v>
      </c>
      <c r="I257" s="926"/>
    </row>
    <row r="258" spans="1:9" hidden="1" x14ac:dyDescent="0.25">
      <c r="A258" s="3049">
        <f t="shared" si="83"/>
        <v>0</v>
      </c>
      <c r="B258" s="847" t="s">
        <v>1054</v>
      </c>
      <c r="C258" s="3050" cm="1">
        <f t="array" ref="C258">_xlfn.LET(_xlpm.Person,INT((ROW()-ROW($A$173))/8),_xlpm.Period,VALUE(RIGHT(C$38,LEN(C$38)-1))-1,_xlpm.ROWNUM,11+14*_xlpm.Person+_xlpm.Period,_xlpm.FTE,6+14*_xlpm.Person,
(INDEX('Calc - OTHER PERS'!$C:$C,_xlpm.ROWNUM) * INDEX('Calc - OTHER PERS'!$K:$K,_xlpm.FTE)))</f>
        <v>0</v>
      </c>
      <c r="D258" s="3050" cm="1">
        <f t="array" ref="D258">_xlfn.LET(_xlpm.Person,INT((ROW()-ROW($A$173))/8),_xlpm.Period,VALUE(RIGHT(D$38,LEN(D$38)-1))-1,_xlpm.ROWNUM,11+14*_xlpm.Person+_xlpm.Period,_xlpm.FTE,6+14*_xlpm.Person,
(INDEX('Calc - OTHER PERS'!$C:$C,_xlpm.ROWNUM) * INDEX('Calc - OTHER PERS'!$K:$K,_xlpm.FTE)))</f>
        <v>0</v>
      </c>
      <c r="E258" s="3050" cm="1">
        <f t="array" ref="E258">_xlfn.LET(_xlpm.Person,INT((ROW()-ROW($A$173))/8),_xlpm.Period,VALUE(RIGHT(E$38,LEN(E$38)-1))-1,_xlpm.ROWNUM,11+14*_xlpm.Person+_xlpm.Period,_xlpm.FTE,6+14*_xlpm.Person,
(INDEX('Calc - OTHER PERS'!$C:$C,_xlpm.ROWNUM) * INDEX('Calc - OTHER PERS'!$K:$K,_xlpm.FTE)))</f>
        <v>0</v>
      </c>
      <c r="F258" s="3050" cm="1">
        <f t="array" ref="F258">_xlfn.LET(_xlpm.Person,INT((ROW()-ROW($A$173))/8),_xlpm.Period,VALUE(RIGHT(F$38,LEN(F$38)-1))-1,_xlpm.ROWNUM,11+14*_xlpm.Person+_xlpm.Period,_xlpm.FTE,6+14*_xlpm.Person,
(INDEX('Calc - OTHER PERS'!$C:$C,_xlpm.ROWNUM) * INDEX('Calc - OTHER PERS'!$K:$K,_xlpm.FTE)))</f>
        <v>0</v>
      </c>
      <c r="G258" s="3050" cm="1">
        <f t="array" ref="G258">_xlfn.LET(_xlpm.Person,INT((ROW()-ROW($A$173))/8),_xlpm.Period,VALUE(RIGHT(G$38,LEN(G$38)-1))-1,_xlpm.ROWNUM,11+14*_xlpm.Person+_xlpm.Period,_xlpm.FTE,6+14*_xlpm.Person,
(INDEX('Calc - OTHER PERS'!$C:$C,_xlpm.ROWNUM) * INDEX('Calc - OTHER PERS'!$K:$K,_xlpm.FTE)))</f>
        <v>0</v>
      </c>
      <c r="H258" s="3050" cm="1">
        <f t="array" ref="H258">_xlfn.LET(_xlpm.Person,INT((ROW()-ROW($A$173))/8),_xlpm.Period,VALUE(RIGHT(H$38,LEN(H$38)-1))-1,_xlpm.ROWNUM,11+14*_xlpm.Person+_xlpm.Period,_xlpm.FTE,6+14*_xlpm.Person,
(INDEX('Calc - OTHER PERS'!$C:$C,_xlpm.ROWNUM) * INDEX('Calc - OTHER PERS'!$K:$K,_xlpm.FTE)))</f>
        <v>0</v>
      </c>
      <c r="I258" s="926"/>
    </row>
    <row r="259" spans="1:9" hidden="1" x14ac:dyDescent="0.25">
      <c r="I259" s="926"/>
    </row>
    <row r="260" spans="1:9" hidden="1" x14ac:dyDescent="0.25">
      <c r="I260" s="926"/>
    </row>
    <row r="261" spans="1:9" hidden="1" x14ac:dyDescent="0.25">
      <c r="A261" s="847" cm="1">
        <f t="array" ref="A261">INDEX('DATA INPUT'!B:B,51+INT((ROW()-ROW($A$173))/8))</f>
        <v>0</v>
      </c>
      <c r="B261" s="847"/>
      <c r="C261" s="3042" t="s">
        <v>1041</v>
      </c>
      <c r="D261" s="3042" t="s">
        <v>1042</v>
      </c>
      <c r="E261" s="3042" t="s">
        <v>1043</v>
      </c>
      <c r="F261" s="3042" t="s">
        <v>1044</v>
      </c>
      <c r="G261" s="3042" t="s">
        <v>1045</v>
      </c>
      <c r="H261" s="3042" t="s">
        <v>1046</v>
      </c>
      <c r="I261" s="926"/>
    </row>
    <row r="262" spans="1:9" ht="17.25" hidden="1" x14ac:dyDescent="0.3">
      <c r="A262" s="3043">
        <f t="shared" ref="A262" ca="1" si="84">SUM(C262:H262)</f>
        <v>0</v>
      </c>
      <c r="B262" s="3044" t="s">
        <v>3</v>
      </c>
      <c r="C262" s="3045">
        <f t="shared" ref="C262:H262" ca="1" si="85">ROUND(C263*C266*(1+C264), 2)</f>
        <v>0</v>
      </c>
      <c r="D262" s="3045">
        <f t="shared" ca="1" si="85"/>
        <v>0</v>
      </c>
      <c r="E262" s="3045">
        <f t="shared" ca="1" si="85"/>
        <v>0</v>
      </c>
      <c r="F262" s="3045">
        <f t="shared" ca="1" si="85"/>
        <v>0</v>
      </c>
      <c r="G262" s="3045">
        <f t="shared" ca="1" si="85"/>
        <v>0</v>
      </c>
      <c r="H262" s="3045">
        <f t="shared" ca="1" si="85"/>
        <v>0</v>
      </c>
      <c r="I262" s="926"/>
    </row>
    <row r="263" spans="1:9" hidden="1" x14ac:dyDescent="0.25">
      <c r="A263" s="503" t="s">
        <v>133</v>
      </c>
      <c r="B263" s="847" t="s">
        <v>1050</v>
      </c>
      <c r="C263" s="3058" cm="1">
        <f t="array" aca="1" ref="C263" ca="1">_xlfn.LET(_xlpm.Person,INT((ROW()-ROW($A$173))/8),_xlpm.Period,VALUE(RIGHT(C$38,LEN(C$38)-1))-1,_xlpm.ROWNUM,11+14*_xlpm.Person+_xlpm.Period,
ROUND(INDEX('Calc - OTHER PERS'!$G:$G,_xlpm.ROWNUM),2))</f>
        <v>0</v>
      </c>
      <c r="D263" s="3058" cm="1">
        <f t="array" aca="1" ref="D263" ca="1">_xlfn.LET(_xlpm.Person,INT((ROW()-ROW($A$173))/8),_xlpm.Period,VALUE(RIGHT(D$38,LEN(D$38)-1))-1,_xlpm.ROWNUM,11+14*_xlpm.Person+_xlpm.Period,
ROUND(INDEX('Calc - OTHER PERS'!$G:$G,_xlpm.ROWNUM),2))</f>
        <v>0</v>
      </c>
      <c r="E263" s="3058" cm="1">
        <f t="array" aca="1" ref="E263" ca="1">_xlfn.LET(_xlpm.Person,INT((ROW()-ROW($A$173))/8),_xlpm.Period,VALUE(RIGHT(E$38,LEN(E$38)-1))-1,_xlpm.ROWNUM,11+14*_xlpm.Person+_xlpm.Period,
ROUND(INDEX('Calc - OTHER PERS'!$G:$G,_xlpm.ROWNUM),2))</f>
        <v>0</v>
      </c>
      <c r="F263" s="3058" cm="1">
        <f t="array" aca="1" ref="F263" ca="1">_xlfn.LET(_xlpm.Person,INT((ROW()-ROW($A$173))/8),_xlpm.Period,VALUE(RIGHT(F$38,LEN(F$38)-1))-1,_xlpm.ROWNUM,11+14*_xlpm.Person+_xlpm.Period,
ROUND(INDEX('Calc - OTHER PERS'!$G:$G,_xlpm.ROWNUM),2))</f>
        <v>0</v>
      </c>
      <c r="G263" s="3058" cm="1">
        <f t="array" aca="1" ref="G263" ca="1">_xlfn.LET(_xlpm.Person,INT((ROW()-ROW($A$173))/8),_xlpm.Period,VALUE(RIGHT(G$38,LEN(G$38)-1))-1,_xlpm.ROWNUM,11+14*_xlpm.Person+_xlpm.Period,
ROUND(INDEX('Calc - OTHER PERS'!$G:$G,_xlpm.ROWNUM),2))</f>
        <v>0</v>
      </c>
      <c r="H263" s="3058" cm="1">
        <f t="array" aca="1" ref="H263" ca="1">_xlfn.LET(_xlpm.Person,INT((ROW()-ROW($A$173))/8),_xlpm.Period,VALUE(RIGHT(H$38,LEN(H$38)-1))-1,_xlpm.ROWNUM,11+14*_xlpm.Person+_xlpm.Period,
ROUND(INDEX('Calc - OTHER PERS'!$G:$G,_xlpm.ROWNUM),2))</f>
        <v>0</v>
      </c>
      <c r="I263" s="926"/>
    </row>
    <row r="264" spans="1:9" hidden="1" x14ac:dyDescent="0.25">
      <c r="A264" s="3047" t="s">
        <v>1051</v>
      </c>
      <c r="B264" s="847" t="s">
        <v>1052</v>
      </c>
      <c r="C264" s="3048" cm="1">
        <f t="array" aca="1" ref="C264" ca="1">_xlfn.LET(_xlpm.Person,INT((ROW()-ROW($A$173))/8),_xlpm.Period,VALUE(RIGHT(C$38,LEN(C$38)-1))-1,_xlpm.ROWNUM,11+14*_xlpm.Person+_xlpm.Period,
INDEX('Calc - OTHER PERS'!$K:$K,_xlpm.ROWNUM))</f>
        <v>0</v>
      </c>
      <c r="D264" s="3048" cm="1">
        <f t="array" aca="1" ref="D264" ca="1">_xlfn.LET(_xlpm.Person,INT((ROW()-ROW($A$173))/8),_xlpm.Period,VALUE(RIGHT(D$38,LEN(D$38)-1))-1,_xlpm.ROWNUM,11+14*_xlpm.Person+_xlpm.Period,
INDEX('Calc - OTHER PERS'!$K:$K,_xlpm.ROWNUM))</f>
        <v>0.02</v>
      </c>
      <c r="E264" s="3048" cm="1">
        <f t="array" aca="1" ref="E264" ca="1">_xlfn.LET(_xlpm.Person,INT((ROW()-ROW($A$173))/8),_xlpm.Period,VALUE(RIGHT(E$38,LEN(E$38)-1))-1,_xlpm.ROWNUM,11+14*_xlpm.Person+_xlpm.Period,
INDEX('Calc - OTHER PERS'!$K:$K,_xlpm.ROWNUM))</f>
        <v>0.04</v>
      </c>
      <c r="F264" s="3048" cm="1">
        <f t="array" aca="1" ref="F264" ca="1">_xlfn.LET(_xlpm.Person,INT((ROW()-ROW($A$173))/8),_xlpm.Period,VALUE(RIGHT(F$38,LEN(F$38)-1))-1,_xlpm.ROWNUM,11+14*_xlpm.Person+_xlpm.Period,
INDEX('Calc - OTHER PERS'!$K:$K,_xlpm.ROWNUM))</f>
        <v>0.06</v>
      </c>
      <c r="G264" s="3048" cm="1">
        <f t="array" aca="1" ref="G264" ca="1">_xlfn.LET(_xlpm.Person,INT((ROW()-ROW($A$173))/8),_xlpm.Period,VALUE(RIGHT(G$38,LEN(G$38)-1))-1,_xlpm.ROWNUM,11+14*_xlpm.Person+_xlpm.Period,
INDEX('Calc - OTHER PERS'!$K:$K,_xlpm.ROWNUM))</f>
        <v>0.08</v>
      </c>
      <c r="H264" s="3048" cm="1">
        <f t="array" aca="1" ref="H264" ca="1">_xlfn.LET(_xlpm.Person,INT((ROW()-ROW($A$173))/8),_xlpm.Period,VALUE(RIGHT(H$38,LEN(H$38)-1))-1,_xlpm.ROWNUM,11+14*_xlpm.Person+_xlpm.Period,
INDEX('Calc - OTHER PERS'!$K:$K,_xlpm.ROWNUM))</f>
        <v>0.1</v>
      </c>
      <c r="I264" s="926"/>
    </row>
    <row r="265" spans="1:9" hidden="1" x14ac:dyDescent="0.25">
      <c r="A265" s="3049">
        <f t="shared" ref="A265:A266" si="86">SUM(C265:H265)</f>
        <v>0</v>
      </c>
      <c r="B265" s="847" t="s">
        <v>1053</v>
      </c>
      <c r="C265" s="3050" cm="1">
        <f t="array" ref="C265">_xlfn.LET(_xlpm.Person,INT((ROW()-ROW($A$173))/8),_xlpm.Period,VALUE(RIGHT(C$38,LEN(C$38)-1))-1,_xlpm.ROWNUM,11+14*_xlpm.Person+_xlpm.Period,_xlpm.FTE,6+14*_xlpm.Person,
(INDEX('Calc - OTHER PERS'!$C:$C,_xlpm.ROWNUM) + INDEX('Calc - OTHER PERS'!$N:$N,_xlpm.ROWNUM)) * INDEX('Calc - OTHER PERS'!$K:$K,_xlpm.FTE))</f>
        <v>0</v>
      </c>
      <c r="D265" s="3050" cm="1">
        <f t="array" ref="D265">_xlfn.LET(_xlpm.Person,INT((ROW()-ROW($A$173))/8),_xlpm.Period,VALUE(RIGHT(D$38,LEN(D$38)-1))-1,_xlpm.ROWNUM,11+14*_xlpm.Person+_xlpm.Period,_xlpm.FTE,6+14*_xlpm.Person,
(INDEX('Calc - OTHER PERS'!$C:$C,_xlpm.ROWNUM) + INDEX('Calc - OTHER PERS'!$N:$N,_xlpm.ROWNUM)) * INDEX('Calc - OTHER PERS'!$K:$K,_xlpm.FTE))</f>
        <v>0</v>
      </c>
      <c r="E265" s="3050" cm="1">
        <f t="array" ref="E265">_xlfn.LET(_xlpm.Person,INT((ROW()-ROW($A$173))/8),_xlpm.Period,VALUE(RIGHT(E$38,LEN(E$38)-1))-1,_xlpm.ROWNUM,11+14*_xlpm.Person+_xlpm.Period,_xlpm.FTE,6+14*_xlpm.Person,
(INDEX('Calc - OTHER PERS'!$C:$C,_xlpm.ROWNUM) + INDEX('Calc - OTHER PERS'!$N:$N,_xlpm.ROWNUM)) * INDEX('Calc - OTHER PERS'!$K:$K,_xlpm.FTE))</f>
        <v>0</v>
      </c>
      <c r="F265" s="3050" cm="1">
        <f t="array" ref="F265">_xlfn.LET(_xlpm.Person,INT((ROW()-ROW($A$173))/8),_xlpm.Period,VALUE(RIGHT(F$38,LEN(F$38)-1))-1,_xlpm.ROWNUM,11+14*_xlpm.Person+_xlpm.Period,_xlpm.FTE,6+14*_xlpm.Person,
(INDEX('Calc - OTHER PERS'!$C:$C,_xlpm.ROWNUM) + INDEX('Calc - OTHER PERS'!$N:$N,_xlpm.ROWNUM)) * INDEX('Calc - OTHER PERS'!$K:$K,_xlpm.FTE))</f>
        <v>0</v>
      </c>
      <c r="G265" s="3050" cm="1">
        <f t="array" ref="G265">_xlfn.LET(_xlpm.Person,INT((ROW()-ROW($A$173))/8),_xlpm.Period,VALUE(RIGHT(G$38,LEN(G$38)-1))-1,_xlpm.ROWNUM,11+14*_xlpm.Person+_xlpm.Period,_xlpm.FTE,6+14*_xlpm.Person,
(INDEX('Calc - OTHER PERS'!$C:$C,_xlpm.ROWNUM) + INDEX('Calc - OTHER PERS'!$N:$N,_xlpm.ROWNUM)) * INDEX('Calc - OTHER PERS'!$K:$K,_xlpm.FTE))</f>
        <v>0</v>
      </c>
      <c r="H265" s="3050" cm="1">
        <f t="array" ref="H265">_xlfn.LET(_xlpm.Person,INT((ROW()-ROW($A$173))/8),_xlpm.Period,VALUE(RIGHT(H$38,LEN(H$38)-1))-1,_xlpm.ROWNUM,11+14*_xlpm.Person+_xlpm.Period,_xlpm.FTE,6+14*_xlpm.Person,
(INDEX('Calc - OTHER PERS'!$C:$C,_xlpm.ROWNUM) + INDEX('Calc - OTHER PERS'!$N:$N,_xlpm.ROWNUM)) * INDEX('Calc - OTHER PERS'!$K:$K,_xlpm.FTE))</f>
        <v>0</v>
      </c>
      <c r="I265" s="926"/>
    </row>
    <row r="266" spans="1:9" hidden="1" x14ac:dyDescent="0.25">
      <c r="A266" s="3049">
        <f t="shared" si="86"/>
        <v>0</v>
      </c>
      <c r="B266" s="847" t="s">
        <v>1054</v>
      </c>
      <c r="C266" s="3050" cm="1">
        <f t="array" ref="C266">_xlfn.LET(_xlpm.Person,INT((ROW()-ROW($A$173))/8),_xlpm.Period,VALUE(RIGHT(C$38,LEN(C$38)-1))-1,_xlpm.ROWNUM,11+14*_xlpm.Person+_xlpm.Period,_xlpm.FTE,6+14*_xlpm.Person,
(INDEX('Calc - OTHER PERS'!$C:$C,_xlpm.ROWNUM) * INDEX('Calc - OTHER PERS'!$K:$K,_xlpm.FTE)))</f>
        <v>0</v>
      </c>
      <c r="D266" s="3050" cm="1">
        <f t="array" ref="D266">_xlfn.LET(_xlpm.Person,INT((ROW()-ROW($A$173))/8),_xlpm.Period,VALUE(RIGHT(D$38,LEN(D$38)-1))-1,_xlpm.ROWNUM,11+14*_xlpm.Person+_xlpm.Period,_xlpm.FTE,6+14*_xlpm.Person,
(INDEX('Calc - OTHER PERS'!$C:$C,_xlpm.ROWNUM) * INDEX('Calc - OTHER PERS'!$K:$K,_xlpm.FTE)))</f>
        <v>0</v>
      </c>
      <c r="E266" s="3050" cm="1">
        <f t="array" ref="E266">_xlfn.LET(_xlpm.Person,INT((ROW()-ROW($A$173))/8),_xlpm.Period,VALUE(RIGHT(E$38,LEN(E$38)-1))-1,_xlpm.ROWNUM,11+14*_xlpm.Person+_xlpm.Period,_xlpm.FTE,6+14*_xlpm.Person,
(INDEX('Calc - OTHER PERS'!$C:$C,_xlpm.ROWNUM) * INDEX('Calc - OTHER PERS'!$K:$K,_xlpm.FTE)))</f>
        <v>0</v>
      </c>
      <c r="F266" s="3050" cm="1">
        <f t="array" ref="F266">_xlfn.LET(_xlpm.Person,INT((ROW()-ROW($A$173))/8),_xlpm.Period,VALUE(RIGHT(F$38,LEN(F$38)-1))-1,_xlpm.ROWNUM,11+14*_xlpm.Person+_xlpm.Period,_xlpm.FTE,6+14*_xlpm.Person,
(INDEX('Calc - OTHER PERS'!$C:$C,_xlpm.ROWNUM) * INDEX('Calc - OTHER PERS'!$K:$K,_xlpm.FTE)))</f>
        <v>0</v>
      </c>
      <c r="G266" s="3050" cm="1">
        <f t="array" ref="G266">_xlfn.LET(_xlpm.Person,INT((ROW()-ROW($A$173))/8),_xlpm.Period,VALUE(RIGHT(G$38,LEN(G$38)-1))-1,_xlpm.ROWNUM,11+14*_xlpm.Person+_xlpm.Period,_xlpm.FTE,6+14*_xlpm.Person,
(INDEX('Calc - OTHER PERS'!$C:$C,_xlpm.ROWNUM) * INDEX('Calc - OTHER PERS'!$K:$K,_xlpm.FTE)))</f>
        <v>0</v>
      </c>
      <c r="H266" s="3050" cm="1">
        <f t="array" ref="H266">_xlfn.LET(_xlpm.Person,INT((ROW()-ROW($A$173))/8),_xlpm.Period,VALUE(RIGHT(H$38,LEN(H$38)-1))-1,_xlpm.ROWNUM,11+14*_xlpm.Person+_xlpm.Period,_xlpm.FTE,6+14*_xlpm.Person,
(INDEX('Calc - OTHER PERS'!$C:$C,_xlpm.ROWNUM) * INDEX('Calc - OTHER PERS'!$K:$K,_xlpm.FTE)))</f>
        <v>0</v>
      </c>
      <c r="I266" s="926"/>
    </row>
    <row r="267" spans="1:9" hidden="1" x14ac:dyDescent="0.25">
      <c r="I267" s="926"/>
    </row>
    <row r="268" spans="1:9" hidden="1" x14ac:dyDescent="0.25">
      <c r="I268" s="926"/>
    </row>
    <row r="269" spans="1:9" hidden="1" x14ac:dyDescent="0.25">
      <c r="A269" s="847" cm="1">
        <f t="array" ref="A269">INDEX('DATA INPUT'!B:B,51+INT((ROW()-ROW($A$173))/8))</f>
        <v>0</v>
      </c>
      <c r="B269" s="847"/>
      <c r="C269" s="3042" t="s">
        <v>1041</v>
      </c>
      <c r="D269" s="3042" t="s">
        <v>1042</v>
      </c>
      <c r="E269" s="3042" t="s">
        <v>1043</v>
      </c>
      <c r="F269" s="3042" t="s">
        <v>1044</v>
      </c>
      <c r="G269" s="3042" t="s">
        <v>1045</v>
      </c>
      <c r="H269" s="3042" t="s">
        <v>1046</v>
      </c>
      <c r="I269" s="926"/>
    </row>
    <row r="270" spans="1:9" ht="17.25" hidden="1" x14ac:dyDescent="0.3">
      <c r="A270" s="3043">
        <f t="shared" ref="A270" ca="1" si="87">SUM(C270:H270)</f>
        <v>0</v>
      </c>
      <c r="B270" s="3044" t="s">
        <v>3</v>
      </c>
      <c r="C270" s="3045">
        <f t="shared" ref="C270:H270" ca="1" si="88">ROUND(C271*C274*(1+C272), 2)</f>
        <v>0</v>
      </c>
      <c r="D270" s="3045">
        <f t="shared" ca="1" si="88"/>
        <v>0</v>
      </c>
      <c r="E270" s="3045">
        <f t="shared" ca="1" si="88"/>
        <v>0</v>
      </c>
      <c r="F270" s="3045">
        <f t="shared" ca="1" si="88"/>
        <v>0</v>
      </c>
      <c r="G270" s="3045">
        <f t="shared" ca="1" si="88"/>
        <v>0</v>
      </c>
      <c r="H270" s="3045">
        <f t="shared" ca="1" si="88"/>
        <v>0</v>
      </c>
      <c r="I270" s="926"/>
    </row>
    <row r="271" spans="1:9" hidden="1" x14ac:dyDescent="0.25">
      <c r="A271" s="503" t="s">
        <v>133</v>
      </c>
      <c r="B271" s="847" t="s">
        <v>1050</v>
      </c>
      <c r="C271" s="3058" cm="1">
        <f t="array" aca="1" ref="C271" ca="1">_xlfn.LET(_xlpm.Person,INT((ROW()-ROW($A$173))/8),_xlpm.Period,VALUE(RIGHT(C$38,LEN(C$38)-1))-1,_xlpm.ROWNUM,11+14*_xlpm.Person+_xlpm.Period,
ROUND(INDEX('Calc - OTHER PERS'!$G:$G,_xlpm.ROWNUM),2))</f>
        <v>0</v>
      </c>
      <c r="D271" s="3058" cm="1">
        <f t="array" aca="1" ref="D271" ca="1">_xlfn.LET(_xlpm.Person,INT((ROW()-ROW($A$173))/8),_xlpm.Period,VALUE(RIGHT(D$38,LEN(D$38)-1))-1,_xlpm.ROWNUM,11+14*_xlpm.Person+_xlpm.Period,
ROUND(INDEX('Calc - OTHER PERS'!$G:$G,_xlpm.ROWNUM),2))</f>
        <v>0</v>
      </c>
      <c r="E271" s="3058" cm="1">
        <f t="array" aca="1" ref="E271" ca="1">_xlfn.LET(_xlpm.Person,INT((ROW()-ROW($A$173))/8),_xlpm.Period,VALUE(RIGHT(E$38,LEN(E$38)-1))-1,_xlpm.ROWNUM,11+14*_xlpm.Person+_xlpm.Period,
ROUND(INDEX('Calc - OTHER PERS'!$G:$G,_xlpm.ROWNUM),2))</f>
        <v>0</v>
      </c>
      <c r="F271" s="3058" cm="1">
        <f t="array" aca="1" ref="F271" ca="1">_xlfn.LET(_xlpm.Person,INT((ROW()-ROW($A$173))/8),_xlpm.Period,VALUE(RIGHT(F$38,LEN(F$38)-1))-1,_xlpm.ROWNUM,11+14*_xlpm.Person+_xlpm.Period,
ROUND(INDEX('Calc - OTHER PERS'!$G:$G,_xlpm.ROWNUM),2))</f>
        <v>0</v>
      </c>
      <c r="G271" s="3058" cm="1">
        <f t="array" aca="1" ref="G271" ca="1">_xlfn.LET(_xlpm.Person,INT((ROW()-ROW($A$173))/8),_xlpm.Period,VALUE(RIGHT(G$38,LEN(G$38)-1))-1,_xlpm.ROWNUM,11+14*_xlpm.Person+_xlpm.Period,
ROUND(INDEX('Calc - OTHER PERS'!$G:$G,_xlpm.ROWNUM),2))</f>
        <v>0</v>
      </c>
      <c r="H271" s="3058" cm="1">
        <f t="array" aca="1" ref="H271" ca="1">_xlfn.LET(_xlpm.Person,INT((ROW()-ROW($A$173))/8),_xlpm.Period,VALUE(RIGHT(H$38,LEN(H$38)-1))-1,_xlpm.ROWNUM,11+14*_xlpm.Person+_xlpm.Period,
ROUND(INDEX('Calc - OTHER PERS'!$G:$G,_xlpm.ROWNUM),2))</f>
        <v>0</v>
      </c>
      <c r="I271" s="926"/>
    </row>
    <row r="272" spans="1:9" hidden="1" x14ac:dyDescent="0.25">
      <c r="A272" s="3047" t="s">
        <v>1051</v>
      </c>
      <c r="B272" s="847" t="s">
        <v>1052</v>
      </c>
      <c r="C272" s="3048" cm="1">
        <f t="array" aca="1" ref="C272" ca="1">_xlfn.LET(_xlpm.Person,INT((ROW()-ROW($A$173))/8),_xlpm.Period,VALUE(RIGHT(C$38,LEN(C$38)-1))-1,_xlpm.ROWNUM,11+14*_xlpm.Person+_xlpm.Period,
INDEX('Calc - OTHER PERS'!$K:$K,_xlpm.ROWNUM))</f>
        <v>0</v>
      </c>
      <c r="D272" s="3048" cm="1">
        <f t="array" aca="1" ref="D272" ca="1">_xlfn.LET(_xlpm.Person,INT((ROW()-ROW($A$173))/8),_xlpm.Period,VALUE(RIGHT(D$38,LEN(D$38)-1))-1,_xlpm.ROWNUM,11+14*_xlpm.Person+_xlpm.Period,
INDEX('Calc - OTHER PERS'!$K:$K,_xlpm.ROWNUM))</f>
        <v>0.02</v>
      </c>
      <c r="E272" s="3048" cm="1">
        <f t="array" aca="1" ref="E272" ca="1">_xlfn.LET(_xlpm.Person,INT((ROW()-ROW($A$173))/8),_xlpm.Period,VALUE(RIGHT(E$38,LEN(E$38)-1))-1,_xlpm.ROWNUM,11+14*_xlpm.Person+_xlpm.Period,
INDEX('Calc - OTHER PERS'!$K:$K,_xlpm.ROWNUM))</f>
        <v>0.04</v>
      </c>
      <c r="F272" s="3048" cm="1">
        <f t="array" aca="1" ref="F272" ca="1">_xlfn.LET(_xlpm.Person,INT((ROW()-ROW($A$173))/8),_xlpm.Period,VALUE(RIGHT(F$38,LEN(F$38)-1))-1,_xlpm.ROWNUM,11+14*_xlpm.Person+_xlpm.Period,
INDEX('Calc - OTHER PERS'!$K:$K,_xlpm.ROWNUM))</f>
        <v>0.06</v>
      </c>
      <c r="G272" s="3048" cm="1">
        <f t="array" aca="1" ref="G272" ca="1">_xlfn.LET(_xlpm.Person,INT((ROW()-ROW($A$173))/8),_xlpm.Period,VALUE(RIGHT(G$38,LEN(G$38)-1))-1,_xlpm.ROWNUM,11+14*_xlpm.Person+_xlpm.Period,
INDEX('Calc - OTHER PERS'!$K:$K,_xlpm.ROWNUM))</f>
        <v>0.08</v>
      </c>
      <c r="H272" s="3048" cm="1">
        <f t="array" aca="1" ref="H272" ca="1">_xlfn.LET(_xlpm.Person,INT((ROW()-ROW($A$173))/8),_xlpm.Period,VALUE(RIGHT(H$38,LEN(H$38)-1))-1,_xlpm.ROWNUM,11+14*_xlpm.Person+_xlpm.Period,
INDEX('Calc - OTHER PERS'!$K:$K,_xlpm.ROWNUM))</f>
        <v>0.1</v>
      </c>
      <c r="I272" s="926"/>
    </row>
    <row r="273" spans="1:9" hidden="1" x14ac:dyDescent="0.25">
      <c r="A273" s="3049">
        <f t="shared" ref="A273:A274" si="89">SUM(C273:H273)</f>
        <v>0</v>
      </c>
      <c r="B273" s="847" t="s">
        <v>1053</v>
      </c>
      <c r="C273" s="3050" cm="1">
        <f t="array" ref="C273">_xlfn.LET(_xlpm.Person,INT((ROW()-ROW($A$173))/8),_xlpm.Period,VALUE(RIGHT(C$38,LEN(C$38)-1))-1,_xlpm.ROWNUM,11+14*_xlpm.Person+_xlpm.Period,_xlpm.FTE,6+14*_xlpm.Person,
(INDEX('Calc - OTHER PERS'!$C:$C,_xlpm.ROWNUM) + INDEX('Calc - OTHER PERS'!$N:$N,_xlpm.ROWNUM)) * INDEX('Calc - OTHER PERS'!$K:$K,_xlpm.FTE))</f>
        <v>0</v>
      </c>
      <c r="D273" s="3050" cm="1">
        <f t="array" ref="D273">_xlfn.LET(_xlpm.Person,INT((ROW()-ROW($A$173))/8),_xlpm.Period,VALUE(RIGHT(D$38,LEN(D$38)-1))-1,_xlpm.ROWNUM,11+14*_xlpm.Person+_xlpm.Period,_xlpm.FTE,6+14*_xlpm.Person,
(INDEX('Calc - OTHER PERS'!$C:$C,_xlpm.ROWNUM) + INDEX('Calc - OTHER PERS'!$N:$N,_xlpm.ROWNUM)) * INDEX('Calc - OTHER PERS'!$K:$K,_xlpm.FTE))</f>
        <v>0</v>
      </c>
      <c r="E273" s="3050" cm="1">
        <f t="array" ref="E273">_xlfn.LET(_xlpm.Person,INT((ROW()-ROW($A$173))/8),_xlpm.Period,VALUE(RIGHT(E$38,LEN(E$38)-1))-1,_xlpm.ROWNUM,11+14*_xlpm.Person+_xlpm.Period,_xlpm.FTE,6+14*_xlpm.Person,
(INDEX('Calc - OTHER PERS'!$C:$C,_xlpm.ROWNUM) + INDEX('Calc - OTHER PERS'!$N:$N,_xlpm.ROWNUM)) * INDEX('Calc - OTHER PERS'!$K:$K,_xlpm.FTE))</f>
        <v>0</v>
      </c>
      <c r="F273" s="3050" cm="1">
        <f t="array" ref="F273">_xlfn.LET(_xlpm.Person,INT((ROW()-ROW($A$173))/8),_xlpm.Period,VALUE(RIGHT(F$38,LEN(F$38)-1))-1,_xlpm.ROWNUM,11+14*_xlpm.Person+_xlpm.Period,_xlpm.FTE,6+14*_xlpm.Person,
(INDEX('Calc - OTHER PERS'!$C:$C,_xlpm.ROWNUM) + INDEX('Calc - OTHER PERS'!$N:$N,_xlpm.ROWNUM)) * INDEX('Calc - OTHER PERS'!$K:$K,_xlpm.FTE))</f>
        <v>0</v>
      </c>
      <c r="G273" s="3050" cm="1">
        <f t="array" ref="G273">_xlfn.LET(_xlpm.Person,INT((ROW()-ROW($A$173))/8),_xlpm.Period,VALUE(RIGHT(G$38,LEN(G$38)-1))-1,_xlpm.ROWNUM,11+14*_xlpm.Person+_xlpm.Period,_xlpm.FTE,6+14*_xlpm.Person,
(INDEX('Calc - OTHER PERS'!$C:$C,_xlpm.ROWNUM) + INDEX('Calc - OTHER PERS'!$N:$N,_xlpm.ROWNUM)) * INDEX('Calc - OTHER PERS'!$K:$K,_xlpm.FTE))</f>
        <v>0</v>
      </c>
      <c r="H273" s="3050" cm="1">
        <f t="array" ref="H273">_xlfn.LET(_xlpm.Person,INT((ROW()-ROW($A$173))/8),_xlpm.Period,VALUE(RIGHT(H$38,LEN(H$38)-1))-1,_xlpm.ROWNUM,11+14*_xlpm.Person+_xlpm.Period,_xlpm.FTE,6+14*_xlpm.Person,
(INDEX('Calc - OTHER PERS'!$C:$C,_xlpm.ROWNUM) + INDEX('Calc - OTHER PERS'!$N:$N,_xlpm.ROWNUM)) * INDEX('Calc - OTHER PERS'!$K:$K,_xlpm.FTE))</f>
        <v>0</v>
      </c>
      <c r="I273" s="926"/>
    </row>
    <row r="274" spans="1:9" hidden="1" x14ac:dyDescent="0.25">
      <c r="A274" s="3049">
        <f t="shared" si="89"/>
        <v>0</v>
      </c>
      <c r="B274" s="847" t="s">
        <v>1054</v>
      </c>
      <c r="C274" s="3050" cm="1">
        <f t="array" ref="C274">_xlfn.LET(_xlpm.Person,INT((ROW()-ROW($A$173))/8),_xlpm.Period,VALUE(RIGHT(C$38,LEN(C$38)-1))-1,_xlpm.ROWNUM,11+14*_xlpm.Person+_xlpm.Period,_xlpm.FTE,6+14*_xlpm.Person,
(INDEX('Calc - OTHER PERS'!$C:$C,_xlpm.ROWNUM) * INDEX('Calc - OTHER PERS'!$K:$K,_xlpm.FTE)))</f>
        <v>0</v>
      </c>
      <c r="D274" s="3050" cm="1">
        <f t="array" ref="D274">_xlfn.LET(_xlpm.Person,INT((ROW()-ROW($A$173))/8),_xlpm.Period,VALUE(RIGHT(D$38,LEN(D$38)-1))-1,_xlpm.ROWNUM,11+14*_xlpm.Person+_xlpm.Period,_xlpm.FTE,6+14*_xlpm.Person,
(INDEX('Calc - OTHER PERS'!$C:$C,_xlpm.ROWNUM) * INDEX('Calc - OTHER PERS'!$K:$K,_xlpm.FTE)))</f>
        <v>0</v>
      </c>
      <c r="E274" s="3050" cm="1">
        <f t="array" ref="E274">_xlfn.LET(_xlpm.Person,INT((ROW()-ROW($A$173))/8),_xlpm.Period,VALUE(RIGHT(E$38,LEN(E$38)-1))-1,_xlpm.ROWNUM,11+14*_xlpm.Person+_xlpm.Period,_xlpm.FTE,6+14*_xlpm.Person,
(INDEX('Calc - OTHER PERS'!$C:$C,_xlpm.ROWNUM) * INDEX('Calc - OTHER PERS'!$K:$K,_xlpm.FTE)))</f>
        <v>0</v>
      </c>
      <c r="F274" s="3050" cm="1">
        <f t="array" ref="F274">_xlfn.LET(_xlpm.Person,INT((ROW()-ROW($A$173))/8),_xlpm.Period,VALUE(RIGHT(F$38,LEN(F$38)-1))-1,_xlpm.ROWNUM,11+14*_xlpm.Person+_xlpm.Period,_xlpm.FTE,6+14*_xlpm.Person,
(INDEX('Calc - OTHER PERS'!$C:$C,_xlpm.ROWNUM) * INDEX('Calc - OTHER PERS'!$K:$K,_xlpm.FTE)))</f>
        <v>0</v>
      </c>
      <c r="G274" s="3050" cm="1">
        <f t="array" ref="G274">_xlfn.LET(_xlpm.Person,INT((ROW()-ROW($A$173))/8),_xlpm.Period,VALUE(RIGHT(G$38,LEN(G$38)-1))-1,_xlpm.ROWNUM,11+14*_xlpm.Person+_xlpm.Period,_xlpm.FTE,6+14*_xlpm.Person,
(INDEX('Calc - OTHER PERS'!$C:$C,_xlpm.ROWNUM) * INDEX('Calc - OTHER PERS'!$K:$K,_xlpm.FTE)))</f>
        <v>0</v>
      </c>
      <c r="H274" s="3050" cm="1">
        <f t="array" ref="H274">_xlfn.LET(_xlpm.Person,INT((ROW()-ROW($A$173))/8),_xlpm.Period,VALUE(RIGHT(H$38,LEN(H$38)-1))-1,_xlpm.ROWNUM,11+14*_xlpm.Person+_xlpm.Period,_xlpm.FTE,6+14*_xlpm.Person,
(INDEX('Calc - OTHER PERS'!$C:$C,_xlpm.ROWNUM) * INDEX('Calc - OTHER PERS'!$K:$K,_xlpm.FTE)))</f>
        <v>0</v>
      </c>
      <c r="I274" s="926"/>
    </row>
    <row r="275" spans="1:9" hidden="1" x14ac:dyDescent="0.25">
      <c r="I275" s="926"/>
    </row>
    <row r="276" spans="1:9" hidden="1" x14ac:dyDescent="0.25">
      <c r="I276" s="926"/>
    </row>
    <row r="277" spans="1:9" hidden="1" x14ac:dyDescent="0.25">
      <c r="A277" s="847" cm="1">
        <f t="array" ref="A277">INDEX('DATA INPUT'!B:B,51+INT((ROW()-ROW($A$173))/8))</f>
        <v>0</v>
      </c>
      <c r="B277" s="847"/>
      <c r="C277" s="3042" t="s">
        <v>1041</v>
      </c>
      <c r="D277" s="3042" t="s">
        <v>1042</v>
      </c>
      <c r="E277" s="3042" t="s">
        <v>1043</v>
      </c>
      <c r="F277" s="3042" t="s">
        <v>1044</v>
      </c>
      <c r="G277" s="3042" t="s">
        <v>1045</v>
      </c>
      <c r="H277" s="3042" t="s">
        <v>1046</v>
      </c>
      <c r="I277" s="926"/>
    </row>
    <row r="278" spans="1:9" ht="17.25" hidden="1" x14ac:dyDescent="0.3">
      <c r="A278" s="3043">
        <f t="shared" ref="A278" ca="1" si="90">SUM(C278:H278)</f>
        <v>0</v>
      </c>
      <c r="B278" s="3044" t="s">
        <v>3</v>
      </c>
      <c r="C278" s="3045">
        <f t="shared" ref="C278:H278" ca="1" si="91">ROUND(C279*C282*(1+C280), 2)</f>
        <v>0</v>
      </c>
      <c r="D278" s="3045">
        <f t="shared" ca="1" si="91"/>
        <v>0</v>
      </c>
      <c r="E278" s="3045">
        <f t="shared" ca="1" si="91"/>
        <v>0</v>
      </c>
      <c r="F278" s="3045">
        <f t="shared" ca="1" si="91"/>
        <v>0</v>
      </c>
      <c r="G278" s="3045">
        <f t="shared" ca="1" si="91"/>
        <v>0</v>
      </c>
      <c r="H278" s="3045">
        <f t="shared" ca="1" si="91"/>
        <v>0</v>
      </c>
      <c r="I278" s="926"/>
    </row>
    <row r="279" spans="1:9" hidden="1" x14ac:dyDescent="0.25">
      <c r="A279" s="503" t="s">
        <v>133</v>
      </c>
      <c r="B279" s="847" t="s">
        <v>1050</v>
      </c>
      <c r="C279" s="3058" cm="1">
        <f t="array" aca="1" ref="C279" ca="1">_xlfn.LET(_xlpm.Person,INT((ROW()-ROW($A$173))/8),_xlpm.Period,VALUE(RIGHT(C$38,LEN(C$38)-1))-1,_xlpm.ROWNUM,11+14*_xlpm.Person+_xlpm.Period,
ROUND(INDEX('Calc - OTHER PERS'!$G:$G,_xlpm.ROWNUM),2))</f>
        <v>0</v>
      </c>
      <c r="D279" s="3058" cm="1">
        <f t="array" aca="1" ref="D279" ca="1">_xlfn.LET(_xlpm.Person,INT((ROW()-ROW($A$173))/8),_xlpm.Period,VALUE(RIGHT(D$38,LEN(D$38)-1))-1,_xlpm.ROWNUM,11+14*_xlpm.Person+_xlpm.Period,
ROUND(INDEX('Calc - OTHER PERS'!$G:$G,_xlpm.ROWNUM),2))</f>
        <v>0</v>
      </c>
      <c r="E279" s="3058" cm="1">
        <f t="array" aca="1" ref="E279" ca="1">_xlfn.LET(_xlpm.Person,INT((ROW()-ROW($A$173))/8),_xlpm.Period,VALUE(RIGHT(E$38,LEN(E$38)-1))-1,_xlpm.ROWNUM,11+14*_xlpm.Person+_xlpm.Period,
ROUND(INDEX('Calc - OTHER PERS'!$G:$G,_xlpm.ROWNUM),2))</f>
        <v>0</v>
      </c>
      <c r="F279" s="3058" cm="1">
        <f t="array" aca="1" ref="F279" ca="1">_xlfn.LET(_xlpm.Person,INT((ROW()-ROW($A$173))/8),_xlpm.Period,VALUE(RIGHT(F$38,LEN(F$38)-1))-1,_xlpm.ROWNUM,11+14*_xlpm.Person+_xlpm.Period,
ROUND(INDEX('Calc - OTHER PERS'!$G:$G,_xlpm.ROWNUM),2))</f>
        <v>0</v>
      </c>
      <c r="G279" s="3058" cm="1">
        <f t="array" aca="1" ref="G279" ca="1">_xlfn.LET(_xlpm.Person,INT((ROW()-ROW($A$173))/8),_xlpm.Period,VALUE(RIGHT(G$38,LEN(G$38)-1))-1,_xlpm.ROWNUM,11+14*_xlpm.Person+_xlpm.Period,
ROUND(INDEX('Calc - OTHER PERS'!$G:$G,_xlpm.ROWNUM),2))</f>
        <v>0</v>
      </c>
      <c r="H279" s="3058" cm="1">
        <f t="array" aca="1" ref="H279" ca="1">_xlfn.LET(_xlpm.Person,INT((ROW()-ROW($A$173))/8),_xlpm.Period,VALUE(RIGHT(H$38,LEN(H$38)-1))-1,_xlpm.ROWNUM,11+14*_xlpm.Person+_xlpm.Period,
ROUND(INDEX('Calc - OTHER PERS'!$G:$G,_xlpm.ROWNUM),2))</f>
        <v>0</v>
      </c>
      <c r="I279" s="926"/>
    </row>
    <row r="280" spans="1:9" hidden="1" x14ac:dyDescent="0.25">
      <c r="A280" s="3047" t="s">
        <v>1051</v>
      </c>
      <c r="B280" s="847" t="s">
        <v>1052</v>
      </c>
      <c r="C280" s="3048" cm="1">
        <f t="array" aca="1" ref="C280" ca="1">_xlfn.LET(_xlpm.Person,INT((ROW()-ROW($A$173))/8),_xlpm.Period,VALUE(RIGHT(C$38,LEN(C$38)-1))-1,_xlpm.ROWNUM,11+14*_xlpm.Person+_xlpm.Period,
INDEX('Calc - OTHER PERS'!$K:$K,_xlpm.ROWNUM))</f>
        <v>0</v>
      </c>
      <c r="D280" s="3048" cm="1">
        <f t="array" aca="1" ref="D280" ca="1">_xlfn.LET(_xlpm.Person,INT((ROW()-ROW($A$173))/8),_xlpm.Period,VALUE(RIGHT(D$38,LEN(D$38)-1))-1,_xlpm.ROWNUM,11+14*_xlpm.Person+_xlpm.Period,
INDEX('Calc - OTHER PERS'!$K:$K,_xlpm.ROWNUM))</f>
        <v>0.02</v>
      </c>
      <c r="E280" s="3048" cm="1">
        <f t="array" aca="1" ref="E280" ca="1">_xlfn.LET(_xlpm.Person,INT((ROW()-ROW($A$173))/8),_xlpm.Period,VALUE(RIGHT(E$38,LEN(E$38)-1))-1,_xlpm.ROWNUM,11+14*_xlpm.Person+_xlpm.Period,
INDEX('Calc - OTHER PERS'!$K:$K,_xlpm.ROWNUM))</f>
        <v>0.04</v>
      </c>
      <c r="F280" s="3048" cm="1">
        <f t="array" aca="1" ref="F280" ca="1">_xlfn.LET(_xlpm.Person,INT((ROW()-ROW($A$173))/8),_xlpm.Period,VALUE(RIGHT(F$38,LEN(F$38)-1))-1,_xlpm.ROWNUM,11+14*_xlpm.Person+_xlpm.Period,
INDEX('Calc - OTHER PERS'!$K:$K,_xlpm.ROWNUM))</f>
        <v>0.06</v>
      </c>
      <c r="G280" s="3048" cm="1">
        <f t="array" aca="1" ref="G280" ca="1">_xlfn.LET(_xlpm.Person,INT((ROW()-ROW($A$173))/8),_xlpm.Period,VALUE(RIGHT(G$38,LEN(G$38)-1))-1,_xlpm.ROWNUM,11+14*_xlpm.Person+_xlpm.Period,
INDEX('Calc - OTHER PERS'!$K:$K,_xlpm.ROWNUM))</f>
        <v>0.08</v>
      </c>
      <c r="H280" s="3048" cm="1">
        <f t="array" aca="1" ref="H280" ca="1">_xlfn.LET(_xlpm.Person,INT((ROW()-ROW($A$173))/8),_xlpm.Period,VALUE(RIGHT(H$38,LEN(H$38)-1))-1,_xlpm.ROWNUM,11+14*_xlpm.Person+_xlpm.Period,
INDEX('Calc - OTHER PERS'!$K:$K,_xlpm.ROWNUM))</f>
        <v>0.1</v>
      </c>
      <c r="I280" s="926"/>
    </row>
    <row r="281" spans="1:9" hidden="1" x14ac:dyDescent="0.25">
      <c r="A281" s="3049">
        <f t="shared" ref="A281:A282" si="92">SUM(C281:H281)</f>
        <v>0</v>
      </c>
      <c r="B281" s="847" t="s">
        <v>1053</v>
      </c>
      <c r="C281" s="3050" cm="1">
        <f t="array" ref="C281">_xlfn.LET(_xlpm.Person,INT((ROW()-ROW($A$173))/8),_xlpm.Period,VALUE(RIGHT(C$38,LEN(C$38)-1))-1,_xlpm.ROWNUM,11+14*_xlpm.Person+_xlpm.Period,_xlpm.FTE,6+14*_xlpm.Person,
(INDEX('Calc - OTHER PERS'!$C:$C,_xlpm.ROWNUM) + INDEX('Calc - OTHER PERS'!$N:$N,_xlpm.ROWNUM)) * INDEX('Calc - OTHER PERS'!$K:$K,_xlpm.FTE))</f>
        <v>0</v>
      </c>
      <c r="D281" s="3050" cm="1">
        <f t="array" ref="D281">_xlfn.LET(_xlpm.Person,INT((ROW()-ROW($A$173))/8),_xlpm.Period,VALUE(RIGHT(D$38,LEN(D$38)-1))-1,_xlpm.ROWNUM,11+14*_xlpm.Person+_xlpm.Period,_xlpm.FTE,6+14*_xlpm.Person,
(INDEX('Calc - OTHER PERS'!$C:$C,_xlpm.ROWNUM) + INDEX('Calc - OTHER PERS'!$N:$N,_xlpm.ROWNUM)) * INDEX('Calc - OTHER PERS'!$K:$K,_xlpm.FTE))</f>
        <v>0</v>
      </c>
      <c r="E281" s="3050" cm="1">
        <f t="array" ref="E281">_xlfn.LET(_xlpm.Person,INT((ROW()-ROW($A$173))/8),_xlpm.Period,VALUE(RIGHT(E$38,LEN(E$38)-1))-1,_xlpm.ROWNUM,11+14*_xlpm.Person+_xlpm.Period,_xlpm.FTE,6+14*_xlpm.Person,
(INDEX('Calc - OTHER PERS'!$C:$C,_xlpm.ROWNUM) + INDEX('Calc - OTHER PERS'!$N:$N,_xlpm.ROWNUM)) * INDEX('Calc - OTHER PERS'!$K:$K,_xlpm.FTE))</f>
        <v>0</v>
      </c>
      <c r="F281" s="3050" cm="1">
        <f t="array" ref="F281">_xlfn.LET(_xlpm.Person,INT((ROW()-ROW($A$173))/8),_xlpm.Period,VALUE(RIGHT(F$38,LEN(F$38)-1))-1,_xlpm.ROWNUM,11+14*_xlpm.Person+_xlpm.Period,_xlpm.FTE,6+14*_xlpm.Person,
(INDEX('Calc - OTHER PERS'!$C:$C,_xlpm.ROWNUM) + INDEX('Calc - OTHER PERS'!$N:$N,_xlpm.ROWNUM)) * INDEX('Calc - OTHER PERS'!$K:$K,_xlpm.FTE))</f>
        <v>0</v>
      </c>
      <c r="G281" s="3050" cm="1">
        <f t="array" ref="G281">_xlfn.LET(_xlpm.Person,INT((ROW()-ROW($A$173))/8),_xlpm.Period,VALUE(RIGHT(G$38,LEN(G$38)-1))-1,_xlpm.ROWNUM,11+14*_xlpm.Person+_xlpm.Period,_xlpm.FTE,6+14*_xlpm.Person,
(INDEX('Calc - OTHER PERS'!$C:$C,_xlpm.ROWNUM) + INDEX('Calc - OTHER PERS'!$N:$N,_xlpm.ROWNUM)) * INDEX('Calc - OTHER PERS'!$K:$K,_xlpm.FTE))</f>
        <v>0</v>
      </c>
      <c r="H281" s="3050" cm="1">
        <f t="array" ref="H281">_xlfn.LET(_xlpm.Person,INT((ROW()-ROW($A$173))/8),_xlpm.Period,VALUE(RIGHT(H$38,LEN(H$38)-1))-1,_xlpm.ROWNUM,11+14*_xlpm.Person+_xlpm.Period,_xlpm.FTE,6+14*_xlpm.Person,
(INDEX('Calc - OTHER PERS'!$C:$C,_xlpm.ROWNUM) + INDEX('Calc - OTHER PERS'!$N:$N,_xlpm.ROWNUM)) * INDEX('Calc - OTHER PERS'!$K:$K,_xlpm.FTE))</f>
        <v>0</v>
      </c>
      <c r="I281" s="926"/>
    </row>
    <row r="282" spans="1:9" hidden="1" x14ac:dyDescent="0.25">
      <c r="A282" s="3049">
        <f t="shared" si="92"/>
        <v>0</v>
      </c>
      <c r="B282" s="847" t="s">
        <v>1054</v>
      </c>
      <c r="C282" s="3050" cm="1">
        <f t="array" ref="C282">_xlfn.LET(_xlpm.Person,INT((ROW()-ROW($A$173))/8),_xlpm.Period,VALUE(RIGHT(C$38,LEN(C$38)-1))-1,_xlpm.ROWNUM,11+14*_xlpm.Person+_xlpm.Period,_xlpm.FTE,6+14*_xlpm.Person,
(INDEX('Calc - OTHER PERS'!$C:$C,_xlpm.ROWNUM) * INDEX('Calc - OTHER PERS'!$K:$K,_xlpm.FTE)))</f>
        <v>0</v>
      </c>
      <c r="D282" s="3050" cm="1">
        <f t="array" ref="D282">_xlfn.LET(_xlpm.Person,INT((ROW()-ROW($A$173))/8),_xlpm.Period,VALUE(RIGHT(D$38,LEN(D$38)-1))-1,_xlpm.ROWNUM,11+14*_xlpm.Person+_xlpm.Period,_xlpm.FTE,6+14*_xlpm.Person,
(INDEX('Calc - OTHER PERS'!$C:$C,_xlpm.ROWNUM) * INDEX('Calc - OTHER PERS'!$K:$K,_xlpm.FTE)))</f>
        <v>0</v>
      </c>
      <c r="E282" s="3050" cm="1">
        <f t="array" ref="E282">_xlfn.LET(_xlpm.Person,INT((ROW()-ROW($A$173))/8),_xlpm.Period,VALUE(RIGHT(E$38,LEN(E$38)-1))-1,_xlpm.ROWNUM,11+14*_xlpm.Person+_xlpm.Period,_xlpm.FTE,6+14*_xlpm.Person,
(INDEX('Calc - OTHER PERS'!$C:$C,_xlpm.ROWNUM) * INDEX('Calc - OTHER PERS'!$K:$K,_xlpm.FTE)))</f>
        <v>0</v>
      </c>
      <c r="F282" s="3050" cm="1">
        <f t="array" ref="F282">_xlfn.LET(_xlpm.Person,INT((ROW()-ROW($A$173))/8),_xlpm.Period,VALUE(RIGHT(F$38,LEN(F$38)-1))-1,_xlpm.ROWNUM,11+14*_xlpm.Person+_xlpm.Period,_xlpm.FTE,6+14*_xlpm.Person,
(INDEX('Calc - OTHER PERS'!$C:$C,_xlpm.ROWNUM) * INDEX('Calc - OTHER PERS'!$K:$K,_xlpm.FTE)))</f>
        <v>0</v>
      </c>
      <c r="G282" s="3050" cm="1">
        <f t="array" ref="G282">_xlfn.LET(_xlpm.Person,INT((ROW()-ROW($A$173))/8),_xlpm.Period,VALUE(RIGHT(G$38,LEN(G$38)-1))-1,_xlpm.ROWNUM,11+14*_xlpm.Person+_xlpm.Period,_xlpm.FTE,6+14*_xlpm.Person,
(INDEX('Calc - OTHER PERS'!$C:$C,_xlpm.ROWNUM) * INDEX('Calc - OTHER PERS'!$K:$K,_xlpm.FTE)))</f>
        <v>0</v>
      </c>
      <c r="H282" s="3050" cm="1">
        <f t="array" ref="H282">_xlfn.LET(_xlpm.Person,INT((ROW()-ROW($A$173))/8),_xlpm.Period,VALUE(RIGHT(H$38,LEN(H$38)-1))-1,_xlpm.ROWNUM,11+14*_xlpm.Person+_xlpm.Period,_xlpm.FTE,6+14*_xlpm.Person,
(INDEX('Calc - OTHER PERS'!$C:$C,_xlpm.ROWNUM) * INDEX('Calc - OTHER PERS'!$K:$K,_xlpm.FTE)))</f>
        <v>0</v>
      </c>
      <c r="I282" s="926"/>
    </row>
    <row r="283" spans="1:9" hidden="1" x14ac:dyDescent="0.25">
      <c r="I283" s="926"/>
    </row>
    <row r="284" spans="1:9" hidden="1" x14ac:dyDescent="0.25">
      <c r="I284" s="926"/>
    </row>
    <row r="285" spans="1:9" hidden="1" x14ac:dyDescent="0.25">
      <c r="A285" s="847" cm="1">
        <f t="array" ref="A285">INDEX('DATA INPUT'!B:B,51+INT((ROW()-ROW($A$173))/8))</f>
        <v>0</v>
      </c>
      <c r="B285" s="847"/>
      <c r="C285" s="3042" t="s">
        <v>1041</v>
      </c>
      <c r="D285" s="3042" t="s">
        <v>1042</v>
      </c>
      <c r="E285" s="3042" t="s">
        <v>1043</v>
      </c>
      <c r="F285" s="3042" t="s">
        <v>1044</v>
      </c>
      <c r="G285" s="3042" t="s">
        <v>1045</v>
      </c>
      <c r="H285" s="3042" t="s">
        <v>1046</v>
      </c>
      <c r="I285" s="926"/>
    </row>
    <row r="286" spans="1:9" ht="17.25" hidden="1" x14ac:dyDescent="0.3">
      <c r="A286" s="3043">
        <f t="shared" ref="A286" ca="1" si="93">SUM(C286:H286)</f>
        <v>0</v>
      </c>
      <c r="B286" s="3044" t="s">
        <v>3</v>
      </c>
      <c r="C286" s="3045">
        <f t="shared" ref="C286:H286" ca="1" si="94">ROUND(C287*C290*(1+C288), 2)</f>
        <v>0</v>
      </c>
      <c r="D286" s="3045">
        <f t="shared" ca="1" si="94"/>
        <v>0</v>
      </c>
      <c r="E286" s="3045">
        <f t="shared" ca="1" si="94"/>
        <v>0</v>
      </c>
      <c r="F286" s="3045">
        <f t="shared" ca="1" si="94"/>
        <v>0</v>
      </c>
      <c r="G286" s="3045">
        <f t="shared" ca="1" si="94"/>
        <v>0</v>
      </c>
      <c r="H286" s="3045">
        <f t="shared" ca="1" si="94"/>
        <v>0</v>
      </c>
      <c r="I286" s="926"/>
    </row>
    <row r="287" spans="1:9" hidden="1" x14ac:dyDescent="0.25">
      <c r="A287" s="503" t="s">
        <v>133</v>
      </c>
      <c r="B287" s="847" t="s">
        <v>1050</v>
      </c>
      <c r="C287" s="3058" cm="1">
        <f t="array" aca="1" ref="C287" ca="1">_xlfn.LET(_xlpm.Person,INT((ROW()-ROW($A$173))/8),_xlpm.Period,VALUE(RIGHT(C$38,LEN(C$38)-1))-1,_xlpm.ROWNUM,11+14*_xlpm.Person+_xlpm.Period,
ROUND(INDEX('Calc - OTHER PERS'!$G:$G,_xlpm.ROWNUM),2))</f>
        <v>0</v>
      </c>
      <c r="D287" s="3058" cm="1">
        <f t="array" aca="1" ref="D287" ca="1">_xlfn.LET(_xlpm.Person,INT((ROW()-ROW($A$173))/8),_xlpm.Period,VALUE(RIGHT(D$38,LEN(D$38)-1))-1,_xlpm.ROWNUM,11+14*_xlpm.Person+_xlpm.Period,
ROUND(INDEX('Calc - OTHER PERS'!$G:$G,_xlpm.ROWNUM),2))</f>
        <v>0</v>
      </c>
      <c r="E287" s="3058" cm="1">
        <f t="array" aca="1" ref="E287" ca="1">_xlfn.LET(_xlpm.Person,INT((ROW()-ROW($A$173))/8),_xlpm.Period,VALUE(RIGHT(E$38,LEN(E$38)-1))-1,_xlpm.ROWNUM,11+14*_xlpm.Person+_xlpm.Period,
ROUND(INDEX('Calc - OTHER PERS'!$G:$G,_xlpm.ROWNUM),2))</f>
        <v>0</v>
      </c>
      <c r="F287" s="3058" cm="1">
        <f t="array" aca="1" ref="F287" ca="1">_xlfn.LET(_xlpm.Person,INT((ROW()-ROW($A$173))/8),_xlpm.Period,VALUE(RIGHT(F$38,LEN(F$38)-1))-1,_xlpm.ROWNUM,11+14*_xlpm.Person+_xlpm.Period,
ROUND(INDEX('Calc - OTHER PERS'!$G:$G,_xlpm.ROWNUM),2))</f>
        <v>0</v>
      </c>
      <c r="G287" s="3058" cm="1">
        <f t="array" aca="1" ref="G287" ca="1">_xlfn.LET(_xlpm.Person,INT((ROW()-ROW($A$173))/8),_xlpm.Period,VALUE(RIGHT(G$38,LEN(G$38)-1))-1,_xlpm.ROWNUM,11+14*_xlpm.Person+_xlpm.Period,
ROUND(INDEX('Calc - OTHER PERS'!$G:$G,_xlpm.ROWNUM),2))</f>
        <v>0</v>
      </c>
      <c r="H287" s="3058" cm="1">
        <f t="array" aca="1" ref="H287" ca="1">_xlfn.LET(_xlpm.Person,INT((ROW()-ROW($A$173))/8),_xlpm.Period,VALUE(RIGHT(H$38,LEN(H$38)-1))-1,_xlpm.ROWNUM,11+14*_xlpm.Person+_xlpm.Period,
ROUND(INDEX('Calc - OTHER PERS'!$G:$G,_xlpm.ROWNUM),2))</f>
        <v>0</v>
      </c>
      <c r="I287" s="926"/>
    </row>
    <row r="288" spans="1:9" hidden="1" x14ac:dyDescent="0.25">
      <c r="A288" s="3047" t="s">
        <v>1051</v>
      </c>
      <c r="B288" s="847" t="s">
        <v>1052</v>
      </c>
      <c r="C288" s="3048" cm="1">
        <f t="array" aca="1" ref="C288" ca="1">_xlfn.LET(_xlpm.Person,INT((ROW()-ROW($A$173))/8),_xlpm.Period,VALUE(RIGHT(C$38,LEN(C$38)-1))-1,_xlpm.ROWNUM,11+14*_xlpm.Person+_xlpm.Period,
INDEX('Calc - OTHER PERS'!$K:$K,_xlpm.ROWNUM))</f>
        <v>0</v>
      </c>
      <c r="D288" s="3048" cm="1">
        <f t="array" aca="1" ref="D288" ca="1">_xlfn.LET(_xlpm.Person,INT((ROW()-ROW($A$173))/8),_xlpm.Period,VALUE(RIGHT(D$38,LEN(D$38)-1))-1,_xlpm.ROWNUM,11+14*_xlpm.Person+_xlpm.Period,
INDEX('Calc - OTHER PERS'!$K:$K,_xlpm.ROWNUM))</f>
        <v>0.02</v>
      </c>
      <c r="E288" s="3048" cm="1">
        <f t="array" aca="1" ref="E288" ca="1">_xlfn.LET(_xlpm.Person,INT((ROW()-ROW($A$173))/8),_xlpm.Period,VALUE(RIGHT(E$38,LEN(E$38)-1))-1,_xlpm.ROWNUM,11+14*_xlpm.Person+_xlpm.Period,
INDEX('Calc - OTHER PERS'!$K:$K,_xlpm.ROWNUM))</f>
        <v>0.04</v>
      </c>
      <c r="F288" s="3048" cm="1">
        <f t="array" aca="1" ref="F288" ca="1">_xlfn.LET(_xlpm.Person,INT((ROW()-ROW($A$173))/8),_xlpm.Period,VALUE(RIGHT(F$38,LEN(F$38)-1))-1,_xlpm.ROWNUM,11+14*_xlpm.Person+_xlpm.Period,
INDEX('Calc - OTHER PERS'!$K:$K,_xlpm.ROWNUM))</f>
        <v>0.06</v>
      </c>
      <c r="G288" s="3048" cm="1">
        <f t="array" aca="1" ref="G288" ca="1">_xlfn.LET(_xlpm.Person,INT((ROW()-ROW($A$173))/8),_xlpm.Period,VALUE(RIGHT(G$38,LEN(G$38)-1))-1,_xlpm.ROWNUM,11+14*_xlpm.Person+_xlpm.Period,
INDEX('Calc - OTHER PERS'!$K:$K,_xlpm.ROWNUM))</f>
        <v>0.08</v>
      </c>
      <c r="H288" s="3048" cm="1">
        <f t="array" aca="1" ref="H288" ca="1">_xlfn.LET(_xlpm.Person,INT((ROW()-ROW($A$173))/8),_xlpm.Period,VALUE(RIGHT(H$38,LEN(H$38)-1))-1,_xlpm.ROWNUM,11+14*_xlpm.Person+_xlpm.Period,
INDEX('Calc - OTHER PERS'!$K:$K,_xlpm.ROWNUM))</f>
        <v>0.1</v>
      </c>
      <c r="I288" s="926"/>
    </row>
    <row r="289" spans="1:9" hidden="1" x14ac:dyDescent="0.25">
      <c r="A289" s="3049">
        <f t="shared" ref="A289:A290" si="95">SUM(C289:H289)</f>
        <v>0</v>
      </c>
      <c r="B289" s="847" t="s">
        <v>1053</v>
      </c>
      <c r="C289" s="3050" cm="1">
        <f t="array" ref="C289">_xlfn.LET(_xlpm.Person,INT((ROW()-ROW($A$173))/8),_xlpm.Period,VALUE(RIGHT(C$38,LEN(C$38)-1))-1,_xlpm.ROWNUM,11+14*_xlpm.Person+_xlpm.Period,_xlpm.FTE,6+14*_xlpm.Person,
(INDEX('Calc - OTHER PERS'!$C:$C,_xlpm.ROWNUM) + INDEX('Calc - OTHER PERS'!$N:$N,_xlpm.ROWNUM)) * INDEX('Calc - OTHER PERS'!$K:$K,_xlpm.FTE))</f>
        <v>0</v>
      </c>
      <c r="D289" s="3050" cm="1">
        <f t="array" ref="D289">_xlfn.LET(_xlpm.Person,INT((ROW()-ROW($A$173))/8),_xlpm.Period,VALUE(RIGHT(D$38,LEN(D$38)-1))-1,_xlpm.ROWNUM,11+14*_xlpm.Person+_xlpm.Period,_xlpm.FTE,6+14*_xlpm.Person,
(INDEX('Calc - OTHER PERS'!$C:$C,_xlpm.ROWNUM) + INDEX('Calc - OTHER PERS'!$N:$N,_xlpm.ROWNUM)) * INDEX('Calc - OTHER PERS'!$K:$K,_xlpm.FTE))</f>
        <v>0</v>
      </c>
      <c r="E289" s="3050" cm="1">
        <f t="array" ref="E289">_xlfn.LET(_xlpm.Person,INT((ROW()-ROW($A$173))/8),_xlpm.Period,VALUE(RIGHT(E$38,LEN(E$38)-1))-1,_xlpm.ROWNUM,11+14*_xlpm.Person+_xlpm.Period,_xlpm.FTE,6+14*_xlpm.Person,
(INDEX('Calc - OTHER PERS'!$C:$C,_xlpm.ROWNUM) + INDEX('Calc - OTHER PERS'!$N:$N,_xlpm.ROWNUM)) * INDEX('Calc - OTHER PERS'!$K:$K,_xlpm.FTE))</f>
        <v>0</v>
      </c>
      <c r="F289" s="3050" cm="1">
        <f t="array" ref="F289">_xlfn.LET(_xlpm.Person,INT((ROW()-ROW($A$173))/8),_xlpm.Period,VALUE(RIGHT(F$38,LEN(F$38)-1))-1,_xlpm.ROWNUM,11+14*_xlpm.Person+_xlpm.Period,_xlpm.FTE,6+14*_xlpm.Person,
(INDEX('Calc - OTHER PERS'!$C:$C,_xlpm.ROWNUM) + INDEX('Calc - OTHER PERS'!$N:$N,_xlpm.ROWNUM)) * INDEX('Calc - OTHER PERS'!$K:$K,_xlpm.FTE))</f>
        <v>0</v>
      </c>
      <c r="G289" s="3050" cm="1">
        <f t="array" ref="G289">_xlfn.LET(_xlpm.Person,INT((ROW()-ROW($A$173))/8),_xlpm.Period,VALUE(RIGHT(G$38,LEN(G$38)-1))-1,_xlpm.ROWNUM,11+14*_xlpm.Person+_xlpm.Period,_xlpm.FTE,6+14*_xlpm.Person,
(INDEX('Calc - OTHER PERS'!$C:$C,_xlpm.ROWNUM) + INDEX('Calc - OTHER PERS'!$N:$N,_xlpm.ROWNUM)) * INDEX('Calc - OTHER PERS'!$K:$K,_xlpm.FTE))</f>
        <v>0</v>
      </c>
      <c r="H289" s="3050" cm="1">
        <f t="array" ref="H289">_xlfn.LET(_xlpm.Person,INT((ROW()-ROW($A$173))/8),_xlpm.Period,VALUE(RIGHT(H$38,LEN(H$38)-1))-1,_xlpm.ROWNUM,11+14*_xlpm.Person+_xlpm.Period,_xlpm.FTE,6+14*_xlpm.Person,
(INDEX('Calc - OTHER PERS'!$C:$C,_xlpm.ROWNUM) + INDEX('Calc - OTHER PERS'!$N:$N,_xlpm.ROWNUM)) * INDEX('Calc - OTHER PERS'!$K:$K,_xlpm.FTE))</f>
        <v>0</v>
      </c>
      <c r="I289" s="926"/>
    </row>
    <row r="290" spans="1:9" hidden="1" x14ac:dyDescent="0.25">
      <c r="A290" s="3049">
        <f t="shared" si="95"/>
        <v>0</v>
      </c>
      <c r="B290" s="847" t="s">
        <v>1054</v>
      </c>
      <c r="C290" s="3050" cm="1">
        <f t="array" ref="C290">_xlfn.LET(_xlpm.Person,INT((ROW()-ROW($A$173))/8),_xlpm.Period,VALUE(RIGHT(C$38,LEN(C$38)-1))-1,_xlpm.ROWNUM,11+14*_xlpm.Person+_xlpm.Period,_xlpm.FTE,6+14*_xlpm.Person,
(INDEX('Calc - OTHER PERS'!$C:$C,_xlpm.ROWNUM) * INDEX('Calc - OTHER PERS'!$K:$K,_xlpm.FTE)))</f>
        <v>0</v>
      </c>
      <c r="D290" s="3050" cm="1">
        <f t="array" ref="D290">_xlfn.LET(_xlpm.Person,INT((ROW()-ROW($A$173))/8),_xlpm.Period,VALUE(RIGHT(D$38,LEN(D$38)-1))-1,_xlpm.ROWNUM,11+14*_xlpm.Person+_xlpm.Period,_xlpm.FTE,6+14*_xlpm.Person,
(INDEX('Calc - OTHER PERS'!$C:$C,_xlpm.ROWNUM) * INDEX('Calc - OTHER PERS'!$K:$K,_xlpm.FTE)))</f>
        <v>0</v>
      </c>
      <c r="E290" s="3050" cm="1">
        <f t="array" ref="E290">_xlfn.LET(_xlpm.Person,INT((ROW()-ROW($A$173))/8),_xlpm.Period,VALUE(RIGHT(E$38,LEN(E$38)-1))-1,_xlpm.ROWNUM,11+14*_xlpm.Person+_xlpm.Period,_xlpm.FTE,6+14*_xlpm.Person,
(INDEX('Calc - OTHER PERS'!$C:$C,_xlpm.ROWNUM) * INDEX('Calc - OTHER PERS'!$K:$K,_xlpm.FTE)))</f>
        <v>0</v>
      </c>
      <c r="F290" s="3050" cm="1">
        <f t="array" ref="F290">_xlfn.LET(_xlpm.Person,INT((ROW()-ROW($A$173))/8),_xlpm.Period,VALUE(RIGHT(F$38,LEN(F$38)-1))-1,_xlpm.ROWNUM,11+14*_xlpm.Person+_xlpm.Period,_xlpm.FTE,6+14*_xlpm.Person,
(INDEX('Calc - OTHER PERS'!$C:$C,_xlpm.ROWNUM) * INDEX('Calc - OTHER PERS'!$K:$K,_xlpm.FTE)))</f>
        <v>0</v>
      </c>
      <c r="G290" s="3050" cm="1">
        <f t="array" ref="G290">_xlfn.LET(_xlpm.Person,INT((ROW()-ROW($A$173))/8),_xlpm.Period,VALUE(RIGHT(G$38,LEN(G$38)-1))-1,_xlpm.ROWNUM,11+14*_xlpm.Person+_xlpm.Period,_xlpm.FTE,6+14*_xlpm.Person,
(INDEX('Calc - OTHER PERS'!$C:$C,_xlpm.ROWNUM) * INDEX('Calc - OTHER PERS'!$K:$K,_xlpm.FTE)))</f>
        <v>0</v>
      </c>
      <c r="H290" s="3050" cm="1">
        <f t="array" ref="H290">_xlfn.LET(_xlpm.Person,INT((ROW()-ROW($A$173))/8),_xlpm.Period,VALUE(RIGHT(H$38,LEN(H$38)-1))-1,_xlpm.ROWNUM,11+14*_xlpm.Person+_xlpm.Period,_xlpm.FTE,6+14*_xlpm.Person,
(INDEX('Calc - OTHER PERS'!$C:$C,_xlpm.ROWNUM) * INDEX('Calc - OTHER PERS'!$K:$K,_xlpm.FTE)))</f>
        <v>0</v>
      </c>
      <c r="I290" s="926"/>
    </row>
    <row r="291" spans="1:9" hidden="1" x14ac:dyDescent="0.25">
      <c r="I291" s="926"/>
    </row>
    <row r="292" spans="1:9" hidden="1" x14ac:dyDescent="0.25">
      <c r="I292" s="926"/>
    </row>
    <row r="293" spans="1:9" x14ac:dyDescent="0.25">
      <c r="A293" s="847" t="str" cm="1">
        <f t="array" ref="A293">INDEX('DATA INPUT'!B:B,29+INT((ROW()-ROW($A$293))/8))</f>
        <v>GA #01 / Sponsor Funds</v>
      </c>
      <c r="C293" s="3042" t="s">
        <v>1041</v>
      </c>
      <c r="D293" s="3042" t="s">
        <v>1042</v>
      </c>
      <c r="E293" s="3042" t="s">
        <v>1043</v>
      </c>
      <c r="F293" s="3042" t="s">
        <v>1044</v>
      </c>
      <c r="G293" s="3042" t="s">
        <v>1045</v>
      </c>
      <c r="H293" s="3042" t="s">
        <v>1046</v>
      </c>
      <c r="I293" s="926"/>
    </row>
    <row r="294" spans="1:9" ht="17.25" x14ac:dyDescent="0.3">
      <c r="A294" s="3043">
        <f t="shared" ref="A294" ca="1" si="96">SUM(C294:H294)</f>
        <v>0</v>
      </c>
      <c r="B294" s="3044" t="s">
        <v>3</v>
      </c>
      <c r="C294" s="3045">
        <f t="shared" ref="C294:H294" ca="1" si="97">ROUND(C296*C295*C298*(1+C297), 2)</f>
        <v>0</v>
      </c>
      <c r="D294" s="3045">
        <f t="shared" ca="1" si="97"/>
        <v>0</v>
      </c>
      <c r="E294" s="3045">
        <f t="shared" ca="1" si="97"/>
        <v>0</v>
      </c>
      <c r="F294" s="3045">
        <f t="shared" ca="1" si="97"/>
        <v>0</v>
      </c>
      <c r="G294" s="3045">
        <f t="shared" ca="1" si="97"/>
        <v>0</v>
      </c>
      <c r="H294" s="3045">
        <f t="shared" ca="1" si="97"/>
        <v>0</v>
      </c>
      <c r="I294" s="926"/>
    </row>
    <row r="295" spans="1:9" x14ac:dyDescent="0.25">
      <c r="B295" s="847" t="s">
        <v>1056</v>
      </c>
      <c r="C295" s="3052" cm="1">
        <f t="array" ref="C295">_xlfn.LET(_xlpm.Person,INT((ROW()-ROW($A$293))/8),_xlpm.Period,VALUE(RIGHT(C$38,LEN(C$38)-1))-1,_xlpm.ROWNUM,11+29*_xlpm.Person+_xlpm.Period,
INDEX('Calc - GRAD ASST'!$C:$C,_xlpm.ROWNUM))</f>
        <v>0</v>
      </c>
      <c r="D295" s="3052" cm="1">
        <f t="array" ref="D295">_xlfn.LET(_xlpm.Person,INT((ROW()-ROW($A$293))/8),_xlpm.Period,VALUE(RIGHT(D$38,LEN(D$38)-1))-1,_xlpm.ROWNUM,11+29*_xlpm.Person+_xlpm.Period,
INDEX('Calc - GRAD ASST'!$C:$C,_xlpm.ROWNUM))</f>
        <v>0</v>
      </c>
      <c r="E295" s="3052" cm="1">
        <f t="array" ref="E295">_xlfn.LET(_xlpm.Person,INT((ROW()-ROW($A$293))/8),_xlpm.Period,VALUE(RIGHT(E$38,LEN(E$38)-1))-1,_xlpm.ROWNUM,11+29*_xlpm.Person+_xlpm.Period,
INDEX('Calc - GRAD ASST'!$C:$C,_xlpm.ROWNUM))</f>
        <v>0</v>
      </c>
      <c r="F295" s="3052" cm="1">
        <f t="array" ref="F295">_xlfn.LET(_xlpm.Person,INT((ROW()-ROW($A$293))/8),_xlpm.Period,VALUE(RIGHT(F$38,LEN(F$38)-1))-1,_xlpm.ROWNUM,11+29*_xlpm.Person+_xlpm.Period,
INDEX('Calc - GRAD ASST'!$C:$C,_xlpm.ROWNUM))</f>
        <v>0</v>
      </c>
      <c r="G295" s="3052" cm="1">
        <f t="array" ref="G295">_xlfn.LET(_xlpm.Person,INT((ROW()-ROW($A$293))/8),_xlpm.Period,VALUE(RIGHT(G$38,LEN(G$38)-1))-1,_xlpm.ROWNUM,11+29*_xlpm.Person+_xlpm.Period,
INDEX('Calc - GRAD ASST'!$C:$C,_xlpm.ROWNUM))</f>
        <v>0</v>
      </c>
      <c r="H295" s="3052" cm="1">
        <f t="array" ref="H295">_xlfn.LET(_xlpm.Person,INT((ROW()-ROW($A$293))/8),_xlpm.Period,VALUE(RIGHT(H$38,LEN(H$38)-1))-1,_xlpm.ROWNUM,11+29*_xlpm.Person+_xlpm.Period,
INDEX('Calc - GRAD ASST'!$C:$C,_xlpm.ROWNUM))</f>
        <v>0</v>
      </c>
      <c r="I295" s="926"/>
    </row>
    <row r="296" spans="1:9" x14ac:dyDescent="0.25">
      <c r="B296" s="847" t="s">
        <v>1050</v>
      </c>
      <c r="C296" s="3058" cm="1">
        <f t="array" aca="1" ref="C296" ca="1">_xlfn.LET(_xlpm.Person,INT((ROW()-ROW($A$293))/8),_xlpm.Period,VALUE(RIGHT(C$38,LEN(C$38)-1))-1,_xlpm.ROWNUM,11+29*_xlpm.Person+_xlpm.Period,
ROUND(INDEX('Calc - GRAD ASST'!$I:$I,_xlpm.ROWNUM),2))</f>
        <v>2463.7600000000002</v>
      </c>
      <c r="D296" s="3058" cm="1">
        <f t="array" aca="1" ref="D296" ca="1">_xlfn.LET(_xlpm.Person,INT((ROW()-ROW($A$293))/8),_xlpm.Period,VALUE(RIGHT(D$38,LEN(D$38)-1))-1,_xlpm.ROWNUM,11+29*_xlpm.Person+_xlpm.Period,
ROUND(INDEX('Calc - GRAD ASST'!$I:$I,_xlpm.ROWNUM),2))</f>
        <v>2537.67</v>
      </c>
      <c r="E296" s="3058" cm="1">
        <f t="array" aca="1" ref="E296" ca="1">_xlfn.LET(_xlpm.Person,INT((ROW()-ROW($A$293))/8),_xlpm.Period,VALUE(RIGHT(E$38,LEN(E$38)-1))-1,_xlpm.ROWNUM,11+29*_xlpm.Person+_xlpm.Period,
ROUND(INDEX('Calc - GRAD ASST'!$I:$I,_xlpm.ROWNUM),2))</f>
        <v>2613.8000000000002</v>
      </c>
      <c r="F296" s="3058" cm="1">
        <f t="array" aca="1" ref="F296" ca="1">_xlfn.LET(_xlpm.Person,INT((ROW()-ROW($A$293))/8),_xlpm.Period,VALUE(RIGHT(F$38,LEN(F$38)-1))-1,_xlpm.ROWNUM,11+29*_xlpm.Person+_xlpm.Period,
ROUND(INDEX('Calc - GRAD ASST'!$I:$I,_xlpm.ROWNUM),2))</f>
        <v>2692.22</v>
      </c>
      <c r="G296" s="3058" cm="1">
        <f t="array" aca="1" ref="G296" ca="1">_xlfn.LET(_xlpm.Person,INT((ROW()-ROW($A$293))/8),_xlpm.Period,VALUE(RIGHT(G$38,LEN(G$38)-1))-1,_xlpm.ROWNUM,11+29*_xlpm.Person+_xlpm.Period,
ROUND(INDEX('Calc - GRAD ASST'!$I:$I,_xlpm.ROWNUM),2))</f>
        <v>2772.98</v>
      </c>
      <c r="H296" s="3058" cm="1">
        <f t="array" aca="1" ref="H296" ca="1">_xlfn.LET(_xlpm.Person,INT((ROW()-ROW($A$293))/8),_xlpm.Period,VALUE(RIGHT(H$38,LEN(H$38)-1))-1,_xlpm.ROWNUM,11+29*_xlpm.Person+_xlpm.Period,
ROUND(INDEX('Calc - GRAD ASST'!$I:$I,_xlpm.ROWNUM),2))</f>
        <v>2856.17</v>
      </c>
      <c r="I296" s="926"/>
    </row>
    <row r="297" spans="1:9" x14ac:dyDescent="0.25">
      <c r="B297" s="847" t="s">
        <v>1052</v>
      </c>
      <c r="C297" s="3053" cm="1">
        <f t="array" ref="C297">_xlfn.LET(_xlpm.Person,INT((ROW()-ROW($A$293))/8),_xlpm.Period,VALUE(RIGHT(C$38,LEN(C$38)-1))-1,_xlpm.ROWNUM,11+29*_xlpm.Person+_xlpm.Period,
INDEX('Calc - GRAD ASST'!$L:$L,_xlpm.ROWNUM))</f>
        <v>0.28499999999999998</v>
      </c>
      <c r="D297" s="3053" cm="1">
        <f t="array" ref="D297">_xlfn.LET(_xlpm.Person,INT((ROW()-ROW($A$293))/8),_xlpm.Period,VALUE(RIGHT(D$38,LEN(D$38)-1))-1,_xlpm.ROWNUM,11+29*_xlpm.Person+_xlpm.Period,
INDEX('Calc - GRAD ASST'!$L:$L,_xlpm.ROWNUM))</f>
        <v>0.30499999999999999</v>
      </c>
      <c r="E297" s="3053" cm="1">
        <f t="array" ref="E297">_xlfn.LET(_xlpm.Person,INT((ROW()-ROW($A$293))/8),_xlpm.Period,VALUE(RIGHT(E$38,LEN(E$38)-1))-1,_xlpm.ROWNUM,11+29*_xlpm.Person+_xlpm.Period,
INDEX('Calc - GRAD ASST'!$L:$L,_xlpm.ROWNUM))</f>
        <v>0.32500000000000001</v>
      </c>
      <c r="F297" s="3053" cm="1">
        <f t="array" ref="F297">_xlfn.LET(_xlpm.Person,INT((ROW()-ROW($A$293))/8),_xlpm.Period,VALUE(RIGHT(F$38,LEN(F$38)-1))-1,_xlpm.ROWNUM,11+29*_xlpm.Person+_xlpm.Period,
INDEX('Calc - GRAD ASST'!$L:$L,_xlpm.ROWNUM))</f>
        <v>0.34500000000000003</v>
      </c>
      <c r="G297" s="3053" cm="1">
        <f t="array" ref="G297">_xlfn.LET(_xlpm.Person,INT((ROW()-ROW($A$293))/8),_xlpm.Period,VALUE(RIGHT(G$38,LEN(G$38)-1))-1,_xlpm.ROWNUM,11+29*_xlpm.Person+_xlpm.Period,
INDEX('Calc - GRAD ASST'!$L:$L,_xlpm.ROWNUM))</f>
        <v>0.36500000000000005</v>
      </c>
      <c r="H297" s="3053" cm="1">
        <f t="array" ref="H297">_xlfn.LET(_xlpm.Person,INT((ROW()-ROW($A$293))/8),_xlpm.Period,VALUE(RIGHT(H$38,LEN(H$38)-1))-1,_xlpm.ROWNUM,11+29*_xlpm.Person+_xlpm.Period,
INDEX('Calc - GRAD ASST'!$L:$L,_xlpm.ROWNUM))</f>
        <v>0.38500000000000006</v>
      </c>
      <c r="I297" s="926"/>
    </row>
    <row r="298" spans="1:9" x14ac:dyDescent="0.25">
      <c r="B298" s="847" t="s">
        <v>1057</v>
      </c>
      <c r="C298" s="3021" cm="1">
        <f t="array" ref="C298">_xlfn.LET(_xlpm.Person,INT((ROW()-ROW($A$293))/8),_xlpm.Period,VALUE(RIGHT(C$38,LEN(C$38)-1))-1,_xlpm.ROWNUM,11+29*_xlpm.Person+_xlpm.Period,
INDEX('Calc - GRAD ASST'!$D:$D,_xlpm.ROWNUM))</f>
        <v>0</v>
      </c>
      <c r="D298" s="3021" cm="1">
        <f t="array" ref="D298">_xlfn.LET(_xlpm.Person,INT((ROW()-ROW($A$293))/8),_xlpm.Period,VALUE(RIGHT(D$38,LEN(D$38)-1))-1,_xlpm.ROWNUM,11+29*_xlpm.Person+_xlpm.Period,
INDEX('Calc - GRAD ASST'!$D:$D,_xlpm.ROWNUM))</f>
        <v>0</v>
      </c>
      <c r="E298" s="3021" cm="1">
        <f t="array" ref="E298">_xlfn.LET(_xlpm.Person,INT((ROW()-ROW($A$293))/8),_xlpm.Period,VALUE(RIGHT(E$38,LEN(E$38)-1))-1,_xlpm.ROWNUM,11+29*_xlpm.Person+_xlpm.Period,
INDEX('Calc - GRAD ASST'!$D:$D,_xlpm.ROWNUM))</f>
        <v>0</v>
      </c>
      <c r="F298" s="3021" cm="1">
        <f t="array" ref="F298">_xlfn.LET(_xlpm.Person,INT((ROW()-ROW($A$293))/8),_xlpm.Period,VALUE(RIGHT(F$38,LEN(F$38)-1))-1,_xlpm.ROWNUM,11+29*_xlpm.Person+_xlpm.Period,
INDEX('Calc - GRAD ASST'!$D:$D,_xlpm.ROWNUM))</f>
        <v>0</v>
      </c>
      <c r="G298" s="3021" cm="1">
        <f t="array" ref="G298">_xlfn.LET(_xlpm.Person,INT((ROW()-ROW($A$293))/8),_xlpm.Period,VALUE(RIGHT(G$38,LEN(G$38)-1))-1,_xlpm.ROWNUM,11+29*_xlpm.Person+_xlpm.Period,
INDEX('Calc - GRAD ASST'!$D:$D,_xlpm.ROWNUM))</f>
        <v>0</v>
      </c>
      <c r="H298" s="3021" cm="1">
        <f t="array" ref="H298">_xlfn.LET(_xlpm.Person,INT((ROW()-ROW($A$293))/8),_xlpm.Period,VALUE(RIGHT(H$38,LEN(H$38)-1))-1,_xlpm.ROWNUM,11+29*_xlpm.Person+_xlpm.Period,
INDEX('Calc - GRAD ASST'!$D:$D,_xlpm.ROWNUM))</f>
        <v>0</v>
      </c>
      <c r="I298" s="926"/>
    </row>
    <row r="299" spans="1:9" x14ac:dyDescent="0.25">
      <c r="I299" s="926"/>
    </row>
    <row r="300" spans="1:9" x14ac:dyDescent="0.25">
      <c r="I300" s="926"/>
    </row>
    <row r="301" spans="1:9" x14ac:dyDescent="0.25">
      <c r="A301" s="847" t="str" cm="1">
        <f t="array" ref="A301">INDEX('DATA INPUT'!B:B,29+INT((ROW()-ROW($A$293))/8))</f>
        <v>GA #02 / Sponsor Funds</v>
      </c>
      <c r="C301" s="3042" t="s">
        <v>1041</v>
      </c>
      <c r="D301" s="3042" t="s">
        <v>1042</v>
      </c>
      <c r="E301" s="3042" t="s">
        <v>1043</v>
      </c>
      <c r="F301" s="3042" t="s">
        <v>1044</v>
      </c>
      <c r="G301" s="3042" t="s">
        <v>1045</v>
      </c>
      <c r="H301" s="3042" t="s">
        <v>1046</v>
      </c>
      <c r="I301" s="926"/>
    </row>
    <row r="302" spans="1:9" ht="17.25" x14ac:dyDescent="0.3">
      <c r="A302" s="3043">
        <f t="shared" ref="A302" ca="1" si="98">SUM(C302:H302)</f>
        <v>0</v>
      </c>
      <c r="B302" s="3044" t="s">
        <v>3</v>
      </c>
      <c r="C302" s="3045">
        <f t="shared" ref="C302:H302" ca="1" si="99">ROUND(C304*C303*C306*(1+C305), 2)</f>
        <v>0</v>
      </c>
      <c r="D302" s="3045">
        <f t="shared" ca="1" si="99"/>
        <v>0</v>
      </c>
      <c r="E302" s="3045">
        <f t="shared" ca="1" si="99"/>
        <v>0</v>
      </c>
      <c r="F302" s="3045">
        <f t="shared" ca="1" si="99"/>
        <v>0</v>
      </c>
      <c r="G302" s="3045">
        <f t="shared" ca="1" si="99"/>
        <v>0</v>
      </c>
      <c r="H302" s="3045">
        <f t="shared" ca="1" si="99"/>
        <v>0</v>
      </c>
      <c r="I302" s="926"/>
    </row>
    <row r="303" spans="1:9" x14ac:dyDescent="0.25">
      <c r="B303" s="847" t="s">
        <v>1056</v>
      </c>
      <c r="C303" s="3052" cm="1">
        <f t="array" ref="C303">_xlfn.LET(_xlpm.Person,INT((ROW()-ROW($A$293))/8),_xlpm.Period,VALUE(RIGHT(C$38,LEN(C$38)-1))-1,_xlpm.ROWNUM,11+29*_xlpm.Person+_xlpm.Period,
INDEX('Calc - GRAD ASST'!$C:$C,_xlpm.ROWNUM))</f>
        <v>0</v>
      </c>
      <c r="D303" s="3052" cm="1">
        <f t="array" ref="D303">_xlfn.LET(_xlpm.Person,INT((ROW()-ROW($A$293))/8),_xlpm.Period,VALUE(RIGHT(D$38,LEN(D$38)-1))-1,_xlpm.ROWNUM,11+29*_xlpm.Person+_xlpm.Period,
INDEX('Calc - GRAD ASST'!$C:$C,_xlpm.ROWNUM))</f>
        <v>0</v>
      </c>
      <c r="E303" s="3052" cm="1">
        <f t="array" ref="E303">_xlfn.LET(_xlpm.Person,INT((ROW()-ROW($A$293))/8),_xlpm.Period,VALUE(RIGHT(E$38,LEN(E$38)-1))-1,_xlpm.ROWNUM,11+29*_xlpm.Person+_xlpm.Period,
INDEX('Calc - GRAD ASST'!$C:$C,_xlpm.ROWNUM))</f>
        <v>0</v>
      </c>
      <c r="F303" s="3052" cm="1">
        <f t="array" ref="F303">_xlfn.LET(_xlpm.Person,INT((ROW()-ROW($A$293))/8),_xlpm.Period,VALUE(RIGHT(F$38,LEN(F$38)-1))-1,_xlpm.ROWNUM,11+29*_xlpm.Person+_xlpm.Period,
INDEX('Calc - GRAD ASST'!$C:$C,_xlpm.ROWNUM))</f>
        <v>0</v>
      </c>
      <c r="G303" s="3052" cm="1">
        <f t="array" ref="G303">_xlfn.LET(_xlpm.Person,INT((ROW()-ROW($A$293))/8),_xlpm.Period,VALUE(RIGHT(G$38,LEN(G$38)-1))-1,_xlpm.ROWNUM,11+29*_xlpm.Person+_xlpm.Period,
INDEX('Calc - GRAD ASST'!$C:$C,_xlpm.ROWNUM))</f>
        <v>0</v>
      </c>
      <c r="H303" s="3052" cm="1">
        <f t="array" ref="H303">_xlfn.LET(_xlpm.Person,INT((ROW()-ROW($A$293))/8),_xlpm.Period,VALUE(RIGHT(H$38,LEN(H$38)-1))-1,_xlpm.ROWNUM,11+29*_xlpm.Person+_xlpm.Period,
INDEX('Calc - GRAD ASST'!$C:$C,_xlpm.ROWNUM))</f>
        <v>0</v>
      </c>
      <c r="I303" s="926"/>
    </row>
    <row r="304" spans="1:9" x14ac:dyDescent="0.25">
      <c r="B304" s="847" t="s">
        <v>1050</v>
      </c>
      <c r="C304" s="3058" cm="1">
        <f t="array" aca="1" ref="C304" ca="1">_xlfn.LET(_xlpm.Person,INT((ROW()-ROW($A$293))/8),_xlpm.Period,VALUE(RIGHT(C$38,LEN(C$38)-1))-1,_xlpm.ROWNUM,11+29*_xlpm.Person+_xlpm.Period,
ROUND(INDEX('Calc - GRAD ASST'!$I:$I,_xlpm.ROWNUM),2))</f>
        <v>0</v>
      </c>
      <c r="D304" s="3058" cm="1">
        <f t="array" aca="1" ref="D304" ca="1">_xlfn.LET(_xlpm.Person,INT((ROW()-ROW($A$293))/8),_xlpm.Period,VALUE(RIGHT(D$38,LEN(D$38)-1))-1,_xlpm.ROWNUM,11+29*_xlpm.Person+_xlpm.Period,
ROUND(INDEX('Calc - GRAD ASST'!$I:$I,_xlpm.ROWNUM),2))</f>
        <v>0</v>
      </c>
      <c r="E304" s="3058" cm="1">
        <f t="array" aca="1" ref="E304" ca="1">_xlfn.LET(_xlpm.Person,INT((ROW()-ROW($A$293))/8),_xlpm.Period,VALUE(RIGHT(E$38,LEN(E$38)-1))-1,_xlpm.ROWNUM,11+29*_xlpm.Person+_xlpm.Period,
ROUND(INDEX('Calc - GRAD ASST'!$I:$I,_xlpm.ROWNUM),2))</f>
        <v>0</v>
      </c>
      <c r="F304" s="3058" cm="1">
        <f t="array" aca="1" ref="F304" ca="1">_xlfn.LET(_xlpm.Person,INT((ROW()-ROW($A$293))/8),_xlpm.Period,VALUE(RIGHT(F$38,LEN(F$38)-1))-1,_xlpm.ROWNUM,11+29*_xlpm.Person+_xlpm.Period,
ROUND(INDEX('Calc - GRAD ASST'!$I:$I,_xlpm.ROWNUM),2))</f>
        <v>0</v>
      </c>
      <c r="G304" s="3058" cm="1">
        <f t="array" aca="1" ref="G304" ca="1">_xlfn.LET(_xlpm.Person,INT((ROW()-ROW($A$293))/8),_xlpm.Period,VALUE(RIGHT(G$38,LEN(G$38)-1))-1,_xlpm.ROWNUM,11+29*_xlpm.Person+_xlpm.Period,
ROUND(INDEX('Calc - GRAD ASST'!$I:$I,_xlpm.ROWNUM),2))</f>
        <v>0</v>
      </c>
      <c r="H304" s="3058" cm="1">
        <f t="array" aca="1" ref="H304" ca="1">_xlfn.LET(_xlpm.Person,INT((ROW()-ROW($A$293))/8),_xlpm.Period,VALUE(RIGHT(H$38,LEN(H$38)-1))-1,_xlpm.ROWNUM,11+29*_xlpm.Person+_xlpm.Period,
ROUND(INDEX('Calc - GRAD ASST'!$I:$I,_xlpm.ROWNUM),2))</f>
        <v>0</v>
      </c>
      <c r="I304" s="926"/>
    </row>
    <row r="305" spans="1:9" x14ac:dyDescent="0.25">
      <c r="B305" s="847" t="s">
        <v>1052</v>
      </c>
      <c r="C305" s="3053" cm="1">
        <f t="array" ref="C305">_xlfn.LET(_xlpm.Person,INT((ROW()-ROW($A$293))/8),_xlpm.Period,VALUE(RIGHT(C$38,LEN(C$38)-1))-1,_xlpm.ROWNUM,11+29*_xlpm.Person+_xlpm.Period,
INDEX('Calc - GRAD ASST'!$L:$L,_xlpm.ROWNUM))</f>
        <v>0.28499999999999998</v>
      </c>
      <c r="D305" s="3053" cm="1">
        <f t="array" ref="D305">_xlfn.LET(_xlpm.Person,INT((ROW()-ROW($A$293))/8),_xlpm.Period,VALUE(RIGHT(D$38,LEN(D$38)-1))-1,_xlpm.ROWNUM,11+29*_xlpm.Person+_xlpm.Period,
INDEX('Calc - GRAD ASST'!$L:$L,_xlpm.ROWNUM))</f>
        <v>0.30499999999999999</v>
      </c>
      <c r="E305" s="3053" cm="1">
        <f t="array" ref="E305">_xlfn.LET(_xlpm.Person,INT((ROW()-ROW($A$293))/8),_xlpm.Period,VALUE(RIGHT(E$38,LEN(E$38)-1))-1,_xlpm.ROWNUM,11+29*_xlpm.Person+_xlpm.Period,
INDEX('Calc - GRAD ASST'!$L:$L,_xlpm.ROWNUM))</f>
        <v>0.32500000000000001</v>
      </c>
      <c r="F305" s="3053" cm="1">
        <f t="array" ref="F305">_xlfn.LET(_xlpm.Person,INT((ROW()-ROW($A$293))/8),_xlpm.Period,VALUE(RIGHT(F$38,LEN(F$38)-1))-1,_xlpm.ROWNUM,11+29*_xlpm.Person+_xlpm.Period,
INDEX('Calc - GRAD ASST'!$L:$L,_xlpm.ROWNUM))</f>
        <v>0.34500000000000003</v>
      </c>
      <c r="G305" s="3053" cm="1">
        <f t="array" ref="G305">_xlfn.LET(_xlpm.Person,INT((ROW()-ROW($A$293))/8),_xlpm.Period,VALUE(RIGHT(G$38,LEN(G$38)-1))-1,_xlpm.ROWNUM,11+29*_xlpm.Person+_xlpm.Period,
INDEX('Calc - GRAD ASST'!$L:$L,_xlpm.ROWNUM))</f>
        <v>0.36500000000000005</v>
      </c>
      <c r="H305" s="3053" cm="1">
        <f t="array" ref="H305">_xlfn.LET(_xlpm.Person,INT((ROW()-ROW($A$293))/8),_xlpm.Period,VALUE(RIGHT(H$38,LEN(H$38)-1))-1,_xlpm.ROWNUM,11+29*_xlpm.Person+_xlpm.Period,
INDEX('Calc - GRAD ASST'!$L:$L,_xlpm.ROWNUM))</f>
        <v>0.38500000000000006</v>
      </c>
      <c r="I305" s="926"/>
    </row>
    <row r="306" spans="1:9" x14ac:dyDescent="0.25">
      <c r="B306" s="847" t="s">
        <v>1057</v>
      </c>
      <c r="C306" s="3021" cm="1">
        <f t="array" ref="C306">_xlfn.LET(_xlpm.Person,INT((ROW()-ROW($A$293))/8),_xlpm.Period,VALUE(RIGHT(C$38,LEN(C$38)-1))-1,_xlpm.ROWNUM,11+29*_xlpm.Person+_xlpm.Period,
INDEX('Calc - GRAD ASST'!$D:$D,_xlpm.ROWNUM))</f>
        <v>0</v>
      </c>
      <c r="D306" s="3021" cm="1">
        <f t="array" ref="D306">_xlfn.LET(_xlpm.Person,INT((ROW()-ROW($A$293))/8),_xlpm.Period,VALUE(RIGHT(D$38,LEN(D$38)-1))-1,_xlpm.ROWNUM,11+29*_xlpm.Person+_xlpm.Period,
INDEX('Calc - GRAD ASST'!$D:$D,_xlpm.ROWNUM))</f>
        <v>0</v>
      </c>
      <c r="E306" s="3021" cm="1">
        <f t="array" ref="E306">_xlfn.LET(_xlpm.Person,INT((ROW()-ROW($A$293))/8),_xlpm.Period,VALUE(RIGHT(E$38,LEN(E$38)-1))-1,_xlpm.ROWNUM,11+29*_xlpm.Person+_xlpm.Period,
INDEX('Calc - GRAD ASST'!$D:$D,_xlpm.ROWNUM))</f>
        <v>0</v>
      </c>
      <c r="F306" s="3021" cm="1">
        <f t="array" ref="F306">_xlfn.LET(_xlpm.Person,INT((ROW()-ROW($A$293))/8),_xlpm.Period,VALUE(RIGHT(F$38,LEN(F$38)-1))-1,_xlpm.ROWNUM,11+29*_xlpm.Person+_xlpm.Period,
INDEX('Calc - GRAD ASST'!$D:$D,_xlpm.ROWNUM))</f>
        <v>0</v>
      </c>
      <c r="G306" s="3021" cm="1">
        <f t="array" ref="G306">_xlfn.LET(_xlpm.Person,INT((ROW()-ROW($A$293))/8),_xlpm.Period,VALUE(RIGHT(G$38,LEN(G$38)-1))-1,_xlpm.ROWNUM,11+29*_xlpm.Person+_xlpm.Period,
INDEX('Calc - GRAD ASST'!$D:$D,_xlpm.ROWNUM))</f>
        <v>0</v>
      </c>
      <c r="H306" s="3021" cm="1">
        <f t="array" ref="H306">_xlfn.LET(_xlpm.Person,INT((ROW()-ROW($A$293))/8),_xlpm.Period,VALUE(RIGHT(H$38,LEN(H$38)-1))-1,_xlpm.ROWNUM,11+29*_xlpm.Person+_xlpm.Period,
INDEX('Calc - GRAD ASST'!$D:$D,_xlpm.ROWNUM))</f>
        <v>0</v>
      </c>
      <c r="I306" s="926"/>
    </row>
    <row r="307" spans="1:9" x14ac:dyDescent="0.25">
      <c r="B307" s="847"/>
      <c r="I307" s="926"/>
    </row>
    <row r="308" spans="1:9" x14ac:dyDescent="0.25">
      <c r="I308" s="926"/>
    </row>
    <row r="309" spans="1:9" hidden="1" x14ac:dyDescent="0.25">
      <c r="A309" s="847" t="str" cm="1">
        <f t="array" ref="A309">INDEX('DATA INPUT'!B:B,29+INT((ROW()-ROW($A$293))/8))</f>
        <v>GA #03 / Sponsor Funds</v>
      </c>
      <c r="C309" s="3042" t="s">
        <v>1041</v>
      </c>
      <c r="D309" s="3042" t="s">
        <v>1042</v>
      </c>
      <c r="E309" s="3042" t="s">
        <v>1043</v>
      </c>
      <c r="F309" s="3042" t="s">
        <v>1044</v>
      </c>
      <c r="G309" s="3042" t="s">
        <v>1045</v>
      </c>
      <c r="H309" s="3042" t="s">
        <v>1046</v>
      </c>
      <c r="I309" s="926"/>
    </row>
    <row r="310" spans="1:9" ht="17.25" hidden="1" x14ac:dyDescent="0.3">
      <c r="A310" s="3043">
        <f t="shared" ref="A310" ca="1" si="100">SUM(C310:H310)</f>
        <v>0</v>
      </c>
      <c r="B310" s="3044" t="s">
        <v>3</v>
      </c>
      <c r="C310" s="3045">
        <f t="shared" ref="C310:H310" ca="1" si="101">ROUND(C312*C311*C314*(1+C313), 2)</f>
        <v>0</v>
      </c>
      <c r="D310" s="3045">
        <f t="shared" ca="1" si="101"/>
        <v>0</v>
      </c>
      <c r="E310" s="3045">
        <f t="shared" ca="1" si="101"/>
        <v>0</v>
      </c>
      <c r="F310" s="3045">
        <f t="shared" ca="1" si="101"/>
        <v>0</v>
      </c>
      <c r="G310" s="3045">
        <f t="shared" ca="1" si="101"/>
        <v>0</v>
      </c>
      <c r="H310" s="3045">
        <f t="shared" ca="1" si="101"/>
        <v>0</v>
      </c>
      <c r="I310" s="926"/>
    </row>
    <row r="311" spans="1:9" hidden="1" x14ac:dyDescent="0.25">
      <c r="B311" s="847" t="s">
        <v>1056</v>
      </c>
      <c r="C311" s="3052" cm="1">
        <f t="array" ref="C311">_xlfn.LET(_xlpm.Person,INT((ROW()-ROW($A$293))/8),_xlpm.Period,VALUE(RIGHT(C$38,LEN(C$38)-1))-1,_xlpm.ROWNUM,11+29*_xlpm.Person+_xlpm.Period,
INDEX('Calc - GRAD ASST'!$C:$C,_xlpm.ROWNUM))</f>
        <v>0</v>
      </c>
      <c r="D311" s="3052" cm="1">
        <f t="array" ref="D311">_xlfn.LET(_xlpm.Person,INT((ROW()-ROW($A$293))/8),_xlpm.Period,VALUE(RIGHT(D$38,LEN(D$38)-1))-1,_xlpm.ROWNUM,11+29*_xlpm.Person+_xlpm.Period,
INDEX('Calc - GRAD ASST'!$C:$C,_xlpm.ROWNUM))</f>
        <v>0</v>
      </c>
      <c r="E311" s="3052" cm="1">
        <f t="array" ref="E311">_xlfn.LET(_xlpm.Person,INT((ROW()-ROW($A$293))/8),_xlpm.Period,VALUE(RIGHT(E$38,LEN(E$38)-1))-1,_xlpm.ROWNUM,11+29*_xlpm.Person+_xlpm.Period,
INDEX('Calc - GRAD ASST'!$C:$C,_xlpm.ROWNUM))</f>
        <v>0</v>
      </c>
      <c r="F311" s="3052" cm="1">
        <f t="array" ref="F311">_xlfn.LET(_xlpm.Person,INT((ROW()-ROW($A$293))/8),_xlpm.Period,VALUE(RIGHT(F$38,LEN(F$38)-1))-1,_xlpm.ROWNUM,11+29*_xlpm.Person+_xlpm.Period,
INDEX('Calc - GRAD ASST'!$C:$C,_xlpm.ROWNUM))</f>
        <v>0</v>
      </c>
      <c r="G311" s="3052" cm="1">
        <f t="array" ref="G311">_xlfn.LET(_xlpm.Person,INT((ROW()-ROW($A$293))/8),_xlpm.Period,VALUE(RIGHT(G$38,LEN(G$38)-1))-1,_xlpm.ROWNUM,11+29*_xlpm.Person+_xlpm.Period,
INDEX('Calc - GRAD ASST'!$C:$C,_xlpm.ROWNUM))</f>
        <v>0</v>
      </c>
      <c r="H311" s="3052" cm="1">
        <f t="array" ref="H311">_xlfn.LET(_xlpm.Person,INT((ROW()-ROW($A$293))/8),_xlpm.Period,VALUE(RIGHT(H$38,LEN(H$38)-1))-1,_xlpm.ROWNUM,11+29*_xlpm.Person+_xlpm.Period,
INDEX('Calc - GRAD ASST'!$C:$C,_xlpm.ROWNUM))</f>
        <v>0</v>
      </c>
      <c r="I311" s="926"/>
    </row>
    <row r="312" spans="1:9" hidden="1" x14ac:dyDescent="0.25">
      <c r="B312" s="847" t="s">
        <v>1050</v>
      </c>
      <c r="C312" s="3058" cm="1">
        <f t="array" aca="1" ref="C312" ca="1">_xlfn.LET(_xlpm.Person,INT((ROW()-ROW($A$293))/8),_xlpm.Period,VALUE(RIGHT(C$38,LEN(C$38)-1))-1,_xlpm.ROWNUM,11+29*_xlpm.Person+_xlpm.Period,
ROUND(INDEX('Calc - GRAD ASST'!$I:$I,_xlpm.ROWNUM),2))</f>
        <v>0</v>
      </c>
      <c r="D312" s="3058" cm="1">
        <f t="array" aca="1" ref="D312" ca="1">_xlfn.LET(_xlpm.Person,INT((ROW()-ROW($A$293))/8),_xlpm.Period,VALUE(RIGHT(D$38,LEN(D$38)-1))-1,_xlpm.ROWNUM,11+29*_xlpm.Person+_xlpm.Period,
ROUND(INDEX('Calc - GRAD ASST'!$I:$I,_xlpm.ROWNUM),2))</f>
        <v>0</v>
      </c>
      <c r="E312" s="3058" cm="1">
        <f t="array" aca="1" ref="E312" ca="1">_xlfn.LET(_xlpm.Person,INT((ROW()-ROW($A$293))/8),_xlpm.Period,VALUE(RIGHT(E$38,LEN(E$38)-1))-1,_xlpm.ROWNUM,11+29*_xlpm.Person+_xlpm.Period,
ROUND(INDEX('Calc - GRAD ASST'!$I:$I,_xlpm.ROWNUM),2))</f>
        <v>0</v>
      </c>
      <c r="F312" s="3058" cm="1">
        <f t="array" aca="1" ref="F312" ca="1">_xlfn.LET(_xlpm.Person,INT((ROW()-ROW($A$293))/8),_xlpm.Period,VALUE(RIGHT(F$38,LEN(F$38)-1))-1,_xlpm.ROWNUM,11+29*_xlpm.Person+_xlpm.Period,
ROUND(INDEX('Calc - GRAD ASST'!$I:$I,_xlpm.ROWNUM),2))</f>
        <v>0</v>
      </c>
      <c r="G312" s="3058" cm="1">
        <f t="array" aca="1" ref="G312" ca="1">_xlfn.LET(_xlpm.Person,INT((ROW()-ROW($A$293))/8),_xlpm.Period,VALUE(RIGHT(G$38,LEN(G$38)-1))-1,_xlpm.ROWNUM,11+29*_xlpm.Person+_xlpm.Period,
ROUND(INDEX('Calc - GRAD ASST'!$I:$I,_xlpm.ROWNUM),2))</f>
        <v>0</v>
      </c>
      <c r="H312" s="3058" cm="1">
        <f t="array" aca="1" ref="H312" ca="1">_xlfn.LET(_xlpm.Person,INT((ROW()-ROW($A$293))/8),_xlpm.Period,VALUE(RIGHT(H$38,LEN(H$38)-1))-1,_xlpm.ROWNUM,11+29*_xlpm.Person+_xlpm.Period,
ROUND(INDEX('Calc - GRAD ASST'!$I:$I,_xlpm.ROWNUM),2))</f>
        <v>0</v>
      </c>
      <c r="I312" s="926"/>
    </row>
    <row r="313" spans="1:9" hidden="1" x14ac:dyDescent="0.25">
      <c r="B313" s="847" t="s">
        <v>1052</v>
      </c>
      <c r="C313" s="3053" cm="1">
        <f t="array" ref="C313">_xlfn.LET(_xlpm.Person,INT((ROW()-ROW($A$293))/8),_xlpm.Period,VALUE(RIGHT(C$38,LEN(C$38)-1))-1,_xlpm.ROWNUM,11+29*_xlpm.Person+_xlpm.Period,
INDEX('Calc - GRAD ASST'!$L:$L,_xlpm.ROWNUM))</f>
        <v>0.28499999999999998</v>
      </c>
      <c r="D313" s="3053" cm="1">
        <f t="array" ref="D313">_xlfn.LET(_xlpm.Person,INT((ROW()-ROW($A$293))/8),_xlpm.Period,VALUE(RIGHT(D$38,LEN(D$38)-1))-1,_xlpm.ROWNUM,11+29*_xlpm.Person+_xlpm.Period,
INDEX('Calc - GRAD ASST'!$L:$L,_xlpm.ROWNUM))</f>
        <v>0.30499999999999999</v>
      </c>
      <c r="E313" s="3053" cm="1">
        <f t="array" ref="E313">_xlfn.LET(_xlpm.Person,INT((ROW()-ROW($A$293))/8),_xlpm.Period,VALUE(RIGHT(E$38,LEN(E$38)-1))-1,_xlpm.ROWNUM,11+29*_xlpm.Person+_xlpm.Period,
INDEX('Calc - GRAD ASST'!$L:$L,_xlpm.ROWNUM))</f>
        <v>0.32500000000000001</v>
      </c>
      <c r="F313" s="3053" cm="1">
        <f t="array" ref="F313">_xlfn.LET(_xlpm.Person,INT((ROW()-ROW($A$293))/8),_xlpm.Period,VALUE(RIGHT(F$38,LEN(F$38)-1))-1,_xlpm.ROWNUM,11+29*_xlpm.Person+_xlpm.Period,
INDEX('Calc - GRAD ASST'!$L:$L,_xlpm.ROWNUM))</f>
        <v>0.34500000000000003</v>
      </c>
      <c r="G313" s="3053" cm="1">
        <f t="array" ref="G313">_xlfn.LET(_xlpm.Person,INT((ROW()-ROW($A$293))/8),_xlpm.Period,VALUE(RIGHT(G$38,LEN(G$38)-1))-1,_xlpm.ROWNUM,11+29*_xlpm.Person+_xlpm.Period,
INDEX('Calc - GRAD ASST'!$L:$L,_xlpm.ROWNUM))</f>
        <v>0.36500000000000005</v>
      </c>
      <c r="H313" s="3053" cm="1">
        <f t="array" ref="H313">_xlfn.LET(_xlpm.Person,INT((ROW()-ROW($A$293))/8),_xlpm.Period,VALUE(RIGHT(H$38,LEN(H$38)-1))-1,_xlpm.ROWNUM,11+29*_xlpm.Person+_xlpm.Period,
INDEX('Calc - GRAD ASST'!$L:$L,_xlpm.ROWNUM))</f>
        <v>0.38500000000000006</v>
      </c>
      <c r="I313" s="926"/>
    </row>
    <row r="314" spans="1:9" hidden="1" x14ac:dyDescent="0.25">
      <c r="B314" s="847" t="s">
        <v>1057</v>
      </c>
      <c r="C314" s="3021" cm="1">
        <f t="array" ref="C314">_xlfn.LET(_xlpm.Person,INT((ROW()-ROW($A$293))/8),_xlpm.Period,VALUE(RIGHT(C$38,LEN(C$38)-1))-1,_xlpm.ROWNUM,11+29*_xlpm.Person+_xlpm.Period,
INDEX('Calc - GRAD ASST'!$D:$D,_xlpm.ROWNUM))</f>
        <v>0</v>
      </c>
      <c r="D314" s="3021" cm="1">
        <f t="array" ref="D314">_xlfn.LET(_xlpm.Person,INT((ROW()-ROW($A$293))/8),_xlpm.Period,VALUE(RIGHT(D$38,LEN(D$38)-1))-1,_xlpm.ROWNUM,11+29*_xlpm.Person+_xlpm.Period,
INDEX('Calc - GRAD ASST'!$D:$D,_xlpm.ROWNUM))</f>
        <v>0</v>
      </c>
      <c r="E314" s="3021" cm="1">
        <f t="array" ref="E314">_xlfn.LET(_xlpm.Person,INT((ROW()-ROW($A$293))/8),_xlpm.Period,VALUE(RIGHT(E$38,LEN(E$38)-1))-1,_xlpm.ROWNUM,11+29*_xlpm.Person+_xlpm.Period,
INDEX('Calc - GRAD ASST'!$D:$D,_xlpm.ROWNUM))</f>
        <v>0</v>
      </c>
      <c r="F314" s="3021" cm="1">
        <f t="array" ref="F314">_xlfn.LET(_xlpm.Person,INT((ROW()-ROW($A$293))/8),_xlpm.Period,VALUE(RIGHT(F$38,LEN(F$38)-1))-1,_xlpm.ROWNUM,11+29*_xlpm.Person+_xlpm.Period,
INDEX('Calc - GRAD ASST'!$D:$D,_xlpm.ROWNUM))</f>
        <v>0</v>
      </c>
      <c r="G314" s="3021" cm="1">
        <f t="array" ref="G314">_xlfn.LET(_xlpm.Person,INT((ROW()-ROW($A$293))/8),_xlpm.Period,VALUE(RIGHT(G$38,LEN(G$38)-1))-1,_xlpm.ROWNUM,11+29*_xlpm.Person+_xlpm.Period,
INDEX('Calc - GRAD ASST'!$D:$D,_xlpm.ROWNUM))</f>
        <v>0</v>
      </c>
      <c r="H314" s="3021" cm="1">
        <f t="array" ref="H314">_xlfn.LET(_xlpm.Person,INT((ROW()-ROW($A$293))/8),_xlpm.Period,VALUE(RIGHT(H$38,LEN(H$38)-1))-1,_xlpm.ROWNUM,11+29*_xlpm.Person+_xlpm.Period,
INDEX('Calc - GRAD ASST'!$D:$D,_xlpm.ROWNUM))</f>
        <v>0</v>
      </c>
      <c r="I314" s="926"/>
    </row>
    <row r="315" spans="1:9" hidden="1" x14ac:dyDescent="0.25">
      <c r="I315" s="926"/>
    </row>
    <row r="316" spans="1:9" hidden="1" x14ac:dyDescent="0.25">
      <c r="I316" s="926"/>
    </row>
    <row r="317" spans="1:9" hidden="1" x14ac:dyDescent="0.25">
      <c r="A317" s="847" t="str" cm="1">
        <f t="array" ref="A317">INDEX('DATA INPUT'!B:B,29+INT((ROW()-ROW($A$293))/8))</f>
        <v>GA #04 / Sponsor Funds</v>
      </c>
      <c r="C317" s="3042" t="s">
        <v>1041</v>
      </c>
      <c r="D317" s="3042" t="s">
        <v>1042</v>
      </c>
      <c r="E317" s="3042" t="s">
        <v>1043</v>
      </c>
      <c r="F317" s="3042" t="s">
        <v>1044</v>
      </c>
      <c r="G317" s="3042" t="s">
        <v>1045</v>
      </c>
      <c r="H317" s="3042" t="s">
        <v>1046</v>
      </c>
      <c r="I317" s="926"/>
    </row>
    <row r="318" spans="1:9" ht="17.25" hidden="1" x14ac:dyDescent="0.3">
      <c r="A318" s="3043">
        <f t="shared" ref="A318" ca="1" si="102">SUM(C318:H318)</f>
        <v>0</v>
      </c>
      <c r="B318" s="3044" t="s">
        <v>3</v>
      </c>
      <c r="C318" s="3045">
        <f t="shared" ref="C318:H318" ca="1" si="103">ROUND(C320*C319*C322*(1+C321), 2)</f>
        <v>0</v>
      </c>
      <c r="D318" s="3045">
        <f t="shared" ca="1" si="103"/>
        <v>0</v>
      </c>
      <c r="E318" s="3045">
        <f t="shared" ca="1" si="103"/>
        <v>0</v>
      </c>
      <c r="F318" s="3045">
        <f t="shared" ca="1" si="103"/>
        <v>0</v>
      </c>
      <c r="G318" s="3045">
        <f t="shared" ca="1" si="103"/>
        <v>0</v>
      </c>
      <c r="H318" s="3045">
        <f t="shared" ca="1" si="103"/>
        <v>0</v>
      </c>
      <c r="I318" s="926"/>
    </row>
    <row r="319" spans="1:9" hidden="1" x14ac:dyDescent="0.25">
      <c r="B319" s="847" t="s">
        <v>1056</v>
      </c>
      <c r="C319" s="3052" cm="1">
        <f t="array" ref="C319">_xlfn.LET(_xlpm.Person,INT((ROW()-ROW($A$293))/8),_xlpm.Period,VALUE(RIGHT(C$38,LEN(C$38)-1))-1,_xlpm.ROWNUM,11+29*_xlpm.Person+_xlpm.Period,
INDEX('Calc - GRAD ASST'!$C:$C,_xlpm.ROWNUM))</f>
        <v>0</v>
      </c>
      <c r="D319" s="3052" cm="1">
        <f t="array" ref="D319">_xlfn.LET(_xlpm.Person,INT((ROW()-ROW($A$293))/8),_xlpm.Period,VALUE(RIGHT(D$38,LEN(D$38)-1))-1,_xlpm.ROWNUM,11+29*_xlpm.Person+_xlpm.Period,
INDEX('Calc - GRAD ASST'!$C:$C,_xlpm.ROWNUM))</f>
        <v>0</v>
      </c>
      <c r="E319" s="3052" cm="1">
        <f t="array" ref="E319">_xlfn.LET(_xlpm.Person,INT((ROW()-ROW($A$293))/8),_xlpm.Period,VALUE(RIGHT(E$38,LEN(E$38)-1))-1,_xlpm.ROWNUM,11+29*_xlpm.Person+_xlpm.Period,
INDEX('Calc - GRAD ASST'!$C:$C,_xlpm.ROWNUM))</f>
        <v>0</v>
      </c>
      <c r="F319" s="3052" cm="1">
        <f t="array" ref="F319">_xlfn.LET(_xlpm.Person,INT((ROW()-ROW($A$293))/8),_xlpm.Period,VALUE(RIGHT(F$38,LEN(F$38)-1))-1,_xlpm.ROWNUM,11+29*_xlpm.Person+_xlpm.Period,
INDEX('Calc - GRAD ASST'!$C:$C,_xlpm.ROWNUM))</f>
        <v>0</v>
      </c>
      <c r="G319" s="3052" cm="1">
        <f t="array" ref="G319">_xlfn.LET(_xlpm.Person,INT((ROW()-ROW($A$293))/8),_xlpm.Period,VALUE(RIGHT(G$38,LEN(G$38)-1))-1,_xlpm.ROWNUM,11+29*_xlpm.Person+_xlpm.Period,
INDEX('Calc - GRAD ASST'!$C:$C,_xlpm.ROWNUM))</f>
        <v>0</v>
      </c>
      <c r="H319" s="3052" cm="1">
        <f t="array" ref="H319">_xlfn.LET(_xlpm.Person,INT((ROW()-ROW($A$293))/8),_xlpm.Period,VALUE(RIGHT(H$38,LEN(H$38)-1))-1,_xlpm.ROWNUM,11+29*_xlpm.Person+_xlpm.Period,
INDEX('Calc - GRAD ASST'!$C:$C,_xlpm.ROWNUM))</f>
        <v>0</v>
      </c>
      <c r="I319" s="926"/>
    </row>
    <row r="320" spans="1:9" hidden="1" x14ac:dyDescent="0.25">
      <c r="B320" s="847" t="s">
        <v>1050</v>
      </c>
      <c r="C320" s="3058" cm="1">
        <f t="array" aca="1" ref="C320" ca="1">_xlfn.LET(_xlpm.Person,INT((ROW()-ROW($A$293))/8),_xlpm.Period,VALUE(RIGHT(C$38,LEN(C$38)-1))-1,_xlpm.ROWNUM,11+29*_xlpm.Person+_xlpm.Period,
ROUND(INDEX('Calc - GRAD ASST'!$I:$I,_xlpm.ROWNUM),2))</f>
        <v>0</v>
      </c>
      <c r="D320" s="3058" cm="1">
        <f t="array" aca="1" ref="D320" ca="1">_xlfn.LET(_xlpm.Person,INT((ROW()-ROW($A$293))/8),_xlpm.Period,VALUE(RIGHT(D$38,LEN(D$38)-1))-1,_xlpm.ROWNUM,11+29*_xlpm.Person+_xlpm.Period,
ROUND(INDEX('Calc - GRAD ASST'!$I:$I,_xlpm.ROWNUM),2))</f>
        <v>0</v>
      </c>
      <c r="E320" s="3058" cm="1">
        <f t="array" aca="1" ref="E320" ca="1">_xlfn.LET(_xlpm.Person,INT((ROW()-ROW($A$293))/8),_xlpm.Period,VALUE(RIGHT(E$38,LEN(E$38)-1))-1,_xlpm.ROWNUM,11+29*_xlpm.Person+_xlpm.Period,
ROUND(INDEX('Calc - GRAD ASST'!$I:$I,_xlpm.ROWNUM),2))</f>
        <v>0</v>
      </c>
      <c r="F320" s="3058" cm="1">
        <f t="array" aca="1" ref="F320" ca="1">_xlfn.LET(_xlpm.Person,INT((ROW()-ROW($A$293))/8),_xlpm.Period,VALUE(RIGHT(F$38,LEN(F$38)-1))-1,_xlpm.ROWNUM,11+29*_xlpm.Person+_xlpm.Period,
ROUND(INDEX('Calc - GRAD ASST'!$I:$I,_xlpm.ROWNUM),2))</f>
        <v>0</v>
      </c>
      <c r="G320" s="3058" cm="1">
        <f t="array" aca="1" ref="G320" ca="1">_xlfn.LET(_xlpm.Person,INT((ROW()-ROW($A$293))/8),_xlpm.Period,VALUE(RIGHT(G$38,LEN(G$38)-1))-1,_xlpm.ROWNUM,11+29*_xlpm.Person+_xlpm.Period,
ROUND(INDEX('Calc - GRAD ASST'!$I:$I,_xlpm.ROWNUM),2))</f>
        <v>0</v>
      </c>
      <c r="H320" s="3058" cm="1">
        <f t="array" aca="1" ref="H320" ca="1">_xlfn.LET(_xlpm.Person,INT((ROW()-ROW($A$293))/8),_xlpm.Period,VALUE(RIGHT(H$38,LEN(H$38)-1))-1,_xlpm.ROWNUM,11+29*_xlpm.Person+_xlpm.Period,
ROUND(INDEX('Calc - GRAD ASST'!$I:$I,_xlpm.ROWNUM),2))</f>
        <v>0</v>
      </c>
      <c r="I320" s="926"/>
    </row>
    <row r="321" spans="1:9" hidden="1" x14ac:dyDescent="0.25">
      <c r="B321" s="847" t="s">
        <v>1052</v>
      </c>
      <c r="C321" s="3053" cm="1">
        <f t="array" ref="C321">_xlfn.LET(_xlpm.Person,INT((ROW()-ROW($A$293))/8),_xlpm.Period,VALUE(RIGHT(C$38,LEN(C$38)-1))-1,_xlpm.ROWNUM,11+29*_xlpm.Person+_xlpm.Period,
INDEX('Calc - GRAD ASST'!$L:$L,_xlpm.ROWNUM))</f>
        <v>0.28499999999999998</v>
      </c>
      <c r="D321" s="3053" cm="1">
        <f t="array" ref="D321">_xlfn.LET(_xlpm.Person,INT((ROW()-ROW($A$293))/8),_xlpm.Period,VALUE(RIGHT(D$38,LEN(D$38)-1))-1,_xlpm.ROWNUM,11+29*_xlpm.Person+_xlpm.Period,
INDEX('Calc - GRAD ASST'!$L:$L,_xlpm.ROWNUM))</f>
        <v>0.30499999999999999</v>
      </c>
      <c r="E321" s="3053" cm="1">
        <f t="array" ref="E321">_xlfn.LET(_xlpm.Person,INT((ROW()-ROW($A$293))/8),_xlpm.Period,VALUE(RIGHT(E$38,LEN(E$38)-1))-1,_xlpm.ROWNUM,11+29*_xlpm.Person+_xlpm.Period,
INDEX('Calc - GRAD ASST'!$L:$L,_xlpm.ROWNUM))</f>
        <v>0.32500000000000001</v>
      </c>
      <c r="F321" s="3053" cm="1">
        <f t="array" ref="F321">_xlfn.LET(_xlpm.Person,INT((ROW()-ROW($A$293))/8),_xlpm.Period,VALUE(RIGHT(F$38,LEN(F$38)-1))-1,_xlpm.ROWNUM,11+29*_xlpm.Person+_xlpm.Period,
INDEX('Calc - GRAD ASST'!$L:$L,_xlpm.ROWNUM))</f>
        <v>0.34500000000000003</v>
      </c>
      <c r="G321" s="3053" cm="1">
        <f t="array" ref="G321">_xlfn.LET(_xlpm.Person,INT((ROW()-ROW($A$293))/8),_xlpm.Period,VALUE(RIGHT(G$38,LEN(G$38)-1))-1,_xlpm.ROWNUM,11+29*_xlpm.Person+_xlpm.Period,
INDEX('Calc - GRAD ASST'!$L:$L,_xlpm.ROWNUM))</f>
        <v>0.36500000000000005</v>
      </c>
      <c r="H321" s="3053" cm="1">
        <f t="array" ref="H321">_xlfn.LET(_xlpm.Person,INT((ROW()-ROW($A$293))/8),_xlpm.Period,VALUE(RIGHT(H$38,LEN(H$38)-1))-1,_xlpm.ROWNUM,11+29*_xlpm.Person+_xlpm.Period,
INDEX('Calc - GRAD ASST'!$L:$L,_xlpm.ROWNUM))</f>
        <v>0.38500000000000006</v>
      </c>
      <c r="I321" s="926"/>
    </row>
    <row r="322" spans="1:9" hidden="1" x14ac:dyDescent="0.25">
      <c r="B322" s="847" t="s">
        <v>1057</v>
      </c>
      <c r="C322" s="3021" cm="1">
        <f t="array" ref="C322">_xlfn.LET(_xlpm.Person,INT((ROW()-ROW($A$293))/8),_xlpm.Period,VALUE(RIGHT(C$38,LEN(C$38)-1))-1,_xlpm.ROWNUM,11+29*_xlpm.Person+_xlpm.Period,
INDEX('Calc - GRAD ASST'!$D:$D,_xlpm.ROWNUM))</f>
        <v>0</v>
      </c>
      <c r="D322" s="3021" cm="1">
        <f t="array" ref="D322">_xlfn.LET(_xlpm.Person,INT((ROW()-ROW($A$293))/8),_xlpm.Period,VALUE(RIGHT(D$38,LEN(D$38)-1))-1,_xlpm.ROWNUM,11+29*_xlpm.Person+_xlpm.Period,
INDEX('Calc - GRAD ASST'!$D:$D,_xlpm.ROWNUM))</f>
        <v>0</v>
      </c>
      <c r="E322" s="3021" cm="1">
        <f t="array" ref="E322">_xlfn.LET(_xlpm.Person,INT((ROW()-ROW($A$293))/8),_xlpm.Period,VALUE(RIGHT(E$38,LEN(E$38)-1))-1,_xlpm.ROWNUM,11+29*_xlpm.Person+_xlpm.Period,
INDEX('Calc - GRAD ASST'!$D:$D,_xlpm.ROWNUM))</f>
        <v>0</v>
      </c>
      <c r="F322" s="3021" cm="1">
        <f t="array" ref="F322">_xlfn.LET(_xlpm.Person,INT((ROW()-ROW($A$293))/8),_xlpm.Period,VALUE(RIGHT(F$38,LEN(F$38)-1))-1,_xlpm.ROWNUM,11+29*_xlpm.Person+_xlpm.Period,
INDEX('Calc - GRAD ASST'!$D:$D,_xlpm.ROWNUM))</f>
        <v>0</v>
      </c>
      <c r="G322" s="3021" cm="1">
        <f t="array" ref="G322">_xlfn.LET(_xlpm.Person,INT((ROW()-ROW($A$293))/8),_xlpm.Period,VALUE(RIGHT(G$38,LEN(G$38)-1))-1,_xlpm.ROWNUM,11+29*_xlpm.Person+_xlpm.Period,
INDEX('Calc - GRAD ASST'!$D:$D,_xlpm.ROWNUM))</f>
        <v>0</v>
      </c>
      <c r="H322" s="3021" cm="1">
        <f t="array" ref="H322">_xlfn.LET(_xlpm.Person,INT((ROW()-ROW($A$293))/8),_xlpm.Period,VALUE(RIGHT(H$38,LEN(H$38)-1))-1,_xlpm.ROWNUM,11+29*_xlpm.Person+_xlpm.Period,
INDEX('Calc - GRAD ASST'!$D:$D,_xlpm.ROWNUM))</f>
        <v>0</v>
      </c>
      <c r="I322" s="926"/>
    </row>
    <row r="323" spans="1:9" hidden="1" x14ac:dyDescent="0.25">
      <c r="B323" s="847"/>
      <c r="I323" s="926"/>
    </row>
    <row r="324" spans="1:9" hidden="1" x14ac:dyDescent="0.25">
      <c r="I324" s="926"/>
    </row>
    <row r="325" spans="1:9" hidden="1" x14ac:dyDescent="0.25">
      <c r="A325" s="847" t="str" cm="1">
        <f t="array" ref="A325">INDEX('DATA INPUT'!B:B,29+INT((ROW()-ROW($A$293))/8))</f>
        <v>GA #05 / Sponsor Funds</v>
      </c>
      <c r="C325" s="3042" t="s">
        <v>1041</v>
      </c>
      <c r="D325" s="3042" t="s">
        <v>1042</v>
      </c>
      <c r="E325" s="3042" t="s">
        <v>1043</v>
      </c>
      <c r="F325" s="3042" t="s">
        <v>1044</v>
      </c>
      <c r="G325" s="3042" t="s">
        <v>1045</v>
      </c>
      <c r="H325" s="3042" t="s">
        <v>1046</v>
      </c>
      <c r="I325" s="926"/>
    </row>
    <row r="326" spans="1:9" ht="17.25" hidden="1" x14ac:dyDescent="0.3">
      <c r="A326" s="3043">
        <f t="shared" ref="A326" ca="1" si="104">SUM(C326:H326)</f>
        <v>0</v>
      </c>
      <c r="B326" s="3044" t="s">
        <v>3</v>
      </c>
      <c r="C326" s="3045">
        <f t="shared" ref="C326:H326" ca="1" si="105">ROUND(C328*C327*C330*(1+C329), 2)</f>
        <v>0</v>
      </c>
      <c r="D326" s="3045">
        <f t="shared" ca="1" si="105"/>
        <v>0</v>
      </c>
      <c r="E326" s="3045">
        <f t="shared" ca="1" si="105"/>
        <v>0</v>
      </c>
      <c r="F326" s="3045">
        <f t="shared" ca="1" si="105"/>
        <v>0</v>
      </c>
      <c r="G326" s="3045">
        <f t="shared" ca="1" si="105"/>
        <v>0</v>
      </c>
      <c r="H326" s="3045">
        <f t="shared" ca="1" si="105"/>
        <v>0</v>
      </c>
      <c r="I326" s="926"/>
    </row>
    <row r="327" spans="1:9" hidden="1" x14ac:dyDescent="0.25">
      <c r="B327" s="847" t="s">
        <v>1056</v>
      </c>
      <c r="C327" s="3052" cm="1">
        <f t="array" ref="C327">_xlfn.LET(_xlpm.Person,INT((ROW()-ROW($A$293))/8),_xlpm.Period,VALUE(RIGHT(C$38,LEN(C$38)-1))-1,_xlpm.ROWNUM,11+29*_xlpm.Person+_xlpm.Period,
INDEX('Calc - GRAD ASST'!$C:$C,_xlpm.ROWNUM))</f>
        <v>0</v>
      </c>
      <c r="D327" s="3052" cm="1">
        <f t="array" ref="D327">_xlfn.LET(_xlpm.Person,INT((ROW()-ROW($A$293))/8),_xlpm.Period,VALUE(RIGHT(D$38,LEN(D$38)-1))-1,_xlpm.ROWNUM,11+29*_xlpm.Person+_xlpm.Period,
INDEX('Calc - GRAD ASST'!$C:$C,_xlpm.ROWNUM))</f>
        <v>0</v>
      </c>
      <c r="E327" s="3052" cm="1">
        <f t="array" ref="E327">_xlfn.LET(_xlpm.Person,INT((ROW()-ROW($A$293))/8),_xlpm.Period,VALUE(RIGHT(E$38,LEN(E$38)-1))-1,_xlpm.ROWNUM,11+29*_xlpm.Person+_xlpm.Period,
INDEX('Calc - GRAD ASST'!$C:$C,_xlpm.ROWNUM))</f>
        <v>0</v>
      </c>
      <c r="F327" s="3052" cm="1">
        <f t="array" ref="F327">_xlfn.LET(_xlpm.Person,INT((ROW()-ROW($A$293))/8),_xlpm.Period,VALUE(RIGHT(F$38,LEN(F$38)-1))-1,_xlpm.ROWNUM,11+29*_xlpm.Person+_xlpm.Period,
INDEX('Calc - GRAD ASST'!$C:$C,_xlpm.ROWNUM))</f>
        <v>0</v>
      </c>
      <c r="G327" s="3052" cm="1">
        <f t="array" ref="G327">_xlfn.LET(_xlpm.Person,INT((ROW()-ROW($A$293))/8),_xlpm.Period,VALUE(RIGHT(G$38,LEN(G$38)-1))-1,_xlpm.ROWNUM,11+29*_xlpm.Person+_xlpm.Period,
INDEX('Calc - GRAD ASST'!$C:$C,_xlpm.ROWNUM))</f>
        <v>0</v>
      </c>
      <c r="H327" s="3052" cm="1">
        <f t="array" ref="H327">_xlfn.LET(_xlpm.Person,INT((ROW()-ROW($A$293))/8),_xlpm.Period,VALUE(RIGHT(H$38,LEN(H$38)-1))-1,_xlpm.ROWNUM,11+29*_xlpm.Person+_xlpm.Period,
INDEX('Calc - GRAD ASST'!$C:$C,_xlpm.ROWNUM))</f>
        <v>0</v>
      </c>
      <c r="I327" s="926"/>
    </row>
    <row r="328" spans="1:9" hidden="1" x14ac:dyDescent="0.25">
      <c r="B328" s="847" t="s">
        <v>1050</v>
      </c>
      <c r="C328" s="3058" cm="1">
        <f t="array" aca="1" ref="C328" ca="1">_xlfn.LET(_xlpm.Person,INT((ROW()-ROW($A$293))/8),_xlpm.Period,VALUE(RIGHT(C$38,LEN(C$38)-1))-1,_xlpm.ROWNUM,11+29*_xlpm.Person+_xlpm.Period,
ROUND(INDEX('Calc - GRAD ASST'!$I:$I,_xlpm.ROWNUM),2))</f>
        <v>0</v>
      </c>
      <c r="D328" s="3058" cm="1">
        <f t="array" aca="1" ref="D328" ca="1">_xlfn.LET(_xlpm.Person,INT((ROW()-ROW($A$293))/8),_xlpm.Period,VALUE(RIGHT(D$38,LEN(D$38)-1))-1,_xlpm.ROWNUM,11+29*_xlpm.Person+_xlpm.Period,
ROUND(INDEX('Calc - GRAD ASST'!$I:$I,_xlpm.ROWNUM),2))</f>
        <v>0</v>
      </c>
      <c r="E328" s="3058" cm="1">
        <f t="array" aca="1" ref="E328" ca="1">_xlfn.LET(_xlpm.Person,INT((ROW()-ROW($A$293))/8),_xlpm.Period,VALUE(RIGHT(E$38,LEN(E$38)-1))-1,_xlpm.ROWNUM,11+29*_xlpm.Person+_xlpm.Period,
ROUND(INDEX('Calc - GRAD ASST'!$I:$I,_xlpm.ROWNUM),2))</f>
        <v>0</v>
      </c>
      <c r="F328" s="3058" cm="1">
        <f t="array" aca="1" ref="F328" ca="1">_xlfn.LET(_xlpm.Person,INT((ROW()-ROW($A$293))/8),_xlpm.Period,VALUE(RIGHT(F$38,LEN(F$38)-1))-1,_xlpm.ROWNUM,11+29*_xlpm.Person+_xlpm.Period,
ROUND(INDEX('Calc - GRAD ASST'!$I:$I,_xlpm.ROWNUM),2))</f>
        <v>0</v>
      </c>
      <c r="G328" s="3058" cm="1">
        <f t="array" aca="1" ref="G328" ca="1">_xlfn.LET(_xlpm.Person,INT((ROW()-ROW($A$293))/8),_xlpm.Period,VALUE(RIGHT(G$38,LEN(G$38)-1))-1,_xlpm.ROWNUM,11+29*_xlpm.Person+_xlpm.Period,
ROUND(INDEX('Calc - GRAD ASST'!$I:$I,_xlpm.ROWNUM),2))</f>
        <v>0</v>
      </c>
      <c r="H328" s="3058" cm="1">
        <f t="array" aca="1" ref="H328" ca="1">_xlfn.LET(_xlpm.Person,INT((ROW()-ROW($A$293))/8),_xlpm.Period,VALUE(RIGHT(H$38,LEN(H$38)-1))-1,_xlpm.ROWNUM,11+29*_xlpm.Person+_xlpm.Period,
ROUND(INDEX('Calc - GRAD ASST'!$I:$I,_xlpm.ROWNUM),2))</f>
        <v>0</v>
      </c>
      <c r="I328" s="926"/>
    </row>
    <row r="329" spans="1:9" hidden="1" x14ac:dyDescent="0.25">
      <c r="B329" s="847" t="s">
        <v>1052</v>
      </c>
      <c r="C329" s="3053" cm="1">
        <f t="array" ref="C329">_xlfn.LET(_xlpm.Person,INT((ROW()-ROW($A$293))/8),_xlpm.Period,VALUE(RIGHT(C$38,LEN(C$38)-1))-1,_xlpm.ROWNUM,11+29*_xlpm.Person+_xlpm.Period,
INDEX('Calc - GRAD ASST'!$L:$L,_xlpm.ROWNUM))</f>
        <v>0.28499999999999998</v>
      </c>
      <c r="D329" s="3053" cm="1">
        <f t="array" ref="D329">_xlfn.LET(_xlpm.Person,INT((ROW()-ROW($A$293))/8),_xlpm.Period,VALUE(RIGHT(D$38,LEN(D$38)-1))-1,_xlpm.ROWNUM,11+29*_xlpm.Person+_xlpm.Period,
INDEX('Calc - GRAD ASST'!$L:$L,_xlpm.ROWNUM))</f>
        <v>0.30499999999999999</v>
      </c>
      <c r="E329" s="3053" cm="1">
        <f t="array" ref="E329">_xlfn.LET(_xlpm.Person,INT((ROW()-ROW($A$293))/8),_xlpm.Period,VALUE(RIGHT(E$38,LEN(E$38)-1))-1,_xlpm.ROWNUM,11+29*_xlpm.Person+_xlpm.Period,
INDEX('Calc - GRAD ASST'!$L:$L,_xlpm.ROWNUM))</f>
        <v>0.32500000000000001</v>
      </c>
      <c r="F329" s="3053" cm="1">
        <f t="array" ref="F329">_xlfn.LET(_xlpm.Person,INT((ROW()-ROW($A$293))/8),_xlpm.Period,VALUE(RIGHT(F$38,LEN(F$38)-1))-1,_xlpm.ROWNUM,11+29*_xlpm.Person+_xlpm.Period,
INDEX('Calc - GRAD ASST'!$L:$L,_xlpm.ROWNUM))</f>
        <v>0.34500000000000003</v>
      </c>
      <c r="G329" s="3053" cm="1">
        <f t="array" ref="G329">_xlfn.LET(_xlpm.Person,INT((ROW()-ROW($A$293))/8),_xlpm.Period,VALUE(RIGHT(G$38,LEN(G$38)-1))-1,_xlpm.ROWNUM,11+29*_xlpm.Person+_xlpm.Period,
INDEX('Calc - GRAD ASST'!$L:$L,_xlpm.ROWNUM))</f>
        <v>0.36500000000000005</v>
      </c>
      <c r="H329" s="3053" cm="1">
        <f t="array" ref="H329">_xlfn.LET(_xlpm.Person,INT((ROW()-ROW($A$293))/8),_xlpm.Period,VALUE(RIGHT(H$38,LEN(H$38)-1))-1,_xlpm.ROWNUM,11+29*_xlpm.Person+_xlpm.Period,
INDEX('Calc - GRAD ASST'!$L:$L,_xlpm.ROWNUM))</f>
        <v>0.38500000000000006</v>
      </c>
      <c r="I329" s="926"/>
    </row>
    <row r="330" spans="1:9" hidden="1" x14ac:dyDescent="0.25">
      <c r="B330" s="847" t="s">
        <v>1057</v>
      </c>
      <c r="C330" s="3021" cm="1">
        <f t="array" ref="C330">_xlfn.LET(_xlpm.Person,INT((ROW()-ROW($A$293))/8),_xlpm.Period,VALUE(RIGHT(C$38,LEN(C$38)-1))-1,_xlpm.ROWNUM,11+29*_xlpm.Person+_xlpm.Period,
INDEX('Calc - GRAD ASST'!$D:$D,_xlpm.ROWNUM))</f>
        <v>0</v>
      </c>
      <c r="D330" s="3021" cm="1">
        <f t="array" ref="D330">_xlfn.LET(_xlpm.Person,INT((ROW()-ROW($A$293))/8),_xlpm.Period,VALUE(RIGHT(D$38,LEN(D$38)-1))-1,_xlpm.ROWNUM,11+29*_xlpm.Person+_xlpm.Period,
INDEX('Calc - GRAD ASST'!$D:$D,_xlpm.ROWNUM))</f>
        <v>0</v>
      </c>
      <c r="E330" s="3021" cm="1">
        <f t="array" ref="E330">_xlfn.LET(_xlpm.Person,INT((ROW()-ROW($A$293))/8),_xlpm.Period,VALUE(RIGHT(E$38,LEN(E$38)-1))-1,_xlpm.ROWNUM,11+29*_xlpm.Person+_xlpm.Period,
INDEX('Calc - GRAD ASST'!$D:$D,_xlpm.ROWNUM))</f>
        <v>0</v>
      </c>
      <c r="F330" s="3021" cm="1">
        <f t="array" ref="F330">_xlfn.LET(_xlpm.Person,INT((ROW()-ROW($A$293))/8),_xlpm.Period,VALUE(RIGHT(F$38,LEN(F$38)-1))-1,_xlpm.ROWNUM,11+29*_xlpm.Person+_xlpm.Period,
INDEX('Calc - GRAD ASST'!$D:$D,_xlpm.ROWNUM))</f>
        <v>0</v>
      </c>
      <c r="G330" s="3021" cm="1">
        <f t="array" ref="G330">_xlfn.LET(_xlpm.Person,INT((ROW()-ROW($A$293))/8),_xlpm.Period,VALUE(RIGHT(G$38,LEN(G$38)-1))-1,_xlpm.ROWNUM,11+29*_xlpm.Person+_xlpm.Period,
INDEX('Calc - GRAD ASST'!$D:$D,_xlpm.ROWNUM))</f>
        <v>0</v>
      </c>
      <c r="H330" s="3021" cm="1">
        <f t="array" ref="H330">_xlfn.LET(_xlpm.Person,INT((ROW()-ROW($A$293))/8),_xlpm.Period,VALUE(RIGHT(H$38,LEN(H$38)-1))-1,_xlpm.ROWNUM,11+29*_xlpm.Person+_xlpm.Period,
INDEX('Calc - GRAD ASST'!$D:$D,_xlpm.ROWNUM))</f>
        <v>0</v>
      </c>
      <c r="I330" s="926"/>
    </row>
    <row r="331" spans="1:9" hidden="1" x14ac:dyDescent="0.25">
      <c r="I331" s="926"/>
    </row>
    <row r="332" spans="1:9" hidden="1" x14ac:dyDescent="0.25">
      <c r="I332" s="926"/>
    </row>
    <row r="333" spans="1:9" hidden="1" x14ac:dyDescent="0.25">
      <c r="A333" s="847" t="str" cm="1">
        <f t="array" ref="A333">INDEX('DATA INPUT'!B:B,29+INT((ROW()-ROW($A$293))/8))</f>
        <v>GA #06 / Sponsor Funds</v>
      </c>
      <c r="C333" s="3042" t="s">
        <v>1041</v>
      </c>
      <c r="D333" s="3042" t="s">
        <v>1042</v>
      </c>
      <c r="E333" s="3042" t="s">
        <v>1043</v>
      </c>
      <c r="F333" s="3042" t="s">
        <v>1044</v>
      </c>
      <c r="G333" s="3042" t="s">
        <v>1045</v>
      </c>
      <c r="H333" s="3042" t="s">
        <v>1046</v>
      </c>
      <c r="I333" s="926"/>
    </row>
    <row r="334" spans="1:9" ht="17.25" hidden="1" x14ac:dyDescent="0.3">
      <c r="A334" s="3043">
        <f t="shared" ref="A334" ca="1" si="106">SUM(C334:H334)</f>
        <v>0</v>
      </c>
      <c r="B334" s="3044" t="s">
        <v>3</v>
      </c>
      <c r="C334" s="3045">
        <f t="shared" ref="C334:H334" ca="1" si="107">ROUND(C336*C335*C338*(1+C337), 2)</f>
        <v>0</v>
      </c>
      <c r="D334" s="3045">
        <f t="shared" ca="1" si="107"/>
        <v>0</v>
      </c>
      <c r="E334" s="3045">
        <f t="shared" ca="1" si="107"/>
        <v>0</v>
      </c>
      <c r="F334" s="3045">
        <f t="shared" ca="1" si="107"/>
        <v>0</v>
      </c>
      <c r="G334" s="3045">
        <f t="shared" ca="1" si="107"/>
        <v>0</v>
      </c>
      <c r="H334" s="3045">
        <f t="shared" ca="1" si="107"/>
        <v>0</v>
      </c>
      <c r="I334" s="926"/>
    </row>
    <row r="335" spans="1:9" hidden="1" x14ac:dyDescent="0.25">
      <c r="B335" s="847" t="s">
        <v>1056</v>
      </c>
      <c r="C335" s="3052" cm="1">
        <f t="array" ref="C335">_xlfn.LET(_xlpm.Person,INT((ROW()-ROW($A$293))/8),_xlpm.Period,VALUE(RIGHT(C$38,LEN(C$38)-1))-1,_xlpm.ROWNUM,11+29*_xlpm.Person+_xlpm.Period,
INDEX('Calc - GRAD ASST'!$C:$C,_xlpm.ROWNUM))</f>
        <v>0</v>
      </c>
      <c r="D335" s="3052" cm="1">
        <f t="array" ref="D335">_xlfn.LET(_xlpm.Person,INT((ROW()-ROW($A$293))/8),_xlpm.Period,VALUE(RIGHT(D$38,LEN(D$38)-1))-1,_xlpm.ROWNUM,11+29*_xlpm.Person+_xlpm.Period,
INDEX('Calc - GRAD ASST'!$C:$C,_xlpm.ROWNUM))</f>
        <v>0</v>
      </c>
      <c r="E335" s="3052" cm="1">
        <f t="array" ref="E335">_xlfn.LET(_xlpm.Person,INT((ROW()-ROW($A$293))/8),_xlpm.Period,VALUE(RIGHT(E$38,LEN(E$38)-1))-1,_xlpm.ROWNUM,11+29*_xlpm.Person+_xlpm.Period,
INDEX('Calc - GRAD ASST'!$C:$C,_xlpm.ROWNUM))</f>
        <v>0</v>
      </c>
      <c r="F335" s="3052" cm="1">
        <f t="array" ref="F335">_xlfn.LET(_xlpm.Person,INT((ROW()-ROW($A$293))/8),_xlpm.Period,VALUE(RIGHT(F$38,LEN(F$38)-1))-1,_xlpm.ROWNUM,11+29*_xlpm.Person+_xlpm.Period,
INDEX('Calc - GRAD ASST'!$C:$C,_xlpm.ROWNUM))</f>
        <v>0</v>
      </c>
      <c r="G335" s="3052" cm="1">
        <f t="array" ref="G335">_xlfn.LET(_xlpm.Person,INT((ROW()-ROW($A$293))/8),_xlpm.Period,VALUE(RIGHT(G$38,LEN(G$38)-1))-1,_xlpm.ROWNUM,11+29*_xlpm.Person+_xlpm.Period,
INDEX('Calc - GRAD ASST'!$C:$C,_xlpm.ROWNUM))</f>
        <v>0</v>
      </c>
      <c r="H335" s="3052" cm="1">
        <f t="array" ref="H335">_xlfn.LET(_xlpm.Person,INT((ROW()-ROW($A$293))/8),_xlpm.Period,VALUE(RIGHT(H$38,LEN(H$38)-1))-1,_xlpm.ROWNUM,11+29*_xlpm.Person+_xlpm.Period,
INDEX('Calc - GRAD ASST'!$C:$C,_xlpm.ROWNUM))</f>
        <v>0</v>
      </c>
      <c r="I335" s="926"/>
    </row>
    <row r="336" spans="1:9" hidden="1" x14ac:dyDescent="0.25">
      <c r="B336" s="847" t="s">
        <v>1050</v>
      </c>
      <c r="C336" s="3058" cm="1">
        <f t="array" aca="1" ref="C336" ca="1">_xlfn.LET(_xlpm.Person,INT((ROW()-ROW($A$293))/8),_xlpm.Period,VALUE(RIGHT(C$38,LEN(C$38)-1))-1,_xlpm.ROWNUM,11+29*_xlpm.Person+_xlpm.Period,
ROUND(INDEX('Calc - GRAD ASST'!$I:$I,_xlpm.ROWNUM),2))</f>
        <v>0</v>
      </c>
      <c r="D336" s="3058" cm="1">
        <f t="array" aca="1" ref="D336" ca="1">_xlfn.LET(_xlpm.Person,INT((ROW()-ROW($A$293))/8),_xlpm.Period,VALUE(RIGHT(D$38,LEN(D$38)-1))-1,_xlpm.ROWNUM,11+29*_xlpm.Person+_xlpm.Period,
ROUND(INDEX('Calc - GRAD ASST'!$I:$I,_xlpm.ROWNUM),2))</f>
        <v>0</v>
      </c>
      <c r="E336" s="3058" cm="1">
        <f t="array" aca="1" ref="E336" ca="1">_xlfn.LET(_xlpm.Person,INT((ROW()-ROW($A$293))/8),_xlpm.Period,VALUE(RIGHT(E$38,LEN(E$38)-1))-1,_xlpm.ROWNUM,11+29*_xlpm.Person+_xlpm.Period,
ROUND(INDEX('Calc - GRAD ASST'!$I:$I,_xlpm.ROWNUM),2))</f>
        <v>0</v>
      </c>
      <c r="F336" s="3058" cm="1">
        <f t="array" aca="1" ref="F336" ca="1">_xlfn.LET(_xlpm.Person,INT((ROW()-ROW($A$293))/8),_xlpm.Period,VALUE(RIGHT(F$38,LEN(F$38)-1))-1,_xlpm.ROWNUM,11+29*_xlpm.Person+_xlpm.Period,
ROUND(INDEX('Calc - GRAD ASST'!$I:$I,_xlpm.ROWNUM),2))</f>
        <v>0</v>
      </c>
      <c r="G336" s="3058" cm="1">
        <f t="array" aca="1" ref="G336" ca="1">_xlfn.LET(_xlpm.Person,INT((ROW()-ROW($A$293))/8),_xlpm.Period,VALUE(RIGHT(G$38,LEN(G$38)-1))-1,_xlpm.ROWNUM,11+29*_xlpm.Person+_xlpm.Period,
ROUND(INDEX('Calc - GRAD ASST'!$I:$I,_xlpm.ROWNUM),2))</f>
        <v>0</v>
      </c>
      <c r="H336" s="3058" cm="1">
        <f t="array" aca="1" ref="H336" ca="1">_xlfn.LET(_xlpm.Person,INT((ROW()-ROW($A$293))/8),_xlpm.Period,VALUE(RIGHT(H$38,LEN(H$38)-1))-1,_xlpm.ROWNUM,11+29*_xlpm.Person+_xlpm.Period,
ROUND(INDEX('Calc - GRAD ASST'!$I:$I,_xlpm.ROWNUM),2))</f>
        <v>0</v>
      </c>
      <c r="I336" s="926"/>
    </row>
    <row r="337" spans="1:9" hidden="1" x14ac:dyDescent="0.25">
      <c r="B337" s="847" t="s">
        <v>1052</v>
      </c>
      <c r="C337" s="3053" cm="1">
        <f t="array" ref="C337">_xlfn.LET(_xlpm.Person,INT((ROW()-ROW($A$293))/8),_xlpm.Period,VALUE(RIGHT(C$38,LEN(C$38)-1))-1,_xlpm.ROWNUM,11+29*_xlpm.Person+_xlpm.Period,
INDEX('Calc - GRAD ASST'!$L:$L,_xlpm.ROWNUM))</f>
        <v>0.28499999999999998</v>
      </c>
      <c r="D337" s="3053" cm="1">
        <f t="array" ref="D337">_xlfn.LET(_xlpm.Person,INT((ROW()-ROW($A$293))/8),_xlpm.Period,VALUE(RIGHT(D$38,LEN(D$38)-1))-1,_xlpm.ROWNUM,11+29*_xlpm.Person+_xlpm.Period,
INDEX('Calc - GRAD ASST'!$L:$L,_xlpm.ROWNUM))</f>
        <v>0.30499999999999999</v>
      </c>
      <c r="E337" s="3053" cm="1">
        <f t="array" ref="E337">_xlfn.LET(_xlpm.Person,INT((ROW()-ROW($A$293))/8),_xlpm.Period,VALUE(RIGHT(E$38,LEN(E$38)-1))-1,_xlpm.ROWNUM,11+29*_xlpm.Person+_xlpm.Period,
INDEX('Calc - GRAD ASST'!$L:$L,_xlpm.ROWNUM))</f>
        <v>0.32500000000000001</v>
      </c>
      <c r="F337" s="3053" cm="1">
        <f t="array" ref="F337">_xlfn.LET(_xlpm.Person,INT((ROW()-ROW($A$293))/8),_xlpm.Period,VALUE(RIGHT(F$38,LEN(F$38)-1))-1,_xlpm.ROWNUM,11+29*_xlpm.Person+_xlpm.Period,
INDEX('Calc - GRAD ASST'!$L:$L,_xlpm.ROWNUM))</f>
        <v>0.34500000000000003</v>
      </c>
      <c r="G337" s="3053" cm="1">
        <f t="array" ref="G337">_xlfn.LET(_xlpm.Person,INT((ROW()-ROW($A$293))/8),_xlpm.Period,VALUE(RIGHT(G$38,LEN(G$38)-1))-1,_xlpm.ROWNUM,11+29*_xlpm.Person+_xlpm.Period,
INDEX('Calc - GRAD ASST'!$L:$L,_xlpm.ROWNUM))</f>
        <v>0.36500000000000005</v>
      </c>
      <c r="H337" s="3053" cm="1">
        <f t="array" ref="H337">_xlfn.LET(_xlpm.Person,INT((ROW()-ROW($A$293))/8),_xlpm.Period,VALUE(RIGHT(H$38,LEN(H$38)-1))-1,_xlpm.ROWNUM,11+29*_xlpm.Person+_xlpm.Period,
INDEX('Calc - GRAD ASST'!$L:$L,_xlpm.ROWNUM))</f>
        <v>0.38500000000000006</v>
      </c>
      <c r="I337" s="926"/>
    </row>
    <row r="338" spans="1:9" hidden="1" x14ac:dyDescent="0.25">
      <c r="B338" s="847" t="s">
        <v>1057</v>
      </c>
      <c r="C338" s="3021" cm="1">
        <f t="array" ref="C338">_xlfn.LET(_xlpm.Person,INT((ROW()-ROW($A$293))/8),_xlpm.Period,VALUE(RIGHT(C$38,LEN(C$38)-1))-1,_xlpm.ROWNUM,11+29*_xlpm.Person+_xlpm.Period,
INDEX('Calc - GRAD ASST'!$D:$D,_xlpm.ROWNUM))</f>
        <v>0</v>
      </c>
      <c r="D338" s="3021" cm="1">
        <f t="array" ref="D338">_xlfn.LET(_xlpm.Person,INT((ROW()-ROW($A$293))/8),_xlpm.Period,VALUE(RIGHT(D$38,LEN(D$38)-1))-1,_xlpm.ROWNUM,11+29*_xlpm.Person+_xlpm.Period,
INDEX('Calc - GRAD ASST'!$D:$D,_xlpm.ROWNUM))</f>
        <v>0</v>
      </c>
      <c r="E338" s="3021" cm="1">
        <f t="array" ref="E338">_xlfn.LET(_xlpm.Person,INT((ROW()-ROW($A$293))/8),_xlpm.Period,VALUE(RIGHT(E$38,LEN(E$38)-1))-1,_xlpm.ROWNUM,11+29*_xlpm.Person+_xlpm.Period,
INDEX('Calc - GRAD ASST'!$D:$D,_xlpm.ROWNUM))</f>
        <v>0</v>
      </c>
      <c r="F338" s="3021" cm="1">
        <f t="array" ref="F338">_xlfn.LET(_xlpm.Person,INT((ROW()-ROW($A$293))/8),_xlpm.Period,VALUE(RIGHT(F$38,LEN(F$38)-1))-1,_xlpm.ROWNUM,11+29*_xlpm.Person+_xlpm.Period,
INDEX('Calc - GRAD ASST'!$D:$D,_xlpm.ROWNUM))</f>
        <v>0</v>
      </c>
      <c r="G338" s="3021" cm="1">
        <f t="array" ref="G338">_xlfn.LET(_xlpm.Person,INT((ROW()-ROW($A$293))/8),_xlpm.Period,VALUE(RIGHT(G$38,LEN(G$38)-1))-1,_xlpm.ROWNUM,11+29*_xlpm.Person+_xlpm.Period,
INDEX('Calc - GRAD ASST'!$D:$D,_xlpm.ROWNUM))</f>
        <v>0</v>
      </c>
      <c r="H338" s="3021" cm="1">
        <f t="array" ref="H338">_xlfn.LET(_xlpm.Person,INT((ROW()-ROW($A$293))/8),_xlpm.Period,VALUE(RIGHT(H$38,LEN(H$38)-1))-1,_xlpm.ROWNUM,11+29*_xlpm.Person+_xlpm.Period,
INDEX('Calc - GRAD ASST'!$D:$D,_xlpm.ROWNUM))</f>
        <v>0</v>
      </c>
      <c r="I338" s="926"/>
    </row>
    <row r="339" spans="1:9" hidden="1" x14ac:dyDescent="0.25">
      <c r="B339" s="847"/>
      <c r="I339" s="926"/>
    </row>
    <row r="340" spans="1:9" hidden="1" x14ac:dyDescent="0.25">
      <c r="I340" s="926"/>
    </row>
    <row r="341" spans="1:9" hidden="1" x14ac:dyDescent="0.25">
      <c r="A341" s="847" t="str" cm="1">
        <f t="array" ref="A341">INDEX('DATA INPUT'!B:B,29+INT((ROW()-ROW($A$293))/8))</f>
        <v>GA #07 / Sponsor Funds</v>
      </c>
      <c r="C341" s="3042" t="s">
        <v>1041</v>
      </c>
      <c r="D341" s="3042" t="s">
        <v>1042</v>
      </c>
      <c r="E341" s="3042" t="s">
        <v>1043</v>
      </c>
      <c r="F341" s="3042" t="s">
        <v>1044</v>
      </c>
      <c r="G341" s="3042" t="s">
        <v>1045</v>
      </c>
      <c r="H341" s="3042" t="s">
        <v>1046</v>
      </c>
      <c r="I341" s="926"/>
    </row>
    <row r="342" spans="1:9" ht="17.25" hidden="1" x14ac:dyDescent="0.3">
      <c r="A342" s="3043">
        <f t="shared" ref="A342" ca="1" si="108">SUM(C342:H342)</f>
        <v>0</v>
      </c>
      <c r="B342" s="3044" t="s">
        <v>3</v>
      </c>
      <c r="C342" s="3045">
        <f t="shared" ref="C342:H342" ca="1" si="109">ROUND(C344*C343*C346*(1+C345), 2)</f>
        <v>0</v>
      </c>
      <c r="D342" s="3045">
        <f t="shared" ca="1" si="109"/>
        <v>0</v>
      </c>
      <c r="E342" s="3045">
        <f t="shared" ca="1" si="109"/>
        <v>0</v>
      </c>
      <c r="F342" s="3045">
        <f t="shared" ca="1" si="109"/>
        <v>0</v>
      </c>
      <c r="G342" s="3045">
        <f t="shared" ca="1" si="109"/>
        <v>0</v>
      </c>
      <c r="H342" s="3045">
        <f t="shared" ca="1" si="109"/>
        <v>0</v>
      </c>
      <c r="I342" s="926"/>
    </row>
    <row r="343" spans="1:9" hidden="1" x14ac:dyDescent="0.25">
      <c r="B343" s="847" t="s">
        <v>1056</v>
      </c>
      <c r="C343" s="3052" cm="1">
        <f t="array" ref="C343">_xlfn.LET(_xlpm.Person,INT((ROW()-ROW($A$293))/8),_xlpm.Period,VALUE(RIGHT(C$38,LEN(C$38)-1))-1,_xlpm.ROWNUM,11+29*_xlpm.Person+_xlpm.Period,
INDEX('Calc - GRAD ASST'!$C:$C,_xlpm.ROWNUM))</f>
        <v>0</v>
      </c>
      <c r="D343" s="3052" cm="1">
        <f t="array" ref="D343">_xlfn.LET(_xlpm.Person,INT((ROW()-ROW($A$293))/8),_xlpm.Period,VALUE(RIGHT(D$38,LEN(D$38)-1))-1,_xlpm.ROWNUM,11+29*_xlpm.Person+_xlpm.Period,
INDEX('Calc - GRAD ASST'!$C:$C,_xlpm.ROWNUM))</f>
        <v>0</v>
      </c>
      <c r="E343" s="3052" cm="1">
        <f t="array" ref="E343">_xlfn.LET(_xlpm.Person,INT((ROW()-ROW($A$293))/8),_xlpm.Period,VALUE(RIGHT(E$38,LEN(E$38)-1))-1,_xlpm.ROWNUM,11+29*_xlpm.Person+_xlpm.Period,
INDEX('Calc - GRAD ASST'!$C:$C,_xlpm.ROWNUM))</f>
        <v>0</v>
      </c>
      <c r="F343" s="3052" cm="1">
        <f t="array" ref="F343">_xlfn.LET(_xlpm.Person,INT((ROW()-ROW($A$293))/8),_xlpm.Period,VALUE(RIGHT(F$38,LEN(F$38)-1))-1,_xlpm.ROWNUM,11+29*_xlpm.Person+_xlpm.Period,
INDEX('Calc - GRAD ASST'!$C:$C,_xlpm.ROWNUM))</f>
        <v>0</v>
      </c>
      <c r="G343" s="3052" cm="1">
        <f t="array" ref="G343">_xlfn.LET(_xlpm.Person,INT((ROW()-ROW($A$293))/8),_xlpm.Period,VALUE(RIGHT(G$38,LEN(G$38)-1))-1,_xlpm.ROWNUM,11+29*_xlpm.Person+_xlpm.Period,
INDEX('Calc - GRAD ASST'!$C:$C,_xlpm.ROWNUM))</f>
        <v>0</v>
      </c>
      <c r="H343" s="3052" cm="1">
        <f t="array" ref="H343">_xlfn.LET(_xlpm.Person,INT((ROW()-ROW($A$293))/8),_xlpm.Period,VALUE(RIGHT(H$38,LEN(H$38)-1))-1,_xlpm.ROWNUM,11+29*_xlpm.Person+_xlpm.Period,
INDEX('Calc - GRAD ASST'!$C:$C,_xlpm.ROWNUM))</f>
        <v>0</v>
      </c>
      <c r="I343" s="926"/>
    </row>
    <row r="344" spans="1:9" hidden="1" x14ac:dyDescent="0.25">
      <c r="B344" s="847" t="s">
        <v>1050</v>
      </c>
      <c r="C344" s="3058" cm="1">
        <f t="array" aca="1" ref="C344" ca="1">_xlfn.LET(_xlpm.Person,INT((ROW()-ROW($A$293))/8),_xlpm.Period,VALUE(RIGHT(C$38,LEN(C$38)-1))-1,_xlpm.ROWNUM,11+29*_xlpm.Person+_xlpm.Period,
ROUND(INDEX('Calc - GRAD ASST'!$I:$I,_xlpm.ROWNUM),2))</f>
        <v>0</v>
      </c>
      <c r="D344" s="3058" cm="1">
        <f t="array" aca="1" ref="D344" ca="1">_xlfn.LET(_xlpm.Person,INT((ROW()-ROW($A$293))/8),_xlpm.Period,VALUE(RIGHT(D$38,LEN(D$38)-1))-1,_xlpm.ROWNUM,11+29*_xlpm.Person+_xlpm.Period,
ROUND(INDEX('Calc - GRAD ASST'!$I:$I,_xlpm.ROWNUM),2))</f>
        <v>0</v>
      </c>
      <c r="E344" s="3058" cm="1">
        <f t="array" aca="1" ref="E344" ca="1">_xlfn.LET(_xlpm.Person,INT((ROW()-ROW($A$293))/8),_xlpm.Period,VALUE(RIGHT(E$38,LEN(E$38)-1))-1,_xlpm.ROWNUM,11+29*_xlpm.Person+_xlpm.Period,
ROUND(INDEX('Calc - GRAD ASST'!$I:$I,_xlpm.ROWNUM),2))</f>
        <v>0</v>
      </c>
      <c r="F344" s="3058" cm="1">
        <f t="array" aca="1" ref="F344" ca="1">_xlfn.LET(_xlpm.Person,INT((ROW()-ROW($A$293))/8),_xlpm.Period,VALUE(RIGHT(F$38,LEN(F$38)-1))-1,_xlpm.ROWNUM,11+29*_xlpm.Person+_xlpm.Period,
ROUND(INDEX('Calc - GRAD ASST'!$I:$I,_xlpm.ROWNUM),2))</f>
        <v>0</v>
      </c>
      <c r="G344" s="3058" cm="1">
        <f t="array" aca="1" ref="G344" ca="1">_xlfn.LET(_xlpm.Person,INT((ROW()-ROW($A$293))/8),_xlpm.Period,VALUE(RIGHT(G$38,LEN(G$38)-1))-1,_xlpm.ROWNUM,11+29*_xlpm.Person+_xlpm.Period,
ROUND(INDEX('Calc - GRAD ASST'!$I:$I,_xlpm.ROWNUM),2))</f>
        <v>0</v>
      </c>
      <c r="H344" s="3058" cm="1">
        <f t="array" aca="1" ref="H344" ca="1">_xlfn.LET(_xlpm.Person,INT((ROW()-ROW($A$293))/8),_xlpm.Period,VALUE(RIGHT(H$38,LEN(H$38)-1))-1,_xlpm.ROWNUM,11+29*_xlpm.Person+_xlpm.Period,
ROUND(INDEX('Calc - GRAD ASST'!$I:$I,_xlpm.ROWNUM),2))</f>
        <v>0</v>
      </c>
      <c r="I344" s="926"/>
    </row>
    <row r="345" spans="1:9" hidden="1" x14ac:dyDescent="0.25">
      <c r="B345" s="847" t="s">
        <v>1052</v>
      </c>
      <c r="C345" s="3053" cm="1">
        <f t="array" ref="C345">_xlfn.LET(_xlpm.Person,INT((ROW()-ROW($A$293))/8),_xlpm.Period,VALUE(RIGHT(C$38,LEN(C$38)-1))-1,_xlpm.ROWNUM,11+29*_xlpm.Person+_xlpm.Period,
INDEX('Calc - GRAD ASST'!$L:$L,_xlpm.ROWNUM))</f>
        <v>0.28499999999999998</v>
      </c>
      <c r="D345" s="3053" cm="1">
        <f t="array" ref="D345">_xlfn.LET(_xlpm.Person,INT((ROW()-ROW($A$293))/8),_xlpm.Period,VALUE(RIGHT(D$38,LEN(D$38)-1))-1,_xlpm.ROWNUM,11+29*_xlpm.Person+_xlpm.Period,
INDEX('Calc - GRAD ASST'!$L:$L,_xlpm.ROWNUM))</f>
        <v>0.30499999999999999</v>
      </c>
      <c r="E345" s="3053" cm="1">
        <f t="array" ref="E345">_xlfn.LET(_xlpm.Person,INT((ROW()-ROW($A$293))/8),_xlpm.Period,VALUE(RIGHT(E$38,LEN(E$38)-1))-1,_xlpm.ROWNUM,11+29*_xlpm.Person+_xlpm.Period,
INDEX('Calc - GRAD ASST'!$L:$L,_xlpm.ROWNUM))</f>
        <v>0.32500000000000001</v>
      </c>
      <c r="F345" s="3053" cm="1">
        <f t="array" ref="F345">_xlfn.LET(_xlpm.Person,INT((ROW()-ROW($A$293))/8),_xlpm.Period,VALUE(RIGHT(F$38,LEN(F$38)-1))-1,_xlpm.ROWNUM,11+29*_xlpm.Person+_xlpm.Period,
INDEX('Calc - GRAD ASST'!$L:$L,_xlpm.ROWNUM))</f>
        <v>0.34500000000000003</v>
      </c>
      <c r="G345" s="3053" cm="1">
        <f t="array" ref="G345">_xlfn.LET(_xlpm.Person,INT((ROW()-ROW($A$293))/8),_xlpm.Period,VALUE(RIGHT(G$38,LEN(G$38)-1))-1,_xlpm.ROWNUM,11+29*_xlpm.Person+_xlpm.Period,
INDEX('Calc - GRAD ASST'!$L:$L,_xlpm.ROWNUM))</f>
        <v>0.36500000000000005</v>
      </c>
      <c r="H345" s="3053" cm="1">
        <f t="array" ref="H345">_xlfn.LET(_xlpm.Person,INT((ROW()-ROW($A$293))/8),_xlpm.Period,VALUE(RIGHT(H$38,LEN(H$38)-1))-1,_xlpm.ROWNUM,11+29*_xlpm.Person+_xlpm.Period,
INDEX('Calc - GRAD ASST'!$L:$L,_xlpm.ROWNUM))</f>
        <v>0.38500000000000006</v>
      </c>
      <c r="I345" s="926"/>
    </row>
    <row r="346" spans="1:9" hidden="1" x14ac:dyDescent="0.25">
      <c r="B346" s="847" t="s">
        <v>1057</v>
      </c>
      <c r="C346" s="3021" cm="1">
        <f t="array" ref="C346">_xlfn.LET(_xlpm.Person,INT((ROW()-ROW($A$293))/8),_xlpm.Period,VALUE(RIGHT(C$38,LEN(C$38)-1))-1,_xlpm.ROWNUM,11+29*_xlpm.Person+_xlpm.Period,
INDEX('Calc - GRAD ASST'!$D:$D,_xlpm.ROWNUM))</f>
        <v>0</v>
      </c>
      <c r="D346" s="3021" cm="1">
        <f t="array" ref="D346">_xlfn.LET(_xlpm.Person,INT((ROW()-ROW($A$293))/8),_xlpm.Period,VALUE(RIGHT(D$38,LEN(D$38)-1))-1,_xlpm.ROWNUM,11+29*_xlpm.Person+_xlpm.Period,
INDEX('Calc - GRAD ASST'!$D:$D,_xlpm.ROWNUM))</f>
        <v>0</v>
      </c>
      <c r="E346" s="3021" cm="1">
        <f t="array" ref="E346">_xlfn.LET(_xlpm.Person,INT((ROW()-ROW($A$293))/8),_xlpm.Period,VALUE(RIGHT(E$38,LEN(E$38)-1))-1,_xlpm.ROWNUM,11+29*_xlpm.Person+_xlpm.Period,
INDEX('Calc - GRAD ASST'!$D:$D,_xlpm.ROWNUM))</f>
        <v>0</v>
      </c>
      <c r="F346" s="3021" cm="1">
        <f t="array" ref="F346">_xlfn.LET(_xlpm.Person,INT((ROW()-ROW($A$293))/8),_xlpm.Period,VALUE(RIGHT(F$38,LEN(F$38)-1))-1,_xlpm.ROWNUM,11+29*_xlpm.Person+_xlpm.Period,
INDEX('Calc - GRAD ASST'!$D:$D,_xlpm.ROWNUM))</f>
        <v>0</v>
      </c>
      <c r="G346" s="3021" cm="1">
        <f t="array" ref="G346">_xlfn.LET(_xlpm.Person,INT((ROW()-ROW($A$293))/8),_xlpm.Period,VALUE(RIGHT(G$38,LEN(G$38)-1))-1,_xlpm.ROWNUM,11+29*_xlpm.Person+_xlpm.Period,
INDEX('Calc - GRAD ASST'!$D:$D,_xlpm.ROWNUM))</f>
        <v>0</v>
      </c>
      <c r="H346" s="3021" cm="1">
        <f t="array" ref="H346">_xlfn.LET(_xlpm.Person,INT((ROW()-ROW($A$293))/8),_xlpm.Period,VALUE(RIGHT(H$38,LEN(H$38)-1))-1,_xlpm.ROWNUM,11+29*_xlpm.Person+_xlpm.Period,
INDEX('Calc - GRAD ASST'!$D:$D,_xlpm.ROWNUM))</f>
        <v>0</v>
      </c>
      <c r="I346" s="926"/>
    </row>
    <row r="347" spans="1:9" hidden="1" x14ac:dyDescent="0.25">
      <c r="I347" s="926"/>
    </row>
    <row r="348" spans="1:9" hidden="1" x14ac:dyDescent="0.25">
      <c r="I348" s="926"/>
    </row>
    <row r="349" spans="1:9" hidden="1" x14ac:dyDescent="0.25">
      <c r="A349" s="847" t="str" cm="1">
        <f t="array" ref="A349">INDEX('DATA INPUT'!B:B,29+INT((ROW()-ROW($A$293))/8))</f>
        <v>GA #08 / Sponsor Funds</v>
      </c>
      <c r="C349" s="3042" t="s">
        <v>1041</v>
      </c>
      <c r="D349" s="3042" t="s">
        <v>1042</v>
      </c>
      <c r="E349" s="3042" t="s">
        <v>1043</v>
      </c>
      <c r="F349" s="3042" t="s">
        <v>1044</v>
      </c>
      <c r="G349" s="3042" t="s">
        <v>1045</v>
      </c>
      <c r="H349" s="3042" t="s">
        <v>1046</v>
      </c>
      <c r="I349" s="926"/>
    </row>
    <row r="350" spans="1:9" ht="17.25" hidden="1" x14ac:dyDescent="0.3">
      <c r="A350" s="3043">
        <f t="shared" ref="A350" ca="1" si="110">SUM(C350:H350)</f>
        <v>0</v>
      </c>
      <c r="B350" s="3044" t="s">
        <v>3</v>
      </c>
      <c r="C350" s="3045">
        <f t="shared" ref="C350:H350" ca="1" si="111">ROUND(C352*C351*C354*(1+C353), 2)</f>
        <v>0</v>
      </c>
      <c r="D350" s="3045">
        <f t="shared" ca="1" si="111"/>
        <v>0</v>
      </c>
      <c r="E350" s="3045">
        <f t="shared" ca="1" si="111"/>
        <v>0</v>
      </c>
      <c r="F350" s="3045">
        <f t="shared" ca="1" si="111"/>
        <v>0</v>
      </c>
      <c r="G350" s="3045">
        <f t="shared" ca="1" si="111"/>
        <v>0</v>
      </c>
      <c r="H350" s="3045">
        <f t="shared" ca="1" si="111"/>
        <v>0</v>
      </c>
      <c r="I350" s="926"/>
    </row>
    <row r="351" spans="1:9" hidden="1" x14ac:dyDescent="0.25">
      <c r="B351" s="847" t="s">
        <v>1056</v>
      </c>
      <c r="C351" s="3052" cm="1">
        <f t="array" ref="C351">_xlfn.LET(_xlpm.Person,INT((ROW()-ROW($A$293))/8),_xlpm.Period,VALUE(RIGHT(C$38,LEN(C$38)-1))-1,_xlpm.ROWNUM,11+29*_xlpm.Person+_xlpm.Period,
INDEX('Calc - GRAD ASST'!$C:$C,_xlpm.ROWNUM))</f>
        <v>0</v>
      </c>
      <c r="D351" s="3052" cm="1">
        <f t="array" ref="D351">_xlfn.LET(_xlpm.Person,INT((ROW()-ROW($A$293))/8),_xlpm.Period,VALUE(RIGHT(D$38,LEN(D$38)-1))-1,_xlpm.ROWNUM,11+29*_xlpm.Person+_xlpm.Period,
INDEX('Calc - GRAD ASST'!$C:$C,_xlpm.ROWNUM))</f>
        <v>0</v>
      </c>
      <c r="E351" s="3052" cm="1">
        <f t="array" ref="E351">_xlfn.LET(_xlpm.Person,INT((ROW()-ROW($A$293))/8),_xlpm.Period,VALUE(RIGHT(E$38,LEN(E$38)-1))-1,_xlpm.ROWNUM,11+29*_xlpm.Person+_xlpm.Period,
INDEX('Calc - GRAD ASST'!$C:$C,_xlpm.ROWNUM))</f>
        <v>0</v>
      </c>
      <c r="F351" s="3052" cm="1">
        <f t="array" ref="F351">_xlfn.LET(_xlpm.Person,INT((ROW()-ROW($A$293))/8),_xlpm.Period,VALUE(RIGHT(F$38,LEN(F$38)-1))-1,_xlpm.ROWNUM,11+29*_xlpm.Person+_xlpm.Period,
INDEX('Calc - GRAD ASST'!$C:$C,_xlpm.ROWNUM))</f>
        <v>0</v>
      </c>
      <c r="G351" s="3052" cm="1">
        <f t="array" ref="G351">_xlfn.LET(_xlpm.Person,INT((ROW()-ROW($A$293))/8),_xlpm.Period,VALUE(RIGHT(G$38,LEN(G$38)-1))-1,_xlpm.ROWNUM,11+29*_xlpm.Person+_xlpm.Period,
INDEX('Calc - GRAD ASST'!$C:$C,_xlpm.ROWNUM))</f>
        <v>0</v>
      </c>
      <c r="H351" s="3052" cm="1">
        <f t="array" ref="H351">_xlfn.LET(_xlpm.Person,INT((ROW()-ROW($A$293))/8),_xlpm.Period,VALUE(RIGHT(H$38,LEN(H$38)-1))-1,_xlpm.ROWNUM,11+29*_xlpm.Person+_xlpm.Period,
INDEX('Calc - GRAD ASST'!$C:$C,_xlpm.ROWNUM))</f>
        <v>0</v>
      </c>
      <c r="I351" s="926"/>
    </row>
    <row r="352" spans="1:9" hidden="1" x14ac:dyDescent="0.25">
      <c r="B352" s="847" t="s">
        <v>1050</v>
      </c>
      <c r="C352" s="3058" cm="1">
        <f t="array" aca="1" ref="C352" ca="1">_xlfn.LET(_xlpm.Person,INT((ROW()-ROW($A$293))/8),_xlpm.Period,VALUE(RIGHT(C$38,LEN(C$38)-1))-1,_xlpm.ROWNUM,11+29*_xlpm.Person+_xlpm.Period,
ROUND(INDEX('Calc - GRAD ASST'!$I:$I,_xlpm.ROWNUM),2))</f>
        <v>0</v>
      </c>
      <c r="D352" s="3058" cm="1">
        <f t="array" aca="1" ref="D352" ca="1">_xlfn.LET(_xlpm.Person,INT((ROW()-ROW($A$293))/8),_xlpm.Period,VALUE(RIGHT(D$38,LEN(D$38)-1))-1,_xlpm.ROWNUM,11+29*_xlpm.Person+_xlpm.Period,
ROUND(INDEX('Calc - GRAD ASST'!$I:$I,_xlpm.ROWNUM),2))</f>
        <v>0</v>
      </c>
      <c r="E352" s="3058" cm="1">
        <f t="array" aca="1" ref="E352" ca="1">_xlfn.LET(_xlpm.Person,INT((ROW()-ROW($A$293))/8),_xlpm.Period,VALUE(RIGHT(E$38,LEN(E$38)-1))-1,_xlpm.ROWNUM,11+29*_xlpm.Person+_xlpm.Period,
ROUND(INDEX('Calc - GRAD ASST'!$I:$I,_xlpm.ROWNUM),2))</f>
        <v>0</v>
      </c>
      <c r="F352" s="3058" cm="1">
        <f t="array" aca="1" ref="F352" ca="1">_xlfn.LET(_xlpm.Person,INT((ROW()-ROW($A$293))/8),_xlpm.Period,VALUE(RIGHT(F$38,LEN(F$38)-1))-1,_xlpm.ROWNUM,11+29*_xlpm.Person+_xlpm.Period,
ROUND(INDEX('Calc - GRAD ASST'!$I:$I,_xlpm.ROWNUM),2))</f>
        <v>0</v>
      </c>
      <c r="G352" s="3058" cm="1">
        <f t="array" aca="1" ref="G352" ca="1">_xlfn.LET(_xlpm.Person,INT((ROW()-ROW($A$293))/8),_xlpm.Period,VALUE(RIGHT(G$38,LEN(G$38)-1))-1,_xlpm.ROWNUM,11+29*_xlpm.Person+_xlpm.Period,
ROUND(INDEX('Calc - GRAD ASST'!$I:$I,_xlpm.ROWNUM),2))</f>
        <v>0</v>
      </c>
      <c r="H352" s="3058" cm="1">
        <f t="array" aca="1" ref="H352" ca="1">_xlfn.LET(_xlpm.Person,INT((ROW()-ROW($A$293))/8),_xlpm.Period,VALUE(RIGHT(H$38,LEN(H$38)-1))-1,_xlpm.ROWNUM,11+29*_xlpm.Person+_xlpm.Period,
ROUND(INDEX('Calc - GRAD ASST'!$I:$I,_xlpm.ROWNUM),2))</f>
        <v>0</v>
      </c>
      <c r="I352" s="926"/>
    </row>
    <row r="353" spans="1:9" hidden="1" x14ac:dyDescent="0.25">
      <c r="B353" s="847" t="s">
        <v>1052</v>
      </c>
      <c r="C353" s="3053" cm="1">
        <f t="array" ref="C353">_xlfn.LET(_xlpm.Person,INT((ROW()-ROW($A$293))/8),_xlpm.Period,VALUE(RIGHT(C$38,LEN(C$38)-1))-1,_xlpm.ROWNUM,11+29*_xlpm.Person+_xlpm.Period,
INDEX('Calc - GRAD ASST'!$L:$L,_xlpm.ROWNUM))</f>
        <v>0.28499999999999998</v>
      </c>
      <c r="D353" s="3053" cm="1">
        <f t="array" ref="D353">_xlfn.LET(_xlpm.Person,INT((ROW()-ROW($A$293))/8),_xlpm.Period,VALUE(RIGHT(D$38,LEN(D$38)-1))-1,_xlpm.ROWNUM,11+29*_xlpm.Person+_xlpm.Period,
INDEX('Calc - GRAD ASST'!$L:$L,_xlpm.ROWNUM))</f>
        <v>0.30499999999999999</v>
      </c>
      <c r="E353" s="3053" cm="1">
        <f t="array" ref="E353">_xlfn.LET(_xlpm.Person,INT((ROW()-ROW($A$293))/8),_xlpm.Period,VALUE(RIGHT(E$38,LEN(E$38)-1))-1,_xlpm.ROWNUM,11+29*_xlpm.Person+_xlpm.Period,
INDEX('Calc - GRAD ASST'!$L:$L,_xlpm.ROWNUM))</f>
        <v>0.32500000000000001</v>
      </c>
      <c r="F353" s="3053" cm="1">
        <f t="array" ref="F353">_xlfn.LET(_xlpm.Person,INT((ROW()-ROW($A$293))/8),_xlpm.Period,VALUE(RIGHT(F$38,LEN(F$38)-1))-1,_xlpm.ROWNUM,11+29*_xlpm.Person+_xlpm.Period,
INDEX('Calc - GRAD ASST'!$L:$L,_xlpm.ROWNUM))</f>
        <v>0.34500000000000003</v>
      </c>
      <c r="G353" s="3053" cm="1">
        <f t="array" ref="G353">_xlfn.LET(_xlpm.Person,INT((ROW()-ROW($A$293))/8),_xlpm.Period,VALUE(RIGHT(G$38,LEN(G$38)-1))-1,_xlpm.ROWNUM,11+29*_xlpm.Person+_xlpm.Period,
INDEX('Calc - GRAD ASST'!$L:$L,_xlpm.ROWNUM))</f>
        <v>0.36500000000000005</v>
      </c>
      <c r="H353" s="3053" cm="1">
        <f t="array" ref="H353">_xlfn.LET(_xlpm.Person,INT((ROW()-ROW($A$293))/8),_xlpm.Period,VALUE(RIGHT(H$38,LEN(H$38)-1))-1,_xlpm.ROWNUM,11+29*_xlpm.Person+_xlpm.Period,
INDEX('Calc - GRAD ASST'!$L:$L,_xlpm.ROWNUM))</f>
        <v>0.38500000000000006</v>
      </c>
      <c r="I353" s="926"/>
    </row>
    <row r="354" spans="1:9" hidden="1" x14ac:dyDescent="0.25">
      <c r="B354" s="847" t="s">
        <v>1057</v>
      </c>
      <c r="C354" s="3021" cm="1">
        <f t="array" ref="C354">_xlfn.LET(_xlpm.Person,INT((ROW()-ROW($A$293))/8),_xlpm.Period,VALUE(RIGHT(C$38,LEN(C$38)-1))-1,_xlpm.ROWNUM,11+29*_xlpm.Person+_xlpm.Period,
INDEX('Calc - GRAD ASST'!$D:$D,_xlpm.ROWNUM))</f>
        <v>0</v>
      </c>
      <c r="D354" s="3021" cm="1">
        <f t="array" ref="D354">_xlfn.LET(_xlpm.Person,INT((ROW()-ROW($A$293))/8),_xlpm.Period,VALUE(RIGHT(D$38,LEN(D$38)-1))-1,_xlpm.ROWNUM,11+29*_xlpm.Person+_xlpm.Period,
INDEX('Calc - GRAD ASST'!$D:$D,_xlpm.ROWNUM))</f>
        <v>0</v>
      </c>
      <c r="E354" s="3021" cm="1">
        <f t="array" ref="E354">_xlfn.LET(_xlpm.Person,INT((ROW()-ROW($A$293))/8),_xlpm.Period,VALUE(RIGHT(E$38,LEN(E$38)-1))-1,_xlpm.ROWNUM,11+29*_xlpm.Person+_xlpm.Period,
INDEX('Calc - GRAD ASST'!$D:$D,_xlpm.ROWNUM))</f>
        <v>0</v>
      </c>
      <c r="F354" s="3021" cm="1">
        <f t="array" ref="F354">_xlfn.LET(_xlpm.Person,INT((ROW()-ROW($A$293))/8),_xlpm.Period,VALUE(RIGHT(F$38,LEN(F$38)-1))-1,_xlpm.ROWNUM,11+29*_xlpm.Person+_xlpm.Period,
INDEX('Calc - GRAD ASST'!$D:$D,_xlpm.ROWNUM))</f>
        <v>0</v>
      </c>
      <c r="G354" s="3021" cm="1">
        <f t="array" ref="G354">_xlfn.LET(_xlpm.Person,INT((ROW()-ROW($A$293))/8),_xlpm.Period,VALUE(RIGHT(G$38,LEN(G$38)-1))-1,_xlpm.ROWNUM,11+29*_xlpm.Person+_xlpm.Period,
INDEX('Calc - GRAD ASST'!$D:$D,_xlpm.ROWNUM))</f>
        <v>0</v>
      </c>
      <c r="H354" s="3021" cm="1">
        <f t="array" ref="H354">_xlfn.LET(_xlpm.Person,INT((ROW()-ROW($A$293))/8),_xlpm.Period,VALUE(RIGHT(H$38,LEN(H$38)-1))-1,_xlpm.ROWNUM,11+29*_xlpm.Person+_xlpm.Period,
INDEX('Calc - GRAD ASST'!$D:$D,_xlpm.ROWNUM))</f>
        <v>0</v>
      </c>
      <c r="I354" s="926"/>
    </row>
    <row r="355" spans="1:9" hidden="1" x14ac:dyDescent="0.25">
      <c r="B355" s="847"/>
      <c r="I355" s="926"/>
    </row>
    <row r="356" spans="1:9" hidden="1" x14ac:dyDescent="0.25">
      <c r="I356" s="926"/>
    </row>
    <row r="357" spans="1:9" hidden="1" x14ac:dyDescent="0.25">
      <c r="A357" s="847" t="str" cm="1">
        <f t="array" ref="A357">INDEX('DATA INPUT'!B:B,29+INT((ROW()-ROW($A$293))/8))</f>
        <v>GA #09 / Sponsor Funds</v>
      </c>
      <c r="C357" s="3042" t="s">
        <v>1041</v>
      </c>
      <c r="D357" s="3042" t="s">
        <v>1042</v>
      </c>
      <c r="E357" s="3042" t="s">
        <v>1043</v>
      </c>
      <c r="F357" s="3042" t="s">
        <v>1044</v>
      </c>
      <c r="G357" s="3042" t="s">
        <v>1045</v>
      </c>
      <c r="H357" s="3042" t="s">
        <v>1046</v>
      </c>
      <c r="I357" s="926"/>
    </row>
    <row r="358" spans="1:9" ht="17.25" hidden="1" x14ac:dyDescent="0.3">
      <c r="A358" s="3043">
        <f t="shared" ref="A358" ca="1" si="112">SUM(C358:H358)</f>
        <v>0</v>
      </c>
      <c r="B358" s="3044" t="s">
        <v>3</v>
      </c>
      <c r="C358" s="3045">
        <f t="shared" ref="C358:H358" ca="1" si="113">ROUND(C360*C359*C362*(1+C361), 2)</f>
        <v>0</v>
      </c>
      <c r="D358" s="3045">
        <f t="shared" ca="1" si="113"/>
        <v>0</v>
      </c>
      <c r="E358" s="3045">
        <f t="shared" ca="1" si="113"/>
        <v>0</v>
      </c>
      <c r="F358" s="3045">
        <f t="shared" ca="1" si="113"/>
        <v>0</v>
      </c>
      <c r="G358" s="3045">
        <f t="shared" ca="1" si="113"/>
        <v>0</v>
      </c>
      <c r="H358" s="3045">
        <f t="shared" ca="1" si="113"/>
        <v>0</v>
      </c>
      <c r="I358" s="926"/>
    </row>
    <row r="359" spans="1:9" hidden="1" x14ac:dyDescent="0.25">
      <c r="B359" s="847" t="s">
        <v>1056</v>
      </c>
      <c r="C359" s="3052" cm="1">
        <f t="array" ref="C359">_xlfn.LET(_xlpm.Person,INT((ROW()-ROW($A$293))/8),_xlpm.Period,VALUE(RIGHT(C$38,LEN(C$38)-1))-1,_xlpm.ROWNUM,11+29*_xlpm.Person+_xlpm.Period,
INDEX('Calc - GRAD ASST'!$C:$C,_xlpm.ROWNUM))</f>
        <v>0</v>
      </c>
      <c r="D359" s="3052" cm="1">
        <f t="array" ref="D359">_xlfn.LET(_xlpm.Person,INT((ROW()-ROW($A$293))/8),_xlpm.Period,VALUE(RIGHT(D$38,LEN(D$38)-1))-1,_xlpm.ROWNUM,11+29*_xlpm.Person+_xlpm.Period,
INDEX('Calc - GRAD ASST'!$C:$C,_xlpm.ROWNUM))</f>
        <v>0</v>
      </c>
      <c r="E359" s="3052" cm="1">
        <f t="array" ref="E359">_xlfn.LET(_xlpm.Person,INT((ROW()-ROW($A$293))/8),_xlpm.Period,VALUE(RIGHT(E$38,LEN(E$38)-1))-1,_xlpm.ROWNUM,11+29*_xlpm.Person+_xlpm.Period,
INDEX('Calc - GRAD ASST'!$C:$C,_xlpm.ROWNUM))</f>
        <v>0</v>
      </c>
      <c r="F359" s="3052" cm="1">
        <f t="array" ref="F359">_xlfn.LET(_xlpm.Person,INT((ROW()-ROW($A$293))/8),_xlpm.Period,VALUE(RIGHT(F$38,LEN(F$38)-1))-1,_xlpm.ROWNUM,11+29*_xlpm.Person+_xlpm.Period,
INDEX('Calc - GRAD ASST'!$C:$C,_xlpm.ROWNUM))</f>
        <v>0</v>
      </c>
      <c r="G359" s="3052" cm="1">
        <f t="array" ref="G359">_xlfn.LET(_xlpm.Person,INT((ROW()-ROW($A$293))/8),_xlpm.Period,VALUE(RIGHT(G$38,LEN(G$38)-1))-1,_xlpm.ROWNUM,11+29*_xlpm.Person+_xlpm.Period,
INDEX('Calc - GRAD ASST'!$C:$C,_xlpm.ROWNUM))</f>
        <v>0</v>
      </c>
      <c r="H359" s="3052" cm="1">
        <f t="array" ref="H359">_xlfn.LET(_xlpm.Person,INT((ROW()-ROW($A$293))/8),_xlpm.Period,VALUE(RIGHT(H$38,LEN(H$38)-1))-1,_xlpm.ROWNUM,11+29*_xlpm.Person+_xlpm.Period,
INDEX('Calc - GRAD ASST'!$C:$C,_xlpm.ROWNUM))</f>
        <v>0</v>
      </c>
      <c r="I359" s="926"/>
    </row>
    <row r="360" spans="1:9" hidden="1" x14ac:dyDescent="0.25">
      <c r="B360" s="847" t="s">
        <v>1050</v>
      </c>
      <c r="C360" s="3058" cm="1">
        <f t="array" aca="1" ref="C360" ca="1">_xlfn.LET(_xlpm.Person,INT((ROW()-ROW($A$293))/8),_xlpm.Period,VALUE(RIGHT(C$38,LEN(C$38)-1))-1,_xlpm.ROWNUM,11+29*_xlpm.Person+_xlpm.Period,
ROUND(INDEX('Calc - GRAD ASST'!$I:$I,_xlpm.ROWNUM),2))</f>
        <v>0</v>
      </c>
      <c r="D360" s="3058" cm="1">
        <f t="array" aca="1" ref="D360" ca="1">_xlfn.LET(_xlpm.Person,INT((ROW()-ROW($A$293))/8),_xlpm.Period,VALUE(RIGHT(D$38,LEN(D$38)-1))-1,_xlpm.ROWNUM,11+29*_xlpm.Person+_xlpm.Period,
ROUND(INDEX('Calc - GRAD ASST'!$I:$I,_xlpm.ROWNUM),2))</f>
        <v>0</v>
      </c>
      <c r="E360" s="3058" cm="1">
        <f t="array" aca="1" ref="E360" ca="1">_xlfn.LET(_xlpm.Person,INT((ROW()-ROW($A$293))/8),_xlpm.Period,VALUE(RIGHT(E$38,LEN(E$38)-1))-1,_xlpm.ROWNUM,11+29*_xlpm.Person+_xlpm.Period,
ROUND(INDEX('Calc - GRAD ASST'!$I:$I,_xlpm.ROWNUM),2))</f>
        <v>0</v>
      </c>
      <c r="F360" s="3058" cm="1">
        <f t="array" aca="1" ref="F360" ca="1">_xlfn.LET(_xlpm.Person,INT((ROW()-ROW($A$293))/8),_xlpm.Period,VALUE(RIGHT(F$38,LEN(F$38)-1))-1,_xlpm.ROWNUM,11+29*_xlpm.Person+_xlpm.Period,
ROUND(INDEX('Calc - GRAD ASST'!$I:$I,_xlpm.ROWNUM),2))</f>
        <v>0</v>
      </c>
      <c r="G360" s="3058" cm="1">
        <f t="array" aca="1" ref="G360" ca="1">_xlfn.LET(_xlpm.Person,INT((ROW()-ROW($A$293))/8),_xlpm.Period,VALUE(RIGHT(G$38,LEN(G$38)-1))-1,_xlpm.ROWNUM,11+29*_xlpm.Person+_xlpm.Period,
ROUND(INDEX('Calc - GRAD ASST'!$I:$I,_xlpm.ROWNUM),2))</f>
        <v>0</v>
      </c>
      <c r="H360" s="3058" cm="1">
        <f t="array" aca="1" ref="H360" ca="1">_xlfn.LET(_xlpm.Person,INT((ROW()-ROW($A$293))/8),_xlpm.Period,VALUE(RIGHT(H$38,LEN(H$38)-1))-1,_xlpm.ROWNUM,11+29*_xlpm.Person+_xlpm.Period,
ROUND(INDEX('Calc - GRAD ASST'!$I:$I,_xlpm.ROWNUM),2))</f>
        <v>0</v>
      </c>
      <c r="I360" s="926"/>
    </row>
    <row r="361" spans="1:9" hidden="1" x14ac:dyDescent="0.25">
      <c r="B361" s="847" t="s">
        <v>1052</v>
      </c>
      <c r="C361" s="3053" cm="1">
        <f t="array" ref="C361">_xlfn.LET(_xlpm.Person,INT((ROW()-ROW($A$293))/8),_xlpm.Period,VALUE(RIGHT(C$38,LEN(C$38)-1))-1,_xlpm.ROWNUM,11+29*_xlpm.Person+_xlpm.Period,
INDEX('Calc - GRAD ASST'!$L:$L,_xlpm.ROWNUM))</f>
        <v>0.28499999999999998</v>
      </c>
      <c r="D361" s="3053" cm="1">
        <f t="array" ref="D361">_xlfn.LET(_xlpm.Person,INT((ROW()-ROW($A$293))/8),_xlpm.Period,VALUE(RIGHT(D$38,LEN(D$38)-1))-1,_xlpm.ROWNUM,11+29*_xlpm.Person+_xlpm.Period,
INDEX('Calc - GRAD ASST'!$L:$L,_xlpm.ROWNUM))</f>
        <v>0.30499999999999999</v>
      </c>
      <c r="E361" s="3053" cm="1">
        <f t="array" ref="E361">_xlfn.LET(_xlpm.Person,INT((ROW()-ROW($A$293))/8),_xlpm.Period,VALUE(RIGHT(E$38,LEN(E$38)-1))-1,_xlpm.ROWNUM,11+29*_xlpm.Person+_xlpm.Period,
INDEX('Calc - GRAD ASST'!$L:$L,_xlpm.ROWNUM))</f>
        <v>0.32500000000000001</v>
      </c>
      <c r="F361" s="3053" cm="1">
        <f t="array" ref="F361">_xlfn.LET(_xlpm.Person,INT((ROW()-ROW($A$293))/8),_xlpm.Period,VALUE(RIGHT(F$38,LEN(F$38)-1))-1,_xlpm.ROWNUM,11+29*_xlpm.Person+_xlpm.Period,
INDEX('Calc - GRAD ASST'!$L:$L,_xlpm.ROWNUM))</f>
        <v>0.34500000000000003</v>
      </c>
      <c r="G361" s="3053" cm="1">
        <f t="array" ref="G361">_xlfn.LET(_xlpm.Person,INT((ROW()-ROW($A$293))/8),_xlpm.Period,VALUE(RIGHT(G$38,LEN(G$38)-1))-1,_xlpm.ROWNUM,11+29*_xlpm.Person+_xlpm.Period,
INDEX('Calc - GRAD ASST'!$L:$L,_xlpm.ROWNUM))</f>
        <v>0.36500000000000005</v>
      </c>
      <c r="H361" s="3053" cm="1">
        <f t="array" ref="H361">_xlfn.LET(_xlpm.Person,INT((ROW()-ROW($A$293))/8),_xlpm.Period,VALUE(RIGHT(H$38,LEN(H$38)-1))-1,_xlpm.ROWNUM,11+29*_xlpm.Person+_xlpm.Period,
INDEX('Calc - GRAD ASST'!$L:$L,_xlpm.ROWNUM))</f>
        <v>0.38500000000000006</v>
      </c>
      <c r="I361" s="926"/>
    </row>
    <row r="362" spans="1:9" hidden="1" x14ac:dyDescent="0.25">
      <c r="B362" s="847" t="s">
        <v>1057</v>
      </c>
      <c r="C362" s="3021" cm="1">
        <f t="array" ref="C362">_xlfn.LET(_xlpm.Person,INT((ROW()-ROW($A$293))/8),_xlpm.Period,VALUE(RIGHT(C$38,LEN(C$38)-1))-1,_xlpm.ROWNUM,11+29*_xlpm.Person+_xlpm.Period,
INDEX('Calc - GRAD ASST'!$D:$D,_xlpm.ROWNUM))</f>
        <v>0</v>
      </c>
      <c r="D362" s="3021" cm="1">
        <f t="array" ref="D362">_xlfn.LET(_xlpm.Person,INT((ROW()-ROW($A$293))/8),_xlpm.Period,VALUE(RIGHT(D$38,LEN(D$38)-1))-1,_xlpm.ROWNUM,11+29*_xlpm.Person+_xlpm.Period,
INDEX('Calc - GRAD ASST'!$D:$D,_xlpm.ROWNUM))</f>
        <v>0</v>
      </c>
      <c r="E362" s="3021" cm="1">
        <f t="array" ref="E362">_xlfn.LET(_xlpm.Person,INT((ROW()-ROW($A$293))/8),_xlpm.Period,VALUE(RIGHT(E$38,LEN(E$38)-1))-1,_xlpm.ROWNUM,11+29*_xlpm.Person+_xlpm.Period,
INDEX('Calc - GRAD ASST'!$D:$D,_xlpm.ROWNUM))</f>
        <v>0</v>
      </c>
      <c r="F362" s="3021" cm="1">
        <f t="array" ref="F362">_xlfn.LET(_xlpm.Person,INT((ROW()-ROW($A$293))/8),_xlpm.Period,VALUE(RIGHT(F$38,LEN(F$38)-1))-1,_xlpm.ROWNUM,11+29*_xlpm.Person+_xlpm.Period,
INDEX('Calc - GRAD ASST'!$D:$D,_xlpm.ROWNUM))</f>
        <v>0</v>
      </c>
      <c r="G362" s="3021" cm="1">
        <f t="array" ref="G362">_xlfn.LET(_xlpm.Person,INT((ROW()-ROW($A$293))/8),_xlpm.Period,VALUE(RIGHT(G$38,LEN(G$38)-1))-1,_xlpm.ROWNUM,11+29*_xlpm.Person+_xlpm.Period,
INDEX('Calc - GRAD ASST'!$D:$D,_xlpm.ROWNUM))</f>
        <v>0</v>
      </c>
      <c r="H362" s="3021" cm="1">
        <f t="array" ref="H362">_xlfn.LET(_xlpm.Person,INT((ROW()-ROW($A$293))/8),_xlpm.Period,VALUE(RIGHT(H$38,LEN(H$38)-1))-1,_xlpm.ROWNUM,11+29*_xlpm.Person+_xlpm.Period,
INDEX('Calc - GRAD ASST'!$D:$D,_xlpm.ROWNUM))</f>
        <v>0</v>
      </c>
      <c r="I362" s="926"/>
    </row>
    <row r="363" spans="1:9" hidden="1" x14ac:dyDescent="0.25">
      <c r="I363" s="926"/>
    </row>
    <row r="364" spans="1:9" hidden="1" x14ac:dyDescent="0.25">
      <c r="I364" s="926"/>
    </row>
    <row r="365" spans="1:9" hidden="1" x14ac:dyDescent="0.25">
      <c r="A365" s="847" t="str" cm="1">
        <f t="array" ref="A365">INDEX('DATA INPUT'!B:B,29+INT((ROW()-ROW($A$293))/8))</f>
        <v>GA #10 / Sponsor Funds</v>
      </c>
      <c r="C365" s="3042" t="s">
        <v>1041</v>
      </c>
      <c r="D365" s="3042" t="s">
        <v>1042</v>
      </c>
      <c r="E365" s="3042" t="s">
        <v>1043</v>
      </c>
      <c r="F365" s="3042" t="s">
        <v>1044</v>
      </c>
      <c r="G365" s="3042" t="s">
        <v>1045</v>
      </c>
      <c r="H365" s="3042" t="s">
        <v>1046</v>
      </c>
      <c r="I365" s="926"/>
    </row>
    <row r="366" spans="1:9" ht="17.25" hidden="1" x14ac:dyDescent="0.3">
      <c r="A366" s="3043">
        <f t="shared" ref="A366" ca="1" si="114">SUM(C366:H366)</f>
        <v>0</v>
      </c>
      <c r="B366" s="3044" t="s">
        <v>3</v>
      </c>
      <c r="C366" s="3045">
        <f t="shared" ref="C366:H366" ca="1" si="115">ROUND(C368*C367*C370*(1+C369), 2)</f>
        <v>0</v>
      </c>
      <c r="D366" s="3045">
        <f t="shared" ca="1" si="115"/>
        <v>0</v>
      </c>
      <c r="E366" s="3045">
        <f t="shared" ca="1" si="115"/>
        <v>0</v>
      </c>
      <c r="F366" s="3045">
        <f t="shared" ca="1" si="115"/>
        <v>0</v>
      </c>
      <c r="G366" s="3045">
        <f t="shared" ca="1" si="115"/>
        <v>0</v>
      </c>
      <c r="H366" s="3045">
        <f t="shared" ca="1" si="115"/>
        <v>0</v>
      </c>
      <c r="I366" s="926"/>
    </row>
    <row r="367" spans="1:9" hidden="1" x14ac:dyDescent="0.25">
      <c r="B367" s="847" t="s">
        <v>1056</v>
      </c>
      <c r="C367" s="3052" cm="1">
        <f t="array" ref="C367">_xlfn.LET(_xlpm.Person,INT((ROW()-ROW($A$293))/8),_xlpm.Period,VALUE(RIGHT(C$38,LEN(C$38)-1))-1,_xlpm.ROWNUM,11+29*_xlpm.Person+_xlpm.Period,
INDEX('Calc - GRAD ASST'!$C:$C,_xlpm.ROWNUM))</f>
        <v>0</v>
      </c>
      <c r="D367" s="3052" cm="1">
        <f t="array" ref="D367">_xlfn.LET(_xlpm.Person,INT((ROW()-ROW($A$293))/8),_xlpm.Period,VALUE(RIGHT(D$38,LEN(D$38)-1))-1,_xlpm.ROWNUM,11+29*_xlpm.Person+_xlpm.Period,
INDEX('Calc - GRAD ASST'!$C:$C,_xlpm.ROWNUM))</f>
        <v>0</v>
      </c>
      <c r="E367" s="3052" cm="1">
        <f t="array" ref="E367">_xlfn.LET(_xlpm.Person,INT((ROW()-ROW($A$293))/8),_xlpm.Period,VALUE(RIGHT(E$38,LEN(E$38)-1))-1,_xlpm.ROWNUM,11+29*_xlpm.Person+_xlpm.Period,
INDEX('Calc - GRAD ASST'!$C:$C,_xlpm.ROWNUM))</f>
        <v>0</v>
      </c>
      <c r="F367" s="3052" cm="1">
        <f t="array" ref="F367">_xlfn.LET(_xlpm.Person,INT((ROW()-ROW($A$293))/8),_xlpm.Period,VALUE(RIGHT(F$38,LEN(F$38)-1))-1,_xlpm.ROWNUM,11+29*_xlpm.Person+_xlpm.Period,
INDEX('Calc - GRAD ASST'!$C:$C,_xlpm.ROWNUM))</f>
        <v>0</v>
      </c>
      <c r="G367" s="3052" cm="1">
        <f t="array" ref="G367">_xlfn.LET(_xlpm.Person,INT((ROW()-ROW($A$293))/8),_xlpm.Period,VALUE(RIGHT(G$38,LEN(G$38)-1))-1,_xlpm.ROWNUM,11+29*_xlpm.Person+_xlpm.Period,
INDEX('Calc - GRAD ASST'!$C:$C,_xlpm.ROWNUM))</f>
        <v>0</v>
      </c>
      <c r="H367" s="3052" cm="1">
        <f t="array" ref="H367">_xlfn.LET(_xlpm.Person,INT((ROW()-ROW($A$293))/8),_xlpm.Period,VALUE(RIGHT(H$38,LEN(H$38)-1))-1,_xlpm.ROWNUM,11+29*_xlpm.Person+_xlpm.Period,
INDEX('Calc - GRAD ASST'!$C:$C,_xlpm.ROWNUM))</f>
        <v>0</v>
      </c>
      <c r="I367" s="926"/>
    </row>
    <row r="368" spans="1:9" hidden="1" x14ac:dyDescent="0.25">
      <c r="B368" s="847" t="s">
        <v>1050</v>
      </c>
      <c r="C368" s="3058" cm="1">
        <f t="array" aca="1" ref="C368" ca="1">_xlfn.LET(_xlpm.Person,INT((ROW()-ROW($A$293))/8),_xlpm.Period,VALUE(RIGHT(C$38,LEN(C$38)-1))-1,_xlpm.ROWNUM,11+29*_xlpm.Person+_xlpm.Period,
ROUND(INDEX('Calc - GRAD ASST'!$I:$I,_xlpm.ROWNUM),2))</f>
        <v>0</v>
      </c>
      <c r="D368" s="3058" cm="1">
        <f t="array" aca="1" ref="D368" ca="1">_xlfn.LET(_xlpm.Person,INT((ROW()-ROW($A$293))/8),_xlpm.Period,VALUE(RIGHT(D$38,LEN(D$38)-1))-1,_xlpm.ROWNUM,11+29*_xlpm.Person+_xlpm.Period,
ROUND(INDEX('Calc - GRAD ASST'!$I:$I,_xlpm.ROWNUM),2))</f>
        <v>0</v>
      </c>
      <c r="E368" s="3058" cm="1">
        <f t="array" aca="1" ref="E368" ca="1">_xlfn.LET(_xlpm.Person,INT((ROW()-ROW($A$293))/8),_xlpm.Period,VALUE(RIGHT(E$38,LEN(E$38)-1))-1,_xlpm.ROWNUM,11+29*_xlpm.Person+_xlpm.Period,
ROUND(INDEX('Calc - GRAD ASST'!$I:$I,_xlpm.ROWNUM),2))</f>
        <v>0</v>
      </c>
      <c r="F368" s="3058" cm="1">
        <f t="array" aca="1" ref="F368" ca="1">_xlfn.LET(_xlpm.Person,INT((ROW()-ROW($A$293))/8),_xlpm.Period,VALUE(RIGHT(F$38,LEN(F$38)-1))-1,_xlpm.ROWNUM,11+29*_xlpm.Person+_xlpm.Period,
ROUND(INDEX('Calc - GRAD ASST'!$I:$I,_xlpm.ROWNUM),2))</f>
        <v>0</v>
      </c>
      <c r="G368" s="3058" cm="1">
        <f t="array" aca="1" ref="G368" ca="1">_xlfn.LET(_xlpm.Person,INT((ROW()-ROW($A$293))/8),_xlpm.Period,VALUE(RIGHT(G$38,LEN(G$38)-1))-1,_xlpm.ROWNUM,11+29*_xlpm.Person+_xlpm.Period,
ROUND(INDEX('Calc - GRAD ASST'!$I:$I,_xlpm.ROWNUM),2))</f>
        <v>0</v>
      </c>
      <c r="H368" s="3058" cm="1">
        <f t="array" aca="1" ref="H368" ca="1">_xlfn.LET(_xlpm.Person,INT((ROW()-ROW($A$293))/8),_xlpm.Period,VALUE(RIGHT(H$38,LEN(H$38)-1))-1,_xlpm.ROWNUM,11+29*_xlpm.Person+_xlpm.Period,
ROUND(INDEX('Calc - GRAD ASST'!$I:$I,_xlpm.ROWNUM),2))</f>
        <v>0</v>
      </c>
      <c r="I368" s="926"/>
    </row>
    <row r="369" spans="1:9" hidden="1" x14ac:dyDescent="0.25">
      <c r="B369" s="847" t="s">
        <v>1052</v>
      </c>
      <c r="C369" s="3053" cm="1">
        <f t="array" ref="C369">_xlfn.LET(_xlpm.Person,INT((ROW()-ROW($A$293))/8),_xlpm.Period,VALUE(RIGHT(C$38,LEN(C$38)-1))-1,_xlpm.ROWNUM,11+29*_xlpm.Person+_xlpm.Period,
INDEX('Calc - GRAD ASST'!$L:$L,_xlpm.ROWNUM))</f>
        <v>0.28499999999999998</v>
      </c>
      <c r="D369" s="3053" cm="1">
        <f t="array" ref="D369">_xlfn.LET(_xlpm.Person,INT((ROW()-ROW($A$293))/8),_xlpm.Period,VALUE(RIGHT(D$38,LEN(D$38)-1))-1,_xlpm.ROWNUM,11+29*_xlpm.Person+_xlpm.Period,
INDEX('Calc - GRAD ASST'!$L:$L,_xlpm.ROWNUM))</f>
        <v>0.30499999999999999</v>
      </c>
      <c r="E369" s="3053" cm="1">
        <f t="array" ref="E369">_xlfn.LET(_xlpm.Person,INT((ROW()-ROW($A$293))/8),_xlpm.Period,VALUE(RIGHT(E$38,LEN(E$38)-1))-1,_xlpm.ROWNUM,11+29*_xlpm.Person+_xlpm.Period,
INDEX('Calc - GRAD ASST'!$L:$L,_xlpm.ROWNUM))</f>
        <v>0.32500000000000001</v>
      </c>
      <c r="F369" s="3053" cm="1">
        <f t="array" ref="F369">_xlfn.LET(_xlpm.Person,INT((ROW()-ROW($A$293))/8),_xlpm.Period,VALUE(RIGHT(F$38,LEN(F$38)-1))-1,_xlpm.ROWNUM,11+29*_xlpm.Person+_xlpm.Period,
INDEX('Calc - GRAD ASST'!$L:$L,_xlpm.ROWNUM))</f>
        <v>0.34500000000000003</v>
      </c>
      <c r="G369" s="3053" cm="1">
        <f t="array" ref="G369">_xlfn.LET(_xlpm.Person,INT((ROW()-ROW($A$293))/8),_xlpm.Period,VALUE(RIGHT(G$38,LEN(G$38)-1))-1,_xlpm.ROWNUM,11+29*_xlpm.Person+_xlpm.Period,
INDEX('Calc - GRAD ASST'!$L:$L,_xlpm.ROWNUM))</f>
        <v>0.36500000000000005</v>
      </c>
      <c r="H369" s="3053" cm="1">
        <f t="array" ref="H369">_xlfn.LET(_xlpm.Person,INT((ROW()-ROW($A$293))/8),_xlpm.Period,VALUE(RIGHT(H$38,LEN(H$38)-1))-1,_xlpm.ROWNUM,11+29*_xlpm.Person+_xlpm.Period,
INDEX('Calc - GRAD ASST'!$L:$L,_xlpm.ROWNUM))</f>
        <v>0.38500000000000006</v>
      </c>
      <c r="I369" s="926"/>
    </row>
    <row r="370" spans="1:9" hidden="1" x14ac:dyDescent="0.25">
      <c r="B370" s="847" t="s">
        <v>1057</v>
      </c>
      <c r="C370" s="3021" cm="1">
        <f t="array" ref="C370">_xlfn.LET(_xlpm.Person,INT((ROW()-ROW($A$293))/8),_xlpm.Period,VALUE(RIGHT(C$38,LEN(C$38)-1))-1,_xlpm.ROWNUM,11+29*_xlpm.Person+_xlpm.Period,
INDEX('Calc - GRAD ASST'!$D:$D,_xlpm.ROWNUM))</f>
        <v>0</v>
      </c>
      <c r="D370" s="3021" cm="1">
        <f t="array" ref="D370">_xlfn.LET(_xlpm.Person,INT((ROW()-ROW($A$293))/8),_xlpm.Period,VALUE(RIGHT(D$38,LEN(D$38)-1))-1,_xlpm.ROWNUM,11+29*_xlpm.Person+_xlpm.Period,
INDEX('Calc - GRAD ASST'!$D:$D,_xlpm.ROWNUM))</f>
        <v>0</v>
      </c>
      <c r="E370" s="3021" cm="1">
        <f t="array" ref="E370">_xlfn.LET(_xlpm.Person,INT((ROW()-ROW($A$293))/8),_xlpm.Period,VALUE(RIGHT(E$38,LEN(E$38)-1))-1,_xlpm.ROWNUM,11+29*_xlpm.Person+_xlpm.Period,
INDEX('Calc - GRAD ASST'!$D:$D,_xlpm.ROWNUM))</f>
        <v>0</v>
      </c>
      <c r="F370" s="3021" cm="1">
        <f t="array" ref="F370">_xlfn.LET(_xlpm.Person,INT((ROW()-ROW($A$293))/8),_xlpm.Period,VALUE(RIGHT(F$38,LEN(F$38)-1))-1,_xlpm.ROWNUM,11+29*_xlpm.Person+_xlpm.Period,
INDEX('Calc - GRAD ASST'!$D:$D,_xlpm.ROWNUM))</f>
        <v>0</v>
      </c>
      <c r="G370" s="3021" cm="1">
        <f t="array" ref="G370">_xlfn.LET(_xlpm.Person,INT((ROW()-ROW($A$293))/8),_xlpm.Period,VALUE(RIGHT(G$38,LEN(G$38)-1))-1,_xlpm.ROWNUM,11+29*_xlpm.Person+_xlpm.Period,
INDEX('Calc - GRAD ASST'!$D:$D,_xlpm.ROWNUM))</f>
        <v>0</v>
      </c>
      <c r="H370" s="3021" cm="1">
        <f t="array" ref="H370">_xlfn.LET(_xlpm.Person,INT((ROW()-ROW($A$293))/8),_xlpm.Period,VALUE(RIGHT(H$38,LEN(H$38)-1))-1,_xlpm.ROWNUM,11+29*_xlpm.Person+_xlpm.Period,
INDEX('Calc - GRAD ASST'!$D:$D,_xlpm.ROWNUM))</f>
        <v>0</v>
      </c>
      <c r="I370" s="926"/>
    </row>
    <row r="371" spans="1:9" hidden="1" x14ac:dyDescent="0.25">
      <c r="B371" s="847"/>
      <c r="I371" s="926"/>
    </row>
    <row r="372" spans="1:9" hidden="1" x14ac:dyDescent="0.25">
      <c r="I372" s="926"/>
    </row>
    <row r="373" spans="1:9" hidden="1" x14ac:dyDescent="0.25">
      <c r="A373" s="847" t="str" cm="1">
        <f t="array" ref="A373">INDEX('DATA INPUT'!B:B,29+INT((ROW()-ROW($A$293))/8))</f>
        <v>GA #11 / Sponsor Funds</v>
      </c>
      <c r="C373" s="3042" t="s">
        <v>1041</v>
      </c>
      <c r="D373" s="3042" t="s">
        <v>1042</v>
      </c>
      <c r="E373" s="3042" t="s">
        <v>1043</v>
      </c>
      <c r="F373" s="3042" t="s">
        <v>1044</v>
      </c>
      <c r="G373" s="3042" t="s">
        <v>1045</v>
      </c>
      <c r="H373" s="3042" t="s">
        <v>1046</v>
      </c>
      <c r="I373" s="926"/>
    </row>
    <row r="374" spans="1:9" ht="17.25" hidden="1" x14ac:dyDescent="0.3">
      <c r="A374" s="3043">
        <f t="shared" ref="A374" ca="1" si="116">SUM(C374:H374)</f>
        <v>0</v>
      </c>
      <c r="B374" s="3044" t="s">
        <v>3</v>
      </c>
      <c r="C374" s="3045">
        <f t="shared" ref="C374:H374" ca="1" si="117">ROUND(C376*C375*C378*(1+C377), 2)</f>
        <v>0</v>
      </c>
      <c r="D374" s="3045">
        <f t="shared" ca="1" si="117"/>
        <v>0</v>
      </c>
      <c r="E374" s="3045">
        <f t="shared" ca="1" si="117"/>
        <v>0</v>
      </c>
      <c r="F374" s="3045">
        <f t="shared" ca="1" si="117"/>
        <v>0</v>
      </c>
      <c r="G374" s="3045">
        <f t="shared" ca="1" si="117"/>
        <v>0</v>
      </c>
      <c r="H374" s="3045">
        <f t="shared" ca="1" si="117"/>
        <v>0</v>
      </c>
      <c r="I374" s="926"/>
    </row>
    <row r="375" spans="1:9" hidden="1" x14ac:dyDescent="0.25">
      <c r="B375" s="847" t="s">
        <v>1056</v>
      </c>
      <c r="C375" s="3052" cm="1">
        <f t="array" ref="C375">_xlfn.LET(_xlpm.Person,INT((ROW()-ROW($A$293))/8),_xlpm.Period,VALUE(RIGHT(C$38,LEN(C$38)-1))-1,_xlpm.ROWNUM,11+29*_xlpm.Person+_xlpm.Period,
INDEX('Calc - GRAD ASST'!$C:$C,_xlpm.ROWNUM))</f>
        <v>0</v>
      </c>
      <c r="D375" s="3052" cm="1">
        <f t="array" ref="D375">_xlfn.LET(_xlpm.Person,INT((ROW()-ROW($A$293))/8),_xlpm.Period,VALUE(RIGHT(D$38,LEN(D$38)-1))-1,_xlpm.ROWNUM,11+29*_xlpm.Person+_xlpm.Period,
INDEX('Calc - GRAD ASST'!$C:$C,_xlpm.ROWNUM))</f>
        <v>0</v>
      </c>
      <c r="E375" s="3052" cm="1">
        <f t="array" ref="E375">_xlfn.LET(_xlpm.Person,INT((ROW()-ROW($A$293))/8),_xlpm.Period,VALUE(RIGHT(E$38,LEN(E$38)-1))-1,_xlpm.ROWNUM,11+29*_xlpm.Person+_xlpm.Period,
INDEX('Calc - GRAD ASST'!$C:$C,_xlpm.ROWNUM))</f>
        <v>0</v>
      </c>
      <c r="F375" s="3052" cm="1">
        <f t="array" ref="F375">_xlfn.LET(_xlpm.Person,INT((ROW()-ROW($A$293))/8),_xlpm.Period,VALUE(RIGHT(F$38,LEN(F$38)-1))-1,_xlpm.ROWNUM,11+29*_xlpm.Person+_xlpm.Period,
INDEX('Calc - GRAD ASST'!$C:$C,_xlpm.ROWNUM))</f>
        <v>0</v>
      </c>
      <c r="G375" s="3052" cm="1">
        <f t="array" ref="G375">_xlfn.LET(_xlpm.Person,INT((ROW()-ROW($A$293))/8),_xlpm.Period,VALUE(RIGHT(G$38,LEN(G$38)-1))-1,_xlpm.ROWNUM,11+29*_xlpm.Person+_xlpm.Period,
INDEX('Calc - GRAD ASST'!$C:$C,_xlpm.ROWNUM))</f>
        <v>0</v>
      </c>
      <c r="H375" s="3052" cm="1">
        <f t="array" ref="H375">_xlfn.LET(_xlpm.Person,INT((ROW()-ROW($A$293))/8),_xlpm.Period,VALUE(RIGHT(H$38,LEN(H$38)-1))-1,_xlpm.ROWNUM,11+29*_xlpm.Person+_xlpm.Period,
INDEX('Calc - GRAD ASST'!$C:$C,_xlpm.ROWNUM))</f>
        <v>0</v>
      </c>
      <c r="I375" s="926"/>
    </row>
    <row r="376" spans="1:9" hidden="1" x14ac:dyDescent="0.25">
      <c r="B376" s="847" t="s">
        <v>1050</v>
      </c>
      <c r="C376" s="3058" cm="1">
        <f t="array" aca="1" ref="C376" ca="1">_xlfn.LET(_xlpm.Person,INT((ROW()-ROW($A$293))/8),_xlpm.Period,VALUE(RIGHT(C$38,LEN(C$38)-1))-1,_xlpm.ROWNUM,11+29*_xlpm.Person+_xlpm.Period,
ROUND(INDEX('Calc - GRAD ASST'!$I:$I,_xlpm.ROWNUM),2))</f>
        <v>0</v>
      </c>
      <c r="D376" s="3058" cm="1">
        <f t="array" aca="1" ref="D376" ca="1">_xlfn.LET(_xlpm.Person,INT((ROW()-ROW($A$293))/8),_xlpm.Period,VALUE(RIGHT(D$38,LEN(D$38)-1))-1,_xlpm.ROWNUM,11+29*_xlpm.Person+_xlpm.Period,
ROUND(INDEX('Calc - GRAD ASST'!$I:$I,_xlpm.ROWNUM),2))</f>
        <v>0</v>
      </c>
      <c r="E376" s="3058" cm="1">
        <f t="array" aca="1" ref="E376" ca="1">_xlfn.LET(_xlpm.Person,INT((ROW()-ROW($A$293))/8),_xlpm.Period,VALUE(RIGHT(E$38,LEN(E$38)-1))-1,_xlpm.ROWNUM,11+29*_xlpm.Person+_xlpm.Period,
ROUND(INDEX('Calc - GRAD ASST'!$I:$I,_xlpm.ROWNUM),2))</f>
        <v>0</v>
      </c>
      <c r="F376" s="3058" cm="1">
        <f t="array" aca="1" ref="F376" ca="1">_xlfn.LET(_xlpm.Person,INT((ROW()-ROW($A$293))/8),_xlpm.Period,VALUE(RIGHT(F$38,LEN(F$38)-1))-1,_xlpm.ROWNUM,11+29*_xlpm.Person+_xlpm.Period,
ROUND(INDEX('Calc - GRAD ASST'!$I:$I,_xlpm.ROWNUM),2))</f>
        <v>0</v>
      </c>
      <c r="G376" s="3058" cm="1">
        <f t="array" aca="1" ref="G376" ca="1">_xlfn.LET(_xlpm.Person,INT((ROW()-ROW($A$293))/8),_xlpm.Period,VALUE(RIGHT(G$38,LEN(G$38)-1))-1,_xlpm.ROWNUM,11+29*_xlpm.Person+_xlpm.Period,
ROUND(INDEX('Calc - GRAD ASST'!$I:$I,_xlpm.ROWNUM),2))</f>
        <v>0</v>
      </c>
      <c r="H376" s="3058" cm="1">
        <f t="array" aca="1" ref="H376" ca="1">_xlfn.LET(_xlpm.Person,INT((ROW()-ROW($A$293))/8),_xlpm.Period,VALUE(RIGHT(H$38,LEN(H$38)-1))-1,_xlpm.ROWNUM,11+29*_xlpm.Person+_xlpm.Period,
ROUND(INDEX('Calc - GRAD ASST'!$I:$I,_xlpm.ROWNUM),2))</f>
        <v>0</v>
      </c>
      <c r="I376" s="926"/>
    </row>
    <row r="377" spans="1:9" hidden="1" x14ac:dyDescent="0.25">
      <c r="B377" s="847" t="s">
        <v>1052</v>
      </c>
      <c r="C377" s="3053" cm="1">
        <f t="array" ref="C377">_xlfn.LET(_xlpm.Person,INT((ROW()-ROW($A$293))/8),_xlpm.Period,VALUE(RIGHT(C$38,LEN(C$38)-1))-1,_xlpm.ROWNUM,11+29*_xlpm.Person+_xlpm.Period,
INDEX('Calc - GRAD ASST'!$L:$L,_xlpm.ROWNUM))</f>
        <v>0.28499999999999998</v>
      </c>
      <c r="D377" s="3053" cm="1">
        <f t="array" ref="D377">_xlfn.LET(_xlpm.Person,INT((ROW()-ROW($A$293))/8),_xlpm.Period,VALUE(RIGHT(D$38,LEN(D$38)-1))-1,_xlpm.ROWNUM,11+29*_xlpm.Person+_xlpm.Period,
INDEX('Calc - GRAD ASST'!$L:$L,_xlpm.ROWNUM))</f>
        <v>0.30499999999999999</v>
      </c>
      <c r="E377" s="3053" cm="1">
        <f t="array" ref="E377">_xlfn.LET(_xlpm.Person,INT((ROW()-ROW($A$293))/8),_xlpm.Period,VALUE(RIGHT(E$38,LEN(E$38)-1))-1,_xlpm.ROWNUM,11+29*_xlpm.Person+_xlpm.Period,
INDEX('Calc - GRAD ASST'!$L:$L,_xlpm.ROWNUM))</f>
        <v>0.32500000000000001</v>
      </c>
      <c r="F377" s="3053" cm="1">
        <f t="array" ref="F377">_xlfn.LET(_xlpm.Person,INT((ROW()-ROW($A$293))/8),_xlpm.Period,VALUE(RIGHT(F$38,LEN(F$38)-1))-1,_xlpm.ROWNUM,11+29*_xlpm.Person+_xlpm.Period,
INDEX('Calc - GRAD ASST'!$L:$L,_xlpm.ROWNUM))</f>
        <v>0.34500000000000003</v>
      </c>
      <c r="G377" s="3053" cm="1">
        <f t="array" ref="G377">_xlfn.LET(_xlpm.Person,INT((ROW()-ROW($A$293))/8),_xlpm.Period,VALUE(RIGHT(G$38,LEN(G$38)-1))-1,_xlpm.ROWNUM,11+29*_xlpm.Person+_xlpm.Period,
INDEX('Calc - GRAD ASST'!$L:$L,_xlpm.ROWNUM))</f>
        <v>0.36500000000000005</v>
      </c>
      <c r="H377" s="3053" cm="1">
        <f t="array" ref="H377">_xlfn.LET(_xlpm.Person,INT((ROW()-ROW($A$293))/8),_xlpm.Period,VALUE(RIGHT(H$38,LEN(H$38)-1))-1,_xlpm.ROWNUM,11+29*_xlpm.Person+_xlpm.Period,
INDEX('Calc - GRAD ASST'!$L:$L,_xlpm.ROWNUM))</f>
        <v>0.38500000000000006</v>
      </c>
      <c r="I377" s="926"/>
    </row>
    <row r="378" spans="1:9" hidden="1" x14ac:dyDescent="0.25">
      <c r="B378" s="847" t="s">
        <v>1057</v>
      </c>
      <c r="C378" s="3021" cm="1">
        <f t="array" ref="C378">_xlfn.LET(_xlpm.Person,INT((ROW()-ROW($A$293))/8),_xlpm.Period,VALUE(RIGHT(C$38,LEN(C$38)-1))-1,_xlpm.ROWNUM,11+29*_xlpm.Person+_xlpm.Period,
INDEX('Calc - GRAD ASST'!$D:$D,_xlpm.ROWNUM))</f>
        <v>0</v>
      </c>
      <c r="D378" s="3021" cm="1">
        <f t="array" ref="D378">_xlfn.LET(_xlpm.Person,INT((ROW()-ROW($A$293))/8),_xlpm.Period,VALUE(RIGHT(D$38,LEN(D$38)-1))-1,_xlpm.ROWNUM,11+29*_xlpm.Person+_xlpm.Period,
INDEX('Calc - GRAD ASST'!$D:$D,_xlpm.ROWNUM))</f>
        <v>0</v>
      </c>
      <c r="E378" s="3021" cm="1">
        <f t="array" ref="E378">_xlfn.LET(_xlpm.Person,INT((ROW()-ROW($A$293))/8),_xlpm.Period,VALUE(RIGHT(E$38,LEN(E$38)-1))-1,_xlpm.ROWNUM,11+29*_xlpm.Person+_xlpm.Period,
INDEX('Calc - GRAD ASST'!$D:$D,_xlpm.ROWNUM))</f>
        <v>0</v>
      </c>
      <c r="F378" s="3021" cm="1">
        <f t="array" ref="F378">_xlfn.LET(_xlpm.Person,INT((ROW()-ROW($A$293))/8),_xlpm.Period,VALUE(RIGHT(F$38,LEN(F$38)-1))-1,_xlpm.ROWNUM,11+29*_xlpm.Person+_xlpm.Period,
INDEX('Calc - GRAD ASST'!$D:$D,_xlpm.ROWNUM))</f>
        <v>0</v>
      </c>
      <c r="G378" s="3021" cm="1">
        <f t="array" ref="G378">_xlfn.LET(_xlpm.Person,INT((ROW()-ROW($A$293))/8),_xlpm.Period,VALUE(RIGHT(G$38,LEN(G$38)-1))-1,_xlpm.ROWNUM,11+29*_xlpm.Person+_xlpm.Period,
INDEX('Calc - GRAD ASST'!$D:$D,_xlpm.ROWNUM))</f>
        <v>0</v>
      </c>
      <c r="H378" s="3021" cm="1">
        <f t="array" ref="H378">_xlfn.LET(_xlpm.Person,INT((ROW()-ROW($A$293))/8),_xlpm.Period,VALUE(RIGHT(H$38,LEN(H$38)-1))-1,_xlpm.ROWNUM,11+29*_xlpm.Person+_xlpm.Period,
INDEX('Calc - GRAD ASST'!$D:$D,_xlpm.ROWNUM))</f>
        <v>0</v>
      </c>
      <c r="I378" s="926"/>
    </row>
    <row r="379" spans="1:9" hidden="1" x14ac:dyDescent="0.25">
      <c r="I379" s="926"/>
    </row>
    <row r="380" spans="1:9" hidden="1" x14ac:dyDescent="0.25">
      <c r="I380" s="926"/>
    </row>
    <row r="381" spans="1:9" hidden="1" x14ac:dyDescent="0.25">
      <c r="A381" s="847" t="str" cm="1">
        <f t="array" ref="A381">INDEX('DATA INPUT'!B:B,29+INT((ROW()-ROW($A$293))/8))</f>
        <v>GA #12 / Sponsor Funds</v>
      </c>
      <c r="C381" s="3042" t="s">
        <v>1041</v>
      </c>
      <c r="D381" s="3042" t="s">
        <v>1042</v>
      </c>
      <c r="E381" s="3042" t="s">
        <v>1043</v>
      </c>
      <c r="F381" s="3042" t="s">
        <v>1044</v>
      </c>
      <c r="G381" s="3042" t="s">
        <v>1045</v>
      </c>
      <c r="H381" s="3042" t="s">
        <v>1046</v>
      </c>
      <c r="I381" s="926"/>
    </row>
    <row r="382" spans="1:9" ht="17.25" hidden="1" x14ac:dyDescent="0.3">
      <c r="A382" s="3043">
        <f t="shared" ref="A382" ca="1" si="118">SUM(C382:H382)</f>
        <v>0</v>
      </c>
      <c r="B382" s="3044" t="s">
        <v>3</v>
      </c>
      <c r="C382" s="3045">
        <f t="shared" ref="C382:H382" ca="1" si="119">ROUND(C384*C383*C386*(1+C385), 2)</f>
        <v>0</v>
      </c>
      <c r="D382" s="3045">
        <f t="shared" ca="1" si="119"/>
        <v>0</v>
      </c>
      <c r="E382" s="3045">
        <f t="shared" ca="1" si="119"/>
        <v>0</v>
      </c>
      <c r="F382" s="3045">
        <f t="shared" ca="1" si="119"/>
        <v>0</v>
      </c>
      <c r="G382" s="3045">
        <f t="shared" ca="1" si="119"/>
        <v>0</v>
      </c>
      <c r="H382" s="3045">
        <f t="shared" ca="1" si="119"/>
        <v>0</v>
      </c>
      <c r="I382" s="926"/>
    </row>
    <row r="383" spans="1:9" hidden="1" x14ac:dyDescent="0.25">
      <c r="B383" s="847" t="s">
        <v>1056</v>
      </c>
      <c r="C383" s="3052" cm="1">
        <f t="array" ref="C383">_xlfn.LET(_xlpm.Person,INT((ROW()-ROW($A$293))/8),_xlpm.Period,VALUE(RIGHT(C$38,LEN(C$38)-1))-1,_xlpm.ROWNUM,11+29*_xlpm.Person+_xlpm.Period,
INDEX('Calc - GRAD ASST'!$C:$C,_xlpm.ROWNUM))</f>
        <v>0</v>
      </c>
      <c r="D383" s="3052" cm="1">
        <f t="array" ref="D383">_xlfn.LET(_xlpm.Person,INT((ROW()-ROW($A$293))/8),_xlpm.Period,VALUE(RIGHT(D$38,LEN(D$38)-1))-1,_xlpm.ROWNUM,11+29*_xlpm.Person+_xlpm.Period,
INDEX('Calc - GRAD ASST'!$C:$C,_xlpm.ROWNUM))</f>
        <v>0</v>
      </c>
      <c r="E383" s="3052" cm="1">
        <f t="array" ref="E383">_xlfn.LET(_xlpm.Person,INT((ROW()-ROW($A$293))/8),_xlpm.Period,VALUE(RIGHT(E$38,LEN(E$38)-1))-1,_xlpm.ROWNUM,11+29*_xlpm.Person+_xlpm.Period,
INDEX('Calc - GRAD ASST'!$C:$C,_xlpm.ROWNUM))</f>
        <v>0</v>
      </c>
      <c r="F383" s="3052" cm="1">
        <f t="array" ref="F383">_xlfn.LET(_xlpm.Person,INT((ROW()-ROW($A$293))/8),_xlpm.Period,VALUE(RIGHT(F$38,LEN(F$38)-1))-1,_xlpm.ROWNUM,11+29*_xlpm.Person+_xlpm.Period,
INDEX('Calc - GRAD ASST'!$C:$C,_xlpm.ROWNUM))</f>
        <v>0</v>
      </c>
      <c r="G383" s="3052" cm="1">
        <f t="array" ref="G383">_xlfn.LET(_xlpm.Person,INT((ROW()-ROW($A$293))/8),_xlpm.Period,VALUE(RIGHT(G$38,LEN(G$38)-1))-1,_xlpm.ROWNUM,11+29*_xlpm.Person+_xlpm.Period,
INDEX('Calc - GRAD ASST'!$C:$C,_xlpm.ROWNUM))</f>
        <v>0</v>
      </c>
      <c r="H383" s="3052" cm="1">
        <f t="array" ref="H383">_xlfn.LET(_xlpm.Person,INT((ROW()-ROW($A$293))/8),_xlpm.Period,VALUE(RIGHT(H$38,LEN(H$38)-1))-1,_xlpm.ROWNUM,11+29*_xlpm.Person+_xlpm.Period,
INDEX('Calc - GRAD ASST'!$C:$C,_xlpm.ROWNUM))</f>
        <v>0</v>
      </c>
      <c r="I383" s="926"/>
    </row>
    <row r="384" spans="1:9" hidden="1" x14ac:dyDescent="0.25">
      <c r="B384" s="847" t="s">
        <v>1050</v>
      </c>
      <c r="C384" s="3058" cm="1">
        <f t="array" aca="1" ref="C384" ca="1">_xlfn.LET(_xlpm.Person,INT((ROW()-ROW($A$293))/8),_xlpm.Period,VALUE(RIGHT(C$38,LEN(C$38)-1))-1,_xlpm.ROWNUM,11+29*_xlpm.Person+_xlpm.Period,
ROUND(INDEX('Calc - GRAD ASST'!$I:$I,_xlpm.ROWNUM),2))</f>
        <v>0</v>
      </c>
      <c r="D384" s="3058" cm="1">
        <f t="array" aca="1" ref="D384" ca="1">_xlfn.LET(_xlpm.Person,INT((ROW()-ROW($A$293))/8),_xlpm.Period,VALUE(RIGHT(D$38,LEN(D$38)-1))-1,_xlpm.ROWNUM,11+29*_xlpm.Person+_xlpm.Period,
ROUND(INDEX('Calc - GRAD ASST'!$I:$I,_xlpm.ROWNUM),2))</f>
        <v>0</v>
      </c>
      <c r="E384" s="3058" cm="1">
        <f t="array" aca="1" ref="E384" ca="1">_xlfn.LET(_xlpm.Person,INT((ROW()-ROW($A$293))/8),_xlpm.Period,VALUE(RIGHT(E$38,LEN(E$38)-1))-1,_xlpm.ROWNUM,11+29*_xlpm.Person+_xlpm.Period,
ROUND(INDEX('Calc - GRAD ASST'!$I:$I,_xlpm.ROWNUM),2))</f>
        <v>0</v>
      </c>
      <c r="F384" s="3058" cm="1">
        <f t="array" aca="1" ref="F384" ca="1">_xlfn.LET(_xlpm.Person,INT((ROW()-ROW($A$293))/8),_xlpm.Period,VALUE(RIGHT(F$38,LEN(F$38)-1))-1,_xlpm.ROWNUM,11+29*_xlpm.Person+_xlpm.Period,
ROUND(INDEX('Calc - GRAD ASST'!$I:$I,_xlpm.ROWNUM),2))</f>
        <v>0</v>
      </c>
      <c r="G384" s="3058" cm="1">
        <f t="array" aca="1" ref="G384" ca="1">_xlfn.LET(_xlpm.Person,INT((ROW()-ROW($A$293))/8),_xlpm.Period,VALUE(RIGHT(G$38,LEN(G$38)-1))-1,_xlpm.ROWNUM,11+29*_xlpm.Person+_xlpm.Period,
ROUND(INDEX('Calc - GRAD ASST'!$I:$I,_xlpm.ROWNUM),2))</f>
        <v>0</v>
      </c>
      <c r="H384" s="3058" cm="1">
        <f t="array" aca="1" ref="H384" ca="1">_xlfn.LET(_xlpm.Person,INT((ROW()-ROW($A$293))/8),_xlpm.Period,VALUE(RIGHT(H$38,LEN(H$38)-1))-1,_xlpm.ROWNUM,11+29*_xlpm.Person+_xlpm.Period,
ROUND(INDEX('Calc - GRAD ASST'!$I:$I,_xlpm.ROWNUM),2))</f>
        <v>0</v>
      </c>
      <c r="I384" s="926"/>
    </row>
    <row r="385" spans="1:9" hidden="1" x14ac:dyDescent="0.25">
      <c r="B385" s="847" t="s">
        <v>1052</v>
      </c>
      <c r="C385" s="3053" cm="1">
        <f t="array" ref="C385">_xlfn.LET(_xlpm.Person,INT((ROW()-ROW($A$293))/8),_xlpm.Period,VALUE(RIGHT(C$38,LEN(C$38)-1))-1,_xlpm.ROWNUM,11+29*_xlpm.Person+_xlpm.Period,
INDEX('Calc - GRAD ASST'!$L:$L,_xlpm.ROWNUM))</f>
        <v>0.28499999999999998</v>
      </c>
      <c r="D385" s="3053" cm="1">
        <f t="array" ref="D385">_xlfn.LET(_xlpm.Person,INT((ROW()-ROW($A$293))/8),_xlpm.Period,VALUE(RIGHT(D$38,LEN(D$38)-1))-1,_xlpm.ROWNUM,11+29*_xlpm.Person+_xlpm.Period,
INDEX('Calc - GRAD ASST'!$L:$L,_xlpm.ROWNUM))</f>
        <v>0.30499999999999999</v>
      </c>
      <c r="E385" s="3053" cm="1">
        <f t="array" ref="E385">_xlfn.LET(_xlpm.Person,INT((ROW()-ROW($A$293))/8),_xlpm.Period,VALUE(RIGHT(E$38,LEN(E$38)-1))-1,_xlpm.ROWNUM,11+29*_xlpm.Person+_xlpm.Period,
INDEX('Calc - GRAD ASST'!$L:$L,_xlpm.ROWNUM))</f>
        <v>0.32500000000000001</v>
      </c>
      <c r="F385" s="3053" cm="1">
        <f t="array" ref="F385">_xlfn.LET(_xlpm.Person,INT((ROW()-ROW($A$293))/8),_xlpm.Period,VALUE(RIGHT(F$38,LEN(F$38)-1))-1,_xlpm.ROWNUM,11+29*_xlpm.Person+_xlpm.Period,
INDEX('Calc - GRAD ASST'!$L:$L,_xlpm.ROWNUM))</f>
        <v>0.34500000000000003</v>
      </c>
      <c r="G385" s="3053" cm="1">
        <f t="array" ref="G385">_xlfn.LET(_xlpm.Person,INT((ROW()-ROW($A$293))/8),_xlpm.Period,VALUE(RIGHT(G$38,LEN(G$38)-1))-1,_xlpm.ROWNUM,11+29*_xlpm.Person+_xlpm.Period,
INDEX('Calc - GRAD ASST'!$L:$L,_xlpm.ROWNUM))</f>
        <v>0.36500000000000005</v>
      </c>
      <c r="H385" s="3053" cm="1">
        <f t="array" ref="H385">_xlfn.LET(_xlpm.Person,INT((ROW()-ROW($A$293))/8),_xlpm.Period,VALUE(RIGHT(H$38,LEN(H$38)-1))-1,_xlpm.ROWNUM,11+29*_xlpm.Person+_xlpm.Period,
INDEX('Calc - GRAD ASST'!$L:$L,_xlpm.ROWNUM))</f>
        <v>0.38500000000000006</v>
      </c>
      <c r="I385" s="926"/>
    </row>
    <row r="386" spans="1:9" hidden="1" x14ac:dyDescent="0.25">
      <c r="B386" s="847" t="s">
        <v>1057</v>
      </c>
      <c r="C386" s="3021" cm="1">
        <f t="array" ref="C386">_xlfn.LET(_xlpm.Person,INT((ROW()-ROW($A$293))/8),_xlpm.Period,VALUE(RIGHT(C$38,LEN(C$38)-1))-1,_xlpm.ROWNUM,11+29*_xlpm.Person+_xlpm.Period,
INDEX('Calc - GRAD ASST'!$D:$D,_xlpm.ROWNUM))</f>
        <v>0</v>
      </c>
      <c r="D386" s="3021" cm="1">
        <f t="array" ref="D386">_xlfn.LET(_xlpm.Person,INT((ROW()-ROW($A$293))/8),_xlpm.Period,VALUE(RIGHT(D$38,LEN(D$38)-1))-1,_xlpm.ROWNUM,11+29*_xlpm.Person+_xlpm.Period,
INDEX('Calc - GRAD ASST'!$D:$D,_xlpm.ROWNUM))</f>
        <v>0</v>
      </c>
      <c r="E386" s="3021" cm="1">
        <f t="array" ref="E386">_xlfn.LET(_xlpm.Person,INT((ROW()-ROW($A$293))/8),_xlpm.Period,VALUE(RIGHT(E$38,LEN(E$38)-1))-1,_xlpm.ROWNUM,11+29*_xlpm.Person+_xlpm.Period,
INDEX('Calc - GRAD ASST'!$D:$D,_xlpm.ROWNUM))</f>
        <v>0</v>
      </c>
      <c r="F386" s="3021" cm="1">
        <f t="array" ref="F386">_xlfn.LET(_xlpm.Person,INT((ROW()-ROW($A$293))/8),_xlpm.Period,VALUE(RIGHT(F$38,LEN(F$38)-1))-1,_xlpm.ROWNUM,11+29*_xlpm.Person+_xlpm.Period,
INDEX('Calc - GRAD ASST'!$D:$D,_xlpm.ROWNUM))</f>
        <v>0</v>
      </c>
      <c r="G386" s="3021" cm="1">
        <f t="array" ref="G386">_xlfn.LET(_xlpm.Person,INT((ROW()-ROW($A$293))/8),_xlpm.Period,VALUE(RIGHT(G$38,LEN(G$38)-1))-1,_xlpm.ROWNUM,11+29*_xlpm.Person+_xlpm.Period,
INDEX('Calc - GRAD ASST'!$D:$D,_xlpm.ROWNUM))</f>
        <v>0</v>
      </c>
      <c r="H386" s="3021" cm="1">
        <f t="array" ref="H386">_xlfn.LET(_xlpm.Person,INT((ROW()-ROW($A$293))/8),_xlpm.Period,VALUE(RIGHT(H$38,LEN(H$38)-1))-1,_xlpm.ROWNUM,11+29*_xlpm.Person+_xlpm.Period,
INDEX('Calc - GRAD ASST'!$D:$D,_xlpm.ROWNUM))</f>
        <v>0</v>
      </c>
      <c r="I386" s="926"/>
    </row>
    <row r="387" spans="1:9" hidden="1" x14ac:dyDescent="0.25">
      <c r="B387" s="847"/>
      <c r="I387" s="926"/>
    </row>
    <row r="388" spans="1:9" hidden="1" x14ac:dyDescent="0.25">
      <c r="I388" s="926"/>
    </row>
    <row r="389" spans="1:9" hidden="1" x14ac:dyDescent="0.25">
      <c r="A389" s="847" t="str" cm="1">
        <f t="array" ref="A389">INDEX('DATA INPUT'!B:B,29+INT((ROW()-ROW($A$293))/8))</f>
        <v>GA #13 / Sponsor Funds</v>
      </c>
      <c r="C389" s="3042" t="s">
        <v>1041</v>
      </c>
      <c r="D389" s="3042" t="s">
        <v>1042</v>
      </c>
      <c r="E389" s="3042" t="s">
        <v>1043</v>
      </c>
      <c r="F389" s="3042" t="s">
        <v>1044</v>
      </c>
      <c r="G389" s="3042" t="s">
        <v>1045</v>
      </c>
      <c r="H389" s="3042" t="s">
        <v>1046</v>
      </c>
      <c r="I389" s="926"/>
    </row>
    <row r="390" spans="1:9" ht="17.25" hidden="1" x14ac:dyDescent="0.3">
      <c r="A390" s="3043">
        <f t="shared" ref="A390" ca="1" si="120">SUM(C390:H390)</f>
        <v>0</v>
      </c>
      <c r="B390" s="3044" t="s">
        <v>3</v>
      </c>
      <c r="C390" s="3045">
        <f t="shared" ref="C390:H390" ca="1" si="121">ROUND(C392*C391*C394*(1+C393), 2)</f>
        <v>0</v>
      </c>
      <c r="D390" s="3045">
        <f t="shared" ca="1" si="121"/>
        <v>0</v>
      </c>
      <c r="E390" s="3045">
        <f t="shared" ca="1" si="121"/>
        <v>0</v>
      </c>
      <c r="F390" s="3045">
        <f t="shared" ca="1" si="121"/>
        <v>0</v>
      </c>
      <c r="G390" s="3045">
        <f t="shared" ca="1" si="121"/>
        <v>0</v>
      </c>
      <c r="H390" s="3045">
        <f t="shared" ca="1" si="121"/>
        <v>0</v>
      </c>
      <c r="I390" s="926"/>
    </row>
    <row r="391" spans="1:9" hidden="1" x14ac:dyDescent="0.25">
      <c r="B391" s="847" t="s">
        <v>1056</v>
      </c>
      <c r="C391" s="3052" cm="1">
        <f t="array" ref="C391">_xlfn.LET(_xlpm.Person,INT((ROW()-ROW($A$293))/8),_xlpm.Period,VALUE(RIGHT(C$38,LEN(C$38)-1))-1,_xlpm.ROWNUM,11+29*_xlpm.Person+_xlpm.Period,
INDEX('Calc - GRAD ASST'!$C:$C,_xlpm.ROWNUM))</f>
        <v>0</v>
      </c>
      <c r="D391" s="3052" cm="1">
        <f t="array" ref="D391">_xlfn.LET(_xlpm.Person,INT((ROW()-ROW($A$293))/8),_xlpm.Period,VALUE(RIGHT(D$38,LEN(D$38)-1))-1,_xlpm.ROWNUM,11+29*_xlpm.Person+_xlpm.Period,
INDEX('Calc - GRAD ASST'!$C:$C,_xlpm.ROWNUM))</f>
        <v>0</v>
      </c>
      <c r="E391" s="3052" cm="1">
        <f t="array" ref="E391">_xlfn.LET(_xlpm.Person,INT((ROW()-ROW($A$293))/8),_xlpm.Period,VALUE(RIGHT(E$38,LEN(E$38)-1))-1,_xlpm.ROWNUM,11+29*_xlpm.Person+_xlpm.Period,
INDEX('Calc - GRAD ASST'!$C:$C,_xlpm.ROWNUM))</f>
        <v>0</v>
      </c>
      <c r="F391" s="3052" cm="1">
        <f t="array" ref="F391">_xlfn.LET(_xlpm.Person,INT((ROW()-ROW($A$293))/8),_xlpm.Period,VALUE(RIGHT(F$38,LEN(F$38)-1))-1,_xlpm.ROWNUM,11+29*_xlpm.Person+_xlpm.Period,
INDEX('Calc - GRAD ASST'!$C:$C,_xlpm.ROWNUM))</f>
        <v>0</v>
      </c>
      <c r="G391" s="3052" cm="1">
        <f t="array" ref="G391">_xlfn.LET(_xlpm.Person,INT((ROW()-ROW($A$293))/8),_xlpm.Period,VALUE(RIGHT(G$38,LEN(G$38)-1))-1,_xlpm.ROWNUM,11+29*_xlpm.Person+_xlpm.Period,
INDEX('Calc - GRAD ASST'!$C:$C,_xlpm.ROWNUM))</f>
        <v>0</v>
      </c>
      <c r="H391" s="3052" cm="1">
        <f t="array" ref="H391">_xlfn.LET(_xlpm.Person,INT((ROW()-ROW($A$293))/8),_xlpm.Period,VALUE(RIGHT(H$38,LEN(H$38)-1))-1,_xlpm.ROWNUM,11+29*_xlpm.Person+_xlpm.Period,
INDEX('Calc - GRAD ASST'!$C:$C,_xlpm.ROWNUM))</f>
        <v>0</v>
      </c>
      <c r="I391" s="926"/>
    </row>
    <row r="392" spans="1:9" hidden="1" x14ac:dyDescent="0.25">
      <c r="B392" s="847" t="s">
        <v>1050</v>
      </c>
      <c r="C392" s="3058" cm="1">
        <f t="array" aca="1" ref="C392" ca="1">_xlfn.LET(_xlpm.Person,INT((ROW()-ROW($A$293))/8),_xlpm.Period,VALUE(RIGHT(C$38,LEN(C$38)-1))-1,_xlpm.ROWNUM,11+29*_xlpm.Person+_xlpm.Period,
ROUND(INDEX('Calc - GRAD ASST'!$I:$I,_xlpm.ROWNUM),2))</f>
        <v>0</v>
      </c>
      <c r="D392" s="3058" cm="1">
        <f t="array" aca="1" ref="D392" ca="1">_xlfn.LET(_xlpm.Person,INT((ROW()-ROW($A$293))/8),_xlpm.Period,VALUE(RIGHT(D$38,LEN(D$38)-1))-1,_xlpm.ROWNUM,11+29*_xlpm.Person+_xlpm.Period,
ROUND(INDEX('Calc - GRAD ASST'!$I:$I,_xlpm.ROWNUM),2))</f>
        <v>0</v>
      </c>
      <c r="E392" s="3058" cm="1">
        <f t="array" aca="1" ref="E392" ca="1">_xlfn.LET(_xlpm.Person,INT((ROW()-ROW($A$293))/8),_xlpm.Period,VALUE(RIGHT(E$38,LEN(E$38)-1))-1,_xlpm.ROWNUM,11+29*_xlpm.Person+_xlpm.Period,
ROUND(INDEX('Calc - GRAD ASST'!$I:$I,_xlpm.ROWNUM),2))</f>
        <v>0</v>
      </c>
      <c r="F392" s="3058" cm="1">
        <f t="array" aca="1" ref="F392" ca="1">_xlfn.LET(_xlpm.Person,INT((ROW()-ROW($A$293))/8),_xlpm.Period,VALUE(RIGHT(F$38,LEN(F$38)-1))-1,_xlpm.ROWNUM,11+29*_xlpm.Person+_xlpm.Period,
ROUND(INDEX('Calc - GRAD ASST'!$I:$I,_xlpm.ROWNUM),2))</f>
        <v>0</v>
      </c>
      <c r="G392" s="3058" cm="1">
        <f t="array" aca="1" ref="G392" ca="1">_xlfn.LET(_xlpm.Person,INT((ROW()-ROW($A$293))/8),_xlpm.Period,VALUE(RIGHT(G$38,LEN(G$38)-1))-1,_xlpm.ROWNUM,11+29*_xlpm.Person+_xlpm.Period,
ROUND(INDEX('Calc - GRAD ASST'!$I:$I,_xlpm.ROWNUM),2))</f>
        <v>0</v>
      </c>
      <c r="H392" s="3058" cm="1">
        <f t="array" aca="1" ref="H392" ca="1">_xlfn.LET(_xlpm.Person,INT((ROW()-ROW($A$293))/8),_xlpm.Period,VALUE(RIGHT(H$38,LEN(H$38)-1))-1,_xlpm.ROWNUM,11+29*_xlpm.Person+_xlpm.Period,
ROUND(INDEX('Calc - GRAD ASST'!$I:$I,_xlpm.ROWNUM),2))</f>
        <v>0</v>
      </c>
      <c r="I392" s="926"/>
    </row>
    <row r="393" spans="1:9" hidden="1" x14ac:dyDescent="0.25">
      <c r="B393" s="847" t="s">
        <v>1052</v>
      </c>
      <c r="C393" s="3053" cm="1">
        <f t="array" ref="C393">_xlfn.LET(_xlpm.Person,INT((ROW()-ROW($A$293))/8),_xlpm.Period,VALUE(RIGHT(C$38,LEN(C$38)-1))-1,_xlpm.ROWNUM,11+29*_xlpm.Person+_xlpm.Period,
INDEX('Calc - GRAD ASST'!$L:$L,_xlpm.ROWNUM))</f>
        <v>0.28499999999999998</v>
      </c>
      <c r="D393" s="3053" cm="1">
        <f t="array" ref="D393">_xlfn.LET(_xlpm.Person,INT((ROW()-ROW($A$293))/8),_xlpm.Period,VALUE(RIGHT(D$38,LEN(D$38)-1))-1,_xlpm.ROWNUM,11+29*_xlpm.Person+_xlpm.Period,
INDEX('Calc - GRAD ASST'!$L:$L,_xlpm.ROWNUM))</f>
        <v>0.30499999999999999</v>
      </c>
      <c r="E393" s="3053" cm="1">
        <f t="array" ref="E393">_xlfn.LET(_xlpm.Person,INT((ROW()-ROW($A$293))/8),_xlpm.Period,VALUE(RIGHT(E$38,LEN(E$38)-1))-1,_xlpm.ROWNUM,11+29*_xlpm.Person+_xlpm.Period,
INDEX('Calc - GRAD ASST'!$L:$L,_xlpm.ROWNUM))</f>
        <v>0.32500000000000001</v>
      </c>
      <c r="F393" s="3053" cm="1">
        <f t="array" ref="F393">_xlfn.LET(_xlpm.Person,INT((ROW()-ROW($A$293))/8),_xlpm.Period,VALUE(RIGHT(F$38,LEN(F$38)-1))-1,_xlpm.ROWNUM,11+29*_xlpm.Person+_xlpm.Period,
INDEX('Calc - GRAD ASST'!$L:$L,_xlpm.ROWNUM))</f>
        <v>0.34500000000000003</v>
      </c>
      <c r="G393" s="3053" cm="1">
        <f t="array" ref="G393">_xlfn.LET(_xlpm.Person,INT((ROW()-ROW($A$293))/8),_xlpm.Period,VALUE(RIGHT(G$38,LEN(G$38)-1))-1,_xlpm.ROWNUM,11+29*_xlpm.Person+_xlpm.Period,
INDEX('Calc - GRAD ASST'!$L:$L,_xlpm.ROWNUM))</f>
        <v>0.36500000000000005</v>
      </c>
      <c r="H393" s="3053" cm="1">
        <f t="array" ref="H393">_xlfn.LET(_xlpm.Person,INT((ROW()-ROW($A$293))/8),_xlpm.Period,VALUE(RIGHT(H$38,LEN(H$38)-1))-1,_xlpm.ROWNUM,11+29*_xlpm.Person+_xlpm.Period,
INDEX('Calc - GRAD ASST'!$L:$L,_xlpm.ROWNUM))</f>
        <v>0.38500000000000006</v>
      </c>
      <c r="I393" s="926"/>
    </row>
    <row r="394" spans="1:9" hidden="1" x14ac:dyDescent="0.25">
      <c r="B394" s="847" t="s">
        <v>1057</v>
      </c>
      <c r="C394" s="3021" cm="1">
        <f t="array" ref="C394">_xlfn.LET(_xlpm.Person,INT((ROW()-ROW($A$293))/8),_xlpm.Period,VALUE(RIGHT(C$38,LEN(C$38)-1))-1,_xlpm.ROWNUM,11+29*_xlpm.Person+_xlpm.Period,
INDEX('Calc - GRAD ASST'!$D:$D,_xlpm.ROWNUM))</f>
        <v>0</v>
      </c>
      <c r="D394" s="3021" cm="1">
        <f t="array" ref="D394">_xlfn.LET(_xlpm.Person,INT((ROW()-ROW($A$293))/8),_xlpm.Period,VALUE(RIGHT(D$38,LEN(D$38)-1))-1,_xlpm.ROWNUM,11+29*_xlpm.Person+_xlpm.Period,
INDEX('Calc - GRAD ASST'!$D:$D,_xlpm.ROWNUM))</f>
        <v>0</v>
      </c>
      <c r="E394" s="3021" cm="1">
        <f t="array" ref="E394">_xlfn.LET(_xlpm.Person,INT((ROW()-ROW($A$293))/8),_xlpm.Period,VALUE(RIGHT(E$38,LEN(E$38)-1))-1,_xlpm.ROWNUM,11+29*_xlpm.Person+_xlpm.Period,
INDEX('Calc - GRAD ASST'!$D:$D,_xlpm.ROWNUM))</f>
        <v>0</v>
      </c>
      <c r="F394" s="3021" cm="1">
        <f t="array" ref="F394">_xlfn.LET(_xlpm.Person,INT((ROW()-ROW($A$293))/8),_xlpm.Period,VALUE(RIGHT(F$38,LEN(F$38)-1))-1,_xlpm.ROWNUM,11+29*_xlpm.Person+_xlpm.Period,
INDEX('Calc - GRAD ASST'!$D:$D,_xlpm.ROWNUM))</f>
        <v>0</v>
      </c>
      <c r="G394" s="3021" cm="1">
        <f t="array" ref="G394">_xlfn.LET(_xlpm.Person,INT((ROW()-ROW($A$293))/8),_xlpm.Period,VALUE(RIGHT(G$38,LEN(G$38)-1))-1,_xlpm.ROWNUM,11+29*_xlpm.Person+_xlpm.Period,
INDEX('Calc - GRAD ASST'!$D:$D,_xlpm.ROWNUM))</f>
        <v>0</v>
      </c>
      <c r="H394" s="3021" cm="1">
        <f t="array" ref="H394">_xlfn.LET(_xlpm.Person,INT((ROW()-ROW($A$293))/8),_xlpm.Period,VALUE(RIGHT(H$38,LEN(H$38)-1))-1,_xlpm.ROWNUM,11+29*_xlpm.Person+_xlpm.Period,
INDEX('Calc - GRAD ASST'!$D:$D,_xlpm.ROWNUM))</f>
        <v>0</v>
      </c>
      <c r="I394" s="926"/>
    </row>
    <row r="395" spans="1:9" hidden="1" x14ac:dyDescent="0.25">
      <c r="I395" s="926"/>
    </row>
    <row r="396" spans="1:9" hidden="1" x14ac:dyDescent="0.25">
      <c r="I396" s="926"/>
    </row>
    <row r="397" spans="1:9" hidden="1" x14ac:dyDescent="0.25">
      <c r="A397" s="847" t="str" cm="1">
        <f t="array" ref="A397">INDEX('DATA INPUT'!B:B,29+INT((ROW()-ROW($A$293))/8))</f>
        <v>GA #14 / Sponsor Funds</v>
      </c>
      <c r="C397" s="3042" t="s">
        <v>1041</v>
      </c>
      <c r="D397" s="3042" t="s">
        <v>1042</v>
      </c>
      <c r="E397" s="3042" t="s">
        <v>1043</v>
      </c>
      <c r="F397" s="3042" t="s">
        <v>1044</v>
      </c>
      <c r="G397" s="3042" t="s">
        <v>1045</v>
      </c>
      <c r="H397" s="3042" t="s">
        <v>1046</v>
      </c>
      <c r="I397" s="926"/>
    </row>
    <row r="398" spans="1:9" ht="17.25" hidden="1" x14ac:dyDescent="0.3">
      <c r="A398" s="3043">
        <f t="shared" ref="A398" ca="1" si="122">SUM(C398:H398)</f>
        <v>0</v>
      </c>
      <c r="B398" s="3044" t="s">
        <v>3</v>
      </c>
      <c r="C398" s="3045">
        <f t="shared" ref="C398:H398" ca="1" si="123">ROUND(C400*C399*C402*(1+C401), 2)</f>
        <v>0</v>
      </c>
      <c r="D398" s="3045">
        <f t="shared" ca="1" si="123"/>
        <v>0</v>
      </c>
      <c r="E398" s="3045">
        <f t="shared" ca="1" si="123"/>
        <v>0</v>
      </c>
      <c r="F398" s="3045">
        <f t="shared" ca="1" si="123"/>
        <v>0</v>
      </c>
      <c r="G398" s="3045">
        <f t="shared" ca="1" si="123"/>
        <v>0</v>
      </c>
      <c r="H398" s="3045">
        <f t="shared" ca="1" si="123"/>
        <v>0</v>
      </c>
      <c r="I398" s="926"/>
    </row>
    <row r="399" spans="1:9" hidden="1" x14ac:dyDescent="0.25">
      <c r="B399" s="847" t="s">
        <v>1056</v>
      </c>
      <c r="C399" s="3052" cm="1">
        <f t="array" ref="C399">_xlfn.LET(_xlpm.Person,INT((ROW()-ROW($A$293))/8),_xlpm.Period,VALUE(RIGHT(C$38,LEN(C$38)-1))-1,_xlpm.ROWNUM,11+29*_xlpm.Person+_xlpm.Period,
INDEX('Calc - GRAD ASST'!$C:$C,_xlpm.ROWNUM))</f>
        <v>0</v>
      </c>
      <c r="D399" s="3052" cm="1">
        <f t="array" ref="D399">_xlfn.LET(_xlpm.Person,INT((ROW()-ROW($A$293))/8),_xlpm.Period,VALUE(RIGHT(D$38,LEN(D$38)-1))-1,_xlpm.ROWNUM,11+29*_xlpm.Person+_xlpm.Period,
INDEX('Calc - GRAD ASST'!$C:$C,_xlpm.ROWNUM))</f>
        <v>0</v>
      </c>
      <c r="E399" s="3052" cm="1">
        <f t="array" ref="E399">_xlfn.LET(_xlpm.Person,INT((ROW()-ROW($A$293))/8),_xlpm.Period,VALUE(RIGHT(E$38,LEN(E$38)-1))-1,_xlpm.ROWNUM,11+29*_xlpm.Person+_xlpm.Period,
INDEX('Calc - GRAD ASST'!$C:$C,_xlpm.ROWNUM))</f>
        <v>0</v>
      </c>
      <c r="F399" s="3052" cm="1">
        <f t="array" ref="F399">_xlfn.LET(_xlpm.Person,INT((ROW()-ROW($A$293))/8),_xlpm.Period,VALUE(RIGHT(F$38,LEN(F$38)-1))-1,_xlpm.ROWNUM,11+29*_xlpm.Person+_xlpm.Period,
INDEX('Calc - GRAD ASST'!$C:$C,_xlpm.ROWNUM))</f>
        <v>0</v>
      </c>
      <c r="G399" s="3052" cm="1">
        <f t="array" ref="G399">_xlfn.LET(_xlpm.Person,INT((ROW()-ROW($A$293))/8),_xlpm.Period,VALUE(RIGHT(G$38,LEN(G$38)-1))-1,_xlpm.ROWNUM,11+29*_xlpm.Person+_xlpm.Period,
INDEX('Calc - GRAD ASST'!$C:$C,_xlpm.ROWNUM))</f>
        <v>0</v>
      </c>
      <c r="H399" s="3052" cm="1">
        <f t="array" ref="H399">_xlfn.LET(_xlpm.Person,INT((ROW()-ROW($A$293))/8),_xlpm.Period,VALUE(RIGHT(H$38,LEN(H$38)-1))-1,_xlpm.ROWNUM,11+29*_xlpm.Person+_xlpm.Period,
INDEX('Calc - GRAD ASST'!$C:$C,_xlpm.ROWNUM))</f>
        <v>0</v>
      </c>
      <c r="I399" s="926"/>
    </row>
    <row r="400" spans="1:9" hidden="1" x14ac:dyDescent="0.25">
      <c r="B400" s="847" t="s">
        <v>1050</v>
      </c>
      <c r="C400" s="3058" cm="1">
        <f t="array" aca="1" ref="C400" ca="1">_xlfn.LET(_xlpm.Person,INT((ROW()-ROW($A$293))/8),_xlpm.Period,VALUE(RIGHT(C$38,LEN(C$38)-1))-1,_xlpm.ROWNUM,11+29*_xlpm.Person+_xlpm.Period,
ROUND(INDEX('Calc - GRAD ASST'!$I:$I,_xlpm.ROWNUM),2))</f>
        <v>0</v>
      </c>
      <c r="D400" s="3058" cm="1">
        <f t="array" aca="1" ref="D400" ca="1">_xlfn.LET(_xlpm.Person,INT((ROW()-ROW($A$293))/8),_xlpm.Period,VALUE(RIGHT(D$38,LEN(D$38)-1))-1,_xlpm.ROWNUM,11+29*_xlpm.Person+_xlpm.Period,
ROUND(INDEX('Calc - GRAD ASST'!$I:$I,_xlpm.ROWNUM),2))</f>
        <v>0</v>
      </c>
      <c r="E400" s="3058" cm="1">
        <f t="array" aca="1" ref="E400" ca="1">_xlfn.LET(_xlpm.Person,INT((ROW()-ROW($A$293))/8),_xlpm.Period,VALUE(RIGHT(E$38,LEN(E$38)-1))-1,_xlpm.ROWNUM,11+29*_xlpm.Person+_xlpm.Period,
ROUND(INDEX('Calc - GRAD ASST'!$I:$I,_xlpm.ROWNUM),2))</f>
        <v>0</v>
      </c>
      <c r="F400" s="3058" cm="1">
        <f t="array" aca="1" ref="F400" ca="1">_xlfn.LET(_xlpm.Person,INT((ROW()-ROW($A$293))/8),_xlpm.Period,VALUE(RIGHT(F$38,LEN(F$38)-1))-1,_xlpm.ROWNUM,11+29*_xlpm.Person+_xlpm.Period,
ROUND(INDEX('Calc - GRAD ASST'!$I:$I,_xlpm.ROWNUM),2))</f>
        <v>0</v>
      </c>
      <c r="G400" s="3058" cm="1">
        <f t="array" aca="1" ref="G400" ca="1">_xlfn.LET(_xlpm.Person,INT((ROW()-ROW($A$293))/8),_xlpm.Period,VALUE(RIGHT(G$38,LEN(G$38)-1))-1,_xlpm.ROWNUM,11+29*_xlpm.Person+_xlpm.Period,
ROUND(INDEX('Calc - GRAD ASST'!$I:$I,_xlpm.ROWNUM),2))</f>
        <v>0</v>
      </c>
      <c r="H400" s="3058" cm="1">
        <f t="array" aca="1" ref="H400" ca="1">_xlfn.LET(_xlpm.Person,INT((ROW()-ROW($A$293))/8),_xlpm.Period,VALUE(RIGHT(H$38,LEN(H$38)-1))-1,_xlpm.ROWNUM,11+29*_xlpm.Person+_xlpm.Period,
ROUND(INDEX('Calc - GRAD ASST'!$I:$I,_xlpm.ROWNUM),2))</f>
        <v>0</v>
      </c>
      <c r="I400" s="926"/>
    </row>
    <row r="401" spans="1:9" hidden="1" x14ac:dyDescent="0.25">
      <c r="B401" s="847" t="s">
        <v>1052</v>
      </c>
      <c r="C401" s="3053" cm="1">
        <f t="array" ref="C401">_xlfn.LET(_xlpm.Person,INT((ROW()-ROW($A$293))/8),_xlpm.Period,VALUE(RIGHT(C$38,LEN(C$38)-1))-1,_xlpm.ROWNUM,11+29*_xlpm.Person+_xlpm.Period,
INDEX('Calc - GRAD ASST'!$L:$L,_xlpm.ROWNUM))</f>
        <v>0.28499999999999998</v>
      </c>
      <c r="D401" s="3053" cm="1">
        <f t="array" ref="D401">_xlfn.LET(_xlpm.Person,INT((ROW()-ROW($A$293))/8),_xlpm.Period,VALUE(RIGHT(D$38,LEN(D$38)-1))-1,_xlpm.ROWNUM,11+29*_xlpm.Person+_xlpm.Period,
INDEX('Calc - GRAD ASST'!$L:$L,_xlpm.ROWNUM))</f>
        <v>0.30499999999999999</v>
      </c>
      <c r="E401" s="3053" cm="1">
        <f t="array" ref="E401">_xlfn.LET(_xlpm.Person,INT((ROW()-ROW($A$293))/8),_xlpm.Period,VALUE(RIGHT(E$38,LEN(E$38)-1))-1,_xlpm.ROWNUM,11+29*_xlpm.Person+_xlpm.Period,
INDEX('Calc - GRAD ASST'!$L:$L,_xlpm.ROWNUM))</f>
        <v>0.32500000000000001</v>
      </c>
      <c r="F401" s="3053" cm="1">
        <f t="array" ref="F401">_xlfn.LET(_xlpm.Person,INT((ROW()-ROW($A$293))/8),_xlpm.Period,VALUE(RIGHT(F$38,LEN(F$38)-1))-1,_xlpm.ROWNUM,11+29*_xlpm.Person+_xlpm.Period,
INDEX('Calc - GRAD ASST'!$L:$L,_xlpm.ROWNUM))</f>
        <v>0.34500000000000003</v>
      </c>
      <c r="G401" s="3053" cm="1">
        <f t="array" ref="G401">_xlfn.LET(_xlpm.Person,INT((ROW()-ROW($A$293))/8),_xlpm.Period,VALUE(RIGHT(G$38,LEN(G$38)-1))-1,_xlpm.ROWNUM,11+29*_xlpm.Person+_xlpm.Period,
INDEX('Calc - GRAD ASST'!$L:$L,_xlpm.ROWNUM))</f>
        <v>0.36500000000000005</v>
      </c>
      <c r="H401" s="3053" cm="1">
        <f t="array" ref="H401">_xlfn.LET(_xlpm.Person,INT((ROW()-ROW($A$293))/8),_xlpm.Period,VALUE(RIGHT(H$38,LEN(H$38)-1))-1,_xlpm.ROWNUM,11+29*_xlpm.Person+_xlpm.Period,
INDEX('Calc - GRAD ASST'!$L:$L,_xlpm.ROWNUM))</f>
        <v>0.38500000000000006</v>
      </c>
      <c r="I401" s="926"/>
    </row>
    <row r="402" spans="1:9" hidden="1" x14ac:dyDescent="0.25">
      <c r="B402" s="847" t="s">
        <v>1057</v>
      </c>
      <c r="C402" s="3021" cm="1">
        <f t="array" ref="C402">_xlfn.LET(_xlpm.Person,INT((ROW()-ROW($A$293))/8),_xlpm.Period,VALUE(RIGHT(C$38,LEN(C$38)-1))-1,_xlpm.ROWNUM,11+29*_xlpm.Person+_xlpm.Period,
INDEX('Calc - GRAD ASST'!$D:$D,_xlpm.ROWNUM))</f>
        <v>0</v>
      </c>
      <c r="D402" s="3021" cm="1">
        <f t="array" ref="D402">_xlfn.LET(_xlpm.Person,INT((ROW()-ROW($A$293))/8),_xlpm.Period,VALUE(RIGHT(D$38,LEN(D$38)-1))-1,_xlpm.ROWNUM,11+29*_xlpm.Person+_xlpm.Period,
INDEX('Calc - GRAD ASST'!$D:$D,_xlpm.ROWNUM))</f>
        <v>0</v>
      </c>
      <c r="E402" s="3021" cm="1">
        <f t="array" ref="E402">_xlfn.LET(_xlpm.Person,INT((ROW()-ROW($A$293))/8),_xlpm.Period,VALUE(RIGHT(E$38,LEN(E$38)-1))-1,_xlpm.ROWNUM,11+29*_xlpm.Person+_xlpm.Period,
INDEX('Calc - GRAD ASST'!$D:$D,_xlpm.ROWNUM))</f>
        <v>0</v>
      </c>
      <c r="F402" s="3021" cm="1">
        <f t="array" ref="F402">_xlfn.LET(_xlpm.Person,INT((ROW()-ROW($A$293))/8),_xlpm.Period,VALUE(RIGHT(F$38,LEN(F$38)-1))-1,_xlpm.ROWNUM,11+29*_xlpm.Person+_xlpm.Period,
INDEX('Calc - GRAD ASST'!$D:$D,_xlpm.ROWNUM))</f>
        <v>0</v>
      </c>
      <c r="G402" s="3021" cm="1">
        <f t="array" ref="G402">_xlfn.LET(_xlpm.Person,INT((ROW()-ROW($A$293))/8),_xlpm.Period,VALUE(RIGHT(G$38,LEN(G$38)-1))-1,_xlpm.ROWNUM,11+29*_xlpm.Person+_xlpm.Period,
INDEX('Calc - GRAD ASST'!$D:$D,_xlpm.ROWNUM))</f>
        <v>0</v>
      </c>
      <c r="H402" s="3021" cm="1">
        <f t="array" ref="H402">_xlfn.LET(_xlpm.Person,INT((ROW()-ROW($A$293))/8),_xlpm.Period,VALUE(RIGHT(H$38,LEN(H$38)-1))-1,_xlpm.ROWNUM,11+29*_xlpm.Person+_xlpm.Period,
INDEX('Calc - GRAD ASST'!$D:$D,_xlpm.ROWNUM))</f>
        <v>0</v>
      </c>
      <c r="I402" s="926"/>
    </row>
    <row r="403" spans="1:9" hidden="1" x14ac:dyDescent="0.25">
      <c r="I403" s="926"/>
    </row>
    <row r="404" spans="1:9" hidden="1" x14ac:dyDescent="0.25">
      <c r="I404" s="926"/>
    </row>
    <row r="405" spans="1:9" hidden="1" x14ac:dyDescent="0.25">
      <c r="A405" s="847" t="str" cm="1">
        <f t="array" ref="A405">INDEX('DATA INPUT'!B:B,29+INT((ROW()-ROW($A$293))/8))</f>
        <v>GA #15 / Sponsor Funds</v>
      </c>
      <c r="C405" s="3042" t="s">
        <v>1041</v>
      </c>
      <c r="D405" s="3042" t="s">
        <v>1042</v>
      </c>
      <c r="E405" s="3042" t="s">
        <v>1043</v>
      </c>
      <c r="F405" s="3042" t="s">
        <v>1044</v>
      </c>
      <c r="G405" s="3042" t="s">
        <v>1045</v>
      </c>
      <c r="H405" s="3042" t="s">
        <v>1046</v>
      </c>
      <c r="I405" s="926"/>
    </row>
    <row r="406" spans="1:9" ht="17.25" hidden="1" x14ac:dyDescent="0.3">
      <c r="A406" s="3043">
        <f t="shared" ref="A406" ca="1" si="124">SUM(C406:H406)</f>
        <v>0</v>
      </c>
      <c r="B406" s="3044" t="s">
        <v>3</v>
      </c>
      <c r="C406" s="3045">
        <f t="shared" ref="C406:H406" ca="1" si="125">ROUND(C408*C407*C410*(1+C409), 2)</f>
        <v>0</v>
      </c>
      <c r="D406" s="3045">
        <f t="shared" ca="1" si="125"/>
        <v>0</v>
      </c>
      <c r="E406" s="3045">
        <f t="shared" ca="1" si="125"/>
        <v>0</v>
      </c>
      <c r="F406" s="3045">
        <f t="shared" ca="1" si="125"/>
        <v>0</v>
      </c>
      <c r="G406" s="3045">
        <f t="shared" ca="1" si="125"/>
        <v>0</v>
      </c>
      <c r="H406" s="3045">
        <f t="shared" ca="1" si="125"/>
        <v>0</v>
      </c>
      <c r="I406" s="926"/>
    </row>
    <row r="407" spans="1:9" hidden="1" x14ac:dyDescent="0.25">
      <c r="B407" s="847" t="s">
        <v>1056</v>
      </c>
      <c r="C407" s="3052" cm="1">
        <f t="array" ref="C407">_xlfn.LET(_xlpm.Person,INT((ROW()-ROW($A$293))/8),_xlpm.Period,VALUE(RIGHT(C$38,LEN(C$38)-1))-1,_xlpm.ROWNUM,11+29*_xlpm.Person+_xlpm.Period,
INDEX('Calc - GRAD ASST'!$C:$C,_xlpm.ROWNUM))</f>
        <v>0</v>
      </c>
      <c r="D407" s="3052" cm="1">
        <f t="array" ref="D407">_xlfn.LET(_xlpm.Person,INT((ROW()-ROW($A$293))/8),_xlpm.Period,VALUE(RIGHT(D$38,LEN(D$38)-1))-1,_xlpm.ROWNUM,11+29*_xlpm.Person+_xlpm.Period,
INDEX('Calc - GRAD ASST'!$C:$C,_xlpm.ROWNUM))</f>
        <v>0</v>
      </c>
      <c r="E407" s="3052" cm="1">
        <f t="array" ref="E407">_xlfn.LET(_xlpm.Person,INT((ROW()-ROW($A$293))/8),_xlpm.Period,VALUE(RIGHT(E$38,LEN(E$38)-1))-1,_xlpm.ROWNUM,11+29*_xlpm.Person+_xlpm.Period,
INDEX('Calc - GRAD ASST'!$C:$C,_xlpm.ROWNUM))</f>
        <v>0</v>
      </c>
      <c r="F407" s="3052" cm="1">
        <f t="array" ref="F407">_xlfn.LET(_xlpm.Person,INT((ROW()-ROW($A$293))/8),_xlpm.Period,VALUE(RIGHT(F$38,LEN(F$38)-1))-1,_xlpm.ROWNUM,11+29*_xlpm.Person+_xlpm.Period,
INDEX('Calc - GRAD ASST'!$C:$C,_xlpm.ROWNUM))</f>
        <v>0</v>
      </c>
      <c r="G407" s="3052" cm="1">
        <f t="array" ref="G407">_xlfn.LET(_xlpm.Person,INT((ROW()-ROW($A$293))/8),_xlpm.Period,VALUE(RIGHT(G$38,LEN(G$38)-1))-1,_xlpm.ROWNUM,11+29*_xlpm.Person+_xlpm.Period,
INDEX('Calc - GRAD ASST'!$C:$C,_xlpm.ROWNUM))</f>
        <v>0</v>
      </c>
      <c r="H407" s="3052" cm="1">
        <f t="array" ref="H407">_xlfn.LET(_xlpm.Person,INT((ROW()-ROW($A$293))/8),_xlpm.Period,VALUE(RIGHT(H$38,LEN(H$38)-1))-1,_xlpm.ROWNUM,11+29*_xlpm.Person+_xlpm.Period,
INDEX('Calc - GRAD ASST'!$C:$C,_xlpm.ROWNUM))</f>
        <v>0</v>
      </c>
      <c r="I407" s="926"/>
    </row>
    <row r="408" spans="1:9" hidden="1" x14ac:dyDescent="0.25">
      <c r="B408" s="847" t="s">
        <v>1050</v>
      </c>
      <c r="C408" s="3058" cm="1">
        <f t="array" aca="1" ref="C408" ca="1">_xlfn.LET(_xlpm.Person,INT((ROW()-ROW($A$293))/8),_xlpm.Period,VALUE(RIGHT(C$38,LEN(C$38)-1))-1,_xlpm.ROWNUM,11+29*_xlpm.Person+_xlpm.Period,
ROUND(INDEX('Calc - GRAD ASST'!$I:$I,_xlpm.ROWNUM),2))</f>
        <v>0</v>
      </c>
      <c r="D408" s="3058" cm="1">
        <f t="array" aca="1" ref="D408" ca="1">_xlfn.LET(_xlpm.Person,INT((ROW()-ROW($A$293))/8),_xlpm.Period,VALUE(RIGHT(D$38,LEN(D$38)-1))-1,_xlpm.ROWNUM,11+29*_xlpm.Person+_xlpm.Period,
ROUND(INDEX('Calc - GRAD ASST'!$I:$I,_xlpm.ROWNUM),2))</f>
        <v>0</v>
      </c>
      <c r="E408" s="3058" cm="1">
        <f t="array" aca="1" ref="E408" ca="1">_xlfn.LET(_xlpm.Person,INT((ROW()-ROW($A$293))/8),_xlpm.Period,VALUE(RIGHT(E$38,LEN(E$38)-1))-1,_xlpm.ROWNUM,11+29*_xlpm.Person+_xlpm.Period,
ROUND(INDEX('Calc - GRAD ASST'!$I:$I,_xlpm.ROWNUM),2))</f>
        <v>0</v>
      </c>
      <c r="F408" s="3058" cm="1">
        <f t="array" aca="1" ref="F408" ca="1">_xlfn.LET(_xlpm.Person,INT((ROW()-ROW($A$293))/8),_xlpm.Period,VALUE(RIGHT(F$38,LEN(F$38)-1))-1,_xlpm.ROWNUM,11+29*_xlpm.Person+_xlpm.Period,
ROUND(INDEX('Calc - GRAD ASST'!$I:$I,_xlpm.ROWNUM),2))</f>
        <v>0</v>
      </c>
      <c r="G408" s="3058" cm="1">
        <f t="array" aca="1" ref="G408" ca="1">_xlfn.LET(_xlpm.Person,INT((ROW()-ROW($A$293))/8),_xlpm.Period,VALUE(RIGHT(G$38,LEN(G$38)-1))-1,_xlpm.ROWNUM,11+29*_xlpm.Person+_xlpm.Period,
ROUND(INDEX('Calc - GRAD ASST'!$I:$I,_xlpm.ROWNUM),2))</f>
        <v>0</v>
      </c>
      <c r="H408" s="3058" cm="1">
        <f t="array" aca="1" ref="H408" ca="1">_xlfn.LET(_xlpm.Person,INT((ROW()-ROW($A$293))/8),_xlpm.Period,VALUE(RIGHT(H$38,LEN(H$38)-1))-1,_xlpm.ROWNUM,11+29*_xlpm.Person+_xlpm.Period,
ROUND(INDEX('Calc - GRAD ASST'!$I:$I,_xlpm.ROWNUM),2))</f>
        <v>0</v>
      </c>
      <c r="I408" s="926"/>
    </row>
    <row r="409" spans="1:9" hidden="1" x14ac:dyDescent="0.25">
      <c r="B409" s="847" t="s">
        <v>1052</v>
      </c>
      <c r="C409" s="3053" cm="1">
        <f t="array" ref="C409">_xlfn.LET(_xlpm.Person,INT((ROW()-ROW($A$293))/8),_xlpm.Period,VALUE(RIGHT(C$38,LEN(C$38)-1))-1,_xlpm.ROWNUM,11+29*_xlpm.Person+_xlpm.Period,
INDEX('Calc - GRAD ASST'!$L:$L,_xlpm.ROWNUM))</f>
        <v>0.28499999999999998</v>
      </c>
      <c r="D409" s="3053" cm="1">
        <f t="array" ref="D409">_xlfn.LET(_xlpm.Person,INT((ROW()-ROW($A$293))/8),_xlpm.Period,VALUE(RIGHT(D$38,LEN(D$38)-1))-1,_xlpm.ROWNUM,11+29*_xlpm.Person+_xlpm.Period,
INDEX('Calc - GRAD ASST'!$L:$L,_xlpm.ROWNUM))</f>
        <v>0.30499999999999999</v>
      </c>
      <c r="E409" s="3053" cm="1">
        <f t="array" ref="E409">_xlfn.LET(_xlpm.Person,INT((ROW()-ROW($A$293))/8),_xlpm.Period,VALUE(RIGHT(E$38,LEN(E$38)-1))-1,_xlpm.ROWNUM,11+29*_xlpm.Person+_xlpm.Period,
INDEX('Calc - GRAD ASST'!$L:$L,_xlpm.ROWNUM))</f>
        <v>0.32500000000000001</v>
      </c>
      <c r="F409" s="3053" cm="1">
        <f t="array" ref="F409">_xlfn.LET(_xlpm.Person,INT((ROW()-ROW($A$293))/8),_xlpm.Period,VALUE(RIGHT(F$38,LEN(F$38)-1))-1,_xlpm.ROWNUM,11+29*_xlpm.Person+_xlpm.Period,
INDEX('Calc - GRAD ASST'!$L:$L,_xlpm.ROWNUM))</f>
        <v>0.34500000000000003</v>
      </c>
      <c r="G409" s="3053" cm="1">
        <f t="array" ref="G409">_xlfn.LET(_xlpm.Person,INT((ROW()-ROW($A$293))/8),_xlpm.Period,VALUE(RIGHT(G$38,LEN(G$38)-1))-1,_xlpm.ROWNUM,11+29*_xlpm.Person+_xlpm.Period,
INDEX('Calc - GRAD ASST'!$L:$L,_xlpm.ROWNUM))</f>
        <v>0.36500000000000005</v>
      </c>
      <c r="H409" s="3053" cm="1">
        <f t="array" ref="H409">_xlfn.LET(_xlpm.Person,INT((ROW()-ROW($A$293))/8),_xlpm.Period,VALUE(RIGHT(H$38,LEN(H$38)-1))-1,_xlpm.ROWNUM,11+29*_xlpm.Person+_xlpm.Period,
INDEX('Calc - GRAD ASST'!$L:$L,_xlpm.ROWNUM))</f>
        <v>0.38500000000000006</v>
      </c>
      <c r="I409" s="926"/>
    </row>
    <row r="410" spans="1:9" hidden="1" x14ac:dyDescent="0.25">
      <c r="B410" s="847" t="s">
        <v>1057</v>
      </c>
      <c r="C410" s="3021" cm="1">
        <f t="array" ref="C410">_xlfn.LET(_xlpm.Person,INT((ROW()-ROW($A$293))/8),_xlpm.Period,VALUE(RIGHT(C$38,LEN(C$38)-1))-1,_xlpm.ROWNUM,11+29*_xlpm.Person+_xlpm.Period,
INDEX('Calc - GRAD ASST'!$D:$D,_xlpm.ROWNUM))</f>
        <v>0</v>
      </c>
      <c r="D410" s="3021" cm="1">
        <f t="array" ref="D410">_xlfn.LET(_xlpm.Person,INT((ROW()-ROW($A$293))/8),_xlpm.Period,VALUE(RIGHT(D$38,LEN(D$38)-1))-1,_xlpm.ROWNUM,11+29*_xlpm.Person+_xlpm.Period,
INDEX('Calc - GRAD ASST'!$D:$D,_xlpm.ROWNUM))</f>
        <v>0</v>
      </c>
      <c r="E410" s="3021" cm="1">
        <f t="array" ref="E410">_xlfn.LET(_xlpm.Person,INT((ROW()-ROW($A$293))/8),_xlpm.Period,VALUE(RIGHT(E$38,LEN(E$38)-1))-1,_xlpm.ROWNUM,11+29*_xlpm.Person+_xlpm.Period,
INDEX('Calc - GRAD ASST'!$D:$D,_xlpm.ROWNUM))</f>
        <v>0</v>
      </c>
      <c r="F410" s="3021" cm="1">
        <f t="array" ref="F410">_xlfn.LET(_xlpm.Person,INT((ROW()-ROW($A$293))/8),_xlpm.Period,VALUE(RIGHT(F$38,LEN(F$38)-1))-1,_xlpm.ROWNUM,11+29*_xlpm.Person+_xlpm.Period,
INDEX('Calc - GRAD ASST'!$D:$D,_xlpm.ROWNUM))</f>
        <v>0</v>
      </c>
      <c r="G410" s="3021" cm="1">
        <f t="array" ref="G410">_xlfn.LET(_xlpm.Person,INT((ROW()-ROW($A$293))/8),_xlpm.Period,VALUE(RIGHT(G$38,LEN(G$38)-1))-1,_xlpm.ROWNUM,11+29*_xlpm.Person+_xlpm.Period,
INDEX('Calc - GRAD ASST'!$D:$D,_xlpm.ROWNUM))</f>
        <v>0</v>
      </c>
      <c r="H410" s="3021" cm="1">
        <f t="array" ref="H410">_xlfn.LET(_xlpm.Person,INT((ROW()-ROW($A$293))/8),_xlpm.Period,VALUE(RIGHT(H$38,LEN(H$38)-1))-1,_xlpm.ROWNUM,11+29*_xlpm.Person+_xlpm.Period,
INDEX('Calc - GRAD ASST'!$D:$D,_xlpm.ROWNUM))</f>
        <v>0</v>
      </c>
      <c r="I410" s="926"/>
    </row>
    <row r="411" spans="1:9" hidden="1" x14ac:dyDescent="0.25">
      <c r="I411" s="926"/>
    </row>
    <row r="412" spans="1:9" hidden="1" x14ac:dyDescent="0.25">
      <c r="I412" s="926"/>
    </row>
    <row r="413" spans="1:9" hidden="1" x14ac:dyDescent="0.25">
      <c r="A413" s="847" t="str" cm="1">
        <f t="array" ref="A413">INDEX('DATA INPUT'!B:B,46+INT((ROW()-ROW($A$413))/7))</f>
        <v>Hourly Student(s) #1</v>
      </c>
      <c r="C413" s="3042" t="s">
        <v>1041</v>
      </c>
      <c r="D413" s="3042" t="s">
        <v>1042</v>
      </c>
      <c r="E413" s="3042" t="s">
        <v>1043</v>
      </c>
      <c r="F413" s="3042" t="s">
        <v>1044</v>
      </c>
      <c r="G413" s="3042" t="s">
        <v>1045</v>
      </c>
      <c r="H413" s="3042" t="s">
        <v>1046</v>
      </c>
      <c r="I413" s="926"/>
    </row>
    <row r="414" spans="1:9" ht="17.25" hidden="1" x14ac:dyDescent="0.3">
      <c r="A414" s="3043">
        <f t="shared" ref="A414" si="126">SUM(C414:H414)</f>
        <v>0</v>
      </c>
      <c r="B414" s="3044" t="s">
        <v>3</v>
      </c>
      <c r="C414" s="3045">
        <f t="shared" ref="C414:H414" si="127">ROUND(C415*C417*(1+C416), 2)</f>
        <v>0</v>
      </c>
      <c r="D414" s="3045">
        <f t="shared" si="127"/>
        <v>0</v>
      </c>
      <c r="E414" s="3045">
        <f t="shared" si="127"/>
        <v>0</v>
      </c>
      <c r="F414" s="3045">
        <f t="shared" si="127"/>
        <v>0</v>
      </c>
      <c r="G414" s="3045">
        <f t="shared" si="127"/>
        <v>0</v>
      </c>
      <c r="H414" s="3045">
        <f t="shared" si="127"/>
        <v>0</v>
      </c>
      <c r="I414" s="926"/>
    </row>
    <row r="415" spans="1:9" hidden="1" x14ac:dyDescent="0.25">
      <c r="B415" s="847" t="s">
        <v>1050</v>
      </c>
      <c r="C415" s="3058" cm="1">
        <f t="array" ref="C415">_xlfn.LET(_xlpm.Person,INT((ROW()-ROW($A$413))/7),_xlpm.Period,VALUE(RIGHT(C$38,LEN(C$38)-1))-1,_xlpm.ROWNUM,224+13*_xlpm.Person+_xlpm.Period,
ROUND(INDEX('Calc - OTHER PERS'!$G:$G,_xlpm.ROWNUM),2))</f>
        <v>2776.14</v>
      </c>
      <c r="D415" s="3058" cm="1">
        <f t="array" ref="D415">_xlfn.LET(_xlpm.Person,INT((ROW()-ROW($A$413))/7),_xlpm.Period,VALUE(RIGHT(D$38,LEN(D$38)-1))-1,_xlpm.ROWNUM,224+13*_xlpm.Person+_xlpm.Period,
ROUND(INDEX('Calc - OTHER PERS'!$G:$G,_xlpm.ROWNUM),2))</f>
        <v>2859.42</v>
      </c>
      <c r="E415" s="3058" cm="1">
        <f t="array" ref="E415">_xlfn.LET(_xlpm.Person,INT((ROW()-ROW($A$413))/7),_xlpm.Period,VALUE(RIGHT(E$38,LEN(E$38)-1))-1,_xlpm.ROWNUM,224+13*_xlpm.Person+_xlpm.Period,
ROUND(INDEX('Calc - OTHER PERS'!$G:$G,_xlpm.ROWNUM),2))</f>
        <v>2945.21</v>
      </c>
      <c r="F415" s="3058" cm="1">
        <f t="array" ref="F415">_xlfn.LET(_xlpm.Person,INT((ROW()-ROW($A$413))/7),_xlpm.Period,VALUE(RIGHT(F$38,LEN(F$38)-1))-1,_xlpm.ROWNUM,224+13*_xlpm.Person+_xlpm.Period,
ROUND(INDEX('Calc - OTHER PERS'!$G:$G,_xlpm.ROWNUM),2))</f>
        <v>3033.56</v>
      </c>
      <c r="G415" s="3058" cm="1">
        <f t="array" ref="G415">_xlfn.LET(_xlpm.Person,INT((ROW()-ROW($A$413))/7),_xlpm.Period,VALUE(RIGHT(G$38,LEN(G$38)-1))-1,_xlpm.ROWNUM,224+13*_xlpm.Person+_xlpm.Period,
ROUND(INDEX('Calc - OTHER PERS'!$G:$G,_xlpm.ROWNUM),2))</f>
        <v>3124.57</v>
      </c>
      <c r="H415" s="3058" cm="1">
        <f t="array" ref="H415">_xlfn.LET(_xlpm.Person,INT((ROW()-ROW($A$413))/7),_xlpm.Period,VALUE(RIGHT(H$38,LEN(H$38)-1))-1,_xlpm.ROWNUM,224+13*_xlpm.Person+_xlpm.Period,
ROUND(INDEX('Calc - OTHER PERS'!$G:$G,_xlpm.ROWNUM),2))</f>
        <v>3218.31</v>
      </c>
      <c r="I415" s="926"/>
    </row>
    <row r="416" spans="1:9" hidden="1" x14ac:dyDescent="0.25">
      <c r="B416" s="847" t="s">
        <v>1052</v>
      </c>
      <c r="C416" s="3053" cm="1">
        <f t="array" ref="C416">_xlfn.LET(_xlpm.Person,INT((ROW()-ROW($A$413))/7),_xlpm.Period,VALUE(RIGHT(C$38,LEN(C$38)-1))-1,_xlpm.ROWNUM,224+13*_xlpm.Person+_xlpm.Period,
INDEX('Calc - OTHER PERS'!$I:$I,_xlpm.ROWNUM))</f>
        <v>2.7E-2</v>
      </c>
      <c r="D416" s="3053" cm="1">
        <f t="array" ref="D416">_xlfn.LET(_xlpm.Person,INT((ROW()-ROW($A$413))/7),_xlpm.Period,VALUE(RIGHT(D$38,LEN(D$38)-1))-1,_xlpm.ROWNUM,224+13*_xlpm.Person+_xlpm.Period,
INDEX('Calc - OTHER PERS'!$I:$I,_xlpm.ROWNUM))</f>
        <v>2.7E-2</v>
      </c>
      <c r="E416" s="3053" cm="1">
        <f t="array" ref="E416">_xlfn.LET(_xlpm.Person,INT((ROW()-ROW($A$413))/7),_xlpm.Period,VALUE(RIGHT(E$38,LEN(E$38)-1))-1,_xlpm.ROWNUM,224+13*_xlpm.Person+_xlpm.Period,
INDEX('Calc - OTHER PERS'!$I:$I,_xlpm.ROWNUM))</f>
        <v>2.7E-2</v>
      </c>
      <c r="F416" s="3053" cm="1">
        <f t="array" ref="F416">_xlfn.LET(_xlpm.Person,INT((ROW()-ROW($A$413))/7),_xlpm.Period,VALUE(RIGHT(F$38,LEN(F$38)-1))-1,_xlpm.ROWNUM,224+13*_xlpm.Person+_xlpm.Period,
INDEX('Calc - OTHER PERS'!$I:$I,_xlpm.ROWNUM))</f>
        <v>2.7E-2</v>
      </c>
      <c r="G416" s="3053" cm="1">
        <f t="array" ref="G416">_xlfn.LET(_xlpm.Person,INT((ROW()-ROW($A$413))/7),_xlpm.Period,VALUE(RIGHT(G$38,LEN(G$38)-1))-1,_xlpm.ROWNUM,224+13*_xlpm.Person+_xlpm.Period,
INDEX('Calc - OTHER PERS'!$I:$I,_xlpm.ROWNUM))</f>
        <v>2.7E-2</v>
      </c>
      <c r="H416" s="3053" cm="1">
        <f t="array" ref="H416">_xlfn.LET(_xlpm.Person,INT((ROW()-ROW($A$413))/7),_xlpm.Period,VALUE(RIGHT(H$38,LEN(H$38)-1))-1,_xlpm.ROWNUM,224+13*_xlpm.Person+_xlpm.Period,
INDEX('Calc - OTHER PERS'!$I:$I,_xlpm.ROWNUM))</f>
        <v>2.7E-2</v>
      </c>
      <c r="I416" s="926"/>
    </row>
    <row r="417" spans="1:9" hidden="1" x14ac:dyDescent="0.25">
      <c r="B417" s="847" t="s">
        <v>1053</v>
      </c>
      <c r="C417" s="3021" cm="1">
        <f t="array" ref="C417">_xlfn.LET(_xlpm.Person,INT((ROW()-ROW($A$413))/7),_xlpm.Period,VALUE(RIGHT(C$38,LEN(C$38)-1))-1,_xlpm.ROWNUM,224+13*_xlpm.Person+_xlpm.Period,
INDEX('Calc - OTHER PERS'!$C:$C,_xlpm.ROWNUM))</f>
        <v>0</v>
      </c>
      <c r="D417" s="3021" cm="1">
        <f t="array" ref="D417">_xlfn.LET(_xlpm.Person,INT((ROW()-ROW($A$413))/7),_xlpm.Period,VALUE(RIGHT(D$38,LEN(D$38)-1))-1,_xlpm.ROWNUM,224+13*_xlpm.Person+_xlpm.Period,
INDEX('Calc - OTHER PERS'!$C:$C,_xlpm.ROWNUM))</f>
        <v>0</v>
      </c>
      <c r="E417" s="3021" cm="1">
        <f t="array" ref="E417">_xlfn.LET(_xlpm.Person,INT((ROW()-ROW($A$413))/7),_xlpm.Period,VALUE(RIGHT(E$38,LEN(E$38)-1))-1,_xlpm.ROWNUM,224+13*_xlpm.Person+_xlpm.Period,
INDEX('Calc - OTHER PERS'!$C:$C,_xlpm.ROWNUM))</f>
        <v>0</v>
      </c>
      <c r="F417" s="3021" cm="1">
        <f t="array" ref="F417">_xlfn.LET(_xlpm.Person,INT((ROW()-ROW($A$413))/7),_xlpm.Period,VALUE(RIGHT(F$38,LEN(F$38)-1))-1,_xlpm.ROWNUM,224+13*_xlpm.Person+_xlpm.Period,
INDEX('Calc - OTHER PERS'!$C:$C,_xlpm.ROWNUM))</f>
        <v>0</v>
      </c>
      <c r="G417" s="3021" cm="1">
        <f t="array" ref="G417">_xlfn.LET(_xlpm.Person,INT((ROW()-ROW($A$413))/7),_xlpm.Period,VALUE(RIGHT(G$38,LEN(G$38)-1))-1,_xlpm.ROWNUM,224+13*_xlpm.Person+_xlpm.Period,
INDEX('Calc - OTHER PERS'!$C:$C,_xlpm.ROWNUM))</f>
        <v>0</v>
      </c>
      <c r="H417" s="3021" cm="1">
        <f t="array" ref="H417">_xlfn.LET(_xlpm.Person,INT((ROW()-ROW($A$413))/7),_xlpm.Period,VALUE(RIGHT(H$38,LEN(H$38)-1))-1,_xlpm.ROWNUM,224+13*_xlpm.Person+_xlpm.Period,
INDEX('Calc - OTHER PERS'!$C:$C,_xlpm.ROWNUM))</f>
        <v>0</v>
      </c>
      <c r="I417" s="926"/>
    </row>
    <row r="418" spans="1:9" hidden="1" x14ac:dyDescent="0.25">
      <c r="C418" s="503"/>
      <c r="D418" s="503"/>
      <c r="E418" s="503"/>
      <c r="F418" s="503"/>
      <c r="G418" s="503"/>
      <c r="H418" s="503"/>
      <c r="I418" s="926"/>
    </row>
    <row r="419" spans="1:9" hidden="1" x14ac:dyDescent="0.25">
      <c r="I419" s="926"/>
    </row>
    <row r="420" spans="1:9" hidden="1" x14ac:dyDescent="0.25">
      <c r="A420" s="847" t="str" cm="1">
        <f t="array" ref="A420">INDEX('DATA INPUT'!B:B,46+INT((ROW()-ROW($A$413))/7))</f>
        <v>Hourly Student(s) #2</v>
      </c>
      <c r="C420" s="3042" t="s">
        <v>1041</v>
      </c>
      <c r="D420" s="3042" t="s">
        <v>1042</v>
      </c>
      <c r="E420" s="3042" t="s">
        <v>1043</v>
      </c>
      <c r="F420" s="3042" t="s">
        <v>1044</v>
      </c>
      <c r="G420" s="3042" t="s">
        <v>1045</v>
      </c>
      <c r="H420" s="3042" t="s">
        <v>1046</v>
      </c>
      <c r="I420" s="926"/>
    </row>
    <row r="421" spans="1:9" ht="17.25" hidden="1" x14ac:dyDescent="0.3">
      <c r="A421" s="3043">
        <f t="shared" ref="A421" si="128">SUM(C421:H421)</f>
        <v>0</v>
      </c>
      <c r="B421" s="3044" t="s">
        <v>3</v>
      </c>
      <c r="C421" s="3045">
        <f t="shared" ref="C421:H421" si="129">ROUND(C422*C424*(1+C423), 2)</f>
        <v>0</v>
      </c>
      <c r="D421" s="3045">
        <f t="shared" si="129"/>
        <v>0</v>
      </c>
      <c r="E421" s="3045">
        <f t="shared" si="129"/>
        <v>0</v>
      </c>
      <c r="F421" s="3045">
        <f t="shared" si="129"/>
        <v>0</v>
      </c>
      <c r="G421" s="3045">
        <f t="shared" si="129"/>
        <v>0</v>
      </c>
      <c r="H421" s="3045">
        <f t="shared" si="129"/>
        <v>0</v>
      </c>
      <c r="I421" s="926"/>
    </row>
    <row r="422" spans="1:9" hidden="1" x14ac:dyDescent="0.25">
      <c r="B422" s="847" t="s">
        <v>1050</v>
      </c>
      <c r="C422" s="3058" cm="1">
        <f t="array" ref="C422">_xlfn.LET(_xlpm.Person,INT((ROW()-ROW($A$413))/7),_xlpm.Period,VALUE(RIGHT(C$38,LEN(C$38)-1))-1,_xlpm.ROWNUM,224+13*_xlpm.Person+_xlpm.Period,
ROUND(INDEX('Calc - OTHER PERS'!$G:$G,_xlpm.ROWNUM),2))</f>
        <v>2776.14</v>
      </c>
      <c r="D422" s="3058" cm="1">
        <f t="array" ref="D422">_xlfn.LET(_xlpm.Person,INT((ROW()-ROW($A$413))/7),_xlpm.Period,VALUE(RIGHT(D$38,LEN(D$38)-1))-1,_xlpm.ROWNUM,224+13*_xlpm.Person+_xlpm.Period,
ROUND(INDEX('Calc - OTHER PERS'!$G:$G,_xlpm.ROWNUM),2))</f>
        <v>2859.42</v>
      </c>
      <c r="E422" s="3058" cm="1">
        <f t="array" ref="E422">_xlfn.LET(_xlpm.Person,INT((ROW()-ROW($A$413))/7),_xlpm.Period,VALUE(RIGHT(E$38,LEN(E$38)-1))-1,_xlpm.ROWNUM,224+13*_xlpm.Person+_xlpm.Period,
ROUND(INDEX('Calc - OTHER PERS'!$G:$G,_xlpm.ROWNUM),2))</f>
        <v>2945.21</v>
      </c>
      <c r="F422" s="3058" cm="1">
        <f t="array" ref="F422">_xlfn.LET(_xlpm.Person,INT((ROW()-ROW($A$413))/7),_xlpm.Period,VALUE(RIGHT(F$38,LEN(F$38)-1))-1,_xlpm.ROWNUM,224+13*_xlpm.Person+_xlpm.Period,
ROUND(INDEX('Calc - OTHER PERS'!$G:$G,_xlpm.ROWNUM),2))</f>
        <v>3033.56</v>
      </c>
      <c r="G422" s="3058" cm="1">
        <f t="array" ref="G422">_xlfn.LET(_xlpm.Person,INT((ROW()-ROW($A$413))/7),_xlpm.Period,VALUE(RIGHT(G$38,LEN(G$38)-1))-1,_xlpm.ROWNUM,224+13*_xlpm.Person+_xlpm.Period,
ROUND(INDEX('Calc - OTHER PERS'!$G:$G,_xlpm.ROWNUM),2))</f>
        <v>3124.57</v>
      </c>
      <c r="H422" s="3058" cm="1">
        <f t="array" ref="H422">_xlfn.LET(_xlpm.Person,INT((ROW()-ROW($A$413))/7),_xlpm.Period,VALUE(RIGHT(H$38,LEN(H$38)-1))-1,_xlpm.ROWNUM,224+13*_xlpm.Person+_xlpm.Period,
ROUND(INDEX('Calc - OTHER PERS'!$G:$G,_xlpm.ROWNUM),2))</f>
        <v>3218.31</v>
      </c>
      <c r="I422" s="926"/>
    </row>
    <row r="423" spans="1:9" hidden="1" x14ac:dyDescent="0.25">
      <c r="B423" s="847" t="s">
        <v>1052</v>
      </c>
      <c r="C423" s="3053" cm="1">
        <f t="array" ref="C423">_xlfn.LET(_xlpm.Person,INT((ROW()-ROW($A$413))/7),_xlpm.Period,VALUE(RIGHT(C$38,LEN(C$38)-1))-1,_xlpm.ROWNUM,224+13*_xlpm.Person+_xlpm.Period,
INDEX('Calc - OTHER PERS'!$I:$I,_xlpm.ROWNUM))</f>
        <v>2.7E-2</v>
      </c>
      <c r="D423" s="3053" cm="1">
        <f t="array" ref="D423">_xlfn.LET(_xlpm.Person,INT((ROW()-ROW($A$413))/7),_xlpm.Period,VALUE(RIGHT(D$38,LEN(D$38)-1))-1,_xlpm.ROWNUM,224+13*_xlpm.Person+_xlpm.Period,
INDEX('Calc - OTHER PERS'!$I:$I,_xlpm.ROWNUM))</f>
        <v>2.7E-2</v>
      </c>
      <c r="E423" s="3053" cm="1">
        <f t="array" ref="E423">_xlfn.LET(_xlpm.Person,INT((ROW()-ROW($A$413))/7),_xlpm.Period,VALUE(RIGHT(E$38,LEN(E$38)-1))-1,_xlpm.ROWNUM,224+13*_xlpm.Person+_xlpm.Period,
INDEX('Calc - OTHER PERS'!$I:$I,_xlpm.ROWNUM))</f>
        <v>2.7E-2</v>
      </c>
      <c r="F423" s="3053" cm="1">
        <f t="array" ref="F423">_xlfn.LET(_xlpm.Person,INT((ROW()-ROW($A$413))/7),_xlpm.Period,VALUE(RIGHT(F$38,LEN(F$38)-1))-1,_xlpm.ROWNUM,224+13*_xlpm.Person+_xlpm.Period,
INDEX('Calc - OTHER PERS'!$I:$I,_xlpm.ROWNUM))</f>
        <v>2.7E-2</v>
      </c>
      <c r="G423" s="3053" cm="1">
        <f t="array" ref="G423">_xlfn.LET(_xlpm.Person,INT((ROW()-ROW($A$413))/7),_xlpm.Period,VALUE(RIGHT(G$38,LEN(G$38)-1))-1,_xlpm.ROWNUM,224+13*_xlpm.Person+_xlpm.Period,
INDEX('Calc - OTHER PERS'!$I:$I,_xlpm.ROWNUM))</f>
        <v>2.7E-2</v>
      </c>
      <c r="H423" s="3053" cm="1">
        <f t="array" ref="H423">_xlfn.LET(_xlpm.Person,INT((ROW()-ROW($A$413))/7),_xlpm.Period,VALUE(RIGHT(H$38,LEN(H$38)-1))-1,_xlpm.ROWNUM,224+13*_xlpm.Person+_xlpm.Period,
INDEX('Calc - OTHER PERS'!$I:$I,_xlpm.ROWNUM))</f>
        <v>2.7E-2</v>
      </c>
      <c r="I423" s="926"/>
    </row>
    <row r="424" spans="1:9" hidden="1" x14ac:dyDescent="0.25">
      <c r="B424" s="847" t="s">
        <v>1053</v>
      </c>
      <c r="C424" s="3021" cm="1">
        <f t="array" ref="C424">_xlfn.LET(_xlpm.Person,INT((ROW()-ROW($A$413))/7),_xlpm.Period,VALUE(RIGHT(C$38,LEN(C$38)-1))-1,_xlpm.ROWNUM,224+13*_xlpm.Person+_xlpm.Period,
INDEX('Calc - OTHER PERS'!$C:$C,_xlpm.ROWNUM))</f>
        <v>0</v>
      </c>
      <c r="D424" s="3021" cm="1">
        <f t="array" ref="D424">_xlfn.LET(_xlpm.Person,INT((ROW()-ROW($A$413))/7),_xlpm.Period,VALUE(RIGHT(D$38,LEN(D$38)-1))-1,_xlpm.ROWNUM,224+13*_xlpm.Person+_xlpm.Period,
INDEX('Calc - OTHER PERS'!$C:$C,_xlpm.ROWNUM))</f>
        <v>0</v>
      </c>
      <c r="E424" s="3021" cm="1">
        <f t="array" ref="E424">_xlfn.LET(_xlpm.Person,INT((ROW()-ROW($A$413))/7),_xlpm.Period,VALUE(RIGHT(E$38,LEN(E$38)-1))-1,_xlpm.ROWNUM,224+13*_xlpm.Person+_xlpm.Period,
INDEX('Calc - OTHER PERS'!$C:$C,_xlpm.ROWNUM))</f>
        <v>0</v>
      </c>
      <c r="F424" s="3021" cm="1">
        <f t="array" ref="F424">_xlfn.LET(_xlpm.Person,INT((ROW()-ROW($A$413))/7),_xlpm.Period,VALUE(RIGHT(F$38,LEN(F$38)-1))-1,_xlpm.ROWNUM,224+13*_xlpm.Person+_xlpm.Period,
INDEX('Calc - OTHER PERS'!$C:$C,_xlpm.ROWNUM))</f>
        <v>0</v>
      </c>
      <c r="G424" s="3021" cm="1">
        <f t="array" ref="G424">_xlfn.LET(_xlpm.Person,INT((ROW()-ROW($A$413))/7),_xlpm.Period,VALUE(RIGHT(G$38,LEN(G$38)-1))-1,_xlpm.ROWNUM,224+13*_xlpm.Person+_xlpm.Period,
INDEX('Calc - OTHER PERS'!$C:$C,_xlpm.ROWNUM))</f>
        <v>0</v>
      </c>
      <c r="H424" s="3021" cm="1">
        <f t="array" ref="H424">_xlfn.LET(_xlpm.Person,INT((ROW()-ROW($A$413))/7),_xlpm.Period,VALUE(RIGHT(H$38,LEN(H$38)-1))-1,_xlpm.ROWNUM,224+13*_xlpm.Person+_xlpm.Period,
INDEX('Calc - OTHER PERS'!$C:$C,_xlpm.ROWNUM))</f>
        <v>0</v>
      </c>
      <c r="I424" s="926"/>
    </row>
    <row r="425" spans="1:9" hidden="1" x14ac:dyDescent="0.25">
      <c r="C425" s="503"/>
      <c r="D425" s="503"/>
      <c r="E425" s="503"/>
      <c r="F425" s="503"/>
      <c r="G425" s="503"/>
      <c r="H425" s="503"/>
      <c r="I425" s="926"/>
    </row>
    <row r="426" spans="1:9" hidden="1" x14ac:dyDescent="0.25">
      <c r="I426" s="926"/>
    </row>
    <row r="427" spans="1:9" hidden="1" x14ac:dyDescent="0.25">
      <c r="A427" s="847" t="str" cm="1">
        <f t="array" ref="A427">INDEX('DATA INPUT'!B:B,46+INT((ROW()-ROW($A$413))/7))</f>
        <v>Hourly Student(s) #3</v>
      </c>
      <c r="C427" s="3042" t="s">
        <v>1041</v>
      </c>
      <c r="D427" s="3042" t="s">
        <v>1042</v>
      </c>
      <c r="E427" s="3042" t="s">
        <v>1043</v>
      </c>
      <c r="F427" s="3042" t="s">
        <v>1044</v>
      </c>
      <c r="G427" s="3042" t="s">
        <v>1045</v>
      </c>
      <c r="H427" s="3042" t="s">
        <v>1046</v>
      </c>
      <c r="I427" s="926"/>
    </row>
    <row r="428" spans="1:9" ht="17.25" hidden="1" x14ac:dyDescent="0.3">
      <c r="A428" s="3043">
        <f t="shared" ref="A428" si="130">SUM(C428:H428)</f>
        <v>0</v>
      </c>
      <c r="B428" s="3044" t="s">
        <v>3</v>
      </c>
      <c r="C428" s="3045">
        <f t="shared" ref="C428:H428" si="131">ROUND(C429*C431*(1+C430), 2)</f>
        <v>0</v>
      </c>
      <c r="D428" s="3045">
        <f t="shared" si="131"/>
        <v>0</v>
      </c>
      <c r="E428" s="3045">
        <f t="shared" si="131"/>
        <v>0</v>
      </c>
      <c r="F428" s="3045">
        <f t="shared" si="131"/>
        <v>0</v>
      </c>
      <c r="G428" s="3045">
        <f t="shared" si="131"/>
        <v>0</v>
      </c>
      <c r="H428" s="3045">
        <f t="shared" si="131"/>
        <v>0</v>
      </c>
      <c r="I428" s="926"/>
    </row>
    <row r="429" spans="1:9" hidden="1" x14ac:dyDescent="0.25">
      <c r="B429" s="847" t="s">
        <v>1050</v>
      </c>
      <c r="C429" s="3058" cm="1">
        <f t="array" ref="C429">_xlfn.LET(_xlpm.Person,INT((ROW()-ROW($A$413))/7),_xlpm.Period,VALUE(RIGHT(C$38,LEN(C$38)-1))-1,_xlpm.ROWNUM,224+13*_xlpm.Person+_xlpm.Period,
ROUND(INDEX('Calc - OTHER PERS'!$G:$G,_xlpm.ROWNUM),2))</f>
        <v>2776.14</v>
      </c>
      <c r="D429" s="3058" cm="1">
        <f t="array" ref="D429">_xlfn.LET(_xlpm.Person,INT((ROW()-ROW($A$413))/7),_xlpm.Period,VALUE(RIGHT(D$38,LEN(D$38)-1))-1,_xlpm.ROWNUM,224+13*_xlpm.Person+_xlpm.Period,
ROUND(INDEX('Calc - OTHER PERS'!$G:$G,_xlpm.ROWNUM),2))</f>
        <v>2859.42</v>
      </c>
      <c r="E429" s="3058" cm="1">
        <f t="array" ref="E429">_xlfn.LET(_xlpm.Person,INT((ROW()-ROW($A$413))/7),_xlpm.Period,VALUE(RIGHT(E$38,LEN(E$38)-1))-1,_xlpm.ROWNUM,224+13*_xlpm.Person+_xlpm.Period,
ROUND(INDEX('Calc - OTHER PERS'!$G:$G,_xlpm.ROWNUM),2))</f>
        <v>2945.21</v>
      </c>
      <c r="F429" s="3058" cm="1">
        <f t="array" ref="F429">_xlfn.LET(_xlpm.Person,INT((ROW()-ROW($A$413))/7),_xlpm.Period,VALUE(RIGHT(F$38,LEN(F$38)-1))-1,_xlpm.ROWNUM,224+13*_xlpm.Person+_xlpm.Period,
ROUND(INDEX('Calc - OTHER PERS'!$G:$G,_xlpm.ROWNUM),2))</f>
        <v>3033.56</v>
      </c>
      <c r="G429" s="3058" cm="1">
        <f t="array" ref="G429">_xlfn.LET(_xlpm.Person,INT((ROW()-ROW($A$413))/7),_xlpm.Period,VALUE(RIGHT(G$38,LEN(G$38)-1))-1,_xlpm.ROWNUM,224+13*_xlpm.Person+_xlpm.Period,
ROUND(INDEX('Calc - OTHER PERS'!$G:$G,_xlpm.ROWNUM),2))</f>
        <v>3124.57</v>
      </c>
      <c r="H429" s="3058" cm="1">
        <f t="array" ref="H429">_xlfn.LET(_xlpm.Person,INT((ROW()-ROW($A$413))/7),_xlpm.Period,VALUE(RIGHT(H$38,LEN(H$38)-1))-1,_xlpm.ROWNUM,224+13*_xlpm.Person+_xlpm.Period,
ROUND(INDEX('Calc - OTHER PERS'!$G:$G,_xlpm.ROWNUM),2))</f>
        <v>3218.31</v>
      </c>
      <c r="I429" s="926"/>
    </row>
    <row r="430" spans="1:9" hidden="1" x14ac:dyDescent="0.25">
      <c r="B430" s="847" t="s">
        <v>1052</v>
      </c>
      <c r="C430" s="3053" cm="1">
        <f t="array" ref="C430">_xlfn.LET(_xlpm.Person,INT((ROW()-ROW($A$413))/7),_xlpm.Period,VALUE(RIGHT(C$38,LEN(C$38)-1))-1,_xlpm.ROWNUM,224+13*_xlpm.Person+_xlpm.Period,
INDEX('Calc - OTHER PERS'!$I:$I,_xlpm.ROWNUM))</f>
        <v>2.7E-2</v>
      </c>
      <c r="D430" s="3053" cm="1">
        <f t="array" ref="D430">_xlfn.LET(_xlpm.Person,INT((ROW()-ROW($A$413))/7),_xlpm.Period,VALUE(RIGHT(D$38,LEN(D$38)-1))-1,_xlpm.ROWNUM,224+13*_xlpm.Person+_xlpm.Period,
INDEX('Calc - OTHER PERS'!$I:$I,_xlpm.ROWNUM))</f>
        <v>2.7E-2</v>
      </c>
      <c r="E430" s="3053" cm="1">
        <f t="array" ref="E430">_xlfn.LET(_xlpm.Person,INT((ROW()-ROW($A$413))/7),_xlpm.Period,VALUE(RIGHT(E$38,LEN(E$38)-1))-1,_xlpm.ROWNUM,224+13*_xlpm.Person+_xlpm.Period,
INDEX('Calc - OTHER PERS'!$I:$I,_xlpm.ROWNUM))</f>
        <v>2.7E-2</v>
      </c>
      <c r="F430" s="3053" cm="1">
        <f t="array" ref="F430">_xlfn.LET(_xlpm.Person,INT((ROW()-ROW($A$413))/7),_xlpm.Period,VALUE(RIGHT(F$38,LEN(F$38)-1))-1,_xlpm.ROWNUM,224+13*_xlpm.Person+_xlpm.Period,
INDEX('Calc - OTHER PERS'!$I:$I,_xlpm.ROWNUM))</f>
        <v>2.7E-2</v>
      </c>
      <c r="G430" s="3053" cm="1">
        <f t="array" ref="G430">_xlfn.LET(_xlpm.Person,INT((ROW()-ROW($A$413))/7),_xlpm.Period,VALUE(RIGHT(G$38,LEN(G$38)-1))-1,_xlpm.ROWNUM,224+13*_xlpm.Person+_xlpm.Period,
INDEX('Calc - OTHER PERS'!$I:$I,_xlpm.ROWNUM))</f>
        <v>2.7E-2</v>
      </c>
      <c r="H430" s="3053" cm="1">
        <f t="array" ref="H430">_xlfn.LET(_xlpm.Person,INT((ROW()-ROW($A$413))/7),_xlpm.Period,VALUE(RIGHT(H$38,LEN(H$38)-1))-1,_xlpm.ROWNUM,224+13*_xlpm.Person+_xlpm.Period,
INDEX('Calc - OTHER PERS'!$I:$I,_xlpm.ROWNUM))</f>
        <v>2.7E-2</v>
      </c>
      <c r="I430" s="926"/>
    </row>
    <row r="431" spans="1:9" hidden="1" x14ac:dyDescent="0.25">
      <c r="B431" s="847" t="s">
        <v>1053</v>
      </c>
      <c r="C431" s="3021" cm="1">
        <f t="array" ref="C431">_xlfn.LET(_xlpm.Person,INT((ROW()-ROW($A$413))/7),_xlpm.Period,VALUE(RIGHT(C$38,LEN(C$38)-1))-1,_xlpm.ROWNUM,224+13*_xlpm.Person+_xlpm.Period,
INDEX('Calc - OTHER PERS'!$C:$C,_xlpm.ROWNUM))</f>
        <v>0</v>
      </c>
      <c r="D431" s="3021" cm="1">
        <f t="array" ref="D431">_xlfn.LET(_xlpm.Person,INT((ROW()-ROW($A$413))/7),_xlpm.Period,VALUE(RIGHT(D$38,LEN(D$38)-1))-1,_xlpm.ROWNUM,224+13*_xlpm.Person+_xlpm.Period,
INDEX('Calc - OTHER PERS'!$C:$C,_xlpm.ROWNUM))</f>
        <v>0</v>
      </c>
      <c r="E431" s="3021" cm="1">
        <f t="array" ref="E431">_xlfn.LET(_xlpm.Person,INT((ROW()-ROW($A$413))/7),_xlpm.Period,VALUE(RIGHT(E$38,LEN(E$38)-1))-1,_xlpm.ROWNUM,224+13*_xlpm.Person+_xlpm.Period,
INDEX('Calc - OTHER PERS'!$C:$C,_xlpm.ROWNUM))</f>
        <v>0</v>
      </c>
      <c r="F431" s="3021" cm="1">
        <f t="array" ref="F431">_xlfn.LET(_xlpm.Person,INT((ROW()-ROW($A$413))/7),_xlpm.Period,VALUE(RIGHT(F$38,LEN(F$38)-1))-1,_xlpm.ROWNUM,224+13*_xlpm.Person+_xlpm.Period,
INDEX('Calc - OTHER PERS'!$C:$C,_xlpm.ROWNUM))</f>
        <v>0</v>
      </c>
      <c r="G431" s="3021" cm="1">
        <f t="array" ref="G431">_xlfn.LET(_xlpm.Person,INT((ROW()-ROW($A$413))/7),_xlpm.Period,VALUE(RIGHT(G$38,LEN(G$38)-1))-1,_xlpm.ROWNUM,224+13*_xlpm.Person+_xlpm.Period,
INDEX('Calc - OTHER PERS'!$C:$C,_xlpm.ROWNUM))</f>
        <v>0</v>
      </c>
      <c r="H431" s="3021" cm="1">
        <f t="array" ref="H431">_xlfn.LET(_xlpm.Person,INT((ROW()-ROW($A$413))/7),_xlpm.Period,VALUE(RIGHT(H$38,LEN(H$38)-1))-1,_xlpm.ROWNUM,224+13*_xlpm.Person+_xlpm.Period,
INDEX('Calc - OTHER PERS'!$C:$C,_xlpm.ROWNUM))</f>
        <v>0</v>
      </c>
      <c r="I431" s="926"/>
    </row>
    <row r="432" spans="1:9" hidden="1" x14ac:dyDescent="0.25">
      <c r="C432" s="503"/>
      <c r="D432" s="503"/>
      <c r="E432" s="503"/>
      <c r="F432" s="503"/>
      <c r="G432" s="503"/>
      <c r="H432" s="503"/>
      <c r="I432" s="926"/>
    </row>
    <row r="433" spans="9:9" hidden="1" x14ac:dyDescent="0.25">
      <c r="I433" s="926"/>
    </row>
    <row r="434" spans="9:9" x14ac:dyDescent="0.25">
      <c r="I434" s="3051"/>
    </row>
    <row r="435" spans="9:9" x14ac:dyDescent="0.25">
      <c r="I435" s="3051"/>
    </row>
    <row r="436" spans="9:9" x14ac:dyDescent="0.25">
      <c r="I436" s="3051"/>
    </row>
    <row r="437" spans="9:9" x14ac:dyDescent="0.25">
      <c r="I437" s="3051"/>
    </row>
    <row r="438" spans="9:9" x14ac:dyDescent="0.25">
      <c r="I438" s="3051"/>
    </row>
    <row r="439" spans="9:9" x14ac:dyDescent="0.25">
      <c r="I439" s="3051"/>
    </row>
    <row r="440" spans="9:9" x14ac:dyDescent="0.25">
      <c r="I440" s="3051"/>
    </row>
    <row r="441" spans="9:9" x14ac:dyDescent="0.25">
      <c r="I441" s="3051"/>
    </row>
    <row r="442" spans="9:9" x14ac:dyDescent="0.25">
      <c r="I442" s="3051"/>
    </row>
    <row r="443" spans="9:9" x14ac:dyDescent="0.25">
      <c r="I443" s="3051"/>
    </row>
    <row r="444" spans="9:9" x14ac:dyDescent="0.25">
      <c r="I444" s="3051"/>
    </row>
    <row r="445" spans="9:9" x14ac:dyDescent="0.25">
      <c r="I445" s="3051"/>
    </row>
    <row r="446" spans="9:9" x14ac:dyDescent="0.25">
      <c r="I446" s="3051"/>
    </row>
    <row r="447" spans="9:9" x14ac:dyDescent="0.25">
      <c r="I447" s="3051"/>
    </row>
    <row r="448" spans="9:9" x14ac:dyDescent="0.25">
      <c r="I448" s="3051"/>
    </row>
    <row r="449" spans="9:9" x14ac:dyDescent="0.25">
      <c r="I449" s="3051"/>
    </row>
    <row r="450" spans="9:9" x14ac:dyDescent="0.25">
      <c r="I450" s="3051"/>
    </row>
    <row r="451" spans="9:9" x14ac:dyDescent="0.25">
      <c r="I451" s="3051"/>
    </row>
    <row r="452" spans="9:9" x14ac:dyDescent="0.25">
      <c r="I452" s="3051"/>
    </row>
    <row r="453" spans="9:9" x14ac:dyDescent="0.25">
      <c r="I453" s="3051"/>
    </row>
    <row r="454" spans="9:9" x14ac:dyDescent="0.25">
      <c r="I454" s="3051"/>
    </row>
    <row r="455" spans="9:9" x14ac:dyDescent="0.25">
      <c r="I455" s="3051"/>
    </row>
    <row r="456" spans="9:9" x14ac:dyDescent="0.25">
      <c r="I456" s="3051"/>
    </row>
    <row r="457" spans="9:9" x14ac:dyDescent="0.25">
      <c r="I457" s="3051"/>
    </row>
    <row r="458" spans="9:9" x14ac:dyDescent="0.25">
      <c r="I458" s="3051"/>
    </row>
    <row r="459" spans="9:9" x14ac:dyDescent="0.25">
      <c r="I459" s="3051"/>
    </row>
    <row r="460" spans="9:9" x14ac:dyDescent="0.25">
      <c r="I460" s="3051"/>
    </row>
    <row r="461" spans="9:9" x14ac:dyDescent="0.25">
      <c r="I461" s="3051"/>
    </row>
    <row r="462" spans="9:9" x14ac:dyDescent="0.25">
      <c r="I462" s="3051"/>
    </row>
    <row r="463" spans="9:9" x14ac:dyDescent="0.25">
      <c r="I463" s="3051"/>
    </row>
    <row r="464" spans="9:9" x14ac:dyDescent="0.25">
      <c r="I464" s="3051"/>
    </row>
    <row r="465" spans="9:9" x14ac:dyDescent="0.25">
      <c r="I465" s="3051"/>
    </row>
    <row r="466" spans="9:9" x14ac:dyDescent="0.25">
      <c r="I466" s="3051"/>
    </row>
    <row r="467" spans="9:9" x14ac:dyDescent="0.25">
      <c r="I467" s="3051"/>
    </row>
    <row r="468" spans="9:9" x14ac:dyDescent="0.25">
      <c r="I468" s="3051"/>
    </row>
  </sheetData>
  <pageMargins left="0.7" right="0.7" top="0.75" bottom="0.75" header="0.3" footer="0.3"/>
  <ignoredErrors>
    <ignoredError sqref="J4:J34" unlockedFormula="1"/>
  </ignoredError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theme="2" tint="-0.499984740745262"/>
  </sheetPr>
  <dimension ref="A1:AF69"/>
  <sheetViews>
    <sheetView showGridLines="0" zoomScaleNormal="100" workbookViewId="0">
      <selection activeCell="AG38" sqref="AG38"/>
    </sheetView>
  </sheetViews>
  <sheetFormatPr defaultColWidth="10.140625" defaultRowHeight="12.75" x14ac:dyDescent="0.2"/>
  <cols>
    <col min="1" max="1" width="21.140625" style="1" customWidth="1"/>
    <col min="2" max="2" width="11.7109375" style="1" bestFit="1" customWidth="1"/>
    <col min="3" max="7" width="11.7109375" style="1" hidden="1" customWidth="1"/>
    <col min="8" max="8" width="14.28515625" style="1" customWidth="1"/>
    <col min="9" max="9" width="16.28515625" style="1" customWidth="1"/>
    <col min="10" max="10" width="10.85546875" style="1" customWidth="1"/>
    <col min="11" max="11" width="18.85546875" style="1" hidden="1" customWidth="1"/>
    <col min="12" max="13" width="11.7109375" style="1" hidden="1" customWidth="1"/>
    <col min="14" max="14" width="12.28515625" style="1" hidden="1" customWidth="1"/>
    <col min="15" max="15" width="11.7109375" style="1" hidden="1" customWidth="1"/>
    <col min="16" max="16" width="10.7109375" style="1" hidden="1" customWidth="1"/>
    <col min="17" max="17" width="12.28515625" style="1" hidden="1" customWidth="1"/>
    <col min="18" max="18" width="11.7109375" style="1" hidden="1" customWidth="1"/>
    <col min="19" max="19" width="10.7109375" style="1" hidden="1" customWidth="1"/>
    <col min="20" max="20" width="12.28515625" style="1" hidden="1" customWidth="1"/>
    <col min="21" max="21" width="11.7109375" style="1" hidden="1" customWidth="1"/>
    <col min="22" max="22" width="10.7109375" style="1" hidden="1" customWidth="1"/>
    <col min="23" max="23" width="12.28515625" style="1" hidden="1" customWidth="1"/>
    <col min="24" max="24" width="11.7109375" style="1" hidden="1" customWidth="1"/>
    <col min="25" max="25" width="10.7109375" style="1" hidden="1" customWidth="1"/>
    <col min="26" max="26" width="12.28515625" style="1" hidden="1" customWidth="1"/>
    <col min="27" max="27" width="11.7109375" style="1" hidden="1" customWidth="1"/>
    <col min="28" max="28" width="10.7109375" style="1" hidden="1" customWidth="1"/>
    <col min="29" max="29" width="12.28515625" style="1" hidden="1" customWidth="1"/>
    <col min="30" max="32" width="12.85546875" style="1" hidden="1" customWidth="1"/>
    <col min="33" max="16384" width="10.140625" style="1"/>
  </cols>
  <sheetData>
    <row r="1" spans="1:32" x14ac:dyDescent="0.2">
      <c r="A1" s="24" t="s">
        <v>143</v>
      </c>
      <c r="B1" s="490" t="str">
        <f ca="1">Budget!C1</f>
        <v>Virag Mishra</v>
      </c>
      <c r="C1" s="1013"/>
    </row>
    <row r="2" spans="1:32" x14ac:dyDescent="0.2">
      <c r="A2" s="24" t="s">
        <v>1039</v>
      </c>
      <c r="B2" s="45" t="str">
        <f>Budget!C2</f>
        <v>N/A</v>
      </c>
      <c r="C2" s="4"/>
    </row>
    <row r="3" spans="1:32" x14ac:dyDescent="0.2">
      <c r="A3" s="103" t="s">
        <v>62</v>
      </c>
      <c r="B3" s="1014" t="str">
        <f>Budget!C3</f>
        <v>HCSS</v>
      </c>
    </row>
    <row r="4" spans="1:32" x14ac:dyDescent="0.2">
      <c r="A4" s="1015" t="s">
        <v>10</v>
      </c>
      <c r="B4" s="1016">
        <f>Budget!C4</f>
        <v>46478</v>
      </c>
    </row>
    <row r="5" spans="1:32" x14ac:dyDescent="0.2">
      <c r="A5" s="1015" t="s">
        <v>9</v>
      </c>
      <c r="B5" s="1016">
        <f>Budget!C5</f>
        <v>46843</v>
      </c>
    </row>
    <row r="6" spans="1:32" x14ac:dyDescent="0.2">
      <c r="A6" s="1015" t="s">
        <v>147</v>
      </c>
      <c r="B6" s="1015" t="str">
        <f>'DATA INPUT'!F4</f>
        <v>Robert Kokenyesi</v>
      </c>
    </row>
    <row r="7" spans="1:32" ht="16.5" thickBot="1" x14ac:dyDescent="0.3">
      <c r="B7" s="228" t="s">
        <v>1093</v>
      </c>
      <c r="K7" s="1069" t="s">
        <v>652</v>
      </c>
    </row>
    <row r="8" spans="1:32" ht="39" x14ac:dyDescent="0.25">
      <c r="A8" s="1069" t="s">
        <v>264</v>
      </c>
      <c r="B8" s="4"/>
      <c r="C8" s="4"/>
      <c r="D8" s="4"/>
      <c r="E8" s="4"/>
      <c r="F8" s="4"/>
      <c r="G8" s="4"/>
      <c r="H8" s="4"/>
      <c r="K8" s="2470" t="s">
        <v>315</v>
      </c>
      <c r="L8" s="2468" t="s">
        <v>148</v>
      </c>
      <c r="M8" s="2469"/>
      <c r="N8" s="2460" t="s">
        <v>653</v>
      </c>
      <c r="O8" s="2468" t="s">
        <v>149</v>
      </c>
      <c r="P8" s="2469"/>
      <c r="Q8" s="2460" t="s">
        <v>654</v>
      </c>
      <c r="R8" s="2468" t="s">
        <v>150</v>
      </c>
      <c r="S8" s="2469"/>
      <c r="T8" s="2460" t="s">
        <v>655</v>
      </c>
      <c r="U8" s="2468" t="s">
        <v>151</v>
      </c>
      <c r="V8" s="2469"/>
      <c r="W8" s="2460" t="s">
        <v>656</v>
      </c>
      <c r="X8" s="2468" t="s">
        <v>595</v>
      </c>
      <c r="Y8" s="2469"/>
      <c r="Z8" s="2460" t="s">
        <v>657</v>
      </c>
      <c r="AA8" s="2468" t="s">
        <v>596</v>
      </c>
      <c r="AB8" s="2469"/>
      <c r="AC8" s="2460" t="s">
        <v>320</v>
      </c>
      <c r="AD8" s="2462" t="s">
        <v>321</v>
      </c>
      <c r="AE8" s="2464" t="s">
        <v>322</v>
      </c>
      <c r="AF8" s="2466" t="s">
        <v>230</v>
      </c>
    </row>
    <row r="9" spans="1:32" ht="15" customHeight="1" thickBot="1" x14ac:dyDescent="0.25">
      <c r="A9" s="1017" t="s">
        <v>265</v>
      </c>
      <c r="B9" s="1479" t="str">
        <f>Budget!N$12</f>
        <v>Period 1</v>
      </c>
      <c r="C9" s="1479" t="str">
        <f>Budget!O$12</f>
        <v>Period 2</v>
      </c>
      <c r="D9" s="1479" t="str">
        <f>Budget!P$12</f>
        <v>Period 3</v>
      </c>
      <c r="E9" s="1479" t="str">
        <f>Budget!Q$12</f>
        <v>Period 4</v>
      </c>
      <c r="F9" s="1479" t="str">
        <f>Budget!R$12</f>
        <v>Period 5</v>
      </c>
      <c r="G9" s="1479" t="str">
        <f>Budget!S$12</f>
        <v>Period 6</v>
      </c>
      <c r="H9" s="1018" t="s">
        <v>85</v>
      </c>
      <c r="K9" s="2471"/>
      <c r="L9" s="592" t="s">
        <v>62</v>
      </c>
      <c r="M9" s="124" t="s">
        <v>311</v>
      </c>
      <c r="N9" s="2461"/>
      <c r="O9" s="592" t="s">
        <v>62</v>
      </c>
      <c r="P9" s="124" t="s">
        <v>311</v>
      </c>
      <c r="Q9" s="2461"/>
      <c r="R9" s="592" t="s">
        <v>62</v>
      </c>
      <c r="S9" s="124" t="s">
        <v>311</v>
      </c>
      <c r="T9" s="2461"/>
      <c r="U9" s="592" t="s">
        <v>62</v>
      </c>
      <c r="V9" s="124" t="s">
        <v>311</v>
      </c>
      <c r="W9" s="2461"/>
      <c r="X9" s="592" t="s">
        <v>62</v>
      </c>
      <c r="Y9" s="124" t="s">
        <v>311</v>
      </c>
      <c r="Z9" s="2461"/>
      <c r="AA9" s="592" t="s">
        <v>62</v>
      </c>
      <c r="AB9" s="124" t="s">
        <v>311</v>
      </c>
      <c r="AC9" s="2461"/>
      <c r="AD9" s="2463"/>
      <c r="AE9" s="2465"/>
      <c r="AF9" s="2467"/>
    </row>
    <row r="10" spans="1:32" ht="13.35" customHeight="1" x14ac:dyDescent="0.2">
      <c r="A10" s="1019" t="s">
        <v>221</v>
      </c>
      <c r="B10" s="1020">
        <f ca="1">Budget!EL$84</f>
        <v>33032</v>
      </c>
      <c r="C10" s="1020">
        <f ca="1">Budget!EM$84</f>
        <v>0</v>
      </c>
      <c r="D10" s="1020">
        <f ca="1">Budget!EN$84</f>
        <v>0</v>
      </c>
      <c r="E10" s="1020">
        <f ca="1">Budget!EO$84</f>
        <v>0</v>
      </c>
      <c r="F10" s="1020">
        <f ca="1">Budget!EP$84</f>
        <v>0</v>
      </c>
      <c r="G10" s="1020">
        <f ca="1">Budget!EQ$84</f>
        <v>0</v>
      </c>
      <c r="H10" s="1021">
        <f t="shared" ref="H10:H20" ca="1" si="0">SUM(B10:G10)</f>
        <v>33032</v>
      </c>
      <c r="K10" s="593" t="s">
        <v>221</v>
      </c>
      <c r="L10" s="575">
        <f ca="1">Budget!EL$84</f>
        <v>33032</v>
      </c>
      <c r="M10" s="5">
        <f ca="1">Budget!BR84</f>
        <v>0</v>
      </c>
      <c r="N10" s="573">
        <f t="shared" ref="N10:N21" ca="1" si="1">SUM(L10:M10)</f>
        <v>33032</v>
      </c>
      <c r="O10" s="575">
        <f ca="1">Budget!EM$84</f>
        <v>0</v>
      </c>
      <c r="P10" s="5">
        <f ca="1">Budget!BS84</f>
        <v>0</v>
      </c>
      <c r="Q10" s="573">
        <f t="shared" ref="Q10:Q21" ca="1" si="2">SUM(O10:P10)</f>
        <v>0</v>
      </c>
      <c r="R10" s="575">
        <f ca="1">Budget!EN$84</f>
        <v>0</v>
      </c>
      <c r="S10" s="5">
        <f ca="1">Budget!BT84</f>
        <v>0</v>
      </c>
      <c r="T10" s="629">
        <f t="shared" ref="T10:T21" ca="1" si="3">SUM(R10:S10)</f>
        <v>0</v>
      </c>
      <c r="U10" s="575">
        <f ca="1">Budget!EO$84</f>
        <v>0</v>
      </c>
      <c r="V10" s="5">
        <f ca="1">Budget!BU84</f>
        <v>0</v>
      </c>
      <c r="W10" s="573">
        <f t="shared" ref="W10:W21" ca="1" si="4">SUM(U10:V10)</f>
        <v>0</v>
      </c>
      <c r="X10" s="575">
        <f ca="1">Budget!EP$84</f>
        <v>0</v>
      </c>
      <c r="Y10" s="5">
        <f ca="1">Budget!BV84</f>
        <v>0</v>
      </c>
      <c r="Z10" s="573">
        <f t="shared" ref="Z10:Z21" ca="1" si="5">SUM(X10:Y10)</f>
        <v>0</v>
      </c>
      <c r="AA10" s="575">
        <f ca="1">Budget!EQ$84</f>
        <v>0</v>
      </c>
      <c r="AB10" s="5">
        <f ca="1">Budget!BW84</f>
        <v>0</v>
      </c>
      <c r="AC10" s="629">
        <f t="shared" ref="AC10:AC21" ca="1" si="6">SUM(AA10:AB10)</f>
        <v>0</v>
      </c>
      <c r="AD10" s="583">
        <f t="shared" ref="AD10:AD21" ca="1" si="7">SUM(L10,O10,R10,U10,X10,AA10)</f>
        <v>33032</v>
      </c>
      <c r="AE10" s="1078">
        <f t="shared" ref="AE10:AE21" ca="1" si="8">SUM(M10,P10,S10,V10,Y10,AB10)</f>
        <v>0</v>
      </c>
      <c r="AF10" s="584">
        <f t="shared" ref="AF10:AF21" ca="1" si="9">SUM(AD10:AE10)</f>
        <v>33032</v>
      </c>
    </row>
    <row r="11" spans="1:32" x14ac:dyDescent="0.2">
      <c r="A11" s="1022" t="s">
        <v>136</v>
      </c>
      <c r="B11" s="1023">
        <f ca="1">Budget!EL$155</f>
        <v>13578</v>
      </c>
      <c r="C11" s="1023">
        <f ca="1">Budget!EM$155</f>
        <v>0</v>
      </c>
      <c r="D11" s="1023">
        <f ca="1">Budget!EN$155</f>
        <v>0</v>
      </c>
      <c r="E11" s="1023">
        <f ca="1">Budget!EO$155</f>
        <v>0</v>
      </c>
      <c r="F11" s="1023">
        <f ca="1">Budget!EP$155</f>
        <v>0</v>
      </c>
      <c r="G11" s="1023">
        <f ca="1">Budget!EQ$155</f>
        <v>0</v>
      </c>
      <c r="H11" s="1024">
        <f t="shared" ca="1" si="0"/>
        <v>13578</v>
      </c>
      <c r="K11" s="593" t="s">
        <v>136</v>
      </c>
      <c r="L11" s="575">
        <f ca="1">Budget!EL$155</f>
        <v>13578</v>
      </c>
      <c r="M11" s="5">
        <f ca="1">Budget!BR155</f>
        <v>0</v>
      </c>
      <c r="N11" s="573">
        <f t="shared" ca="1" si="1"/>
        <v>13578</v>
      </c>
      <c r="O11" s="575">
        <f ca="1">Budget!EM$155</f>
        <v>0</v>
      </c>
      <c r="P11" s="5">
        <f ca="1">Budget!BS155</f>
        <v>0</v>
      </c>
      <c r="Q11" s="573">
        <f t="shared" ca="1" si="2"/>
        <v>0</v>
      </c>
      <c r="R11" s="575">
        <f ca="1">Budget!EN$155</f>
        <v>0</v>
      </c>
      <c r="S11" s="5">
        <f ca="1">Budget!BT155</f>
        <v>0</v>
      </c>
      <c r="T11" s="629">
        <f t="shared" ca="1" si="3"/>
        <v>0</v>
      </c>
      <c r="U11" s="575">
        <f ca="1">Budget!EO$155</f>
        <v>0</v>
      </c>
      <c r="V11" s="5">
        <f ca="1">Budget!BU155</f>
        <v>0</v>
      </c>
      <c r="W11" s="573">
        <f t="shared" ca="1" si="4"/>
        <v>0</v>
      </c>
      <c r="X11" s="575">
        <f ca="1">Budget!EP$155</f>
        <v>0</v>
      </c>
      <c r="Y11" s="5">
        <f ca="1">Budget!BV155</f>
        <v>0</v>
      </c>
      <c r="Z11" s="573">
        <f t="shared" ca="1" si="5"/>
        <v>0</v>
      </c>
      <c r="AA11" s="575">
        <f ca="1">Budget!EQ$155</f>
        <v>0</v>
      </c>
      <c r="AB11" s="5">
        <f ca="1">Budget!BW155</f>
        <v>0</v>
      </c>
      <c r="AC11" s="629">
        <f t="shared" ca="1" si="6"/>
        <v>0</v>
      </c>
      <c r="AD11" s="583">
        <f t="shared" ca="1" si="7"/>
        <v>13578</v>
      </c>
      <c r="AE11" s="1078">
        <f t="shared" ca="1" si="8"/>
        <v>0</v>
      </c>
      <c r="AF11" s="584">
        <f t="shared" ca="1" si="9"/>
        <v>13578</v>
      </c>
    </row>
    <row r="12" spans="1:32" x14ac:dyDescent="0.2">
      <c r="A12" s="1022" t="s">
        <v>146</v>
      </c>
      <c r="B12" s="1023">
        <f>Budget!EL$165</f>
        <v>0</v>
      </c>
      <c r="C12" s="1023">
        <f>Budget!EM$165</f>
        <v>0</v>
      </c>
      <c r="D12" s="1023">
        <f>Budget!EN$165</f>
        <v>0</v>
      </c>
      <c r="E12" s="1023">
        <f>Budget!EO$165</f>
        <v>0</v>
      </c>
      <c r="F12" s="1023">
        <f>Budget!EP$165</f>
        <v>0</v>
      </c>
      <c r="G12" s="1023">
        <f>Budget!EQ$165</f>
        <v>0</v>
      </c>
      <c r="H12" s="1024">
        <f t="shared" si="0"/>
        <v>0</v>
      </c>
      <c r="K12" s="593" t="s">
        <v>146</v>
      </c>
      <c r="L12" s="575">
        <f>Budget!EL$165</f>
        <v>0</v>
      </c>
      <c r="M12" s="5">
        <f>Budget!BR165</f>
        <v>0</v>
      </c>
      <c r="N12" s="573">
        <f t="shared" si="1"/>
        <v>0</v>
      </c>
      <c r="O12" s="575">
        <f>Budget!EM$165</f>
        <v>0</v>
      </c>
      <c r="P12" s="5">
        <f>Budget!BS165</f>
        <v>0</v>
      </c>
      <c r="Q12" s="573">
        <f t="shared" si="2"/>
        <v>0</v>
      </c>
      <c r="R12" s="575">
        <f>Budget!EN$165</f>
        <v>0</v>
      </c>
      <c r="S12" s="5">
        <f>Budget!BT165</f>
        <v>0</v>
      </c>
      <c r="T12" s="629">
        <f t="shared" si="3"/>
        <v>0</v>
      </c>
      <c r="U12" s="575">
        <f>Budget!EO$165</f>
        <v>0</v>
      </c>
      <c r="V12" s="5">
        <f>Budget!BU165</f>
        <v>0</v>
      </c>
      <c r="W12" s="573">
        <f t="shared" si="4"/>
        <v>0</v>
      </c>
      <c r="X12" s="575">
        <f>Budget!EP$165</f>
        <v>0</v>
      </c>
      <c r="Y12" s="5">
        <f>Budget!BV165</f>
        <v>0</v>
      </c>
      <c r="Z12" s="573">
        <f t="shared" si="5"/>
        <v>0</v>
      </c>
      <c r="AA12" s="575">
        <f>Budget!EQ$165</f>
        <v>0</v>
      </c>
      <c r="AB12" s="5">
        <f>Budget!BW165</f>
        <v>0</v>
      </c>
      <c r="AC12" s="629">
        <f t="shared" si="6"/>
        <v>0</v>
      </c>
      <c r="AD12" s="583">
        <f t="shared" si="7"/>
        <v>0</v>
      </c>
      <c r="AE12" s="1078">
        <f t="shared" si="8"/>
        <v>0</v>
      </c>
      <c r="AF12" s="584">
        <f t="shared" si="9"/>
        <v>0</v>
      </c>
    </row>
    <row r="13" spans="1:32" x14ac:dyDescent="0.2">
      <c r="A13" s="1022" t="s">
        <v>12</v>
      </c>
      <c r="B13" s="1023">
        <f ca="1">Budget!EL$170</f>
        <v>2490</v>
      </c>
      <c r="C13" s="1023">
        <f ca="1">Budget!EM$170</f>
        <v>0</v>
      </c>
      <c r="D13" s="1023">
        <f ca="1">Budget!EN$170</f>
        <v>0</v>
      </c>
      <c r="E13" s="1023">
        <f ca="1">Budget!EO$170</f>
        <v>0</v>
      </c>
      <c r="F13" s="1023">
        <f ca="1">Budget!EP$170</f>
        <v>0</v>
      </c>
      <c r="G13" s="1023">
        <f ca="1">Budget!EQ$170</f>
        <v>0</v>
      </c>
      <c r="H13" s="1024">
        <f t="shared" ca="1" si="0"/>
        <v>2490</v>
      </c>
      <c r="K13" s="593" t="s">
        <v>12</v>
      </c>
      <c r="L13" s="575">
        <f ca="1">Budget!EL$170</f>
        <v>2490</v>
      </c>
      <c r="M13" s="5">
        <f>Budget!BR170</f>
        <v>0</v>
      </c>
      <c r="N13" s="573">
        <f t="shared" ca="1" si="1"/>
        <v>2490</v>
      </c>
      <c r="O13" s="575">
        <f ca="1">Budget!EM$170</f>
        <v>0</v>
      </c>
      <c r="P13" s="5">
        <f>Budget!BS170</f>
        <v>0</v>
      </c>
      <c r="Q13" s="573">
        <f t="shared" ca="1" si="2"/>
        <v>0</v>
      </c>
      <c r="R13" s="575">
        <f ca="1">Budget!EN$170</f>
        <v>0</v>
      </c>
      <c r="S13" s="5">
        <f>Budget!BT170</f>
        <v>0</v>
      </c>
      <c r="T13" s="629">
        <f t="shared" ca="1" si="3"/>
        <v>0</v>
      </c>
      <c r="U13" s="575">
        <f ca="1">Budget!EO$170</f>
        <v>0</v>
      </c>
      <c r="V13" s="5">
        <f>Budget!BU170</f>
        <v>0</v>
      </c>
      <c r="W13" s="573">
        <f t="shared" ca="1" si="4"/>
        <v>0</v>
      </c>
      <c r="X13" s="575">
        <f ca="1">Budget!EP$170</f>
        <v>0</v>
      </c>
      <c r="Y13" s="5">
        <f>Budget!BV170</f>
        <v>0</v>
      </c>
      <c r="Z13" s="573">
        <f t="shared" ca="1" si="5"/>
        <v>0</v>
      </c>
      <c r="AA13" s="575">
        <f ca="1">Budget!EQ$170</f>
        <v>0</v>
      </c>
      <c r="AB13" s="5">
        <f>Budget!BW170</f>
        <v>0</v>
      </c>
      <c r="AC13" s="629">
        <f t="shared" ca="1" si="6"/>
        <v>0</v>
      </c>
      <c r="AD13" s="583">
        <f t="shared" ca="1" si="7"/>
        <v>2490</v>
      </c>
      <c r="AE13" s="1078">
        <f t="shared" si="8"/>
        <v>0</v>
      </c>
      <c r="AF13" s="584">
        <f t="shared" ca="1" si="9"/>
        <v>2490</v>
      </c>
    </row>
    <row r="14" spans="1:32" x14ac:dyDescent="0.2">
      <c r="A14" s="1022" t="s">
        <v>159</v>
      </c>
      <c r="B14" s="1023">
        <f>Budget!EL$177</f>
        <v>0</v>
      </c>
      <c r="C14" s="1023">
        <f>Budget!EM$177</f>
        <v>0</v>
      </c>
      <c r="D14" s="1023">
        <f>Budget!EN$177</f>
        <v>0</v>
      </c>
      <c r="E14" s="1023">
        <f>Budget!EO$177</f>
        <v>0</v>
      </c>
      <c r="F14" s="1023">
        <f>Budget!EP$177</f>
        <v>0</v>
      </c>
      <c r="G14" s="1023">
        <f>Budget!EQ$177</f>
        <v>0</v>
      </c>
      <c r="H14" s="1024">
        <f t="shared" si="0"/>
        <v>0</v>
      </c>
      <c r="K14" s="593" t="s">
        <v>159</v>
      </c>
      <c r="L14" s="575">
        <f>Budget!EL$177</f>
        <v>0</v>
      </c>
      <c r="M14" s="5">
        <f>Budget!BR177</f>
        <v>0</v>
      </c>
      <c r="N14" s="573">
        <f t="shared" si="1"/>
        <v>0</v>
      </c>
      <c r="O14" s="575">
        <f>Budget!EM$177</f>
        <v>0</v>
      </c>
      <c r="P14" s="5">
        <f>Budget!BS177</f>
        <v>0</v>
      </c>
      <c r="Q14" s="573">
        <f t="shared" si="2"/>
        <v>0</v>
      </c>
      <c r="R14" s="575">
        <f>Budget!EN$177</f>
        <v>0</v>
      </c>
      <c r="S14" s="5">
        <f>Budget!BT177</f>
        <v>0</v>
      </c>
      <c r="T14" s="629">
        <f t="shared" si="3"/>
        <v>0</v>
      </c>
      <c r="U14" s="575">
        <f>Budget!EO$177</f>
        <v>0</v>
      </c>
      <c r="V14" s="5">
        <f>Budget!BU177</f>
        <v>0</v>
      </c>
      <c r="W14" s="573">
        <f t="shared" si="4"/>
        <v>0</v>
      </c>
      <c r="X14" s="575">
        <f>Budget!EP$177</f>
        <v>0</v>
      </c>
      <c r="Y14" s="5">
        <f>Budget!BV177</f>
        <v>0</v>
      </c>
      <c r="Z14" s="573">
        <f t="shared" si="5"/>
        <v>0</v>
      </c>
      <c r="AA14" s="575">
        <f>Budget!EQ$177</f>
        <v>0</v>
      </c>
      <c r="AB14" s="5">
        <f>Budget!BW177</f>
        <v>0</v>
      </c>
      <c r="AC14" s="629">
        <f t="shared" si="6"/>
        <v>0</v>
      </c>
      <c r="AD14" s="583">
        <f t="shared" si="7"/>
        <v>0</v>
      </c>
      <c r="AE14" s="1078">
        <f t="shared" si="8"/>
        <v>0</v>
      </c>
      <c r="AF14" s="584">
        <f t="shared" si="9"/>
        <v>0</v>
      </c>
    </row>
    <row r="15" spans="1:32" x14ac:dyDescent="0.2">
      <c r="A15" s="1022" t="s">
        <v>260</v>
      </c>
      <c r="B15" s="1023">
        <f>Budget!EL$214</f>
        <v>0</v>
      </c>
      <c r="C15" s="1023">
        <f>Budget!EM$214</f>
        <v>0</v>
      </c>
      <c r="D15" s="1023">
        <f>Budget!EN$214</f>
        <v>0</v>
      </c>
      <c r="E15" s="1023">
        <f>Budget!EO$214</f>
        <v>0</v>
      </c>
      <c r="F15" s="1023">
        <f>Budget!EP$214</f>
        <v>0</v>
      </c>
      <c r="G15" s="1023">
        <f>Budget!EQ$214</f>
        <v>0</v>
      </c>
      <c r="H15" s="1024">
        <f t="shared" si="0"/>
        <v>0</v>
      </c>
      <c r="K15" s="593" t="s">
        <v>260</v>
      </c>
      <c r="L15" s="575">
        <f>Budget!EL$214</f>
        <v>0</v>
      </c>
      <c r="M15" s="5">
        <f ca="1">SUMMARY!B68</f>
        <v>0</v>
      </c>
      <c r="N15" s="573">
        <f t="shared" ca="1" si="1"/>
        <v>0</v>
      </c>
      <c r="O15" s="575">
        <f>Budget!EM$214</f>
        <v>0</v>
      </c>
      <c r="P15" s="5">
        <f>SUMMARY!C68</f>
        <v>0</v>
      </c>
      <c r="Q15" s="573">
        <f t="shared" si="2"/>
        <v>0</v>
      </c>
      <c r="R15" s="575">
        <f>Budget!EN$214</f>
        <v>0</v>
      </c>
      <c r="S15" s="5">
        <f>SUMMARY!D68</f>
        <v>0</v>
      </c>
      <c r="T15" s="573">
        <f t="shared" si="3"/>
        <v>0</v>
      </c>
      <c r="U15" s="575">
        <f>Budget!EO$214</f>
        <v>0</v>
      </c>
      <c r="V15" s="5">
        <f>SUMMARY!E68</f>
        <v>0</v>
      </c>
      <c r="W15" s="573">
        <f t="shared" si="4"/>
        <v>0</v>
      </c>
      <c r="X15" s="575">
        <f>Budget!EP$214</f>
        <v>0</v>
      </c>
      <c r="Y15" s="5">
        <f>SUMMARY!F68</f>
        <v>0</v>
      </c>
      <c r="Z15" s="573">
        <f t="shared" si="5"/>
        <v>0</v>
      </c>
      <c r="AA15" s="575">
        <f>Budget!EQ$214</f>
        <v>0</v>
      </c>
      <c r="AB15" s="5">
        <f>SUMMARY!G68</f>
        <v>0</v>
      </c>
      <c r="AC15" s="573">
        <f t="shared" si="6"/>
        <v>0</v>
      </c>
      <c r="AD15" s="583">
        <f t="shared" si="7"/>
        <v>0</v>
      </c>
      <c r="AE15" s="1078">
        <f t="shared" ca="1" si="8"/>
        <v>0</v>
      </c>
      <c r="AF15" s="584">
        <f t="shared" ca="1" si="9"/>
        <v>0</v>
      </c>
    </row>
    <row r="16" spans="1:32" x14ac:dyDescent="0.2">
      <c r="A16" s="1022" t="s">
        <v>261</v>
      </c>
      <c r="B16" s="1023">
        <f ca="1">Budget!EL$285-1</f>
        <v>-1</v>
      </c>
      <c r="C16" s="1023">
        <f ca="1">Budget!EM$285</f>
        <v>0</v>
      </c>
      <c r="D16" s="1023">
        <f ca="1">Budget!EN$285</f>
        <v>0</v>
      </c>
      <c r="E16" s="1023">
        <f ca="1">Budget!EO$285</f>
        <v>0</v>
      </c>
      <c r="F16" s="1023">
        <f ca="1">Budget!EP$285</f>
        <v>0</v>
      </c>
      <c r="G16" s="1023">
        <f ca="1">Budget!EQ$285</f>
        <v>0</v>
      </c>
      <c r="H16" s="1024">
        <f t="shared" ca="1" si="0"/>
        <v>-1</v>
      </c>
      <c r="K16" s="593" t="s">
        <v>261</v>
      </c>
      <c r="L16" s="575">
        <f ca="1">Budget!EL$285</f>
        <v>0</v>
      </c>
      <c r="M16" s="5">
        <f>Budget!BR285</f>
        <v>0</v>
      </c>
      <c r="N16" s="573">
        <f t="shared" ca="1" si="1"/>
        <v>0</v>
      </c>
      <c r="O16" s="1034">
        <f ca="1">Budget!EM$285</f>
        <v>0</v>
      </c>
      <c r="P16" s="321">
        <f>Budget!BS285</f>
        <v>0</v>
      </c>
      <c r="Q16" s="573">
        <f t="shared" ca="1" si="2"/>
        <v>0</v>
      </c>
      <c r="R16" s="1034">
        <f ca="1">Budget!EN$285</f>
        <v>0</v>
      </c>
      <c r="S16" s="321">
        <f>Budget!BT285</f>
        <v>0</v>
      </c>
      <c r="T16" s="630">
        <f t="shared" ca="1" si="3"/>
        <v>0</v>
      </c>
      <c r="U16" s="1034">
        <f ca="1">Budget!EO$285</f>
        <v>0</v>
      </c>
      <c r="V16" s="321">
        <f>Budget!BU285</f>
        <v>0</v>
      </c>
      <c r="W16" s="577">
        <f t="shared" ca="1" si="4"/>
        <v>0</v>
      </c>
      <c r="X16" s="1034">
        <f ca="1">Budget!EP$285</f>
        <v>0</v>
      </c>
      <c r="Y16" s="321">
        <f>Budget!BV285</f>
        <v>0</v>
      </c>
      <c r="Z16" s="577">
        <f t="shared" ca="1" si="5"/>
        <v>0</v>
      </c>
      <c r="AA16" s="1034">
        <f ca="1">Budget!EQ$285</f>
        <v>0</v>
      </c>
      <c r="AB16" s="321">
        <f>Budget!BW285</f>
        <v>0</v>
      </c>
      <c r="AC16" s="630">
        <f t="shared" ca="1" si="6"/>
        <v>0</v>
      </c>
      <c r="AD16" s="1071">
        <f t="shared" ca="1" si="7"/>
        <v>0</v>
      </c>
      <c r="AE16" s="1079">
        <f t="shared" si="8"/>
        <v>0</v>
      </c>
      <c r="AF16" s="1072">
        <f t="shared" ca="1" si="9"/>
        <v>0</v>
      </c>
    </row>
    <row r="17" spans="1:32" ht="13.5" thickBot="1" x14ac:dyDescent="0.25">
      <c r="A17" s="1063" t="s">
        <v>39</v>
      </c>
      <c r="B17" s="1064">
        <f ca="1">Budget!EL$288-B16-1</f>
        <v>900</v>
      </c>
      <c r="C17" s="1064">
        <f ca="1">Budget!EM$288-C16-C15</f>
        <v>0</v>
      </c>
      <c r="D17" s="1064">
        <f ca="1">Budget!EN$288-D16-D15</f>
        <v>0</v>
      </c>
      <c r="E17" s="1064">
        <f ca="1">Budget!EO$288-E16-E15</f>
        <v>0</v>
      </c>
      <c r="F17" s="1064">
        <f ca="1">Budget!EP$288-F16-F15</f>
        <v>0</v>
      </c>
      <c r="G17" s="1064">
        <f ca="1">Budget!EQ$288-G16-G15</f>
        <v>0</v>
      </c>
      <c r="H17" s="1066">
        <f t="shared" ca="1" si="0"/>
        <v>900</v>
      </c>
      <c r="K17" s="1070" t="s">
        <v>39</v>
      </c>
      <c r="L17" s="1034">
        <f ca="1">Budget!EL$288-L16-L15</f>
        <v>900</v>
      </c>
      <c r="M17" s="321">
        <f ca="1">Budget!BR288-M16-M15</f>
        <v>0</v>
      </c>
      <c r="N17" s="577">
        <f t="shared" ca="1" si="1"/>
        <v>900</v>
      </c>
      <c r="O17" s="1034">
        <f ca="1">Budget!EM$288-O16-O15</f>
        <v>0</v>
      </c>
      <c r="P17" s="321">
        <f>Budget!BS288-P16-P15</f>
        <v>0</v>
      </c>
      <c r="Q17" s="577">
        <f t="shared" ca="1" si="2"/>
        <v>0</v>
      </c>
      <c r="R17" s="1034">
        <f ca="1">Budget!EN$288-R16-R15</f>
        <v>0</v>
      </c>
      <c r="S17" s="321">
        <f>Budget!BT288-S16-S15</f>
        <v>0</v>
      </c>
      <c r="T17" s="630">
        <f t="shared" ca="1" si="3"/>
        <v>0</v>
      </c>
      <c r="U17" s="1034">
        <f ca="1">Budget!EO$288-U16-U15</f>
        <v>0</v>
      </c>
      <c r="V17" s="321">
        <f>Budget!BU288-V16-V15</f>
        <v>0</v>
      </c>
      <c r="W17" s="577">
        <f t="shared" ca="1" si="4"/>
        <v>0</v>
      </c>
      <c r="X17" s="1034">
        <f ca="1">Budget!EP$288-X16-X15</f>
        <v>0</v>
      </c>
      <c r="Y17" s="321">
        <f>Budget!BV288-Y16-Y15</f>
        <v>0</v>
      </c>
      <c r="Z17" s="577">
        <f t="shared" ca="1" si="5"/>
        <v>0</v>
      </c>
      <c r="AA17" s="1034">
        <f ca="1">Budget!EQ$288-AA16-AA15</f>
        <v>0</v>
      </c>
      <c r="AB17" s="321">
        <f>Budget!BW288-AB16-AB15</f>
        <v>0</v>
      </c>
      <c r="AC17" s="630">
        <f t="shared" ca="1" si="6"/>
        <v>0</v>
      </c>
      <c r="AD17" s="1071">
        <f t="shared" ca="1" si="7"/>
        <v>900</v>
      </c>
      <c r="AE17" s="1079">
        <f t="shared" ca="1" si="8"/>
        <v>0</v>
      </c>
      <c r="AF17" s="1072">
        <f t="shared" ca="1" si="9"/>
        <v>900</v>
      </c>
    </row>
    <row r="18" spans="1:32" x14ac:dyDescent="0.2">
      <c r="A18" s="1026" t="s">
        <v>226</v>
      </c>
      <c r="B18" s="1027">
        <f ca="1">Budget!EL$290-1</f>
        <v>49999</v>
      </c>
      <c r="C18" s="1027">
        <f ca="1">Budget!EM$290</f>
        <v>0</v>
      </c>
      <c r="D18" s="1027">
        <f ca="1">Budget!EN$290</f>
        <v>0</v>
      </c>
      <c r="E18" s="1027">
        <f ca="1">Budget!EO$290</f>
        <v>0</v>
      </c>
      <c r="F18" s="1027">
        <f ca="1">Budget!EP$290</f>
        <v>0</v>
      </c>
      <c r="G18" s="1027">
        <f ca="1">Budget!EQ$290</f>
        <v>0</v>
      </c>
      <c r="H18" s="1067">
        <f t="shared" ca="1" si="0"/>
        <v>49999</v>
      </c>
      <c r="K18" s="1073" t="s">
        <v>226</v>
      </c>
      <c r="L18" s="1074">
        <f ca="1">Budget!EL$290</f>
        <v>50000</v>
      </c>
      <c r="M18" s="972">
        <f ca="1">Budget!BR290</f>
        <v>0</v>
      </c>
      <c r="N18" s="276">
        <f t="shared" ca="1" si="1"/>
        <v>50000</v>
      </c>
      <c r="O18" s="1074">
        <f ca="1">Budget!EM$290</f>
        <v>0</v>
      </c>
      <c r="P18" s="972">
        <f ca="1">Budget!BS290</f>
        <v>0</v>
      </c>
      <c r="Q18" s="276">
        <f t="shared" ca="1" si="2"/>
        <v>0</v>
      </c>
      <c r="R18" s="1074">
        <f ca="1">Budget!EN$290</f>
        <v>0</v>
      </c>
      <c r="S18" s="972">
        <f ca="1">Budget!BT290</f>
        <v>0</v>
      </c>
      <c r="T18" s="1075">
        <f t="shared" ca="1" si="3"/>
        <v>0</v>
      </c>
      <c r="U18" s="1074">
        <f ca="1">Budget!EO$290</f>
        <v>0</v>
      </c>
      <c r="V18" s="972">
        <f ca="1">Budget!BU290</f>
        <v>0</v>
      </c>
      <c r="W18" s="276">
        <f t="shared" ca="1" si="4"/>
        <v>0</v>
      </c>
      <c r="X18" s="1074">
        <f ca="1">Budget!EP$290</f>
        <v>0</v>
      </c>
      <c r="Y18" s="972">
        <f ca="1">Budget!BV290</f>
        <v>0</v>
      </c>
      <c r="Z18" s="276">
        <f t="shared" ca="1" si="5"/>
        <v>0</v>
      </c>
      <c r="AA18" s="1074">
        <f ca="1">Budget!EQ$290</f>
        <v>0</v>
      </c>
      <c r="AB18" s="972">
        <f ca="1">Budget!BW290</f>
        <v>0</v>
      </c>
      <c r="AC18" s="1075">
        <f t="shared" ca="1" si="6"/>
        <v>0</v>
      </c>
      <c r="AD18" s="1076">
        <f t="shared" ca="1" si="7"/>
        <v>50000</v>
      </c>
      <c r="AE18" s="1080">
        <f t="shared" ca="1" si="8"/>
        <v>0</v>
      </c>
      <c r="AF18" s="1077">
        <f t="shared" ca="1" si="9"/>
        <v>50000</v>
      </c>
    </row>
    <row r="19" spans="1:32" x14ac:dyDescent="0.2">
      <c r="A19" s="1057" t="s">
        <v>354</v>
      </c>
      <c r="B19" s="1058">
        <f ca="1">SUM(B10:B17)</f>
        <v>49999</v>
      </c>
      <c r="C19" s="1058">
        <f ca="1">Budget!EM$292</f>
        <v>0</v>
      </c>
      <c r="D19" s="1058">
        <f ca="1">Budget!EN$292</f>
        <v>0</v>
      </c>
      <c r="E19" s="1058">
        <f ca="1">Budget!EO$292</f>
        <v>0</v>
      </c>
      <c r="F19" s="1058">
        <f ca="1">Budget!EP$292</f>
        <v>0</v>
      </c>
      <c r="G19" s="1058">
        <f ca="1">Budget!EQ$292</f>
        <v>0</v>
      </c>
      <c r="H19" s="1059">
        <f t="shared" ca="1" si="0"/>
        <v>49999</v>
      </c>
      <c r="K19" s="1081" t="s">
        <v>354</v>
      </c>
      <c r="L19" s="1082">
        <f ca="1">Budget!EL$292</f>
        <v>50000</v>
      </c>
      <c r="M19" s="1083">
        <f ca="1">Budget!BR292</f>
        <v>0</v>
      </c>
      <c r="N19" s="88">
        <f t="shared" ca="1" si="1"/>
        <v>50000</v>
      </c>
      <c r="O19" s="1082">
        <f ca="1">Budget!EM$292</f>
        <v>0</v>
      </c>
      <c r="P19" s="1083">
        <f ca="1">Budget!BS292</f>
        <v>0</v>
      </c>
      <c r="Q19" s="88">
        <f t="shared" ca="1" si="2"/>
        <v>0</v>
      </c>
      <c r="R19" s="1082">
        <f ca="1">Budget!EN$292</f>
        <v>0</v>
      </c>
      <c r="S19" s="1083">
        <f ca="1">Budget!BT292</f>
        <v>0</v>
      </c>
      <c r="T19" s="1087">
        <f t="shared" ca="1" si="3"/>
        <v>0</v>
      </c>
      <c r="U19" s="1082">
        <f ca="1">Budget!EO$292</f>
        <v>0</v>
      </c>
      <c r="V19" s="1083">
        <f ca="1">Budget!BU292</f>
        <v>0</v>
      </c>
      <c r="W19" s="88">
        <f t="shared" ca="1" si="4"/>
        <v>0</v>
      </c>
      <c r="X19" s="1082">
        <f ca="1">Budget!EP$292</f>
        <v>0</v>
      </c>
      <c r="Y19" s="1083">
        <f ca="1">Budget!BV292</f>
        <v>0</v>
      </c>
      <c r="Z19" s="88">
        <f t="shared" ca="1" si="5"/>
        <v>0</v>
      </c>
      <c r="AA19" s="1082">
        <f ca="1">Budget!EQ$292</f>
        <v>0</v>
      </c>
      <c r="AB19" s="1083">
        <f ca="1">Budget!BW292</f>
        <v>0</v>
      </c>
      <c r="AC19" s="1087">
        <f t="shared" ca="1" si="6"/>
        <v>0</v>
      </c>
      <c r="AD19" s="1088">
        <f t="shared" ca="1" si="7"/>
        <v>50000</v>
      </c>
      <c r="AE19" s="1089">
        <f t="shared" ca="1" si="8"/>
        <v>0</v>
      </c>
      <c r="AF19" s="164">
        <f t="shared" ca="1" si="9"/>
        <v>50000</v>
      </c>
    </row>
    <row r="20" spans="1:32" ht="13.5" thickBot="1" x14ac:dyDescent="0.25">
      <c r="A20" s="1063" t="s">
        <v>373</v>
      </c>
      <c r="B20" s="1068">
        <f ca="1">Budget!EL$293</f>
        <v>0</v>
      </c>
      <c r="C20" s="1068">
        <f ca="1">Budget!EM$293</f>
        <v>0</v>
      </c>
      <c r="D20" s="1068">
        <f ca="1">Budget!EN$293</f>
        <v>0</v>
      </c>
      <c r="E20" s="1068">
        <f ca="1">Budget!EO$293</f>
        <v>0</v>
      </c>
      <c r="F20" s="1068">
        <f ca="1">Budget!EP$293</f>
        <v>0</v>
      </c>
      <c r="G20" s="1068">
        <f ca="1">Budget!EQ$293</f>
        <v>0</v>
      </c>
      <c r="H20" s="1025">
        <f t="shared" ca="1" si="0"/>
        <v>0</v>
      </c>
      <c r="K20" s="1033" t="s">
        <v>373</v>
      </c>
      <c r="L20" s="1034">
        <f ca="1">Budget!EL$293</f>
        <v>0</v>
      </c>
      <c r="M20" s="321">
        <f ca="1">Budget!BR293</f>
        <v>0</v>
      </c>
      <c r="N20" s="577">
        <f t="shared" ca="1" si="1"/>
        <v>0</v>
      </c>
      <c r="O20" s="1034">
        <f ca="1">Budget!EM$293</f>
        <v>0</v>
      </c>
      <c r="P20" s="321">
        <f ca="1">Budget!BS293</f>
        <v>0</v>
      </c>
      <c r="Q20" s="577">
        <f t="shared" ca="1" si="2"/>
        <v>0</v>
      </c>
      <c r="R20" s="1034">
        <f ca="1">Budget!EN$293</f>
        <v>0</v>
      </c>
      <c r="S20" s="321">
        <f ca="1">Budget!BT293</f>
        <v>0</v>
      </c>
      <c r="T20" s="630">
        <f t="shared" ca="1" si="3"/>
        <v>0</v>
      </c>
      <c r="U20" s="1034">
        <f ca="1">Budget!EO$293</f>
        <v>0</v>
      </c>
      <c r="V20" s="321">
        <f ca="1">Budget!BU293</f>
        <v>0</v>
      </c>
      <c r="W20" s="577">
        <f t="shared" ca="1" si="4"/>
        <v>0</v>
      </c>
      <c r="X20" s="1034">
        <f ca="1">Budget!EP$293</f>
        <v>0</v>
      </c>
      <c r="Y20" s="321">
        <f ca="1">Budget!BV293</f>
        <v>0</v>
      </c>
      <c r="Z20" s="577">
        <f t="shared" ca="1" si="5"/>
        <v>0</v>
      </c>
      <c r="AA20" s="1034">
        <f ca="1">Budget!EQ$293</f>
        <v>0</v>
      </c>
      <c r="AB20" s="321">
        <f ca="1">Budget!BW293</f>
        <v>0</v>
      </c>
      <c r="AC20" s="630">
        <f t="shared" ca="1" si="6"/>
        <v>0</v>
      </c>
      <c r="AD20" s="1071">
        <f t="shared" ca="1" si="7"/>
        <v>0</v>
      </c>
      <c r="AE20" s="1079">
        <f t="shared" ca="1" si="8"/>
        <v>0</v>
      </c>
      <c r="AF20" s="1072">
        <f t="shared" ca="1" si="9"/>
        <v>0</v>
      </c>
    </row>
    <row r="21" spans="1:32" ht="13.5" thickBot="1" x14ac:dyDescent="0.25">
      <c r="A21" s="1026" t="s">
        <v>259</v>
      </c>
      <c r="B21" s="1027">
        <f t="shared" ref="B21:H21" ca="1" si="10">B18+B20</f>
        <v>49999</v>
      </c>
      <c r="C21" s="1027">
        <f t="shared" ca="1" si="10"/>
        <v>0</v>
      </c>
      <c r="D21" s="1027">
        <f t="shared" ca="1" si="10"/>
        <v>0</v>
      </c>
      <c r="E21" s="1027">
        <f t="shared" ca="1" si="10"/>
        <v>0</v>
      </c>
      <c r="F21" s="1027">
        <f t="shared" ca="1" si="10"/>
        <v>0</v>
      </c>
      <c r="G21" s="1027">
        <f t="shared" ca="1" si="10"/>
        <v>0</v>
      </c>
      <c r="H21" s="1028">
        <f t="shared" ca="1" si="10"/>
        <v>49999</v>
      </c>
      <c r="K21" s="1035" t="s">
        <v>259</v>
      </c>
      <c r="L21" s="1036">
        <f ca="1">Budget!EL$295</f>
        <v>50000</v>
      </c>
      <c r="M21" s="1037">
        <f ca="1">Budget!BR295</f>
        <v>0</v>
      </c>
      <c r="N21" s="631">
        <f t="shared" ca="1" si="1"/>
        <v>50000</v>
      </c>
      <c r="O21" s="1036">
        <f ca="1">Budget!EM$295</f>
        <v>0</v>
      </c>
      <c r="P21" s="1037">
        <f ca="1">Budget!BS295</f>
        <v>0</v>
      </c>
      <c r="Q21" s="631">
        <f t="shared" ca="1" si="2"/>
        <v>0</v>
      </c>
      <c r="R21" s="1036">
        <f ca="1">Budget!EN$295</f>
        <v>0</v>
      </c>
      <c r="S21" s="1037">
        <f ca="1">Budget!BT295</f>
        <v>0</v>
      </c>
      <c r="T21" s="632">
        <f t="shared" ca="1" si="3"/>
        <v>0</v>
      </c>
      <c r="U21" s="1036">
        <f ca="1">Budget!EO$295</f>
        <v>0</v>
      </c>
      <c r="V21" s="1037">
        <f ca="1">Budget!BU295</f>
        <v>0</v>
      </c>
      <c r="W21" s="631">
        <f t="shared" ca="1" si="4"/>
        <v>0</v>
      </c>
      <c r="X21" s="1036">
        <f ca="1">Budget!EP$295</f>
        <v>0</v>
      </c>
      <c r="Y21" s="1037">
        <f ca="1">Budget!BV295</f>
        <v>0</v>
      </c>
      <c r="Z21" s="631">
        <f t="shared" ca="1" si="5"/>
        <v>0</v>
      </c>
      <c r="AA21" s="1036">
        <f ca="1">Budget!EQ$295</f>
        <v>0</v>
      </c>
      <c r="AB21" s="1037">
        <f ca="1">Budget!BW295</f>
        <v>0</v>
      </c>
      <c r="AC21" s="632">
        <f t="shared" ca="1" si="6"/>
        <v>0</v>
      </c>
      <c r="AD21" s="1084">
        <f t="shared" ca="1" si="7"/>
        <v>50000</v>
      </c>
      <c r="AE21" s="1085">
        <f t="shared" ca="1" si="8"/>
        <v>0</v>
      </c>
      <c r="AF21" s="1086">
        <f t="shared" ca="1" si="9"/>
        <v>50000</v>
      </c>
    </row>
    <row r="22" spans="1:32" x14ac:dyDescent="0.2">
      <c r="H22" s="2314"/>
      <c r="L22" s="1150" t="s">
        <v>476</v>
      </c>
    </row>
    <row r="23" spans="1:32" x14ac:dyDescent="0.2">
      <c r="K23" s="2375" t="s">
        <v>700</v>
      </c>
      <c r="N23" s="2373">
        <f ca="1">IFERROR(M21/N21,"")</f>
        <v>0</v>
      </c>
      <c r="Q23" s="2373" t="str">
        <f ca="1">IFERROR(P21/Q21,"")</f>
        <v/>
      </c>
      <c r="T23" s="2373" t="str">
        <f ca="1">IFERROR(S21/T21,"")</f>
        <v/>
      </c>
      <c r="W23" s="2373" t="str">
        <f ca="1">IFERROR(V21/W21,"")</f>
        <v/>
      </c>
      <c r="Z23" s="2373" t="str">
        <f ca="1">IFERROR(Y21/Z21,"")</f>
        <v/>
      </c>
      <c r="AC23" s="2373" t="str">
        <f ca="1">IFERROR(AB21/AC21,"")</f>
        <v/>
      </c>
      <c r="AF23" s="2374">
        <f ca="1">IFERROR(AE21/AF21,"")</f>
        <v>0</v>
      </c>
    </row>
    <row r="24" spans="1:32" ht="15.75" hidden="1" customHeight="1" x14ac:dyDescent="0.25">
      <c r="A24" s="1069" t="s">
        <v>465</v>
      </c>
      <c r="B24" s="4"/>
      <c r="C24" s="4"/>
      <c r="D24" s="4"/>
      <c r="E24" s="4"/>
      <c r="F24" s="4"/>
      <c r="G24" s="4"/>
      <c r="H24" s="988" t="s">
        <v>139</v>
      </c>
      <c r="I24" s="2454" t="s">
        <v>102</v>
      </c>
    </row>
    <row r="25" spans="1:32" ht="13.5" hidden="1" thickBot="1" x14ac:dyDescent="0.25">
      <c r="A25" s="1017" t="s">
        <v>265</v>
      </c>
      <c r="B25" s="1046" t="str">
        <f>Budget!N$12</f>
        <v>Period 1</v>
      </c>
      <c r="C25" s="1046" t="str">
        <f>Budget!O$12</f>
        <v>Period 2</v>
      </c>
      <c r="D25" s="1046" t="str">
        <f>Budget!P$12</f>
        <v>Period 3</v>
      </c>
      <c r="E25" s="1046" t="str">
        <f>Budget!Q$12</f>
        <v>Period 4</v>
      </c>
      <c r="F25" s="1046" t="str">
        <f>Budget!R$12</f>
        <v>Period 5</v>
      </c>
      <c r="G25" s="1047" t="str">
        <f>Budget!S$12</f>
        <v>Period 6</v>
      </c>
      <c r="H25" s="2475"/>
      <c r="I25" s="2455"/>
      <c r="K25" s="2472" t="s">
        <v>464</v>
      </c>
      <c r="L25" s="2473"/>
      <c r="M25" s="2473"/>
      <c r="N25" s="2474"/>
    </row>
    <row r="26" spans="1:32" hidden="1" x14ac:dyDescent="0.2">
      <c r="A26" s="1019" t="s">
        <v>221</v>
      </c>
      <c r="B26" s="1020">
        <f ca="1">Budget!BR$84</f>
        <v>0</v>
      </c>
      <c r="C26" s="1020">
        <f ca="1">Budget!BS$84</f>
        <v>0</v>
      </c>
      <c r="D26" s="1020">
        <f ca="1">Budget!BT$84</f>
        <v>0</v>
      </c>
      <c r="E26" s="1020">
        <f ca="1">Budget!BU$84</f>
        <v>0</v>
      </c>
      <c r="F26" s="1020">
        <f ca="1">Budget!BV$84</f>
        <v>0</v>
      </c>
      <c r="G26" s="1020">
        <f ca="1">Budget!BW$84</f>
        <v>0</v>
      </c>
      <c r="H26" s="1048">
        <f t="shared" ref="H26:H36" ca="1" si="11">SUM(B26:G26)</f>
        <v>0</v>
      </c>
      <c r="I26" s="1052">
        <f t="shared" ref="I26:I36" ca="1" si="12">H10+H26</f>
        <v>33032</v>
      </c>
      <c r="K26" s="1571" t="s">
        <v>307</v>
      </c>
      <c r="L26" s="1096" t="s">
        <v>311</v>
      </c>
      <c r="M26" s="1022" t="s">
        <v>406</v>
      </c>
      <c r="N26" s="1096" t="s">
        <v>407</v>
      </c>
    </row>
    <row r="27" spans="1:32" hidden="1" x14ac:dyDescent="0.2">
      <c r="A27" s="1022" t="s">
        <v>136</v>
      </c>
      <c r="B27" s="1023">
        <f ca="1">Budget!BR$155</f>
        <v>0</v>
      </c>
      <c r="C27" s="1023">
        <f ca="1">Budget!BS$155</f>
        <v>0</v>
      </c>
      <c r="D27" s="1023">
        <f ca="1">Budget!BT$155</f>
        <v>0</v>
      </c>
      <c r="E27" s="1023">
        <f ca="1">Budget!BU$155</f>
        <v>0</v>
      </c>
      <c r="F27" s="1023">
        <f ca="1">Budget!BV$155</f>
        <v>0</v>
      </c>
      <c r="G27" s="1023">
        <f ca="1">Budget!BW$155</f>
        <v>0</v>
      </c>
      <c r="H27" s="1049">
        <f t="shared" ca="1" si="11"/>
        <v>0</v>
      </c>
      <c r="I27" s="1053">
        <f t="shared" ca="1" si="12"/>
        <v>13578</v>
      </c>
      <c r="K27" s="1572" t="str">
        <f>Budget!$J$304</f>
        <v/>
      </c>
      <c r="L27" s="1090">
        <f ca="1">Budget!$K$304</f>
        <v>0</v>
      </c>
      <c r="M27" s="1038">
        <f ca="1">Budget!$L$304</f>
        <v>0</v>
      </c>
      <c r="N27" s="1038">
        <f ca="1">Budget!$M$304</f>
        <v>0</v>
      </c>
    </row>
    <row r="28" spans="1:32" hidden="1" x14ac:dyDescent="0.2">
      <c r="A28" s="1022" t="s">
        <v>146</v>
      </c>
      <c r="B28" s="1023">
        <f>Budget!BR$165</f>
        <v>0</v>
      </c>
      <c r="C28" s="1023">
        <f>Budget!BS$165</f>
        <v>0</v>
      </c>
      <c r="D28" s="1023">
        <f>Budget!BT$165</f>
        <v>0</v>
      </c>
      <c r="E28" s="1023">
        <f>Budget!BU$165</f>
        <v>0</v>
      </c>
      <c r="F28" s="1023">
        <f>Budget!BV$165</f>
        <v>0</v>
      </c>
      <c r="G28" s="1023">
        <f>Budget!BW$165</f>
        <v>0</v>
      </c>
      <c r="H28" s="1049">
        <f t="shared" si="11"/>
        <v>0</v>
      </c>
      <c r="I28" s="1053">
        <f t="shared" si="12"/>
        <v>0</v>
      </c>
      <c r="K28" s="1573" t="str">
        <f>Budget!$J$305</f>
        <v/>
      </c>
      <c r="L28" s="1091">
        <f ca="1">Budget!$K$305</f>
        <v>0</v>
      </c>
      <c r="M28" s="1039">
        <f ca="1">Budget!$L$305</f>
        <v>0</v>
      </c>
      <c r="N28" s="1039">
        <f ca="1">Budget!$M$305</f>
        <v>0</v>
      </c>
    </row>
    <row r="29" spans="1:32" hidden="1" x14ac:dyDescent="0.2">
      <c r="A29" s="1022" t="s">
        <v>12</v>
      </c>
      <c r="B29" s="1023">
        <f>Budget!BR$170</f>
        <v>0</v>
      </c>
      <c r="C29" s="1023">
        <f>Budget!BS$170</f>
        <v>0</v>
      </c>
      <c r="D29" s="1023">
        <f>Budget!BT$170</f>
        <v>0</v>
      </c>
      <c r="E29" s="1023">
        <f>Budget!BU$170</f>
        <v>0</v>
      </c>
      <c r="F29" s="1023">
        <f>Budget!BV$170</f>
        <v>0</v>
      </c>
      <c r="G29" s="1023">
        <f>Budget!BW$170</f>
        <v>0</v>
      </c>
      <c r="H29" s="1049">
        <f t="shared" si="11"/>
        <v>0</v>
      </c>
      <c r="I29" s="1053">
        <f t="shared" ca="1" si="12"/>
        <v>2490</v>
      </c>
      <c r="K29" s="1574" t="str">
        <f>Budget!$J$306</f>
        <v/>
      </c>
      <c r="L29" s="1092">
        <f ca="1">Budget!$K$306</f>
        <v>0</v>
      </c>
      <c r="M29" s="1040">
        <f ca="1">Budget!$L$306</f>
        <v>0</v>
      </c>
      <c r="N29" s="1040">
        <f ca="1">Budget!$M$306</f>
        <v>0</v>
      </c>
    </row>
    <row r="30" spans="1:32" hidden="1" x14ac:dyDescent="0.2">
      <c r="A30" s="1022" t="s">
        <v>159</v>
      </c>
      <c r="B30" s="1023">
        <f>Budget!BR$177</f>
        <v>0</v>
      </c>
      <c r="C30" s="1023">
        <f>Budget!BS$177</f>
        <v>0</v>
      </c>
      <c r="D30" s="1023">
        <f>Budget!BT$177</f>
        <v>0</v>
      </c>
      <c r="E30" s="1023">
        <f>Budget!BU$177</f>
        <v>0</v>
      </c>
      <c r="F30" s="1023">
        <f>Budget!BV$177</f>
        <v>0</v>
      </c>
      <c r="G30" s="1023">
        <f>Budget!BW$177</f>
        <v>0</v>
      </c>
      <c r="H30" s="1049">
        <f t="shared" si="11"/>
        <v>0</v>
      </c>
      <c r="I30" s="1053">
        <f t="shared" si="12"/>
        <v>0</v>
      </c>
      <c r="K30" s="1575" t="str">
        <f>Budget!$J$307</f>
        <v/>
      </c>
      <c r="L30" s="56">
        <f ca="1">Budget!$K$307</f>
        <v>0</v>
      </c>
      <c r="M30" s="1041">
        <f ca="1">Budget!$L$307</f>
        <v>0</v>
      </c>
      <c r="N30" s="1041">
        <f ca="1">Budget!$M$307</f>
        <v>0</v>
      </c>
    </row>
    <row r="31" spans="1:32" hidden="1" x14ac:dyDescent="0.2">
      <c r="A31" s="1022" t="s">
        <v>260</v>
      </c>
      <c r="B31" s="1023">
        <f>Budget!BR$214</f>
        <v>0</v>
      </c>
      <c r="C31" s="1023">
        <f>Budget!BS$214</f>
        <v>0</v>
      </c>
      <c r="D31" s="1023">
        <f>Budget!BT$214</f>
        <v>0</v>
      </c>
      <c r="E31" s="1023">
        <f>Budget!BU$214</f>
        <v>0</v>
      </c>
      <c r="F31" s="1023">
        <f>Budget!BV$214</f>
        <v>0</v>
      </c>
      <c r="G31" s="1023">
        <f>Budget!BW$214</f>
        <v>0</v>
      </c>
      <c r="H31" s="1049">
        <f t="shared" si="11"/>
        <v>0</v>
      </c>
      <c r="I31" s="1053">
        <f t="shared" si="12"/>
        <v>0</v>
      </c>
      <c r="K31" s="1576" t="str">
        <f>Budget!$J$308</f>
        <v/>
      </c>
      <c r="L31" s="55">
        <f ca="1">Budget!$K$308</f>
        <v>0</v>
      </c>
      <c r="M31" s="1042">
        <f ca="1">Budget!$L$308</f>
        <v>0</v>
      </c>
      <c r="N31" s="1042">
        <f ca="1">Budget!$M$308</f>
        <v>0</v>
      </c>
    </row>
    <row r="32" spans="1:32" hidden="1" x14ac:dyDescent="0.2">
      <c r="A32" s="1022" t="s">
        <v>261</v>
      </c>
      <c r="B32" s="1023">
        <f>Budget!BR$285</f>
        <v>0</v>
      </c>
      <c r="C32" s="1023">
        <f>Budget!BS$285</f>
        <v>0</v>
      </c>
      <c r="D32" s="1023">
        <f>Budget!BT$285</f>
        <v>0</v>
      </c>
      <c r="E32" s="1023">
        <f>Budget!BU$285</f>
        <v>0</v>
      </c>
      <c r="F32" s="1023">
        <f>Budget!BV$285</f>
        <v>0</v>
      </c>
      <c r="G32" s="1023">
        <f>Budget!BW$285</f>
        <v>0</v>
      </c>
      <c r="H32" s="1049">
        <f t="shared" si="11"/>
        <v>0</v>
      </c>
      <c r="I32" s="1053">
        <f t="shared" ca="1" si="12"/>
        <v>-1</v>
      </c>
      <c r="K32" s="1577" t="str">
        <f>Budget!$J$309</f>
        <v/>
      </c>
      <c r="L32" s="52">
        <f ca="1">Budget!$K$309</f>
        <v>0</v>
      </c>
      <c r="M32" s="1043">
        <f ca="1">Budget!$L$309</f>
        <v>0</v>
      </c>
      <c r="N32" s="1043">
        <f ca="1">Budget!$M$309</f>
        <v>0</v>
      </c>
    </row>
    <row r="33" spans="1:17" ht="13.5" hidden="1" thickBot="1" x14ac:dyDescent="0.25">
      <c r="A33" s="1063" t="s">
        <v>39</v>
      </c>
      <c r="B33" s="1064">
        <f>SUM(Budget!BR$180:BR$183,Budget!BR$215:BR$224)</f>
        <v>0</v>
      </c>
      <c r="C33" s="1064">
        <f>SUM(Budget!BS$180:BS$183,Budget!BS$215:BS$224)</f>
        <v>0</v>
      </c>
      <c r="D33" s="1064">
        <f>SUM(Budget!BT$180:BT$183,Budget!BT$215:BT$224)</f>
        <v>0</v>
      </c>
      <c r="E33" s="1064">
        <f>SUM(Budget!BU$180:BU$183,Budget!BU$215:BU$224)</f>
        <v>0</v>
      </c>
      <c r="F33" s="1064">
        <f>SUM(Budget!BV$180:BV$183,Budget!BV$215:BV$224)</f>
        <v>0</v>
      </c>
      <c r="G33" s="1064">
        <f>SUM(Budget!BW$180:BW$183,Budget!BW$215:BW$224)</f>
        <v>0</v>
      </c>
      <c r="H33" s="1055">
        <f t="shared" si="11"/>
        <v>0</v>
      </c>
      <c r="I33" s="1056">
        <f t="shared" ca="1" si="12"/>
        <v>900</v>
      </c>
      <c r="K33" s="1570" t="str">
        <f>Budget!$J$310</f>
        <v>OSU Unrecovered F&amp;A</v>
      </c>
      <c r="L33" s="1568">
        <f>Budget!$K$310</f>
        <v>0</v>
      </c>
      <c r="M33" s="1569">
        <f ca="1">Budget!$L$310</f>
        <v>0</v>
      </c>
      <c r="N33" s="1569">
        <f ca="1">Budget!$M$310</f>
        <v>0</v>
      </c>
    </row>
    <row r="34" spans="1:17" hidden="1" x14ac:dyDescent="0.2">
      <c r="A34" s="1026" t="s">
        <v>226</v>
      </c>
      <c r="B34" s="1027">
        <f ca="1">Budget!BR$290</f>
        <v>0</v>
      </c>
      <c r="C34" s="1027">
        <f ca="1">Budget!BS$290</f>
        <v>0</v>
      </c>
      <c r="D34" s="1027">
        <f ca="1">Budget!BT$290</f>
        <v>0</v>
      </c>
      <c r="E34" s="1027">
        <f ca="1">Budget!BU$290</f>
        <v>0</v>
      </c>
      <c r="F34" s="1027">
        <f ca="1">Budget!BV$290</f>
        <v>0</v>
      </c>
      <c r="G34" s="1027">
        <f ca="1">Budget!BW$290</f>
        <v>0</v>
      </c>
      <c r="H34" s="1051">
        <f t="shared" ca="1" si="11"/>
        <v>0</v>
      </c>
      <c r="I34" s="1065">
        <f t="shared" ca="1" si="12"/>
        <v>49999</v>
      </c>
      <c r="K34" s="1044" t="s">
        <v>139</v>
      </c>
      <c r="L34" s="1093">
        <f ca="1">SUM(L27:L33)</f>
        <v>0</v>
      </c>
      <c r="M34" s="1045">
        <f ca="1">SUM(M27:M33)</f>
        <v>0</v>
      </c>
      <c r="N34" s="1045">
        <f ca="1">SUM(N27:N33)</f>
        <v>0</v>
      </c>
    </row>
    <row r="35" spans="1:17" hidden="1" x14ac:dyDescent="0.2">
      <c r="A35" s="1057" t="s">
        <v>354</v>
      </c>
      <c r="B35" s="1058">
        <f ca="1">Budget!BR$292</f>
        <v>0</v>
      </c>
      <c r="C35" s="1058">
        <f ca="1">Budget!BS$292</f>
        <v>0</v>
      </c>
      <c r="D35" s="1058">
        <f ca="1">Budget!BT$292</f>
        <v>0</v>
      </c>
      <c r="E35" s="1058">
        <f ca="1">Budget!BU$292</f>
        <v>0</v>
      </c>
      <c r="F35" s="1058">
        <f ca="1">Budget!BV$292</f>
        <v>0</v>
      </c>
      <c r="G35" s="1058">
        <f ca="1">Budget!BW$292</f>
        <v>0</v>
      </c>
      <c r="H35" s="1060">
        <f t="shared" ca="1" si="11"/>
        <v>0</v>
      </c>
      <c r="I35" s="1061">
        <f t="shared" ca="1" si="12"/>
        <v>49999</v>
      </c>
    </row>
    <row r="36" spans="1:17" ht="13.5" hidden="1" thickBot="1" x14ac:dyDescent="0.25">
      <c r="A36" s="1063" t="s">
        <v>373</v>
      </c>
      <c r="B36" s="1068">
        <f ca="1">Budget!BR$293</f>
        <v>0</v>
      </c>
      <c r="C36" s="1068">
        <f ca="1">Budget!BS$293</f>
        <v>0</v>
      </c>
      <c r="D36" s="1068">
        <f ca="1">Budget!BT$293</f>
        <v>0</v>
      </c>
      <c r="E36" s="1068">
        <f ca="1">Budget!BU$293</f>
        <v>0</v>
      </c>
      <c r="F36" s="1068">
        <f ca="1">Budget!BV$293</f>
        <v>0</v>
      </c>
      <c r="G36" s="1068">
        <f ca="1">Budget!BW$293</f>
        <v>0</v>
      </c>
      <c r="H36" s="1050">
        <f t="shared" ca="1" si="11"/>
        <v>0</v>
      </c>
      <c r="I36" s="1062">
        <f t="shared" ca="1" si="12"/>
        <v>0</v>
      </c>
      <c r="K36" s="1094" t="s">
        <v>394</v>
      </c>
      <c r="L36" s="1032">
        <f>Budget!$C$8</f>
        <v>0</v>
      </c>
      <c r="O36" s="1480"/>
      <c r="P36" s="1480"/>
      <c r="Q36" s="256"/>
    </row>
    <row r="37" spans="1:17" hidden="1" x14ac:dyDescent="0.2">
      <c r="A37" s="1026" t="s">
        <v>259</v>
      </c>
      <c r="B37" s="1027">
        <f t="shared" ref="B37:I37" ca="1" si="13">B34+B36</f>
        <v>0</v>
      </c>
      <c r="C37" s="1027">
        <f t="shared" ca="1" si="13"/>
        <v>0</v>
      </c>
      <c r="D37" s="1027">
        <f t="shared" ca="1" si="13"/>
        <v>0</v>
      </c>
      <c r="E37" s="1027">
        <f t="shared" ca="1" si="13"/>
        <v>0</v>
      </c>
      <c r="F37" s="1027">
        <f t="shared" ca="1" si="13"/>
        <v>0</v>
      </c>
      <c r="G37" s="1027">
        <f t="shared" ca="1" si="13"/>
        <v>0</v>
      </c>
      <c r="H37" s="1051">
        <f t="shared" ca="1" si="13"/>
        <v>0</v>
      </c>
      <c r="I37" s="1054">
        <f t="shared" ca="1" si="13"/>
        <v>49999</v>
      </c>
      <c r="K37" s="1095" t="s">
        <v>463</v>
      </c>
      <c r="L37" s="2940">
        <f>Budget!$C$9</f>
        <v>0</v>
      </c>
      <c r="O37" s="1480"/>
      <c r="P37" s="1480"/>
      <c r="Q37" s="256"/>
    </row>
    <row r="38" spans="1:17" x14ac:dyDescent="0.2">
      <c r="K38" s="1480"/>
      <c r="L38" s="1480"/>
      <c r="M38" s="1480"/>
      <c r="N38" s="1480"/>
      <c r="O38" s="1480"/>
      <c r="P38" s="1480"/>
      <c r="Q38" s="256"/>
    </row>
    <row r="40" spans="1:17" ht="15.75" hidden="1" x14ac:dyDescent="0.25">
      <c r="A40" s="1069" t="s">
        <v>488</v>
      </c>
    </row>
    <row r="41" spans="1:17" hidden="1" x14ac:dyDescent="0.2">
      <c r="B41" s="1567" t="str">
        <f>Budget!N$12</f>
        <v>Period 1</v>
      </c>
      <c r="C41" s="1567" t="str">
        <f>Budget!O$12</f>
        <v>Period 2</v>
      </c>
      <c r="D41" s="1567" t="str">
        <f>Budget!P$12</f>
        <v>Period 3</v>
      </c>
      <c r="E41" s="1567" t="str">
        <f>Budget!Q$12</f>
        <v>Period 4</v>
      </c>
      <c r="F41" s="1567" t="str">
        <f>Budget!R$12</f>
        <v>Period 5</v>
      </c>
      <c r="G41" s="1567" t="str">
        <f>Budget!S$12</f>
        <v>Period 6</v>
      </c>
      <c r="H41" s="1030" t="s">
        <v>3</v>
      </c>
      <c r="I41" s="1" t="s">
        <v>729</v>
      </c>
    </row>
    <row r="42" spans="1:17" hidden="1" x14ac:dyDescent="0.2">
      <c r="A42" s="1029">
        <f ca="1">OFFSET(Budget!$B$184,(ROW()-ROW($A$42))*3,0)</f>
        <v>0</v>
      </c>
      <c r="B42" s="5">
        <f ca="1">OFFSET(Budget!EL$186,(ROW()-ROW(A$42))*3,0)</f>
        <v>0</v>
      </c>
      <c r="C42" s="5">
        <f ca="1">OFFSET(Budget!EM$186,(ROW()-ROW(B$42))*3,0)</f>
        <v>0</v>
      </c>
      <c r="D42" s="5">
        <f ca="1">OFFSET(Budget!EN$186,(ROW()-ROW(C$42))*3,0)</f>
        <v>0</v>
      </c>
      <c r="E42" s="5">
        <f ca="1">OFFSET(Budget!EO$186,(ROW()-ROW(D$42))*3,0)</f>
        <v>0</v>
      </c>
      <c r="F42" s="5">
        <f ca="1">OFFSET(Budget!EP$186,(ROW()-ROW(E$42))*3,0)</f>
        <v>0</v>
      </c>
      <c r="G42" s="5">
        <f ca="1">OFFSET(Budget!EQ$186,(ROW()-ROW(F$42))*3,0)</f>
        <v>0</v>
      </c>
      <c r="H42" s="1031">
        <f t="shared" ref="H42:H51" ca="1" si="14">SUM(B42:G42)</f>
        <v>0</v>
      </c>
      <c r="I42" s="2431">
        <f t="shared" ref="I42:I51" ca="1" si="15">IFERROR(H42/$H$21,"")</f>
        <v>0</v>
      </c>
    </row>
    <row r="43" spans="1:17" hidden="1" x14ac:dyDescent="0.2">
      <c r="A43" s="1029">
        <f ca="1">OFFSET(Budget!$B$184,(ROW()-ROW($A$42))*3,0)</f>
        <v>0</v>
      </c>
      <c r="B43" s="5">
        <f ca="1">OFFSET(Budget!EL$186,(ROW()-ROW(A$42))*3,0)</f>
        <v>0</v>
      </c>
      <c r="C43" s="5">
        <f ca="1">OFFSET(Budget!EM$186,(ROW()-ROW(B$42))*3,0)</f>
        <v>0</v>
      </c>
      <c r="D43" s="5">
        <f ca="1">OFFSET(Budget!EN$186,(ROW()-ROW(C$42))*3,0)</f>
        <v>0</v>
      </c>
      <c r="E43" s="5">
        <f ca="1">OFFSET(Budget!EO$186,(ROW()-ROW(D$42))*3,0)</f>
        <v>0</v>
      </c>
      <c r="F43" s="5">
        <f ca="1">OFFSET(Budget!EP$186,(ROW()-ROW(E$42))*3,0)</f>
        <v>0</v>
      </c>
      <c r="G43" s="5">
        <f ca="1">OFFSET(Budget!EQ$186,(ROW()-ROW(F$42))*3,0)</f>
        <v>0</v>
      </c>
      <c r="H43" s="1031">
        <f t="shared" ca="1" si="14"/>
        <v>0</v>
      </c>
      <c r="I43" s="2431">
        <f t="shared" ca="1" si="15"/>
        <v>0</v>
      </c>
    </row>
    <row r="44" spans="1:17" hidden="1" x14ac:dyDescent="0.2">
      <c r="A44" s="1029">
        <f ca="1">OFFSET(Budget!$B$184,(ROW()-ROW($A$42))*3,0)</f>
        <v>0</v>
      </c>
      <c r="B44" s="5">
        <f ca="1">OFFSET(Budget!EL$186,(ROW()-ROW(A$42))*3,0)</f>
        <v>0</v>
      </c>
      <c r="C44" s="5">
        <f ca="1">OFFSET(Budget!EM$186,(ROW()-ROW(B$42))*3,0)</f>
        <v>0</v>
      </c>
      <c r="D44" s="5">
        <f ca="1">OFFSET(Budget!EN$186,(ROW()-ROW(C$42))*3,0)</f>
        <v>0</v>
      </c>
      <c r="E44" s="5">
        <f ca="1">OFFSET(Budget!EO$186,(ROW()-ROW(D$42))*3,0)</f>
        <v>0</v>
      </c>
      <c r="F44" s="5">
        <f ca="1">OFFSET(Budget!EP$186,(ROW()-ROW(E$42))*3,0)</f>
        <v>0</v>
      </c>
      <c r="G44" s="5">
        <f ca="1">OFFSET(Budget!EQ$186,(ROW()-ROW(F$42))*3,0)</f>
        <v>0</v>
      </c>
      <c r="H44" s="1031">
        <f t="shared" ca="1" si="14"/>
        <v>0</v>
      </c>
      <c r="I44" s="2431">
        <f t="shared" ca="1" si="15"/>
        <v>0</v>
      </c>
    </row>
    <row r="45" spans="1:17" hidden="1" x14ac:dyDescent="0.2">
      <c r="A45" s="2426">
        <f ca="1">OFFSET(Budget!$B$184,(ROW()-ROW($A$42))*3,0)</f>
        <v>0</v>
      </c>
      <c r="B45" s="321">
        <f ca="1">OFFSET(Budget!EL$186,(ROW()-ROW(A$42))*3,0)</f>
        <v>0</v>
      </c>
      <c r="C45" s="321">
        <f ca="1">OFFSET(Budget!EM$186,(ROW()-ROW(B$42))*3,0)</f>
        <v>0</v>
      </c>
      <c r="D45" s="321">
        <f ca="1">OFFSET(Budget!EN$186,(ROW()-ROW(C$42))*3,0)</f>
        <v>0</v>
      </c>
      <c r="E45" s="321">
        <f ca="1">OFFSET(Budget!EO$186,(ROW()-ROW(D$42))*3,0)</f>
        <v>0</v>
      </c>
      <c r="F45" s="321">
        <f ca="1">OFFSET(Budget!EP$186,(ROW()-ROW(E$42))*3,0)</f>
        <v>0</v>
      </c>
      <c r="G45" s="321">
        <f ca="1">OFFSET(Budget!EQ$186,(ROW()-ROW(F$42))*3,0)</f>
        <v>0</v>
      </c>
      <c r="H45" s="2427">
        <f t="shared" ca="1" si="14"/>
        <v>0</v>
      </c>
      <c r="I45" s="2431">
        <f t="shared" ca="1" si="15"/>
        <v>0</v>
      </c>
    </row>
    <row r="46" spans="1:17" hidden="1" x14ac:dyDescent="0.2">
      <c r="A46" s="1029">
        <f ca="1">OFFSET(Budget!$B$184,(ROW()-ROW($A$42))*3,0)</f>
        <v>0</v>
      </c>
      <c r="B46" s="5">
        <f ca="1">OFFSET(Budget!EL$186,(ROW()-ROW(A$42))*3,0)</f>
        <v>0</v>
      </c>
      <c r="C46" s="5">
        <f ca="1">OFFSET(Budget!EM$186,(ROW()-ROW(B$42))*3,0)</f>
        <v>0</v>
      </c>
      <c r="D46" s="5">
        <f ca="1">OFFSET(Budget!EN$186,(ROW()-ROW(C$42))*3,0)</f>
        <v>0</v>
      </c>
      <c r="E46" s="5">
        <f ca="1">OFFSET(Budget!EO$186,(ROW()-ROW(D$42))*3,0)</f>
        <v>0</v>
      </c>
      <c r="F46" s="5">
        <f ca="1">OFFSET(Budget!EP$186,(ROW()-ROW(E$42))*3,0)</f>
        <v>0</v>
      </c>
      <c r="G46" s="5">
        <f ca="1">OFFSET(Budget!EQ$186,(ROW()-ROW(F$42))*3,0)</f>
        <v>0</v>
      </c>
      <c r="H46" s="1031">
        <f t="shared" ca="1" si="14"/>
        <v>0</v>
      </c>
      <c r="I46" s="2431">
        <f t="shared" ca="1" si="15"/>
        <v>0</v>
      </c>
    </row>
    <row r="47" spans="1:17" hidden="1" x14ac:dyDescent="0.2">
      <c r="A47" s="2426">
        <f ca="1">OFFSET(Budget!$B$184,(ROW()-ROW($A$42))*3,0)</f>
        <v>0</v>
      </c>
      <c r="B47" s="321">
        <f ca="1">OFFSET(Budget!EL$186,(ROW()-ROW(A$42))*3,0)</f>
        <v>0</v>
      </c>
      <c r="C47" s="321">
        <f ca="1">OFFSET(Budget!EM$186,(ROW()-ROW(B$42))*3,0)</f>
        <v>0</v>
      </c>
      <c r="D47" s="321">
        <f ca="1">OFFSET(Budget!EN$186,(ROW()-ROW(C$42))*3,0)</f>
        <v>0</v>
      </c>
      <c r="E47" s="321">
        <f ca="1">OFFSET(Budget!EO$186,(ROW()-ROW(D$42))*3,0)</f>
        <v>0</v>
      </c>
      <c r="F47" s="321">
        <f ca="1">OFFSET(Budget!EP$186,(ROW()-ROW(E$42))*3,0)</f>
        <v>0</v>
      </c>
      <c r="G47" s="321">
        <f ca="1">OFFSET(Budget!EQ$186,(ROW()-ROW(F$42))*3,0)</f>
        <v>0</v>
      </c>
      <c r="H47" s="2427">
        <f t="shared" ca="1" si="14"/>
        <v>0</v>
      </c>
      <c r="I47" s="2431">
        <f t="shared" ca="1" si="15"/>
        <v>0</v>
      </c>
    </row>
    <row r="48" spans="1:17" hidden="1" x14ac:dyDescent="0.2">
      <c r="A48" s="1029">
        <f ca="1">OFFSET(Budget!$B$184,(ROW()-ROW($A$42))*3,0)</f>
        <v>0</v>
      </c>
      <c r="B48" s="5">
        <f ca="1">OFFSET(Budget!EL$186,(ROW()-ROW(A$42))*3,0)</f>
        <v>0</v>
      </c>
      <c r="C48" s="5">
        <f ca="1">OFFSET(Budget!EM$186,(ROW()-ROW(B$42))*3,0)</f>
        <v>0</v>
      </c>
      <c r="D48" s="5">
        <f ca="1">OFFSET(Budget!EN$186,(ROW()-ROW(C$42))*3,0)</f>
        <v>0</v>
      </c>
      <c r="E48" s="5">
        <f ca="1">OFFSET(Budget!EO$186,(ROW()-ROW(D$42))*3,0)</f>
        <v>0</v>
      </c>
      <c r="F48" s="5">
        <f ca="1">OFFSET(Budget!EP$186,(ROW()-ROW(E$42))*3,0)</f>
        <v>0</v>
      </c>
      <c r="G48" s="5">
        <f ca="1">OFFSET(Budget!EQ$186,(ROW()-ROW(F$42))*3,0)</f>
        <v>0</v>
      </c>
      <c r="H48" s="1031">
        <f t="shared" ca="1" si="14"/>
        <v>0</v>
      </c>
      <c r="I48" s="2431">
        <f t="shared" ca="1" si="15"/>
        <v>0</v>
      </c>
    </row>
    <row r="49" spans="1:9" hidden="1" x14ac:dyDescent="0.2">
      <c r="A49" s="2426">
        <f ca="1">OFFSET(Budget!$B$184,(ROW()-ROW($A$42))*3,0)</f>
        <v>0</v>
      </c>
      <c r="B49" s="321">
        <f ca="1">OFFSET(Budget!EL$186,(ROW()-ROW(A$42))*3,0)</f>
        <v>0</v>
      </c>
      <c r="C49" s="321">
        <f ca="1">OFFSET(Budget!EM$186,(ROW()-ROW(B$42))*3,0)</f>
        <v>0</v>
      </c>
      <c r="D49" s="321">
        <f ca="1">OFFSET(Budget!EN$186,(ROW()-ROW(C$42))*3,0)</f>
        <v>0</v>
      </c>
      <c r="E49" s="321">
        <f ca="1">OFFSET(Budget!EO$186,(ROW()-ROW(D$42))*3,0)</f>
        <v>0</v>
      </c>
      <c r="F49" s="321">
        <f ca="1">OFFSET(Budget!EP$186,(ROW()-ROW(E$42))*3,0)</f>
        <v>0</v>
      </c>
      <c r="G49" s="321">
        <f ca="1">OFFSET(Budget!EQ$186,(ROW()-ROW(F$42))*3,0)</f>
        <v>0</v>
      </c>
      <c r="H49" s="2427">
        <f t="shared" ca="1" si="14"/>
        <v>0</v>
      </c>
      <c r="I49" s="2431">
        <f t="shared" ca="1" si="15"/>
        <v>0</v>
      </c>
    </row>
    <row r="50" spans="1:9" hidden="1" x14ac:dyDescent="0.2">
      <c r="A50" s="1029">
        <f ca="1">OFFSET(Budget!$B$184,(ROW()-ROW($A$42))*3,0)</f>
        <v>0</v>
      </c>
      <c r="B50" s="5">
        <f ca="1">OFFSET(Budget!EL$186,(ROW()-ROW(A$42))*3,0)</f>
        <v>0</v>
      </c>
      <c r="C50" s="5">
        <f ca="1">OFFSET(Budget!EM$186,(ROW()-ROW(B$42))*3,0)</f>
        <v>0</v>
      </c>
      <c r="D50" s="5">
        <f ca="1">OFFSET(Budget!EN$186,(ROW()-ROW(C$42))*3,0)</f>
        <v>0</v>
      </c>
      <c r="E50" s="5">
        <f ca="1">OFFSET(Budget!EO$186,(ROW()-ROW(D$42))*3,0)</f>
        <v>0</v>
      </c>
      <c r="F50" s="5">
        <f ca="1">OFFSET(Budget!EP$186,(ROW()-ROW(E$42))*3,0)</f>
        <v>0</v>
      </c>
      <c r="G50" s="5">
        <f ca="1">OFFSET(Budget!EQ$186,(ROW()-ROW(F$42))*3,0)</f>
        <v>0</v>
      </c>
      <c r="H50" s="1031">
        <f t="shared" ca="1" si="14"/>
        <v>0</v>
      </c>
      <c r="I50" s="2431">
        <f t="shared" ca="1" si="15"/>
        <v>0</v>
      </c>
    </row>
    <row r="51" spans="1:9" ht="13.5" hidden="1" thickBot="1" x14ac:dyDescent="0.25">
      <c r="A51" s="2426">
        <f ca="1">OFFSET(Budget!$B$184,(ROW()-ROW($A$42))*3,0)</f>
        <v>0</v>
      </c>
      <c r="B51" s="321">
        <f ca="1">OFFSET(Budget!EL$186,(ROW()-ROW(A$42))*3,0)</f>
        <v>0</v>
      </c>
      <c r="C51" s="321">
        <f ca="1">OFFSET(Budget!EM$186,(ROW()-ROW(B$42))*3,0)</f>
        <v>0</v>
      </c>
      <c r="D51" s="321">
        <f ca="1">OFFSET(Budget!EN$186,(ROW()-ROW(C$42))*3,0)</f>
        <v>0</v>
      </c>
      <c r="E51" s="321">
        <f ca="1">OFFSET(Budget!EO$186,(ROW()-ROW(D$42))*3,0)</f>
        <v>0</v>
      </c>
      <c r="F51" s="321">
        <f ca="1">OFFSET(Budget!EP$186,(ROW()-ROW(E$42))*3,0)</f>
        <v>0</v>
      </c>
      <c r="G51" s="321">
        <f ca="1">OFFSET(Budget!EQ$186,(ROW()-ROW(F$42))*3,0)</f>
        <v>0</v>
      </c>
      <c r="H51" s="2427">
        <f t="shared" ca="1" si="14"/>
        <v>0</v>
      </c>
      <c r="I51" s="2431">
        <f t="shared" ca="1" si="15"/>
        <v>0</v>
      </c>
    </row>
    <row r="52" spans="1:9" customFormat="1" ht="15.75" hidden="1" thickTop="1" x14ac:dyDescent="0.25">
      <c r="A52" s="2428" t="s">
        <v>728</v>
      </c>
      <c r="B52" s="2429">
        <f t="shared" ref="B52:H52" ca="1" si="16">SUM(B42:B51)</f>
        <v>0</v>
      </c>
      <c r="C52" s="2429">
        <f t="shared" ca="1" si="16"/>
        <v>0</v>
      </c>
      <c r="D52" s="2429">
        <f t="shared" ca="1" si="16"/>
        <v>0</v>
      </c>
      <c r="E52" s="2429">
        <f t="shared" ca="1" si="16"/>
        <v>0</v>
      </c>
      <c r="F52" s="2429">
        <f t="shared" ca="1" si="16"/>
        <v>0</v>
      </c>
      <c r="G52" s="2429">
        <f t="shared" ca="1" si="16"/>
        <v>0</v>
      </c>
      <c r="H52" s="2430">
        <f t="shared" ca="1" si="16"/>
        <v>0</v>
      </c>
      <c r="I52" s="2432">
        <f ca="1">IFERROR(H52/$H$21,0)</f>
        <v>0</v>
      </c>
    </row>
    <row r="53" spans="1:9" hidden="1" x14ac:dyDescent="0.2">
      <c r="A53" s="2478" t="s">
        <v>764</v>
      </c>
      <c r="B53" s="2479">
        <f t="shared" ref="B53:G53" ca="1" si="17">B21-B52</f>
        <v>49999</v>
      </c>
      <c r="C53" s="2479">
        <f t="shared" ca="1" si="17"/>
        <v>0</v>
      </c>
      <c r="D53" s="2479">
        <f t="shared" ca="1" si="17"/>
        <v>0</v>
      </c>
      <c r="E53" s="2479">
        <f t="shared" ca="1" si="17"/>
        <v>0</v>
      </c>
      <c r="F53" s="2479">
        <f t="shared" ca="1" si="17"/>
        <v>0</v>
      </c>
      <c r="G53" s="2479">
        <f t="shared" ca="1" si="17"/>
        <v>0</v>
      </c>
      <c r="H53" s="2480">
        <f ca="1">SUM(B53:G53)</f>
        <v>49999</v>
      </c>
      <c r="I53" s="2489">
        <f ca="1">IFERROR(H53/$H$21,0)</f>
        <v>1</v>
      </c>
    </row>
    <row r="54" spans="1:9" hidden="1" x14ac:dyDescent="0.2">
      <c r="A54" s="2485" t="s">
        <v>765</v>
      </c>
      <c r="B54" s="2486">
        <f>'DATA INPUT'!$F$125*SUM(Budget!D184,Budget!D187,Budget!D190,Budget!D193,Budget!D196,Budget!D199,Budget!D202,Budget!D205,Budget!D208,Budget!D211)</f>
        <v>0</v>
      </c>
      <c r="C54" s="2486">
        <f>'DATA INPUT'!$F$125*SUM(Budget!E184,Budget!E187,Budget!E190,Budget!E193,Budget!E196,Budget!E199,Budget!E202,Budget!E205,Budget!E208,Budget!E211)</f>
        <v>0</v>
      </c>
      <c r="D54" s="2486">
        <f>'DATA INPUT'!$F$125*SUM(Budget!F184,Budget!F187,Budget!F190,Budget!F193,Budget!F196,Budget!F199,Budget!F202,Budget!F205,Budget!F208,Budget!F211)</f>
        <v>0</v>
      </c>
      <c r="E54" s="2486">
        <f>'DATA INPUT'!$F$125*SUM(Budget!G184,Budget!G187,Budget!G190,Budget!G193,Budget!G196,Budget!G199,Budget!G202,Budget!G205,Budget!G208,Budget!G211)</f>
        <v>0</v>
      </c>
      <c r="F54" s="2486">
        <f>'DATA INPUT'!$F$125*SUM(Budget!H184,Budget!H187,Budget!H190,Budget!H193,Budget!H196,Budget!H199,Budget!H202,Budget!H205,Budget!H208,Budget!H211)</f>
        <v>0</v>
      </c>
      <c r="G54" s="2486">
        <f>'DATA INPUT'!$F$125*SUM(Budget!I184,Budget!I187,Budget!I190,Budget!I193,Budget!I196,Budget!I199,Budget!I202,Budget!I205,Budget!I208,Budget!I211)</f>
        <v>0</v>
      </c>
      <c r="H54" s="2486">
        <f>SUM(B54:G54)</f>
        <v>0</v>
      </c>
    </row>
    <row r="56" spans="1:9" ht="15.75" hidden="1" x14ac:dyDescent="0.25">
      <c r="A56" s="1069" t="s">
        <v>489</v>
      </c>
    </row>
    <row r="57" spans="1:9" hidden="1" x14ac:dyDescent="0.2">
      <c r="B57" s="1567" t="str">
        <f>Budget!N$12</f>
        <v>Period 1</v>
      </c>
      <c r="C57" s="1567" t="str">
        <f>Budget!O$12</f>
        <v>Period 2</v>
      </c>
      <c r="D57" s="1567" t="str">
        <f>Budget!P$12</f>
        <v>Period 3</v>
      </c>
      <c r="E57" s="1567" t="str">
        <f>Budget!Q$12</f>
        <v>Period 4</v>
      </c>
      <c r="F57" s="1567" t="str">
        <f>Budget!R$12</f>
        <v>Period 5</v>
      </c>
      <c r="G57" s="1567" t="str">
        <f>Budget!S$12</f>
        <v>Period 6</v>
      </c>
      <c r="H57" s="1030" t="s">
        <v>3</v>
      </c>
      <c r="I57" s="1" t="s">
        <v>730</v>
      </c>
    </row>
    <row r="58" spans="1:9" hidden="1" x14ac:dyDescent="0.2">
      <c r="A58" s="1029">
        <f ca="1">OFFSET(Budget!$B$184,(ROW()-ROW($A$58))*3,0)</f>
        <v>0</v>
      </c>
      <c r="B58" s="5">
        <f ca="1">OFFSET(Budget!N$186,(ROW()-ROW(A$58))*3,0)</f>
        <v>0</v>
      </c>
      <c r="C58" s="5"/>
      <c r="D58" s="5"/>
      <c r="E58" s="5"/>
      <c r="F58" s="5"/>
      <c r="G58" s="5"/>
      <c r="H58" s="1031">
        <f t="shared" ref="H58:H67" ca="1" si="18">SUM(B58:G58)</f>
        <v>0</v>
      </c>
      <c r="I58" s="2431" t="str">
        <f t="shared" ref="I58:I67" ca="1" si="19">IFERROR(H58/$H$37,"")</f>
        <v/>
      </c>
    </row>
    <row r="59" spans="1:9" hidden="1" x14ac:dyDescent="0.2">
      <c r="A59" s="1029">
        <f ca="1">OFFSET(Budget!$B$184,(ROW()-ROW($A$58))*3,0)</f>
        <v>0</v>
      </c>
      <c r="B59" s="5">
        <f ca="1">OFFSET(Budget!N$186,(ROW()-ROW(A$58))*3,0)</f>
        <v>0</v>
      </c>
      <c r="C59" s="5"/>
      <c r="D59" s="5"/>
      <c r="E59" s="5"/>
      <c r="F59" s="5"/>
      <c r="G59" s="5"/>
      <c r="H59" s="1031">
        <f t="shared" ca="1" si="18"/>
        <v>0</v>
      </c>
      <c r="I59" s="2431" t="str">
        <f t="shared" ca="1" si="19"/>
        <v/>
      </c>
    </row>
    <row r="60" spans="1:9" hidden="1" x14ac:dyDescent="0.2">
      <c r="A60" s="1029">
        <f ca="1">OFFSET(Budget!$B$184,(ROW()-ROW($A$58))*3,0)</f>
        <v>0</v>
      </c>
      <c r="B60" s="5">
        <f ca="1">OFFSET(Budget!N$186,(ROW()-ROW(A$58))*3,0)</f>
        <v>0</v>
      </c>
      <c r="C60" s="5"/>
      <c r="D60" s="5"/>
      <c r="E60" s="5"/>
      <c r="F60" s="5"/>
      <c r="G60" s="5"/>
      <c r="H60" s="1031">
        <f t="shared" ca="1" si="18"/>
        <v>0</v>
      </c>
      <c r="I60" s="2431" t="str">
        <f t="shared" ca="1" si="19"/>
        <v/>
      </c>
    </row>
    <row r="61" spans="1:9" hidden="1" x14ac:dyDescent="0.2">
      <c r="A61" s="1029">
        <f ca="1">OFFSET(Budget!$B$184,(ROW()-ROW($A$58))*3,0)</f>
        <v>0</v>
      </c>
      <c r="B61" s="5">
        <f ca="1">OFFSET(Budget!N$186,(ROW()-ROW(A$58))*3,0)</f>
        <v>0</v>
      </c>
      <c r="C61" s="321"/>
      <c r="D61" s="321"/>
      <c r="E61" s="321"/>
      <c r="F61" s="321"/>
      <c r="G61" s="321"/>
      <c r="H61" s="2427">
        <f t="shared" ca="1" si="18"/>
        <v>0</v>
      </c>
      <c r="I61" s="2431" t="str">
        <f t="shared" ca="1" si="19"/>
        <v/>
      </c>
    </row>
    <row r="62" spans="1:9" hidden="1" x14ac:dyDescent="0.2">
      <c r="A62" s="1029">
        <f ca="1">OFFSET(Budget!$B$184,(ROW()-ROW($A$58))*3,0)</f>
        <v>0</v>
      </c>
      <c r="B62" s="5">
        <f ca="1">OFFSET(Budget!N$186,(ROW()-ROW(A$58))*3,0)</f>
        <v>0</v>
      </c>
      <c r="C62" s="5"/>
      <c r="D62" s="5"/>
      <c r="E62" s="5"/>
      <c r="F62" s="5"/>
      <c r="G62" s="5"/>
      <c r="H62" s="1031">
        <f t="shared" ca="1" si="18"/>
        <v>0</v>
      </c>
      <c r="I62" s="2431" t="str">
        <f t="shared" ca="1" si="19"/>
        <v/>
      </c>
    </row>
    <row r="63" spans="1:9" hidden="1" x14ac:dyDescent="0.2">
      <c r="A63" s="1029">
        <f ca="1">OFFSET(Budget!$B$184,(ROW()-ROW($A$58))*3,0)</f>
        <v>0</v>
      </c>
      <c r="B63" s="5">
        <f ca="1">OFFSET(Budget!N$186,(ROW()-ROW(A$58))*3,0)</f>
        <v>0</v>
      </c>
      <c r="C63" s="5"/>
      <c r="D63" s="5"/>
      <c r="E63" s="5"/>
      <c r="F63" s="5"/>
      <c r="G63" s="5"/>
      <c r="H63" s="1031">
        <f t="shared" ca="1" si="18"/>
        <v>0</v>
      </c>
      <c r="I63" s="2431" t="str">
        <f t="shared" ca="1" si="19"/>
        <v/>
      </c>
    </row>
    <row r="64" spans="1:9" hidden="1" x14ac:dyDescent="0.2">
      <c r="A64" s="1029">
        <f ca="1">OFFSET(Budget!$B$184,(ROW()-ROW($A$58))*3,0)</f>
        <v>0</v>
      </c>
      <c r="B64" s="5">
        <f ca="1">OFFSET(Budget!N$186,(ROW()-ROW(A$58))*3,0)</f>
        <v>0</v>
      </c>
      <c r="C64" s="321"/>
      <c r="D64" s="321"/>
      <c r="E64" s="321"/>
      <c r="F64" s="321"/>
      <c r="G64" s="321"/>
      <c r="H64" s="2427">
        <f t="shared" ca="1" si="18"/>
        <v>0</v>
      </c>
      <c r="I64" s="2431" t="str">
        <f t="shared" ca="1" si="19"/>
        <v/>
      </c>
    </row>
    <row r="65" spans="1:9" hidden="1" x14ac:dyDescent="0.2">
      <c r="A65" s="1029">
        <f ca="1">OFFSET(Budget!$B$184,(ROW()-ROW($A$58))*3,0)</f>
        <v>0</v>
      </c>
      <c r="B65" s="5">
        <f ca="1">OFFSET(Budget!N$186,(ROW()-ROW(A$58))*3,0)</f>
        <v>0</v>
      </c>
      <c r="C65" s="5"/>
      <c r="D65" s="5"/>
      <c r="E65" s="5"/>
      <c r="F65" s="5"/>
      <c r="G65" s="5"/>
      <c r="H65" s="1031">
        <f t="shared" ca="1" si="18"/>
        <v>0</v>
      </c>
      <c r="I65" s="2431" t="str">
        <f t="shared" ca="1" si="19"/>
        <v/>
      </c>
    </row>
    <row r="66" spans="1:9" hidden="1" x14ac:dyDescent="0.2">
      <c r="A66" s="1029">
        <f ca="1">OFFSET(Budget!$B$184,(ROW()-ROW($A$58))*3,0)</f>
        <v>0</v>
      </c>
      <c r="B66" s="5">
        <f ca="1">OFFSET(Budget!N$186,(ROW()-ROW(A$58))*3,0)</f>
        <v>0</v>
      </c>
      <c r="C66" s="5"/>
      <c r="D66" s="5"/>
      <c r="E66" s="5"/>
      <c r="F66" s="5"/>
      <c r="G66" s="5"/>
      <c r="H66" s="1031">
        <f t="shared" ca="1" si="18"/>
        <v>0</v>
      </c>
      <c r="I66" s="2431" t="str">
        <f t="shared" ca="1" si="19"/>
        <v/>
      </c>
    </row>
    <row r="67" spans="1:9" ht="13.5" hidden="1" thickBot="1" x14ac:dyDescent="0.25">
      <c r="A67" s="1029">
        <f ca="1">OFFSET(Budget!$B$184,(ROW()-ROW($A$58))*3,0)</f>
        <v>0</v>
      </c>
      <c r="B67" s="5">
        <f ca="1">OFFSET(Budget!N$186,(ROW()-ROW(A$58))*3,0)</f>
        <v>0</v>
      </c>
      <c r="C67" s="321"/>
      <c r="D67" s="321"/>
      <c r="E67" s="321"/>
      <c r="F67" s="321"/>
      <c r="G67" s="321"/>
      <c r="H67" s="2427">
        <f t="shared" ca="1" si="18"/>
        <v>0</v>
      </c>
      <c r="I67" s="2431" t="str">
        <f t="shared" ca="1" si="19"/>
        <v/>
      </c>
    </row>
    <row r="68" spans="1:9" ht="13.5" hidden="1" thickTop="1" x14ac:dyDescent="0.2">
      <c r="A68" s="2428" t="s">
        <v>728</v>
      </c>
      <c r="B68" s="2429">
        <f t="shared" ref="B68:H68" ca="1" si="20">SUM(B58:B67)</f>
        <v>0</v>
      </c>
      <c r="C68" s="2429">
        <f t="shared" si="20"/>
        <v>0</v>
      </c>
      <c r="D68" s="2429">
        <f t="shared" si="20"/>
        <v>0</v>
      </c>
      <c r="E68" s="2429">
        <f t="shared" si="20"/>
        <v>0</v>
      </c>
      <c r="F68" s="2429">
        <f t="shared" si="20"/>
        <v>0</v>
      </c>
      <c r="G68" s="2429">
        <f t="shared" si="20"/>
        <v>0</v>
      </c>
      <c r="H68" s="2430">
        <f t="shared" ca="1" si="20"/>
        <v>0</v>
      </c>
      <c r="I68" s="2487">
        <f ca="1">IFERROR(H68/$H$37,0)</f>
        <v>0</v>
      </c>
    </row>
    <row r="69" spans="1:9" s="2484" customFormat="1" ht="25.5" hidden="1" x14ac:dyDescent="0.25">
      <c r="A69" s="2481" t="s">
        <v>763</v>
      </c>
      <c r="B69" s="2482">
        <f t="shared" ref="B69:G69" ca="1" si="21">B37-B68</f>
        <v>0</v>
      </c>
      <c r="C69" s="2482">
        <f t="shared" ca="1" si="21"/>
        <v>0</v>
      </c>
      <c r="D69" s="2482">
        <f t="shared" ca="1" si="21"/>
        <v>0</v>
      </c>
      <c r="E69" s="2482">
        <f t="shared" ca="1" si="21"/>
        <v>0</v>
      </c>
      <c r="F69" s="2482">
        <f t="shared" ca="1" si="21"/>
        <v>0</v>
      </c>
      <c r="G69" s="2482">
        <f t="shared" ca="1" si="21"/>
        <v>0</v>
      </c>
      <c r="H69" s="2483">
        <f ca="1">SUM(B69:G69)</f>
        <v>0</v>
      </c>
      <c r="I69" s="2488">
        <f ca="1">IFERROR(H69/$H$37,0)</f>
        <v>0</v>
      </c>
    </row>
  </sheetData>
  <conditionalFormatting sqref="L37">
    <cfRule type="containsBlanks" dxfId="137" priority="1">
      <formula>LEN(TRIM(L37))=0</formula>
    </cfRule>
  </conditionalFormatting>
  <pageMargins left="0.25" right="0.25" top="0.5" bottom="0.5" header="0.3" footer="0.3"/>
  <pageSetup fitToWidth="3"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C9FEC-A275-4EB1-9430-792E5FD92199}">
  <sheetPr codeName="Sheet17">
    <tabColor rgb="FFFFFF00"/>
  </sheetPr>
  <dimension ref="A1:AF44"/>
  <sheetViews>
    <sheetView showGridLines="0" zoomScaleNormal="100" workbookViewId="0"/>
  </sheetViews>
  <sheetFormatPr defaultColWidth="10.140625" defaultRowHeight="12.75" x14ac:dyDescent="0.2"/>
  <cols>
    <col min="1" max="1" width="21.28515625" style="1" customWidth="1"/>
    <col min="2" max="8" width="12.7109375" style="1" customWidth="1"/>
    <col min="9" max="9" width="16.28515625" style="1" customWidth="1"/>
    <col min="10" max="10" width="10.85546875" style="1" hidden="1" customWidth="1"/>
    <col min="11" max="11" width="18.85546875" style="1" hidden="1" customWidth="1"/>
    <col min="12" max="13" width="11.7109375" style="1" hidden="1" customWidth="1"/>
    <col min="14" max="14" width="12.28515625" style="1" hidden="1" customWidth="1"/>
    <col min="15" max="15" width="11.7109375" style="1" hidden="1" customWidth="1"/>
    <col min="16" max="16" width="10.7109375" style="1" hidden="1" customWidth="1"/>
    <col min="17" max="17" width="12.28515625" style="1" hidden="1" customWidth="1"/>
    <col min="18" max="18" width="11.7109375" style="1" hidden="1" customWidth="1"/>
    <col min="19" max="19" width="10.7109375" style="1" hidden="1" customWidth="1"/>
    <col min="20" max="20" width="12.28515625" style="1" hidden="1" customWidth="1"/>
    <col min="21" max="21" width="11.7109375" style="1" hidden="1" customWidth="1"/>
    <col min="22" max="22" width="10.7109375" style="1" hidden="1" customWidth="1"/>
    <col min="23" max="23" width="12.28515625" style="1" hidden="1" customWidth="1"/>
    <col min="24" max="24" width="11.7109375" style="1" hidden="1" customWidth="1"/>
    <col min="25" max="25" width="10.7109375" style="1" hidden="1" customWidth="1"/>
    <col min="26" max="26" width="12.28515625" style="1" hidden="1" customWidth="1"/>
    <col min="27" max="27" width="11.7109375" style="1" hidden="1" customWidth="1"/>
    <col min="28" max="28" width="10.7109375" style="1" hidden="1" customWidth="1"/>
    <col min="29" max="29" width="12.28515625" style="1" hidden="1" customWidth="1"/>
    <col min="30" max="32" width="12.85546875" style="1" hidden="1" customWidth="1"/>
    <col min="33" max="16384" width="10.140625" style="1"/>
  </cols>
  <sheetData>
    <row r="1" spans="1:32" x14ac:dyDescent="0.2">
      <c r="A1" s="24" t="s">
        <v>143</v>
      </c>
      <c r="B1" s="490" t="str">
        <f ca="1">Budget!C1</f>
        <v>Virag Mishra</v>
      </c>
      <c r="C1" s="1013"/>
    </row>
    <row r="2" spans="1:32" x14ac:dyDescent="0.2">
      <c r="A2" s="24" t="s">
        <v>1039</v>
      </c>
      <c r="B2" s="45" t="str">
        <f>Budget!C2</f>
        <v>N/A</v>
      </c>
      <c r="C2" s="4"/>
    </row>
    <row r="3" spans="1:32" x14ac:dyDescent="0.2">
      <c r="A3" s="103" t="s">
        <v>62</v>
      </c>
      <c r="B3" s="1014" t="str">
        <f>Budget!C3</f>
        <v>HCSS</v>
      </c>
    </row>
    <row r="4" spans="1:32" x14ac:dyDescent="0.2">
      <c r="A4" s="1015" t="s">
        <v>10</v>
      </c>
      <c r="B4" s="1016">
        <f>Budget!C4</f>
        <v>46478</v>
      </c>
    </row>
    <row r="5" spans="1:32" x14ac:dyDescent="0.2">
      <c r="A5" s="1015" t="s">
        <v>9</v>
      </c>
      <c r="B5" s="1016">
        <f>Budget!C5</f>
        <v>46843</v>
      </c>
    </row>
    <row r="6" spans="1:32" x14ac:dyDescent="0.2">
      <c r="A6" s="1015" t="s">
        <v>147</v>
      </c>
      <c r="B6" s="1015" t="str">
        <f>Budget!C7</f>
        <v>Robert Kokenyesi</v>
      </c>
    </row>
    <row r="7" spans="1:32" x14ac:dyDescent="0.2">
      <c r="J7" s="3457"/>
      <c r="K7" s="3457"/>
      <c r="L7" s="3457"/>
      <c r="M7" s="3457"/>
      <c r="N7" s="3457"/>
      <c r="O7" s="3457"/>
      <c r="P7" s="3457"/>
      <c r="Q7" s="3457"/>
    </row>
    <row r="8" spans="1:32" ht="16.5" thickBot="1" x14ac:dyDescent="0.3">
      <c r="A8" s="1069" t="s">
        <v>717</v>
      </c>
      <c r="B8" s="4"/>
      <c r="C8" s="4"/>
      <c r="D8" s="4"/>
      <c r="E8" s="4"/>
      <c r="F8" s="4"/>
      <c r="G8" s="4"/>
      <c r="H8" s="4"/>
      <c r="K8" s="1069" t="s">
        <v>652</v>
      </c>
    </row>
    <row r="9" spans="1:32" ht="15" customHeight="1" thickBot="1" x14ac:dyDescent="0.25">
      <c r="A9" s="1017" t="s">
        <v>265</v>
      </c>
      <c r="B9" s="1479" t="str">
        <f>Budget!N$12</f>
        <v>Period 1</v>
      </c>
      <c r="C9" s="1479" t="str">
        <f>Budget!O$12</f>
        <v>Period 2</v>
      </c>
      <c r="D9" s="1479" t="str">
        <f>Budget!P$12</f>
        <v>Period 3</v>
      </c>
      <c r="E9" s="1479" t="str">
        <f>Budget!Q$12</f>
        <v>Period 4</v>
      </c>
      <c r="F9" s="1479" t="str">
        <f>Budget!R$12</f>
        <v>Period 5</v>
      </c>
      <c r="G9" s="1479" t="str">
        <f>Budget!S$12</f>
        <v>Period 6</v>
      </c>
      <c r="H9" s="1018" t="s">
        <v>85</v>
      </c>
      <c r="K9" s="3458" t="s">
        <v>315</v>
      </c>
      <c r="L9" s="3460" t="s">
        <v>148</v>
      </c>
      <c r="M9" s="3461"/>
      <c r="N9" s="3462" t="s">
        <v>653</v>
      </c>
      <c r="O9" s="3460" t="s">
        <v>149</v>
      </c>
      <c r="P9" s="3461"/>
      <c r="Q9" s="3462" t="s">
        <v>654</v>
      </c>
      <c r="R9" s="3460" t="s">
        <v>150</v>
      </c>
      <c r="S9" s="3461"/>
      <c r="T9" s="3462" t="s">
        <v>655</v>
      </c>
      <c r="U9" s="3460" t="s">
        <v>151</v>
      </c>
      <c r="V9" s="3461"/>
      <c r="W9" s="3462" t="s">
        <v>656</v>
      </c>
      <c r="X9" s="3460" t="s">
        <v>595</v>
      </c>
      <c r="Y9" s="3461"/>
      <c r="Z9" s="3462" t="s">
        <v>657</v>
      </c>
      <c r="AA9" s="3460" t="s">
        <v>596</v>
      </c>
      <c r="AB9" s="3461"/>
      <c r="AC9" s="3462" t="s">
        <v>320</v>
      </c>
      <c r="AD9" s="3466" t="s">
        <v>321</v>
      </c>
      <c r="AE9" s="3468" t="s">
        <v>322</v>
      </c>
      <c r="AF9" s="3464" t="s">
        <v>230</v>
      </c>
    </row>
    <row r="10" spans="1:32" ht="13.35" customHeight="1" x14ac:dyDescent="0.2">
      <c r="A10" s="1019" t="s">
        <v>221</v>
      </c>
      <c r="B10" s="1020">
        <f ca="1">Budget!EL$84</f>
        <v>33032</v>
      </c>
      <c r="C10" s="1020">
        <f ca="1">Budget!EM$84</f>
        <v>0</v>
      </c>
      <c r="D10" s="1020">
        <f ca="1">Budget!EN$84</f>
        <v>0</v>
      </c>
      <c r="E10" s="1020">
        <f ca="1">Budget!EO$84</f>
        <v>0</v>
      </c>
      <c r="F10" s="1020">
        <f ca="1">Budget!EP$84</f>
        <v>0</v>
      </c>
      <c r="G10" s="1020">
        <f ca="1">Budget!EQ$84</f>
        <v>0</v>
      </c>
      <c r="H10" s="1021">
        <f t="shared" ref="H10:H20" ca="1" si="0">SUM(B10:G10)</f>
        <v>33032</v>
      </c>
      <c r="K10" s="3459"/>
      <c r="L10" s="592" t="s">
        <v>62</v>
      </c>
      <c r="M10" s="124" t="s">
        <v>311</v>
      </c>
      <c r="N10" s="3463"/>
      <c r="O10" s="592" t="s">
        <v>62</v>
      </c>
      <c r="P10" s="124" t="s">
        <v>311</v>
      </c>
      <c r="Q10" s="3463"/>
      <c r="R10" s="592" t="s">
        <v>62</v>
      </c>
      <c r="S10" s="124" t="s">
        <v>311</v>
      </c>
      <c r="T10" s="3463"/>
      <c r="U10" s="592" t="s">
        <v>62</v>
      </c>
      <c r="V10" s="124" t="s">
        <v>311</v>
      </c>
      <c r="W10" s="3463"/>
      <c r="X10" s="592" t="s">
        <v>62</v>
      </c>
      <c r="Y10" s="124" t="s">
        <v>311</v>
      </c>
      <c r="Z10" s="3463"/>
      <c r="AA10" s="592" t="s">
        <v>62</v>
      </c>
      <c r="AB10" s="124" t="s">
        <v>311</v>
      </c>
      <c r="AC10" s="3463"/>
      <c r="AD10" s="3467"/>
      <c r="AE10" s="3469"/>
      <c r="AF10" s="3465"/>
    </row>
    <row r="11" spans="1:32" x14ac:dyDescent="0.2">
      <c r="A11" s="1022" t="s">
        <v>136</v>
      </c>
      <c r="B11" s="1023">
        <f ca="1">Budget!EL$155</f>
        <v>13578</v>
      </c>
      <c r="C11" s="1023">
        <f ca="1">Budget!EM$155</f>
        <v>0</v>
      </c>
      <c r="D11" s="1023">
        <f ca="1">Budget!EN$155</f>
        <v>0</v>
      </c>
      <c r="E11" s="1023">
        <f ca="1">Budget!EO$155</f>
        <v>0</v>
      </c>
      <c r="F11" s="1023">
        <f ca="1">Budget!EP$155</f>
        <v>0</v>
      </c>
      <c r="G11" s="1023">
        <f ca="1">Budget!EQ$155</f>
        <v>0</v>
      </c>
      <c r="H11" s="1024">
        <f t="shared" ca="1" si="0"/>
        <v>13578</v>
      </c>
      <c r="K11" s="593" t="s">
        <v>221</v>
      </c>
      <c r="L11" s="575">
        <f ca="1">Budget!D84</f>
        <v>33031.995999999999</v>
      </c>
      <c r="M11" s="5">
        <f ca="1">Budget!BR84</f>
        <v>0</v>
      </c>
      <c r="N11" s="573">
        <f t="shared" ref="N11:N21" ca="1" si="1">SUM(L11:M11)</f>
        <v>33031.995999999999</v>
      </c>
      <c r="O11" s="575">
        <f ca="1">Budget!E84</f>
        <v>0</v>
      </c>
      <c r="P11" s="5">
        <f ca="1">Budget!BS84</f>
        <v>0</v>
      </c>
      <c r="Q11" s="573">
        <f t="shared" ref="Q11:Q21" ca="1" si="2">SUM(O11:P11)</f>
        <v>0</v>
      </c>
      <c r="R11" s="575">
        <f ca="1">Budget!F84</f>
        <v>0</v>
      </c>
      <c r="S11" s="5">
        <f ca="1">Budget!BT84</f>
        <v>0</v>
      </c>
      <c r="T11" s="629">
        <f t="shared" ref="T11:T21" ca="1" si="3">SUM(R11:S11)</f>
        <v>0</v>
      </c>
      <c r="U11" s="575">
        <f ca="1">Budget!G84</f>
        <v>0</v>
      </c>
      <c r="V11" s="5">
        <f ca="1">Budget!BU84</f>
        <v>0</v>
      </c>
      <c r="W11" s="573">
        <f t="shared" ref="W11:W21" ca="1" si="4">SUM(U11:V11)</f>
        <v>0</v>
      </c>
      <c r="X11" s="575">
        <f ca="1">Budget!H84</f>
        <v>0</v>
      </c>
      <c r="Y11" s="5">
        <f ca="1">Budget!BV84</f>
        <v>0</v>
      </c>
      <c r="Z11" s="573">
        <f t="shared" ref="Z11:Z21" ca="1" si="5">SUM(X11:Y11)</f>
        <v>0</v>
      </c>
      <c r="AA11" s="575">
        <f ca="1">Budget!I84</f>
        <v>0</v>
      </c>
      <c r="AB11" s="5">
        <f ca="1">Budget!BW84</f>
        <v>0</v>
      </c>
      <c r="AC11" s="629">
        <f t="shared" ref="AC11:AC21" ca="1" si="6">SUM(AA11:AB11)</f>
        <v>0</v>
      </c>
      <c r="AD11" s="583">
        <f t="shared" ref="AD11:AD21" ca="1" si="7">SUM(L11,O11,R11,U11,X11,AA11)</f>
        <v>33031.995999999999</v>
      </c>
      <c r="AE11" s="1078">
        <f t="shared" ref="AE11:AE21" ca="1" si="8">SUM(M11,P11,S11,V11,Y11,AB11)</f>
        <v>0</v>
      </c>
      <c r="AF11" s="584">
        <f t="shared" ref="AF11:AF21" ca="1" si="9">SUM(AD11:AE11)</f>
        <v>33031.995999999999</v>
      </c>
    </row>
    <row r="12" spans="1:32" x14ac:dyDescent="0.2">
      <c r="A12" s="1022" t="s">
        <v>146</v>
      </c>
      <c r="B12" s="1023">
        <f>Budget!EL$165</f>
        <v>0</v>
      </c>
      <c r="C12" s="1023">
        <f>Budget!EM$165</f>
        <v>0</v>
      </c>
      <c r="D12" s="1023">
        <f>Budget!EN$165</f>
        <v>0</v>
      </c>
      <c r="E12" s="1023">
        <f>Budget!EO$165</f>
        <v>0</v>
      </c>
      <c r="F12" s="1023">
        <f>Budget!EP$165</f>
        <v>0</v>
      </c>
      <c r="G12" s="1023">
        <f>Budget!EQ$165</f>
        <v>0</v>
      </c>
      <c r="H12" s="1024">
        <f t="shared" si="0"/>
        <v>0</v>
      </c>
      <c r="K12" s="593" t="s">
        <v>136</v>
      </c>
      <c r="L12" s="575">
        <f ca="1">Budget!D155</f>
        <v>13578.471971999999</v>
      </c>
      <c r="M12" s="5">
        <f ca="1">Budget!BR155</f>
        <v>0</v>
      </c>
      <c r="N12" s="573">
        <f t="shared" ca="1" si="1"/>
        <v>13578.471971999999</v>
      </c>
      <c r="O12" s="575">
        <f ca="1">Budget!E155</f>
        <v>0</v>
      </c>
      <c r="P12" s="5">
        <f ca="1">Budget!BS155</f>
        <v>0</v>
      </c>
      <c r="Q12" s="573">
        <f t="shared" ca="1" si="2"/>
        <v>0</v>
      </c>
      <c r="R12" s="575">
        <f ca="1">Budget!F155</f>
        <v>0</v>
      </c>
      <c r="S12" s="5">
        <f ca="1">Budget!BT155</f>
        <v>0</v>
      </c>
      <c r="T12" s="629">
        <f t="shared" ca="1" si="3"/>
        <v>0</v>
      </c>
      <c r="U12" s="575">
        <f ca="1">Budget!G155</f>
        <v>0</v>
      </c>
      <c r="V12" s="5">
        <f ca="1">Budget!BU155</f>
        <v>0</v>
      </c>
      <c r="W12" s="573">
        <f t="shared" ca="1" si="4"/>
        <v>0</v>
      </c>
      <c r="X12" s="575">
        <f ca="1">Budget!H155</f>
        <v>0</v>
      </c>
      <c r="Y12" s="5">
        <f ca="1">Budget!BV155</f>
        <v>0</v>
      </c>
      <c r="Z12" s="573">
        <f t="shared" ca="1" si="5"/>
        <v>0</v>
      </c>
      <c r="AA12" s="575">
        <f ca="1">Budget!I155</f>
        <v>0</v>
      </c>
      <c r="AB12" s="5">
        <f ca="1">Budget!BW155</f>
        <v>0</v>
      </c>
      <c r="AC12" s="629">
        <f t="shared" ca="1" si="6"/>
        <v>0</v>
      </c>
      <c r="AD12" s="583">
        <f t="shared" ca="1" si="7"/>
        <v>13578.471971999999</v>
      </c>
      <c r="AE12" s="1078">
        <f t="shared" ca="1" si="8"/>
        <v>0</v>
      </c>
      <c r="AF12" s="584">
        <f t="shared" ca="1" si="9"/>
        <v>13578.471971999999</v>
      </c>
    </row>
    <row r="13" spans="1:32" x14ac:dyDescent="0.2">
      <c r="A13" s="1022" t="s">
        <v>12</v>
      </c>
      <c r="B13" s="1023">
        <f ca="1">Budget!EL$170</f>
        <v>2490</v>
      </c>
      <c r="C13" s="1023">
        <f ca="1">Budget!EM$170</f>
        <v>0</v>
      </c>
      <c r="D13" s="1023">
        <f ca="1">Budget!EN$170</f>
        <v>0</v>
      </c>
      <c r="E13" s="1023">
        <f ca="1">Budget!EO$170</f>
        <v>0</v>
      </c>
      <c r="F13" s="1023">
        <f ca="1">Budget!EP$170</f>
        <v>0</v>
      </c>
      <c r="G13" s="1023">
        <f ca="1">Budget!EQ$170</f>
        <v>0</v>
      </c>
      <c r="H13" s="1024">
        <f t="shared" ca="1" si="0"/>
        <v>2490</v>
      </c>
      <c r="K13" s="593" t="s">
        <v>146</v>
      </c>
      <c r="L13" s="575">
        <f>Budget!D165</f>
        <v>0</v>
      </c>
      <c r="M13" s="5">
        <f>Budget!BR165</f>
        <v>0</v>
      </c>
      <c r="N13" s="573">
        <f t="shared" si="1"/>
        <v>0</v>
      </c>
      <c r="O13" s="575">
        <f>Budget!E165</f>
        <v>0</v>
      </c>
      <c r="P13" s="5">
        <f>Budget!BS165</f>
        <v>0</v>
      </c>
      <c r="Q13" s="573">
        <f t="shared" si="2"/>
        <v>0</v>
      </c>
      <c r="R13" s="575">
        <f>Budget!F165</f>
        <v>0</v>
      </c>
      <c r="S13" s="5">
        <f>Budget!BT165</f>
        <v>0</v>
      </c>
      <c r="T13" s="629">
        <f t="shared" si="3"/>
        <v>0</v>
      </c>
      <c r="U13" s="575">
        <f>Budget!G165</f>
        <v>0</v>
      </c>
      <c r="V13" s="5">
        <f>Budget!BU165</f>
        <v>0</v>
      </c>
      <c r="W13" s="573">
        <f t="shared" si="4"/>
        <v>0</v>
      </c>
      <c r="X13" s="575">
        <f>Budget!H165</f>
        <v>0</v>
      </c>
      <c r="Y13" s="5">
        <f>Budget!BV165</f>
        <v>0</v>
      </c>
      <c r="Z13" s="573">
        <f t="shared" si="5"/>
        <v>0</v>
      </c>
      <c r="AA13" s="575">
        <f>Budget!I165</f>
        <v>0</v>
      </c>
      <c r="AB13" s="5">
        <f>Budget!BW165</f>
        <v>0</v>
      </c>
      <c r="AC13" s="629">
        <f t="shared" si="6"/>
        <v>0</v>
      </c>
      <c r="AD13" s="583">
        <f t="shared" si="7"/>
        <v>0</v>
      </c>
      <c r="AE13" s="1078">
        <f t="shared" si="8"/>
        <v>0</v>
      </c>
      <c r="AF13" s="584">
        <f t="shared" si="9"/>
        <v>0</v>
      </c>
    </row>
    <row r="14" spans="1:32" x14ac:dyDescent="0.2">
      <c r="A14" s="1022" t="s">
        <v>159</v>
      </c>
      <c r="B14" s="1023">
        <f>Budget!EL$177</f>
        <v>0</v>
      </c>
      <c r="C14" s="1023">
        <f>Budget!EM$177</f>
        <v>0</v>
      </c>
      <c r="D14" s="1023">
        <f>Budget!EN$177</f>
        <v>0</v>
      </c>
      <c r="E14" s="1023">
        <f>Budget!EO$177</f>
        <v>0</v>
      </c>
      <c r="F14" s="1023">
        <f>Budget!EP$177</f>
        <v>0</v>
      </c>
      <c r="G14" s="1023">
        <f>Budget!EQ$177</f>
        <v>0</v>
      </c>
      <c r="H14" s="1024">
        <f t="shared" si="0"/>
        <v>0</v>
      </c>
      <c r="K14" s="593" t="s">
        <v>12</v>
      </c>
      <c r="L14" s="575">
        <f ca="1">Budget!D170</f>
        <v>2489.87</v>
      </c>
      <c r="M14" s="5">
        <f>Budget!BR170</f>
        <v>0</v>
      </c>
      <c r="N14" s="573">
        <f t="shared" ca="1" si="1"/>
        <v>2489.87</v>
      </c>
      <c r="O14" s="575">
        <f ca="1">Budget!E170</f>
        <v>0</v>
      </c>
      <c r="P14" s="5">
        <f>Budget!BS170</f>
        <v>0</v>
      </c>
      <c r="Q14" s="573">
        <f t="shared" ca="1" si="2"/>
        <v>0</v>
      </c>
      <c r="R14" s="575">
        <f ca="1">Budget!F170</f>
        <v>0</v>
      </c>
      <c r="S14" s="5">
        <f>Budget!BT170</f>
        <v>0</v>
      </c>
      <c r="T14" s="629">
        <f t="shared" ca="1" si="3"/>
        <v>0</v>
      </c>
      <c r="U14" s="575">
        <f ca="1">Budget!G170</f>
        <v>0</v>
      </c>
      <c r="V14" s="5">
        <f>Budget!BU170</f>
        <v>0</v>
      </c>
      <c r="W14" s="573">
        <f t="shared" ca="1" si="4"/>
        <v>0</v>
      </c>
      <c r="X14" s="575">
        <f ca="1">Budget!H170</f>
        <v>0</v>
      </c>
      <c r="Y14" s="5">
        <f>Budget!BV170</f>
        <v>0</v>
      </c>
      <c r="Z14" s="573">
        <f t="shared" ca="1" si="5"/>
        <v>0</v>
      </c>
      <c r="AA14" s="575">
        <f ca="1">Budget!I170</f>
        <v>0</v>
      </c>
      <c r="AB14" s="5">
        <f>Budget!BW170</f>
        <v>0</v>
      </c>
      <c r="AC14" s="629">
        <f t="shared" ca="1" si="6"/>
        <v>0</v>
      </c>
      <c r="AD14" s="583">
        <f t="shared" ca="1" si="7"/>
        <v>2489.87</v>
      </c>
      <c r="AE14" s="1078">
        <f t="shared" si="8"/>
        <v>0</v>
      </c>
      <c r="AF14" s="584">
        <f t="shared" ca="1" si="9"/>
        <v>2489.87</v>
      </c>
    </row>
    <row r="15" spans="1:32" x14ac:dyDescent="0.2">
      <c r="A15" s="1022" t="s">
        <v>260</v>
      </c>
      <c r="B15" s="1023">
        <f>Budget!EL$214</f>
        <v>0</v>
      </c>
      <c r="C15" s="1023">
        <f>Budget!EM$214</f>
        <v>0</v>
      </c>
      <c r="D15" s="1023">
        <f>Budget!EN$214</f>
        <v>0</v>
      </c>
      <c r="E15" s="1023">
        <f>Budget!EO$214</f>
        <v>0</v>
      </c>
      <c r="F15" s="1023">
        <f>Budget!EP$214</f>
        <v>0</v>
      </c>
      <c r="G15" s="1023">
        <f>Budget!EQ$214</f>
        <v>0</v>
      </c>
      <c r="H15" s="1024">
        <f t="shared" si="0"/>
        <v>0</v>
      </c>
      <c r="K15" s="593" t="s">
        <v>159</v>
      </c>
      <c r="L15" s="575">
        <f>Budget!D177</f>
        <v>0</v>
      </c>
      <c r="M15" s="5">
        <f>Budget!BR177</f>
        <v>0</v>
      </c>
      <c r="N15" s="573">
        <f t="shared" si="1"/>
        <v>0</v>
      </c>
      <c r="O15" s="575">
        <f>Budget!E177</f>
        <v>0</v>
      </c>
      <c r="P15" s="5">
        <f>Budget!BS177</f>
        <v>0</v>
      </c>
      <c r="Q15" s="573">
        <f t="shared" si="2"/>
        <v>0</v>
      </c>
      <c r="R15" s="575">
        <f>Budget!F177</f>
        <v>0</v>
      </c>
      <c r="S15" s="5">
        <f>Budget!BT177</f>
        <v>0</v>
      </c>
      <c r="T15" s="629">
        <f t="shared" si="3"/>
        <v>0</v>
      </c>
      <c r="U15" s="575">
        <f>Budget!G177</f>
        <v>0</v>
      </c>
      <c r="V15" s="5">
        <f>Budget!BU177</f>
        <v>0</v>
      </c>
      <c r="W15" s="573">
        <f t="shared" si="4"/>
        <v>0</v>
      </c>
      <c r="X15" s="575">
        <f>Budget!H177</f>
        <v>0</v>
      </c>
      <c r="Y15" s="5">
        <f>Budget!BV177</f>
        <v>0</v>
      </c>
      <c r="Z15" s="573">
        <f t="shared" si="5"/>
        <v>0</v>
      </c>
      <c r="AA15" s="575">
        <f>Budget!I177</f>
        <v>0</v>
      </c>
      <c r="AB15" s="5">
        <f>Budget!BW177</f>
        <v>0</v>
      </c>
      <c r="AC15" s="629">
        <f t="shared" si="6"/>
        <v>0</v>
      </c>
      <c r="AD15" s="583">
        <f t="shared" si="7"/>
        <v>0</v>
      </c>
      <c r="AE15" s="1078">
        <f t="shared" si="8"/>
        <v>0</v>
      </c>
      <c r="AF15" s="584">
        <f t="shared" si="9"/>
        <v>0</v>
      </c>
    </row>
    <row r="16" spans="1:32" x14ac:dyDescent="0.2">
      <c r="A16" s="1022" t="s">
        <v>261</v>
      </c>
      <c r="B16" s="1023">
        <f ca="1">Budget!EL$285</f>
        <v>0</v>
      </c>
      <c r="C16" s="1023">
        <f ca="1">Budget!EM$285</f>
        <v>0</v>
      </c>
      <c r="D16" s="1023">
        <f ca="1">Budget!EN$285</f>
        <v>0</v>
      </c>
      <c r="E16" s="1023">
        <f ca="1">Budget!EO$285</f>
        <v>0</v>
      </c>
      <c r="F16" s="1023">
        <f ca="1">Budget!EP$285</f>
        <v>0</v>
      </c>
      <c r="G16" s="1023">
        <f ca="1">Budget!EQ$285</f>
        <v>0</v>
      </c>
      <c r="H16" s="1024">
        <f t="shared" ca="1" si="0"/>
        <v>0</v>
      </c>
      <c r="K16" s="593" t="s">
        <v>261</v>
      </c>
      <c r="L16" s="575">
        <f ca="1">Budget!D285</f>
        <v>0</v>
      </c>
      <c r="M16" s="5">
        <f>Budget!BR285</f>
        <v>0</v>
      </c>
      <c r="N16" s="573">
        <f t="shared" ca="1" si="1"/>
        <v>0</v>
      </c>
      <c r="O16" s="1034">
        <f ca="1">Budget!E285</f>
        <v>0</v>
      </c>
      <c r="P16" s="321">
        <f>Budget!BS285</f>
        <v>0</v>
      </c>
      <c r="Q16" s="573">
        <f t="shared" ca="1" si="2"/>
        <v>0</v>
      </c>
      <c r="R16" s="1034">
        <f ca="1">Budget!F285</f>
        <v>0</v>
      </c>
      <c r="S16" s="321">
        <f>Budget!BT285</f>
        <v>0</v>
      </c>
      <c r="T16" s="630">
        <f t="shared" ca="1" si="3"/>
        <v>0</v>
      </c>
      <c r="U16" s="1034">
        <f ca="1">Budget!G285</f>
        <v>0</v>
      </c>
      <c r="V16" s="321">
        <f>Budget!BU285</f>
        <v>0</v>
      </c>
      <c r="W16" s="577">
        <f t="shared" ca="1" si="4"/>
        <v>0</v>
      </c>
      <c r="X16" s="1034">
        <f ca="1">Budget!H285</f>
        <v>0</v>
      </c>
      <c r="Y16" s="321">
        <f>Budget!BV285</f>
        <v>0</v>
      </c>
      <c r="Z16" s="577">
        <f t="shared" ca="1" si="5"/>
        <v>0</v>
      </c>
      <c r="AA16" s="1034">
        <f ca="1">Budget!I285</f>
        <v>0</v>
      </c>
      <c r="AB16" s="321">
        <f>Budget!BW285</f>
        <v>0</v>
      </c>
      <c r="AC16" s="630">
        <f t="shared" ca="1" si="6"/>
        <v>0</v>
      </c>
      <c r="AD16" s="1071">
        <f t="shared" ca="1" si="7"/>
        <v>0</v>
      </c>
      <c r="AE16" s="1079">
        <f t="shared" si="8"/>
        <v>0</v>
      </c>
      <c r="AF16" s="1072">
        <f t="shared" ca="1" si="9"/>
        <v>0</v>
      </c>
    </row>
    <row r="17" spans="1:32" ht="13.5" thickBot="1" x14ac:dyDescent="0.25">
      <c r="A17" s="1063" t="s">
        <v>39</v>
      </c>
      <c r="B17" s="1064">
        <f ca="1">SUM(Budget!EL$180:EL$183,Budget!EL$215:EL$224)</f>
        <v>900</v>
      </c>
      <c r="C17" s="1064">
        <f ca="1">SUM(Budget!EM$180:EM$183,Budget!EM$215:EM$224)</f>
        <v>0</v>
      </c>
      <c r="D17" s="1064">
        <f ca="1">SUM(Budget!EN$180:EN$183,Budget!EN$215:EN$224)</f>
        <v>0</v>
      </c>
      <c r="E17" s="1064">
        <f ca="1">SUM(Budget!EO$180:EO$183,Budget!EO$215:EO$224)</f>
        <v>0</v>
      </c>
      <c r="F17" s="1064">
        <f ca="1">SUM(Budget!EP$180:EP$183,Budget!EP$215:EP$224)</f>
        <v>0</v>
      </c>
      <c r="G17" s="1064">
        <f ca="1">SUM(Budget!EQ$180:EQ$183,Budget!EQ$215:EQ$224)</f>
        <v>0</v>
      </c>
      <c r="H17" s="1066">
        <f t="shared" ca="1" si="0"/>
        <v>900</v>
      </c>
      <c r="K17" s="1070" t="s">
        <v>39</v>
      </c>
      <c r="L17" s="1034">
        <f ca="1">Budget!D288-L16</f>
        <v>900</v>
      </c>
      <c r="M17" s="321">
        <f>Budget!BR288-M16</f>
        <v>0</v>
      </c>
      <c r="N17" s="577">
        <f t="shared" ca="1" si="1"/>
        <v>900</v>
      </c>
      <c r="O17" s="1034">
        <f ca="1">Budget!E288-O16</f>
        <v>0</v>
      </c>
      <c r="P17" s="321">
        <f>Budget!BS288-P16</f>
        <v>0</v>
      </c>
      <c r="Q17" s="577">
        <f t="shared" ca="1" si="2"/>
        <v>0</v>
      </c>
      <c r="R17" s="1034">
        <f ca="1">Budget!F288-R16</f>
        <v>0</v>
      </c>
      <c r="S17" s="321">
        <f>Budget!BT288-S16</f>
        <v>0</v>
      </c>
      <c r="T17" s="630">
        <f t="shared" ca="1" si="3"/>
        <v>0</v>
      </c>
      <c r="U17" s="1034">
        <f ca="1">Budget!G288-U16</f>
        <v>0</v>
      </c>
      <c r="V17" s="321">
        <f>Budget!BU288-V16</f>
        <v>0</v>
      </c>
      <c r="W17" s="577">
        <f t="shared" ca="1" si="4"/>
        <v>0</v>
      </c>
      <c r="X17" s="1034">
        <f ca="1">Budget!H288-X16</f>
        <v>0</v>
      </c>
      <c r="Y17" s="321">
        <f>Budget!BV288-Y16</f>
        <v>0</v>
      </c>
      <c r="Z17" s="577">
        <f t="shared" ca="1" si="5"/>
        <v>0</v>
      </c>
      <c r="AA17" s="1034">
        <f ca="1">Budget!I288-AA16</f>
        <v>0</v>
      </c>
      <c r="AB17" s="321">
        <f>Budget!BW288-AB16</f>
        <v>0</v>
      </c>
      <c r="AC17" s="630">
        <f t="shared" ca="1" si="6"/>
        <v>0</v>
      </c>
      <c r="AD17" s="1071">
        <f t="shared" ca="1" si="7"/>
        <v>900</v>
      </c>
      <c r="AE17" s="1079">
        <f t="shared" si="8"/>
        <v>0</v>
      </c>
      <c r="AF17" s="1072">
        <f t="shared" ca="1" si="9"/>
        <v>900</v>
      </c>
    </row>
    <row r="18" spans="1:32" x14ac:dyDescent="0.2">
      <c r="A18" s="1026" t="s">
        <v>226</v>
      </c>
      <c r="B18" s="1027">
        <f ca="1">Budget!EL$290</f>
        <v>50000</v>
      </c>
      <c r="C18" s="1027">
        <f ca="1">Budget!EM$290</f>
        <v>0</v>
      </c>
      <c r="D18" s="1027">
        <f ca="1">Budget!EN$290</f>
        <v>0</v>
      </c>
      <c r="E18" s="1027">
        <f ca="1">Budget!EO$290</f>
        <v>0</v>
      </c>
      <c r="F18" s="1027">
        <f ca="1">Budget!EP$290</f>
        <v>0</v>
      </c>
      <c r="G18" s="1027">
        <f ca="1">Budget!EQ$290</f>
        <v>0</v>
      </c>
      <c r="H18" s="1067">
        <f t="shared" ca="1" si="0"/>
        <v>50000</v>
      </c>
      <c r="K18" s="1073" t="s">
        <v>226</v>
      </c>
      <c r="L18" s="1074">
        <f ca="1">Budget!D290</f>
        <v>50000.337972000001</v>
      </c>
      <c r="M18" s="972">
        <f ca="1">Budget!BR290</f>
        <v>0</v>
      </c>
      <c r="N18" s="276">
        <f t="shared" ca="1" si="1"/>
        <v>50000.337972000001</v>
      </c>
      <c r="O18" s="1074">
        <f ca="1">Budget!E290</f>
        <v>0</v>
      </c>
      <c r="P18" s="972">
        <f ca="1">Budget!BS290</f>
        <v>0</v>
      </c>
      <c r="Q18" s="276">
        <f t="shared" ca="1" si="2"/>
        <v>0</v>
      </c>
      <c r="R18" s="1074">
        <f ca="1">Budget!F290</f>
        <v>0</v>
      </c>
      <c r="S18" s="972">
        <f ca="1">Budget!BT290</f>
        <v>0</v>
      </c>
      <c r="T18" s="1075">
        <f t="shared" ca="1" si="3"/>
        <v>0</v>
      </c>
      <c r="U18" s="1074">
        <f ca="1">Budget!G290</f>
        <v>0</v>
      </c>
      <c r="V18" s="972">
        <f ca="1">Budget!BU290</f>
        <v>0</v>
      </c>
      <c r="W18" s="276">
        <f t="shared" ca="1" si="4"/>
        <v>0</v>
      </c>
      <c r="X18" s="1074">
        <f ca="1">Budget!H290</f>
        <v>0</v>
      </c>
      <c r="Y18" s="972">
        <f ca="1">Budget!BV290</f>
        <v>0</v>
      </c>
      <c r="Z18" s="276">
        <f t="shared" ca="1" si="5"/>
        <v>0</v>
      </c>
      <c r="AA18" s="1074">
        <f ca="1">Budget!I290</f>
        <v>0</v>
      </c>
      <c r="AB18" s="972">
        <f ca="1">Budget!BW290</f>
        <v>0</v>
      </c>
      <c r="AC18" s="1075">
        <f t="shared" ca="1" si="6"/>
        <v>0</v>
      </c>
      <c r="AD18" s="1076">
        <f t="shared" ca="1" si="7"/>
        <v>50000.337972000001</v>
      </c>
      <c r="AE18" s="1080">
        <f t="shared" ca="1" si="8"/>
        <v>0</v>
      </c>
      <c r="AF18" s="1077">
        <f t="shared" ca="1" si="9"/>
        <v>50000.337972000001</v>
      </c>
    </row>
    <row r="19" spans="1:32" x14ac:dyDescent="0.2">
      <c r="A19" s="1057" t="s">
        <v>354</v>
      </c>
      <c r="B19" s="1058">
        <f ca="1">Budget!EL$292</f>
        <v>50000</v>
      </c>
      <c r="C19" s="1058">
        <f ca="1">Budget!EM$292</f>
        <v>0</v>
      </c>
      <c r="D19" s="1058">
        <f ca="1">Budget!EN$292</f>
        <v>0</v>
      </c>
      <c r="E19" s="1058">
        <f ca="1">Budget!EO$292</f>
        <v>0</v>
      </c>
      <c r="F19" s="1058">
        <f ca="1">Budget!EP$292</f>
        <v>0</v>
      </c>
      <c r="G19" s="1058">
        <f ca="1">Budget!EQ$292</f>
        <v>0</v>
      </c>
      <c r="H19" s="1059">
        <f t="shared" ca="1" si="0"/>
        <v>50000</v>
      </c>
      <c r="K19" s="1081" t="s">
        <v>354</v>
      </c>
      <c r="L19" s="1082">
        <f ca="1">Budget!D292</f>
        <v>50000.337972000001</v>
      </c>
      <c r="M19" s="1083">
        <f ca="1">Budget!BR292</f>
        <v>0</v>
      </c>
      <c r="N19" s="88">
        <f t="shared" ca="1" si="1"/>
        <v>50000.337972000001</v>
      </c>
      <c r="O19" s="1082">
        <f ca="1">Budget!E292</f>
        <v>0</v>
      </c>
      <c r="P19" s="1083">
        <f ca="1">Budget!BS292</f>
        <v>0</v>
      </c>
      <c r="Q19" s="88">
        <f t="shared" ca="1" si="2"/>
        <v>0</v>
      </c>
      <c r="R19" s="1082">
        <f ca="1">Budget!F292</f>
        <v>0</v>
      </c>
      <c r="S19" s="1083">
        <f ca="1">Budget!BT292</f>
        <v>0</v>
      </c>
      <c r="T19" s="1087">
        <f t="shared" ca="1" si="3"/>
        <v>0</v>
      </c>
      <c r="U19" s="1082">
        <f ca="1">Budget!G292</f>
        <v>0</v>
      </c>
      <c r="V19" s="1083">
        <f ca="1">Budget!BU292</f>
        <v>0</v>
      </c>
      <c r="W19" s="88">
        <f t="shared" ca="1" si="4"/>
        <v>0</v>
      </c>
      <c r="X19" s="1082">
        <f ca="1">Budget!H292</f>
        <v>0</v>
      </c>
      <c r="Y19" s="1083">
        <f ca="1">Budget!BV292</f>
        <v>0</v>
      </c>
      <c r="Z19" s="88">
        <f t="shared" ca="1" si="5"/>
        <v>0</v>
      </c>
      <c r="AA19" s="1082">
        <f ca="1">Budget!I292</f>
        <v>0</v>
      </c>
      <c r="AB19" s="1083">
        <f ca="1">Budget!BW292</f>
        <v>0</v>
      </c>
      <c r="AC19" s="1087">
        <f t="shared" ca="1" si="6"/>
        <v>0</v>
      </c>
      <c r="AD19" s="1088">
        <f t="shared" ca="1" si="7"/>
        <v>50000.337972000001</v>
      </c>
      <c r="AE19" s="1089">
        <f t="shared" ca="1" si="8"/>
        <v>0</v>
      </c>
      <c r="AF19" s="164">
        <f t="shared" ca="1" si="9"/>
        <v>50000.337972000001</v>
      </c>
    </row>
    <row r="20" spans="1:32" ht="13.5" thickBot="1" x14ac:dyDescent="0.25">
      <c r="A20" s="1063" t="s">
        <v>373</v>
      </c>
      <c r="B20" s="1068">
        <f ca="1">Budget!EL$293</f>
        <v>0</v>
      </c>
      <c r="C20" s="1068">
        <f ca="1">Budget!EM$293</f>
        <v>0</v>
      </c>
      <c r="D20" s="1068">
        <f ca="1">Budget!EN$293</f>
        <v>0</v>
      </c>
      <c r="E20" s="1068">
        <f ca="1">Budget!EO$293</f>
        <v>0</v>
      </c>
      <c r="F20" s="1068">
        <f ca="1">Budget!EP$293</f>
        <v>0</v>
      </c>
      <c r="G20" s="1068">
        <f ca="1">Budget!EQ$293</f>
        <v>0</v>
      </c>
      <c r="H20" s="1025">
        <f t="shared" ca="1" si="0"/>
        <v>0</v>
      </c>
      <c r="K20" s="1033" t="s">
        <v>373</v>
      </c>
      <c r="L20" s="1034">
        <f ca="1">Budget!D293</f>
        <v>0</v>
      </c>
      <c r="M20" s="321">
        <f ca="1">Budget!BR293</f>
        <v>0</v>
      </c>
      <c r="N20" s="577">
        <f t="shared" ca="1" si="1"/>
        <v>0</v>
      </c>
      <c r="O20" s="1034">
        <f ca="1">Budget!E293</f>
        <v>0</v>
      </c>
      <c r="P20" s="321">
        <f ca="1">Budget!BS293</f>
        <v>0</v>
      </c>
      <c r="Q20" s="577">
        <f t="shared" ca="1" si="2"/>
        <v>0</v>
      </c>
      <c r="R20" s="1034">
        <f ca="1">Budget!F293</f>
        <v>0</v>
      </c>
      <c r="S20" s="321">
        <f ca="1">Budget!BT293</f>
        <v>0</v>
      </c>
      <c r="T20" s="630">
        <f t="shared" ca="1" si="3"/>
        <v>0</v>
      </c>
      <c r="U20" s="1034">
        <f ca="1">Budget!G293</f>
        <v>0</v>
      </c>
      <c r="V20" s="321">
        <f ca="1">Budget!BU293</f>
        <v>0</v>
      </c>
      <c r="W20" s="577">
        <f t="shared" ca="1" si="4"/>
        <v>0</v>
      </c>
      <c r="X20" s="1034">
        <f ca="1">Budget!H293</f>
        <v>0</v>
      </c>
      <c r="Y20" s="321">
        <f ca="1">Budget!BV293</f>
        <v>0</v>
      </c>
      <c r="Z20" s="577">
        <f t="shared" ca="1" si="5"/>
        <v>0</v>
      </c>
      <c r="AA20" s="1034">
        <f ca="1">Budget!I293</f>
        <v>0</v>
      </c>
      <c r="AB20" s="321">
        <f ca="1">Budget!BW293</f>
        <v>0</v>
      </c>
      <c r="AC20" s="630">
        <f t="shared" ca="1" si="6"/>
        <v>0</v>
      </c>
      <c r="AD20" s="1071">
        <f t="shared" ca="1" si="7"/>
        <v>0</v>
      </c>
      <c r="AE20" s="1079">
        <f t="shared" ca="1" si="8"/>
        <v>0</v>
      </c>
      <c r="AF20" s="1072">
        <f t="shared" ca="1" si="9"/>
        <v>0</v>
      </c>
    </row>
    <row r="21" spans="1:32" ht="13.5" thickBot="1" x14ac:dyDescent="0.25">
      <c r="A21" s="1026" t="s">
        <v>259</v>
      </c>
      <c r="B21" s="1027">
        <f t="shared" ref="B21:H21" ca="1" si="10">B18+B20</f>
        <v>50000</v>
      </c>
      <c r="C21" s="1027">
        <f t="shared" ca="1" si="10"/>
        <v>0</v>
      </c>
      <c r="D21" s="1027">
        <f t="shared" ca="1" si="10"/>
        <v>0</v>
      </c>
      <c r="E21" s="1027">
        <f t="shared" ca="1" si="10"/>
        <v>0</v>
      </c>
      <c r="F21" s="1027">
        <f t="shared" ca="1" si="10"/>
        <v>0</v>
      </c>
      <c r="G21" s="1027">
        <f t="shared" ca="1" si="10"/>
        <v>0</v>
      </c>
      <c r="H21" s="1028">
        <f t="shared" ca="1" si="10"/>
        <v>50000</v>
      </c>
      <c r="K21" s="1035" t="s">
        <v>259</v>
      </c>
      <c r="L21" s="1036">
        <f ca="1">Budget!D295</f>
        <v>50000.337972000001</v>
      </c>
      <c r="M21" s="1037">
        <f ca="1">Budget!BR295</f>
        <v>0</v>
      </c>
      <c r="N21" s="631">
        <f t="shared" ca="1" si="1"/>
        <v>50000.337972000001</v>
      </c>
      <c r="O21" s="1036">
        <f ca="1">Budget!E295</f>
        <v>0</v>
      </c>
      <c r="P21" s="1037">
        <f ca="1">Budget!BS295</f>
        <v>0</v>
      </c>
      <c r="Q21" s="631">
        <f t="shared" ca="1" si="2"/>
        <v>0</v>
      </c>
      <c r="R21" s="1036">
        <f ca="1">Budget!F295</f>
        <v>0</v>
      </c>
      <c r="S21" s="1037">
        <f ca="1">Budget!BT295</f>
        <v>0</v>
      </c>
      <c r="T21" s="632">
        <f t="shared" ca="1" si="3"/>
        <v>0</v>
      </c>
      <c r="U21" s="1036">
        <f ca="1">Budget!G295</f>
        <v>0</v>
      </c>
      <c r="V21" s="1037">
        <f ca="1">Budget!BU295</f>
        <v>0</v>
      </c>
      <c r="W21" s="631">
        <f t="shared" ca="1" si="4"/>
        <v>0</v>
      </c>
      <c r="X21" s="1036">
        <f ca="1">Budget!H295</f>
        <v>0</v>
      </c>
      <c r="Y21" s="1037">
        <f ca="1">Budget!BV295</f>
        <v>0</v>
      </c>
      <c r="Z21" s="631">
        <f t="shared" ca="1" si="5"/>
        <v>0</v>
      </c>
      <c r="AA21" s="1036">
        <f ca="1">Budget!I295</f>
        <v>0</v>
      </c>
      <c r="AB21" s="1037">
        <f ca="1">Budget!BW295</f>
        <v>0</v>
      </c>
      <c r="AC21" s="632">
        <f t="shared" ca="1" si="6"/>
        <v>0</v>
      </c>
      <c r="AD21" s="1084">
        <f t="shared" ca="1" si="7"/>
        <v>50000.337972000001</v>
      </c>
      <c r="AE21" s="1085">
        <f t="shared" ca="1" si="8"/>
        <v>0</v>
      </c>
      <c r="AF21" s="1086">
        <f t="shared" ca="1" si="9"/>
        <v>50000.337972000001</v>
      </c>
    </row>
    <row r="22" spans="1:32" x14ac:dyDescent="0.2">
      <c r="H22" s="2314"/>
      <c r="L22" s="1150" t="s">
        <v>476</v>
      </c>
    </row>
    <row r="23" spans="1:32" x14ac:dyDescent="0.2">
      <c r="J23" s="3457"/>
      <c r="K23" s="3457"/>
      <c r="L23" s="3457"/>
      <c r="M23" s="3457"/>
      <c r="N23" s="3457"/>
      <c r="O23" s="3457"/>
      <c r="P23" s="3457"/>
      <c r="Q23" s="3457"/>
    </row>
    <row r="24" spans="1:32" ht="16.5" thickBot="1" x14ac:dyDescent="0.3">
      <c r="A24" s="2414" t="s">
        <v>715</v>
      </c>
      <c r="B24" s="2375"/>
      <c r="C24" s="2375"/>
      <c r="D24" s="4"/>
      <c r="E24" s="4"/>
      <c r="F24" s="4"/>
      <c r="G24" s="4"/>
      <c r="H24" s="4"/>
      <c r="K24" s="1069" t="s">
        <v>652</v>
      </c>
    </row>
    <row r="25" spans="1:32" ht="12.75" customHeight="1" thickBot="1" x14ac:dyDescent="0.25">
      <c r="A25" s="1017" t="s">
        <v>265</v>
      </c>
      <c r="B25" s="1479" t="str">
        <f>Budget!N$12</f>
        <v>Period 1</v>
      </c>
      <c r="C25" s="1479" t="str">
        <f>Budget!O$12</f>
        <v>Period 2</v>
      </c>
      <c r="D25" s="1479" t="str">
        <f>Budget!P$12</f>
        <v>Period 3</v>
      </c>
      <c r="E25" s="1479" t="str">
        <f>Budget!Q$12</f>
        <v>Period 4</v>
      </c>
      <c r="F25" s="1479" t="str">
        <f>Budget!R$12</f>
        <v>Period 5</v>
      </c>
      <c r="G25" s="1479" t="str">
        <f>Budget!S$12</f>
        <v>Period 6</v>
      </c>
      <c r="H25" s="1018" t="s">
        <v>85</v>
      </c>
      <c r="K25" s="3458" t="s">
        <v>315</v>
      </c>
      <c r="L25" s="3460" t="s">
        <v>148</v>
      </c>
      <c r="M25" s="3461"/>
      <c r="N25" s="3462" t="s">
        <v>653</v>
      </c>
      <c r="O25" s="3460" t="s">
        <v>149</v>
      </c>
      <c r="P25" s="3461"/>
      <c r="Q25" s="3462" t="s">
        <v>654</v>
      </c>
      <c r="R25" s="3460" t="s">
        <v>150</v>
      </c>
      <c r="S25" s="3461"/>
      <c r="T25" s="3462" t="s">
        <v>655</v>
      </c>
      <c r="U25" s="3460" t="s">
        <v>151</v>
      </c>
      <c r="V25" s="3461"/>
      <c r="W25" s="3462" t="s">
        <v>656</v>
      </c>
      <c r="X25" s="3460" t="s">
        <v>595</v>
      </c>
      <c r="Y25" s="3461"/>
      <c r="Z25" s="3462" t="s">
        <v>657</v>
      </c>
      <c r="AA25" s="3460" t="s">
        <v>596</v>
      </c>
      <c r="AB25" s="3461"/>
      <c r="AC25" s="3462" t="s">
        <v>320</v>
      </c>
      <c r="AD25" s="3466" t="s">
        <v>321</v>
      </c>
      <c r="AE25" s="3468" t="s">
        <v>322</v>
      </c>
      <c r="AF25" s="3464" t="s">
        <v>230</v>
      </c>
    </row>
    <row r="26" spans="1:32" ht="12.75" customHeight="1" x14ac:dyDescent="0.2">
      <c r="A26" s="1019" t="s">
        <v>221</v>
      </c>
      <c r="B26" s="1020">
        <f ca="1">Budget!$D84*(1+Budget!$D$294)</f>
        <v>33031.995999999999</v>
      </c>
      <c r="C26" s="1020">
        <f ca="1">Budget!$E84*(1+Budget!$E$294)</f>
        <v>0</v>
      </c>
      <c r="D26" s="1020">
        <f ca="1">Budget!$F84*(1+Budget!$F$294)</f>
        <v>0</v>
      </c>
      <c r="E26" s="1020">
        <f ca="1">Budget!$G84*(1+Budget!$G$294)</f>
        <v>0</v>
      </c>
      <c r="F26" s="1020">
        <f ca="1">Budget!$H84*(1+Budget!$H$294)</f>
        <v>0</v>
      </c>
      <c r="G26" s="1020">
        <f ca="1">Budget!$I84*(1+Budget!$I$294)</f>
        <v>0</v>
      </c>
      <c r="H26" s="1021">
        <f t="shared" ref="H26:H33" ca="1" si="11">SUM(B26:G26)</f>
        <v>33031.995999999999</v>
      </c>
      <c r="K26" s="3459"/>
      <c r="L26" s="592" t="s">
        <v>62</v>
      </c>
      <c r="M26" s="124" t="s">
        <v>311</v>
      </c>
      <c r="N26" s="3463"/>
      <c r="O26" s="592" t="s">
        <v>62</v>
      </c>
      <c r="P26" s="124" t="s">
        <v>311</v>
      </c>
      <c r="Q26" s="3463"/>
      <c r="R26" s="592" t="s">
        <v>62</v>
      </c>
      <c r="S26" s="124" t="s">
        <v>311</v>
      </c>
      <c r="T26" s="3463"/>
      <c r="U26" s="592" t="s">
        <v>62</v>
      </c>
      <c r="V26" s="124" t="s">
        <v>311</v>
      </c>
      <c r="W26" s="3463"/>
      <c r="X26" s="592" t="s">
        <v>62</v>
      </c>
      <c r="Y26" s="124" t="s">
        <v>311</v>
      </c>
      <c r="Z26" s="3463"/>
      <c r="AA26" s="592" t="s">
        <v>62</v>
      </c>
      <c r="AB26" s="124" t="s">
        <v>311</v>
      </c>
      <c r="AC26" s="3463"/>
      <c r="AD26" s="3467"/>
      <c r="AE26" s="3469"/>
      <c r="AF26" s="3465"/>
    </row>
    <row r="27" spans="1:32" ht="12.75" customHeight="1" x14ac:dyDescent="0.2">
      <c r="A27" s="1022" t="s">
        <v>136</v>
      </c>
      <c r="B27" s="1023">
        <f ca="1">Budget!$D155*(1+Budget!$D$294)</f>
        <v>13578.471971999999</v>
      </c>
      <c r="C27" s="1023">
        <f ca="1">Budget!$E155*(1+Budget!$E$294)</f>
        <v>0</v>
      </c>
      <c r="D27" s="1023">
        <f ca="1">Budget!$F155*(1+Budget!$F$294)</f>
        <v>0</v>
      </c>
      <c r="E27" s="1023">
        <f ca="1">Budget!$G155*(1+Budget!$G$294)</f>
        <v>0</v>
      </c>
      <c r="F27" s="1023">
        <f ca="1">Budget!$H155*(1+Budget!$H$294)</f>
        <v>0</v>
      </c>
      <c r="G27" s="1023">
        <f ca="1">Budget!$I155*(1+Budget!$I$294)</f>
        <v>0</v>
      </c>
      <c r="H27" s="1024">
        <f t="shared" ca="1" si="11"/>
        <v>13578.471971999999</v>
      </c>
      <c r="K27" s="593" t="s">
        <v>221</v>
      </c>
      <c r="L27" s="575">
        <f ca="1">Budget!D100</f>
        <v>0</v>
      </c>
      <c r="M27" s="5">
        <f ca="1">Budget!BR100</f>
        <v>0</v>
      </c>
      <c r="N27" s="573">
        <f t="shared" ref="N27:N34" ca="1" si="12">SUM(L27:M27)</f>
        <v>0</v>
      </c>
      <c r="O27" s="575">
        <f ca="1">Budget!E100</f>
        <v>0</v>
      </c>
      <c r="P27" s="5">
        <f ca="1">Budget!BS100</f>
        <v>0</v>
      </c>
      <c r="Q27" s="573">
        <f t="shared" ref="Q27:Q34" ca="1" si="13">SUM(O27:P27)</f>
        <v>0</v>
      </c>
      <c r="R27" s="575">
        <f ca="1">Budget!F100</f>
        <v>0</v>
      </c>
      <c r="S27" s="5">
        <f ca="1">Budget!BT100</f>
        <v>0</v>
      </c>
      <c r="T27" s="629">
        <f t="shared" ref="T27:T34" ca="1" si="14">SUM(R27:S27)</f>
        <v>0</v>
      </c>
      <c r="U27" s="575">
        <f ca="1">Budget!G100</f>
        <v>0</v>
      </c>
      <c r="V27" s="5">
        <f ca="1">Budget!BU100</f>
        <v>0</v>
      </c>
      <c r="W27" s="573">
        <f t="shared" ref="W27:W34" ca="1" si="15">SUM(U27:V27)</f>
        <v>0</v>
      </c>
      <c r="X27" s="575">
        <f ca="1">Budget!H100</f>
        <v>0</v>
      </c>
      <c r="Y27" s="5">
        <f ca="1">Budget!BV100</f>
        <v>0</v>
      </c>
      <c r="Z27" s="573">
        <f t="shared" ref="Z27:Z34" ca="1" si="16">SUM(X27:Y27)</f>
        <v>0</v>
      </c>
      <c r="AA27" s="575">
        <f ca="1">Budget!I100</f>
        <v>0</v>
      </c>
      <c r="AB27" s="5">
        <f ca="1">Budget!BW100</f>
        <v>0</v>
      </c>
      <c r="AC27" s="629">
        <f t="shared" ref="AC27:AC34" ca="1" si="17">SUM(AA27:AB27)</f>
        <v>0</v>
      </c>
      <c r="AD27" s="583">
        <f t="shared" ref="AD27:AE34" ca="1" si="18">SUM(L27,O27,R27,U27,X27,AA27)</f>
        <v>0</v>
      </c>
      <c r="AE27" s="1078">
        <f t="shared" ca="1" si="18"/>
        <v>0</v>
      </c>
      <c r="AF27" s="584">
        <f t="shared" ref="AF27:AF34" ca="1" si="19">SUM(AD27:AE27)</f>
        <v>0</v>
      </c>
    </row>
    <row r="28" spans="1:32" ht="12.75" customHeight="1" x14ac:dyDescent="0.2">
      <c r="A28" s="1022" t="s">
        <v>146</v>
      </c>
      <c r="B28" s="1023">
        <f>Budget!$D165</f>
        <v>0</v>
      </c>
      <c r="C28" s="1023">
        <f>Budget!$E165</f>
        <v>0</v>
      </c>
      <c r="D28" s="1023">
        <f>Budget!$F165</f>
        <v>0</v>
      </c>
      <c r="E28" s="1023">
        <f>Budget!$G165</f>
        <v>0</v>
      </c>
      <c r="F28" s="1023">
        <f>Budget!$H165</f>
        <v>0</v>
      </c>
      <c r="G28" s="1023">
        <f>Budget!$I165</f>
        <v>0</v>
      </c>
      <c r="H28" s="1024">
        <f t="shared" si="11"/>
        <v>0</v>
      </c>
      <c r="K28" s="593" t="s">
        <v>136</v>
      </c>
      <c r="L28" s="575">
        <f>Budget!D174</f>
        <v>0</v>
      </c>
      <c r="M28" s="5">
        <f>Budget!BR174</f>
        <v>0</v>
      </c>
      <c r="N28" s="573">
        <f t="shared" si="12"/>
        <v>0</v>
      </c>
      <c r="O28" s="575">
        <f>Budget!E174</f>
        <v>0</v>
      </c>
      <c r="P28" s="5">
        <f>Budget!BS174</f>
        <v>0</v>
      </c>
      <c r="Q28" s="573">
        <f t="shared" si="13"/>
        <v>0</v>
      </c>
      <c r="R28" s="575">
        <f>Budget!F174</f>
        <v>0</v>
      </c>
      <c r="S28" s="5">
        <f>Budget!BT174</f>
        <v>0</v>
      </c>
      <c r="T28" s="629">
        <f t="shared" si="14"/>
        <v>0</v>
      </c>
      <c r="U28" s="575">
        <f>Budget!G174</f>
        <v>0</v>
      </c>
      <c r="V28" s="5">
        <f>Budget!BU174</f>
        <v>0</v>
      </c>
      <c r="W28" s="573">
        <f t="shared" si="15"/>
        <v>0</v>
      </c>
      <c r="X28" s="575">
        <f>Budget!H174</f>
        <v>0</v>
      </c>
      <c r="Y28" s="5">
        <f>Budget!BV174</f>
        <v>0</v>
      </c>
      <c r="Z28" s="573">
        <f t="shared" si="16"/>
        <v>0</v>
      </c>
      <c r="AA28" s="575">
        <f>Budget!I174</f>
        <v>0</v>
      </c>
      <c r="AB28" s="5">
        <f>Budget!BW174</f>
        <v>0</v>
      </c>
      <c r="AC28" s="629">
        <f t="shared" si="17"/>
        <v>0</v>
      </c>
      <c r="AD28" s="583">
        <f t="shared" si="18"/>
        <v>0</v>
      </c>
      <c r="AE28" s="1078">
        <f t="shared" si="18"/>
        <v>0</v>
      </c>
      <c r="AF28" s="584">
        <f t="shared" si="19"/>
        <v>0</v>
      </c>
    </row>
    <row r="29" spans="1:32" ht="12.75" customHeight="1" x14ac:dyDescent="0.2">
      <c r="A29" s="1022" t="s">
        <v>12</v>
      </c>
      <c r="B29" s="1023">
        <f ca="1">Budget!$D170*(1+Budget!$D$294)</f>
        <v>2489.87</v>
      </c>
      <c r="C29" s="1023">
        <f ca="1">Budget!$E170*(1+Budget!$E$294)</f>
        <v>0</v>
      </c>
      <c r="D29" s="1023">
        <f ca="1">Budget!$F170*(1+Budget!$F$294)</f>
        <v>0</v>
      </c>
      <c r="E29" s="1023">
        <f ca="1">Budget!$G170*(1+Budget!$G$294)</f>
        <v>0</v>
      </c>
      <c r="F29" s="1023">
        <f ca="1">Budget!$H170*(1+Budget!$H$294)</f>
        <v>0</v>
      </c>
      <c r="G29" s="1023">
        <f ca="1">Budget!$I170*(1+Budget!$I$294)</f>
        <v>0</v>
      </c>
      <c r="H29" s="1024">
        <f t="shared" ca="1" si="11"/>
        <v>2489.87</v>
      </c>
      <c r="K29" s="593" t="s">
        <v>146</v>
      </c>
      <c r="L29" s="575">
        <f>Budget!D181</f>
        <v>0</v>
      </c>
      <c r="M29" s="5">
        <f>Budget!BR181</f>
        <v>0</v>
      </c>
      <c r="N29" s="573">
        <f t="shared" si="12"/>
        <v>0</v>
      </c>
      <c r="O29" s="575">
        <f>Budget!E181</f>
        <v>0</v>
      </c>
      <c r="P29" s="5">
        <f>Budget!BS181</f>
        <v>0</v>
      </c>
      <c r="Q29" s="573">
        <f t="shared" si="13"/>
        <v>0</v>
      </c>
      <c r="R29" s="575">
        <f>Budget!F181</f>
        <v>0</v>
      </c>
      <c r="S29" s="5">
        <f>Budget!BT181</f>
        <v>0</v>
      </c>
      <c r="T29" s="629">
        <f t="shared" si="14"/>
        <v>0</v>
      </c>
      <c r="U29" s="575">
        <f>Budget!G181</f>
        <v>0</v>
      </c>
      <c r="V29" s="5">
        <f>Budget!BU181</f>
        <v>0</v>
      </c>
      <c r="W29" s="573">
        <f t="shared" si="15"/>
        <v>0</v>
      </c>
      <c r="X29" s="575">
        <f>Budget!H181</f>
        <v>0</v>
      </c>
      <c r="Y29" s="5">
        <f>Budget!BV181</f>
        <v>0</v>
      </c>
      <c r="Z29" s="573">
        <f t="shared" si="16"/>
        <v>0</v>
      </c>
      <c r="AA29" s="575">
        <f>Budget!I181</f>
        <v>0</v>
      </c>
      <c r="AB29" s="5">
        <f>Budget!BW181</f>
        <v>0</v>
      </c>
      <c r="AC29" s="629">
        <f t="shared" si="17"/>
        <v>0</v>
      </c>
      <c r="AD29" s="583">
        <f t="shared" si="18"/>
        <v>0</v>
      </c>
      <c r="AE29" s="1078">
        <f t="shared" si="18"/>
        <v>0</v>
      </c>
      <c r="AF29" s="584">
        <f t="shared" si="19"/>
        <v>0</v>
      </c>
    </row>
    <row r="30" spans="1:32" ht="12.75" customHeight="1" x14ac:dyDescent="0.2">
      <c r="A30" s="1022" t="s">
        <v>159</v>
      </c>
      <c r="B30" s="1023">
        <f>Budget!$D177</f>
        <v>0</v>
      </c>
      <c r="C30" s="1023">
        <f>Budget!$E177</f>
        <v>0</v>
      </c>
      <c r="D30" s="1023">
        <f>Budget!$F177</f>
        <v>0</v>
      </c>
      <c r="E30" s="1023">
        <f>Budget!$G177</f>
        <v>0</v>
      </c>
      <c r="F30" s="1023">
        <f>Budget!$H177</f>
        <v>0</v>
      </c>
      <c r="G30" s="1023">
        <f>Budget!$I177</f>
        <v>0</v>
      </c>
      <c r="H30" s="1024">
        <f t="shared" si="11"/>
        <v>0</v>
      </c>
      <c r="K30" s="593" t="s">
        <v>12</v>
      </c>
      <c r="L30" s="575">
        <f>Budget!D186</f>
        <v>0</v>
      </c>
      <c r="M30" s="5">
        <f>Budget!BR186</f>
        <v>0</v>
      </c>
      <c r="N30" s="573">
        <f t="shared" si="12"/>
        <v>0</v>
      </c>
      <c r="O30" s="575">
        <f>Budget!E186</f>
        <v>0</v>
      </c>
      <c r="P30" s="5">
        <f>Budget!BS186</f>
        <v>0</v>
      </c>
      <c r="Q30" s="573">
        <f t="shared" si="13"/>
        <v>0</v>
      </c>
      <c r="R30" s="575">
        <f>Budget!F186</f>
        <v>0</v>
      </c>
      <c r="S30" s="5">
        <f>Budget!BT186</f>
        <v>0</v>
      </c>
      <c r="T30" s="629">
        <f t="shared" si="14"/>
        <v>0</v>
      </c>
      <c r="U30" s="575">
        <f>Budget!G186</f>
        <v>0</v>
      </c>
      <c r="V30" s="5">
        <f>Budget!BU186</f>
        <v>0</v>
      </c>
      <c r="W30" s="573">
        <f t="shared" si="15"/>
        <v>0</v>
      </c>
      <c r="X30" s="575">
        <f>Budget!H186</f>
        <v>0</v>
      </c>
      <c r="Y30" s="5">
        <f>Budget!BV186</f>
        <v>0</v>
      </c>
      <c r="Z30" s="573">
        <f t="shared" si="16"/>
        <v>0</v>
      </c>
      <c r="AA30" s="575">
        <f>Budget!I186</f>
        <v>0</v>
      </c>
      <c r="AB30" s="5">
        <f>Budget!BW186</f>
        <v>0</v>
      </c>
      <c r="AC30" s="629">
        <f t="shared" si="17"/>
        <v>0</v>
      </c>
      <c r="AD30" s="583">
        <f t="shared" si="18"/>
        <v>0</v>
      </c>
      <c r="AE30" s="1078">
        <f t="shared" si="18"/>
        <v>0</v>
      </c>
      <c r="AF30" s="584">
        <f t="shared" si="19"/>
        <v>0</v>
      </c>
    </row>
    <row r="31" spans="1:32" ht="12.75" customHeight="1" x14ac:dyDescent="0.2">
      <c r="A31" s="1022" t="s">
        <v>260</v>
      </c>
      <c r="B31" s="1023">
        <f xml:space="preserve"> (1+'DATA INPUT'!$F$125) * SUMIF(Budget!$C$184:'Budget'!$C$213,"First*",Budget!EL$184:'Budget'!EL$213) + SUMIF(Budget!$C$184:'Budget'!$C$213,"Remaining*",Budget!EL$184:'Budget'!EL$213)</f>
        <v>0</v>
      </c>
      <c r="C31" s="1023">
        <f xml:space="preserve"> (1+'DATA INPUT'!$F$125) * SUMIF(Budget!$C$184:'Budget'!$C$213,"First*",Budget!EM$184:'Budget'!EM$213) + SUMIF(Budget!$C$184:'Budget'!$C$213,"Remaining*",Budget!EM$184:'Budget'!EM$213)</f>
        <v>0</v>
      </c>
      <c r="D31" s="1023">
        <f xml:space="preserve"> (1+'DATA INPUT'!$F$125) * SUMIF(Budget!$C$184:'Budget'!$C$213,"First*",Budget!EN$184:'Budget'!EN$213) + SUMIF(Budget!$C$184:'Budget'!$C$213,"Remaining*",Budget!EN$184:'Budget'!EN$213)</f>
        <v>0</v>
      </c>
      <c r="E31" s="1023">
        <f xml:space="preserve"> (1+'DATA INPUT'!$F$125) * SUMIF(Budget!$C$184:'Budget'!$C$213,"First*",Budget!EO$184:'Budget'!EO$213) + SUMIF(Budget!$C$184:'Budget'!$C$213,"Remaining*",Budget!EO$184:'Budget'!EO$213)</f>
        <v>0</v>
      </c>
      <c r="F31" s="1023">
        <f xml:space="preserve"> (1+'DATA INPUT'!$F$125) * SUMIF(Budget!$C$184:'Budget'!$C$213,"First*",Budget!EP$184:'Budget'!EP$213) + SUMIF(Budget!$C$184:'Budget'!$C$213,"Remaining*",Budget!EP$184:'Budget'!EP$213)</f>
        <v>0</v>
      </c>
      <c r="G31" s="1023">
        <f xml:space="preserve"> (1+'DATA INPUT'!$F$125) * SUMIF(Budget!$C$184:'Budget'!$C$213,"First*",Budget!EQ$184:'Budget'!EQ$213) + SUMIF(Budget!$C$184:'Budget'!$C$213,"Remaining*",Budget!EQ$184:'Budget'!EQ$213)</f>
        <v>0</v>
      </c>
      <c r="H31" s="1024">
        <f t="shared" si="11"/>
        <v>0</v>
      </c>
      <c r="K31" s="593" t="s">
        <v>159</v>
      </c>
      <c r="L31" s="575">
        <f>Budget!D214</f>
        <v>0</v>
      </c>
      <c r="M31" s="5">
        <f>Budget!BR214</f>
        <v>0</v>
      </c>
      <c r="N31" s="573">
        <f t="shared" si="12"/>
        <v>0</v>
      </c>
      <c r="O31" s="575">
        <f>Budget!E214</f>
        <v>0</v>
      </c>
      <c r="P31" s="5">
        <f>Budget!BS214</f>
        <v>0</v>
      </c>
      <c r="Q31" s="573">
        <f t="shared" si="13"/>
        <v>0</v>
      </c>
      <c r="R31" s="575">
        <f>Budget!F214</f>
        <v>0</v>
      </c>
      <c r="S31" s="5">
        <f>Budget!BT214</f>
        <v>0</v>
      </c>
      <c r="T31" s="629">
        <f t="shared" si="14"/>
        <v>0</v>
      </c>
      <c r="U31" s="575">
        <f>Budget!G214</f>
        <v>0</v>
      </c>
      <c r="V31" s="5">
        <f>Budget!BU214</f>
        <v>0</v>
      </c>
      <c r="W31" s="573">
        <f t="shared" si="15"/>
        <v>0</v>
      </c>
      <c r="X31" s="575">
        <f>Budget!H214</f>
        <v>0</v>
      </c>
      <c r="Y31" s="5">
        <f>Budget!BV214</f>
        <v>0</v>
      </c>
      <c r="Z31" s="573">
        <f t="shared" si="16"/>
        <v>0</v>
      </c>
      <c r="AA31" s="575">
        <f>Budget!I214</f>
        <v>0</v>
      </c>
      <c r="AB31" s="5">
        <f>Budget!BW214</f>
        <v>0</v>
      </c>
      <c r="AC31" s="629">
        <f t="shared" si="17"/>
        <v>0</v>
      </c>
      <c r="AD31" s="583">
        <f t="shared" si="18"/>
        <v>0</v>
      </c>
      <c r="AE31" s="1078">
        <f t="shared" si="18"/>
        <v>0</v>
      </c>
      <c r="AF31" s="584">
        <f t="shared" si="19"/>
        <v>0</v>
      </c>
    </row>
    <row r="32" spans="1:32" ht="12.75" customHeight="1" x14ac:dyDescent="0.2">
      <c r="A32" s="1022" t="s">
        <v>261</v>
      </c>
      <c r="B32" s="1023">
        <f ca="1">Budget!$D285</f>
        <v>0</v>
      </c>
      <c r="C32" s="1023">
        <f ca="1">Budget!$E285</f>
        <v>0</v>
      </c>
      <c r="D32" s="1023">
        <f ca="1">Budget!$F285</f>
        <v>0</v>
      </c>
      <c r="E32" s="1023">
        <f ca="1">Budget!$G285</f>
        <v>0</v>
      </c>
      <c r="F32" s="1023">
        <f ca="1">Budget!$H285</f>
        <v>0</v>
      </c>
      <c r="G32" s="1023">
        <f ca="1">Budget!$I285</f>
        <v>0</v>
      </c>
      <c r="H32" s="1024">
        <f t="shared" ca="1" si="11"/>
        <v>0</v>
      </c>
      <c r="K32" s="593" t="s">
        <v>261</v>
      </c>
      <c r="L32" s="575" t="str">
        <f>Budget!D302</f>
        <v>Period 1</v>
      </c>
      <c r="M32" s="5" t="str">
        <f>Budget!BR302</f>
        <v/>
      </c>
      <c r="N32" s="573">
        <f t="shared" si="12"/>
        <v>0</v>
      </c>
      <c r="O32" s="1034" t="str">
        <f>Budget!E302</f>
        <v>Total Project</v>
      </c>
      <c r="P32" s="321" t="str">
        <f>Budget!BS302</f>
        <v/>
      </c>
      <c r="Q32" s="573">
        <f t="shared" si="13"/>
        <v>0</v>
      </c>
      <c r="R32" s="1034">
        <f>Budget!F302</f>
        <v>0</v>
      </c>
      <c r="S32" s="321" t="str">
        <f>Budget!BT302</f>
        <v/>
      </c>
      <c r="T32" s="630">
        <f t="shared" si="14"/>
        <v>0</v>
      </c>
      <c r="U32" s="1034">
        <f>Budget!G302</f>
        <v>0</v>
      </c>
      <c r="V32" s="321" t="str">
        <f>Budget!BU302</f>
        <v/>
      </c>
      <c r="W32" s="577">
        <f t="shared" si="15"/>
        <v>0</v>
      </c>
      <c r="X32" s="1034">
        <f>Budget!H302</f>
        <v>0</v>
      </c>
      <c r="Y32" s="321" t="str">
        <f>Budget!BV302</f>
        <v/>
      </c>
      <c r="Z32" s="577">
        <f t="shared" si="16"/>
        <v>0</v>
      </c>
      <c r="AA32" s="1034">
        <f>Budget!I302</f>
        <v>0</v>
      </c>
      <c r="AB32" s="321" t="str">
        <f>Budget!BW302</f>
        <v/>
      </c>
      <c r="AC32" s="630">
        <f t="shared" si="17"/>
        <v>0</v>
      </c>
      <c r="AD32" s="1071">
        <f t="shared" si="18"/>
        <v>0</v>
      </c>
      <c r="AE32" s="1079">
        <f t="shared" si="18"/>
        <v>0</v>
      </c>
      <c r="AF32" s="1072">
        <f t="shared" si="19"/>
        <v>0</v>
      </c>
    </row>
    <row r="33" spans="1:32" ht="12.75" customHeight="1" thickBot="1" x14ac:dyDescent="0.25">
      <c r="A33" s="1063" t="s">
        <v>39</v>
      </c>
      <c r="B33" s="1064">
        <f ca="1">SUM(Budget!$D180:D183,Budget!$D215:D224)*(1+Budget!$D$294)</f>
        <v>900</v>
      </c>
      <c r="C33" s="1064">
        <f ca="1">SUM(Budget!$E180:E183,Budget!$E215:E224)*(1+Budget!$E$294)</f>
        <v>0</v>
      </c>
      <c r="D33" s="1064">
        <f ca="1">SUM(Budget!$F180:F183,Budget!$F215:F224)*(1+Budget!$F$294)</f>
        <v>0</v>
      </c>
      <c r="E33" s="1064">
        <f ca="1">SUM(Budget!$G180:G183,Budget!$G215:G224)*(1+Budget!$G$294)</f>
        <v>0</v>
      </c>
      <c r="F33" s="1064">
        <f ca="1">SUM(Budget!$H180:H183,Budget!$H215:H224)*(1+Budget!$H$294)</f>
        <v>0</v>
      </c>
      <c r="G33" s="1064">
        <f ca="1">SUM(Budget!$I180:I183,Budget!$I215:I224)*(1+Budget!$I$294)</f>
        <v>0</v>
      </c>
      <c r="H33" s="1066">
        <f t="shared" ca="1" si="11"/>
        <v>900</v>
      </c>
      <c r="K33" s="1070" t="s">
        <v>39</v>
      </c>
      <c r="L33" s="1034" t="e">
        <f ca="1">Budget!D304-L32</f>
        <v>#VALUE!</v>
      </c>
      <c r="M33" s="321" t="e">
        <f>Budget!BR304-M32</f>
        <v>#VALUE!</v>
      </c>
      <c r="N33" s="577" t="e">
        <f t="shared" ca="1" si="12"/>
        <v>#VALUE!</v>
      </c>
      <c r="O33" s="1034" t="e">
        <f ca="1">Budget!E304-O32</f>
        <v>#VALUE!</v>
      </c>
      <c r="P33" s="321" t="e">
        <f>Budget!BS304-P32</f>
        <v>#VALUE!</v>
      </c>
      <c r="Q33" s="577" t="e">
        <f t="shared" ca="1" si="13"/>
        <v>#VALUE!</v>
      </c>
      <c r="R33" s="1034">
        <f>Budget!F304-R32</f>
        <v>0</v>
      </c>
      <c r="S33" s="321" t="e">
        <f>Budget!BT304-S32</f>
        <v>#VALUE!</v>
      </c>
      <c r="T33" s="630" t="e">
        <f t="shared" si="14"/>
        <v>#VALUE!</v>
      </c>
      <c r="U33" s="1034">
        <f>Budget!G304-U32</f>
        <v>0</v>
      </c>
      <c r="V33" s="321" t="e">
        <f>Budget!BU304-V32</f>
        <v>#VALUE!</v>
      </c>
      <c r="W33" s="577" t="e">
        <f t="shared" si="15"/>
        <v>#VALUE!</v>
      </c>
      <c r="X33" s="1034">
        <f>Budget!H304-X32</f>
        <v>0</v>
      </c>
      <c r="Y33" s="321" t="e">
        <f>Budget!BV304-Y32</f>
        <v>#VALUE!</v>
      </c>
      <c r="Z33" s="577" t="e">
        <f t="shared" si="16"/>
        <v>#VALUE!</v>
      </c>
      <c r="AA33" s="1034">
        <f>Budget!I304-AA32</f>
        <v>0</v>
      </c>
      <c r="AB33" s="321" t="e">
        <f>Budget!BW304-AB32</f>
        <v>#VALUE!</v>
      </c>
      <c r="AC33" s="630" t="e">
        <f t="shared" si="17"/>
        <v>#VALUE!</v>
      </c>
      <c r="AD33" s="1071" t="e">
        <f t="shared" ca="1" si="18"/>
        <v>#VALUE!</v>
      </c>
      <c r="AE33" s="1079" t="e">
        <f t="shared" si="18"/>
        <v>#VALUE!</v>
      </c>
      <c r="AF33" s="1072" t="e">
        <f t="shared" ca="1" si="19"/>
        <v>#VALUE!</v>
      </c>
    </row>
    <row r="34" spans="1:32" ht="12.75" customHeight="1" thickBot="1" x14ac:dyDescent="0.25">
      <c r="A34" s="1026" t="s">
        <v>259</v>
      </c>
      <c r="B34" s="1027">
        <f t="shared" ref="B34:H34" ca="1" si="20">SUM(B26:B33)</f>
        <v>50000.337972000001</v>
      </c>
      <c r="C34" s="1027">
        <f t="shared" ca="1" si="20"/>
        <v>0</v>
      </c>
      <c r="D34" s="1027">
        <f t="shared" ca="1" si="20"/>
        <v>0</v>
      </c>
      <c r="E34" s="1027">
        <f t="shared" ca="1" si="20"/>
        <v>0</v>
      </c>
      <c r="F34" s="1027">
        <f t="shared" ca="1" si="20"/>
        <v>0</v>
      </c>
      <c r="G34" s="1027">
        <f t="shared" ca="1" si="20"/>
        <v>0</v>
      </c>
      <c r="H34" s="1028">
        <f t="shared" ca="1" si="20"/>
        <v>50000.337972000001</v>
      </c>
      <c r="K34" s="1035" t="s">
        <v>259</v>
      </c>
      <c r="L34" s="1036">
        <f>Budget!D311</f>
        <v>0</v>
      </c>
      <c r="M34" s="1037">
        <f>Budget!BR311</f>
        <v>0</v>
      </c>
      <c r="N34" s="631">
        <f t="shared" si="12"/>
        <v>0</v>
      </c>
      <c r="O34" s="1036">
        <f>Budget!E311</f>
        <v>0</v>
      </c>
      <c r="P34" s="1037">
        <f>Budget!BS311</f>
        <v>0</v>
      </c>
      <c r="Q34" s="631">
        <f t="shared" si="13"/>
        <v>0</v>
      </c>
      <c r="R34" s="1036">
        <f>Budget!F311</f>
        <v>0</v>
      </c>
      <c r="S34" s="1037">
        <f>Budget!BT311</f>
        <v>0</v>
      </c>
      <c r="T34" s="632">
        <f t="shared" si="14"/>
        <v>0</v>
      </c>
      <c r="U34" s="1036">
        <f>Budget!G311</f>
        <v>0</v>
      </c>
      <c r="V34" s="1037">
        <f>Budget!BU311</f>
        <v>0</v>
      </c>
      <c r="W34" s="631">
        <f t="shared" si="15"/>
        <v>0</v>
      </c>
      <c r="X34" s="1036">
        <f>Budget!H311</f>
        <v>0</v>
      </c>
      <c r="Y34" s="1037">
        <f>Budget!BV311</f>
        <v>0</v>
      </c>
      <c r="Z34" s="631">
        <f t="shared" si="16"/>
        <v>0</v>
      </c>
      <c r="AA34" s="1036">
        <f>Budget!I311</f>
        <v>0</v>
      </c>
      <c r="AB34" s="1037">
        <f>Budget!BW311</f>
        <v>0</v>
      </c>
      <c r="AC34" s="632">
        <f t="shared" si="17"/>
        <v>0</v>
      </c>
      <c r="AD34" s="1084">
        <f t="shared" si="18"/>
        <v>0</v>
      </c>
      <c r="AE34" s="1085">
        <f t="shared" si="18"/>
        <v>0</v>
      </c>
      <c r="AF34" s="1086">
        <f t="shared" si="19"/>
        <v>0</v>
      </c>
    </row>
    <row r="35" spans="1:32" ht="12.75" customHeight="1" x14ac:dyDescent="0.25">
      <c r="A35"/>
      <c r="B35"/>
      <c r="C35"/>
      <c r="D35"/>
      <c r="E35"/>
      <c r="F35"/>
      <c r="G35"/>
      <c r="H35"/>
      <c r="K35" s="2415"/>
      <c r="L35" s="2416"/>
      <c r="M35" s="2416"/>
      <c r="N35" s="2417"/>
      <c r="O35" s="2416"/>
      <c r="P35" s="2416"/>
      <c r="Q35" s="2417"/>
      <c r="R35" s="2416"/>
      <c r="S35" s="2416"/>
      <c r="T35" s="2417"/>
      <c r="U35" s="2416"/>
      <c r="V35" s="2416"/>
      <c r="W35" s="2417"/>
      <c r="X35" s="2416"/>
      <c r="Y35" s="2416"/>
      <c r="Z35" s="2417"/>
      <c r="AA35" s="2416"/>
      <c r="AB35" s="2416"/>
      <c r="AC35" s="2417"/>
      <c r="AD35" s="2418"/>
      <c r="AE35" s="2419"/>
      <c r="AF35" s="2418"/>
    </row>
    <row r="36" spans="1:32" customFormat="1" ht="12.75" customHeight="1" x14ac:dyDescent="0.25"/>
    <row r="37" spans="1:32" customFormat="1" ht="15.75" x14ac:dyDescent="0.25">
      <c r="A37" s="2420" t="s">
        <v>716</v>
      </c>
      <c r="B37" s="2421"/>
      <c r="C37" s="2421"/>
    </row>
    <row r="38" spans="1:32" customFormat="1" ht="12.75" customHeight="1" thickBot="1" x14ac:dyDescent="0.3">
      <c r="A38" s="1017" t="s">
        <v>265</v>
      </c>
      <c r="B38" s="1479" t="str">
        <f>Budget!N$12</f>
        <v>Period 1</v>
      </c>
      <c r="C38" s="1479" t="str">
        <f>Budget!O$12</f>
        <v>Period 2</v>
      </c>
      <c r="D38" s="1479" t="str">
        <f>Budget!P$12</f>
        <v>Period 3</v>
      </c>
      <c r="E38" s="1479" t="str">
        <f>Budget!Q$12</f>
        <v>Period 4</v>
      </c>
      <c r="F38" s="1479" t="str">
        <f>Budget!R$12</f>
        <v>Period 5</v>
      </c>
      <c r="G38" s="1479" t="str">
        <f>Budget!S$12</f>
        <v>Period 6</v>
      </c>
      <c r="H38" s="1018" t="s">
        <v>85</v>
      </c>
    </row>
    <row r="39" spans="1:32" customFormat="1" ht="12.75" customHeight="1" x14ac:dyDescent="0.25">
      <c r="A39" s="1019" t="s">
        <v>714</v>
      </c>
      <c r="B39" s="1020">
        <f t="shared" ref="B39:G39" ca="1" si="21">SUM(B26:B27,B30,B32)</f>
        <v>46610.467971999999</v>
      </c>
      <c r="C39" s="1020">
        <f t="shared" ca="1" si="21"/>
        <v>0</v>
      </c>
      <c r="D39" s="1020">
        <f t="shared" ca="1" si="21"/>
        <v>0</v>
      </c>
      <c r="E39" s="1020">
        <f t="shared" ca="1" si="21"/>
        <v>0</v>
      </c>
      <c r="F39" s="1020">
        <f t="shared" ca="1" si="21"/>
        <v>0</v>
      </c>
      <c r="G39" s="1020">
        <f t="shared" ca="1" si="21"/>
        <v>0</v>
      </c>
      <c r="H39" s="1024">
        <f ca="1">SUM(B39:G39)</f>
        <v>46610.467971999999</v>
      </c>
    </row>
    <row r="40" spans="1:32" customFormat="1" ht="12.75" customHeight="1" x14ac:dyDescent="0.25">
      <c r="A40" s="1022" t="s">
        <v>718</v>
      </c>
      <c r="B40" s="1020">
        <f t="shared" ref="B40:G40" ca="1" si="22">SUM(B28,B33)</f>
        <v>900</v>
      </c>
      <c r="C40" s="1020">
        <f t="shared" ca="1" si="22"/>
        <v>0</v>
      </c>
      <c r="D40" s="1020">
        <f t="shared" ca="1" si="22"/>
        <v>0</v>
      </c>
      <c r="E40" s="1020">
        <f t="shared" ca="1" si="22"/>
        <v>0</v>
      </c>
      <c r="F40" s="1020">
        <f t="shared" ca="1" si="22"/>
        <v>0</v>
      </c>
      <c r="G40" s="1020">
        <f t="shared" ca="1" si="22"/>
        <v>0</v>
      </c>
      <c r="H40" s="1024">
        <f ca="1">SUM(B40:G40)</f>
        <v>900</v>
      </c>
    </row>
    <row r="41" spans="1:32" customFormat="1" ht="12.75" customHeight="1" x14ac:dyDescent="0.25">
      <c r="A41" s="1022" t="s">
        <v>12</v>
      </c>
      <c r="B41" s="1020">
        <f t="shared" ref="B41:G41" ca="1" si="23">B29</f>
        <v>2489.87</v>
      </c>
      <c r="C41" s="1020">
        <f t="shared" ca="1" si="23"/>
        <v>0</v>
      </c>
      <c r="D41" s="1020">
        <f t="shared" ca="1" si="23"/>
        <v>0</v>
      </c>
      <c r="E41" s="1020">
        <f t="shared" ca="1" si="23"/>
        <v>0</v>
      </c>
      <c r="F41" s="1020">
        <f t="shared" ca="1" si="23"/>
        <v>0</v>
      </c>
      <c r="G41" s="1020">
        <f t="shared" ca="1" si="23"/>
        <v>0</v>
      </c>
      <c r="H41" s="1024">
        <f ca="1">SUM(B41:G41)</f>
        <v>2489.87</v>
      </c>
    </row>
    <row r="42" spans="1:32" customFormat="1" ht="12.75" customHeight="1" thickBot="1" x14ac:dyDescent="0.3">
      <c r="A42" s="1022" t="s">
        <v>260</v>
      </c>
      <c r="B42" s="1023">
        <f xml:space="preserve"> (1+'DATA INPUT'!$F$125) * SUMIF(Budget!$C$184:'Budget'!$C$213,"First*",Budget!EL$184:'Budget'!EL$213) + SUMIF(Budget!$C$184:'Budget'!$C$213,"Remaining*",Budget!EL$184:'Budget'!EL$213)</f>
        <v>0</v>
      </c>
      <c r="C42" s="1023">
        <f xml:space="preserve"> (1+'DATA INPUT'!$F$125) * SUMIF(Budget!$C$184:'Budget'!$C$213,"First*",Budget!EM$184:'Budget'!EM$213) + SUMIF(Budget!$C$184:'Budget'!$C$213,"Remaining*",Budget!EM$184:'Budget'!EM$213)</f>
        <v>0</v>
      </c>
      <c r="D42" s="1023">
        <f xml:space="preserve"> (1+'DATA INPUT'!$F$125) * SUMIF(Budget!$C$184:'Budget'!$C$213,"First*",Budget!EN$184:'Budget'!EN$213) + SUMIF(Budget!$C$184:'Budget'!$C$213,"Remaining*",Budget!EN$184:'Budget'!EN$213)</f>
        <v>0</v>
      </c>
      <c r="E42" s="1023">
        <f xml:space="preserve"> (1+'DATA INPUT'!$F$125) * SUMIF(Budget!$C$184:'Budget'!$C$213,"First*",Budget!EO$184:'Budget'!EO$213) + SUMIF(Budget!$C$184:'Budget'!$C$213,"Remaining*",Budget!EO$184:'Budget'!EO$213)</f>
        <v>0</v>
      </c>
      <c r="F42" s="1023">
        <f xml:space="preserve"> (1+'DATA INPUT'!$F$125) * SUMIF(Budget!$C$184:'Budget'!$C$213,"First*",Budget!EP$184:'Budget'!EP$213) + SUMIF(Budget!$C$184:'Budget'!$C$213,"Remaining*",Budget!EP$184:'Budget'!EP$213)</f>
        <v>0</v>
      </c>
      <c r="G42" s="1023">
        <f xml:space="preserve"> (1+'DATA INPUT'!$F$125) * SUMIF(Budget!$C$184:'Budget'!$C$213,"First*",Budget!EQ$184:'Budget'!EQ$213) + SUMIF(Budget!$C$184:'Budget'!$C$213,"Remaining*",Budget!EQ$184:'Budget'!EQ$213)</f>
        <v>0</v>
      </c>
      <c r="H42" s="1066">
        <f>SUM(B42:G42)</f>
        <v>0</v>
      </c>
    </row>
    <row r="43" spans="1:32" customFormat="1" ht="12.75" customHeight="1" x14ac:dyDescent="0.25">
      <c r="A43" s="1026" t="s">
        <v>259</v>
      </c>
      <c r="B43" s="1027">
        <f t="shared" ref="B43:H43" ca="1" si="24">SUM(B39:B42)</f>
        <v>50000.337972000001</v>
      </c>
      <c r="C43" s="1027">
        <f t="shared" ca="1" si="24"/>
        <v>0</v>
      </c>
      <c r="D43" s="1027">
        <f t="shared" ca="1" si="24"/>
        <v>0</v>
      </c>
      <c r="E43" s="1027">
        <f t="shared" ca="1" si="24"/>
        <v>0</v>
      </c>
      <c r="F43" s="1027">
        <f t="shared" ca="1" si="24"/>
        <v>0</v>
      </c>
      <c r="G43" s="1027">
        <f t="shared" ca="1" si="24"/>
        <v>0</v>
      </c>
      <c r="H43" s="1028">
        <f t="shared" ca="1" si="24"/>
        <v>50000.337972000001</v>
      </c>
    </row>
    <row r="44" spans="1:32" customFormat="1" ht="12.75" customHeight="1" x14ac:dyDescent="0.25"/>
  </sheetData>
  <mergeCells count="34">
    <mergeCell ref="AF25:AF26"/>
    <mergeCell ref="U25:V25"/>
    <mergeCell ref="W25:W26"/>
    <mergeCell ref="X25:Y25"/>
    <mergeCell ref="Z25:Z26"/>
    <mergeCell ref="AA25:AB25"/>
    <mergeCell ref="AC25:AC26"/>
    <mergeCell ref="O25:P25"/>
    <mergeCell ref="Q25:Q26"/>
    <mergeCell ref="R25:S25"/>
    <mergeCell ref="AD25:AD26"/>
    <mergeCell ref="AE25:AE26"/>
    <mergeCell ref="AF9:AF10"/>
    <mergeCell ref="J23:Q23"/>
    <mergeCell ref="K25:K26"/>
    <mergeCell ref="R9:S9"/>
    <mergeCell ref="T9:T10"/>
    <mergeCell ref="U9:V9"/>
    <mergeCell ref="W9:W10"/>
    <mergeCell ref="X9:Y9"/>
    <mergeCell ref="Z9:Z10"/>
    <mergeCell ref="T25:T26"/>
    <mergeCell ref="AA9:AB9"/>
    <mergeCell ref="AC9:AC10"/>
    <mergeCell ref="AD9:AD10"/>
    <mergeCell ref="AE9:AE10"/>
    <mergeCell ref="L25:M25"/>
    <mergeCell ref="N25:N26"/>
    <mergeCell ref="J7:Q7"/>
    <mergeCell ref="K9:K10"/>
    <mergeCell ref="L9:M9"/>
    <mergeCell ref="N9:N10"/>
    <mergeCell ref="O9:P9"/>
    <mergeCell ref="Q9:Q10"/>
  </mergeCells>
  <pageMargins left="0.25" right="0.25" top="0.5" bottom="0.5" header="0.3" footer="0.3"/>
  <pageSetup fitToWidth="3"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D20DF-5C33-4FD6-8DD0-9F2339F4BEEE}">
  <sheetPr codeName="Sheet11">
    <tabColor rgb="FFC00000"/>
  </sheetPr>
  <dimension ref="A1:K306"/>
  <sheetViews>
    <sheetView showGridLines="0" zoomScaleNormal="100" workbookViewId="0">
      <pane xSplit="2" ySplit="13" topLeftCell="C14" activePane="bottomRight" state="frozen"/>
      <selection pane="topRight"/>
      <selection pane="bottomLeft"/>
      <selection pane="bottomRight" activeCell="C14" sqref="C14"/>
    </sheetView>
  </sheetViews>
  <sheetFormatPr defaultColWidth="8.85546875" defaultRowHeight="15" customHeight="1" x14ac:dyDescent="0.25"/>
  <cols>
    <col min="1" max="1" width="4.140625" style="1" bestFit="1" customWidth="1"/>
    <col min="2" max="2" width="20" style="1" customWidth="1"/>
    <col min="3" max="3" width="26" style="1" customWidth="1"/>
    <col min="4" max="4" width="11.7109375" style="1" customWidth="1"/>
    <col min="5" max="5" width="18.7109375" style="14" bestFit="1" customWidth="1"/>
    <col min="6" max="6" width="13.42578125" style="1" bestFit="1" customWidth="1"/>
    <col min="7" max="7" width="10.7109375" style="2667" bestFit="1" customWidth="1"/>
    <col min="8" max="8" width="13.7109375" style="1" customWidth="1"/>
    <col min="9" max="9" width="11.7109375" style="1" customWidth="1"/>
    <col min="10" max="10" width="11.7109375" style="14" customWidth="1"/>
    <col min="11" max="11" width="12.42578125" customWidth="1"/>
    <col min="12" max="16384" width="8.85546875" style="1"/>
  </cols>
  <sheetData>
    <row r="1" spans="1:11" ht="39.75" thickBot="1" x14ac:dyDescent="0.3">
      <c r="B1" s="820" t="s">
        <v>107</v>
      </c>
      <c r="C1" s="821" t="str">
        <f ca="1">'Calc - SENIOR PERS'!B6</f>
        <v>Virag Mishra</v>
      </c>
      <c r="E1" s="838" t="s">
        <v>626</v>
      </c>
      <c r="F1" s="2668" t="s">
        <v>870</v>
      </c>
      <c r="G1" s="2669" t="s">
        <v>876</v>
      </c>
      <c r="H1" s="2670" t="s">
        <v>871</v>
      </c>
      <c r="I1" s="2712" t="s">
        <v>888</v>
      </c>
      <c r="J1" s="1"/>
      <c r="K1" s="1"/>
    </row>
    <row r="2" spans="1:11" ht="13.5" thickBot="1" x14ac:dyDescent="0.25">
      <c r="B2" s="822" t="s">
        <v>1039</v>
      </c>
      <c r="C2" s="823" t="str">
        <f>'DATA INPUT'!C3</f>
        <v>N/A</v>
      </c>
      <c r="E2" s="2671" t="s">
        <v>375</v>
      </c>
      <c r="F2" s="2672">
        <f ca="1">$E$156*(1+$E$294)</f>
        <v>0</v>
      </c>
      <c r="G2" s="2673" t="e">
        <f ca="1">$I$156</f>
        <v>#REF!</v>
      </c>
      <c r="H2" s="2674" t="e">
        <f t="shared" ref="H2:H8" ca="1" si="0">F2+G2</f>
        <v>#REF!</v>
      </c>
      <c r="J2" s="1"/>
      <c r="K2" s="984" t="s">
        <v>889</v>
      </c>
    </row>
    <row r="3" spans="1:11" ht="13.5" thickBot="1" x14ac:dyDescent="0.25">
      <c r="B3" s="311" t="s">
        <v>632</v>
      </c>
      <c r="C3" s="231" t="str">
        <f>'DATA INPUT'!C2</f>
        <v>HCSS</v>
      </c>
      <c r="E3" s="840" t="s">
        <v>427</v>
      </c>
      <c r="F3" s="2678">
        <f ca="1">$E$285</f>
        <v>0</v>
      </c>
      <c r="G3" s="2676">
        <f ca="1">$I$285</f>
        <v>0</v>
      </c>
      <c r="H3" s="2677">
        <f t="shared" ca="1" si="0"/>
        <v>0</v>
      </c>
      <c r="J3" s="1"/>
      <c r="K3" s="1"/>
    </row>
    <row r="4" spans="1:11" ht="15" customHeight="1" thickBot="1" x14ac:dyDescent="0.25">
      <c r="B4" s="314" t="s">
        <v>10</v>
      </c>
      <c r="C4" s="318">
        <f>'DATA INPUT'!C4</f>
        <v>46478</v>
      </c>
      <c r="E4" s="827" t="s">
        <v>146</v>
      </c>
      <c r="F4" s="2675">
        <f>$E$165</f>
        <v>0</v>
      </c>
      <c r="G4" s="2676">
        <f>$I$165</f>
        <v>0</v>
      </c>
      <c r="H4" s="2677">
        <f t="shared" si="0"/>
        <v>0</v>
      </c>
      <c r="I4" s="2714"/>
      <c r="J4" s="2714"/>
      <c r="K4" s="2714"/>
    </row>
    <row r="5" spans="1:11" ht="15" customHeight="1" thickBot="1" x14ac:dyDescent="0.3">
      <c r="A5"/>
      <c r="B5" s="315" t="s">
        <v>9</v>
      </c>
      <c r="C5" s="319">
        <f>'DATA INPUT'!C6</f>
        <v>46843</v>
      </c>
      <c r="E5" s="827" t="s">
        <v>12</v>
      </c>
      <c r="F5" s="2675">
        <f ca="1">$E$170*(1+$E$294)</f>
        <v>0</v>
      </c>
      <c r="G5" s="2676">
        <f ca="1">$I$170</f>
        <v>2489.87</v>
      </c>
      <c r="H5" s="2677">
        <f t="shared" ca="1" si="0"/>
        <v>2489.87</v>
      </c>
      <c r="I5" s="2714"/>
      <c r="J5" s="2714"/>
      <c r="K5" s="2714"/>
    </row>
    <row r="6" spans="1:11" ht="15" customHeight="1" thickBot="1" x14ac:dyDescent="0.3">
      <c r="A6"/>
      <c r="B6" s="316" t="s">
        <v>63</v>
      </c>
      <c r="C6" s="473">
        <f>'DATA INPUT'!F2</f>
        <v>46310</v>
      </c>
      <c r="D6" s="2711" t="str">
        <f>'DATA INPUT'!G2</f>
        <v>FIRM</v>
      </c>
      <c r="E6" s="840" t="s">
        <v>872</v>
      </c>
      <c r="F6" s="2678">
        <f ca="1">SUM($E$180:$E$183,$E$215:$E$216,$E$218:$E$224)*(1+$E$294)</f>
        <v>900</v>
      </c>
      <c r="G6" s="2676">
        <f ca="1">SUM($I$181:$I$184,$I$215:$I$216,$I$218:$I$224)</f>
        <v>0</v>
      </c>
      <c r="H6" s="2677">
        <f t="shared" ca="1" si="0"/>
        <v>900</v>
      </c>
    </row>
    <row r="7" spans="1:11" ht="15" customHeight="1" thickBot="1" x14ac:dyDescent="0.3">
      <c r="A7" s="20" t="s">
        <v>7</v>
      </c>
      <c r="B7" s="315" t="s">
        <v>147</v>
      </c>
      <c r="C7" s="1838" t="str">
        <f>'DATA INPUT'!F4</f>
        <v>Robert Kokenyesi</v>
      </c>
      <c r="E7" s="2679" t="s">
        <v>873</v>
      </c>
      <c r="F7" s="2678">
        <f>$E$295</f>
        <v>0</v>
      </c>
      <c r="G7" s="2680">
        <v>0</v>
      </c>
      <c r="H7" s="2677">
        <f t="shared" si="0"/>
        <v>0</v>
      </c>
      <c r="I7" s="4"/>
      <c r="J7" s="17" t="s">
        <v>7</v>
      </c>
    </row>
    <row r="8" spans="1:11" ht="16.5" thickTop="1" thickBot="1" x14ac:dyDescent="0.3">
      <c r="A8" s="4"/>
      <c r="B8" s="317" t="s">
        <v>140</v>
      </c>
      <c r="C8" s="474">
        <f>'DATA INPUT'!R2</f>
        <v>0</v>
      </c>
      <c r="E8" s="2681" t="s">
        <v>874</v>
      </c>
      <c r="F8" s="2682">
        <f ca="1">$E$296</f>
        <v>900</v>
      </c>
      <c r="G8" s="2713" t="e">
        <f ca="1">$I$296</f>
        <v>#REF!</v>
      </c>
      <c r="H8" s="2683" t="e">
        <f t="shared" ca="1" si="0"/>
        <v>#REF!</v>
      </c>
      <c r="I8" s="4"/>
      <c r="J8" s="17"/>
    </row>
    <row r="9" spans="1:11" ht="15.75" thickBot="1" x14ac:dyDescent="0.3">
      <c r="A9" s="4"/>
      <c r="B9" s="1009" t="s">
        <v>463</v>
      </c>
      <c r="C9" s="2938">
        <f>'DATA INPUT'!R3</f>
        <v>0</v>
      </c>
      <c r="E9" s="2684" t="e">
        <f ca="1">G8*0.0883</f>
        <v>#REF!</v>
      </c>
      <c r="F9" s="837" t="s">
        <v>875</v>
      </c>
      <c r="G9" s="2685" t="s">
        <v>876</v>
      </c>
      <c r="H9" s="2686" t="s">
        <v>871</v>
      </c>
      <c r="I9" s="326"/>
      <c r="J9" s="17"/>
    </row>
    <row r="10" spans="1:11" ht="15" customHeight="1" x14ac:dyDescent="0.25">
      <c r="A10" s="4"/>
      <c r="B10" s="312"/>
      <c r="C10" s="313"/>
      <c r="F10" s="2687"/>
      <c r="G10" s="2688">
        <f ca="1">IFERROR(G8/F8,1)</f>
        <v>1</v>
      </c>
      <c r="I10" s="2689"/>
      <c r="J10" s="866"/>
    </row>
    <row r="11" spans="1:11" ht="15" customHeight="1" thickBot="1" x14ac:dyDescent="0.3">
      <c r="A11" s="4"/>
      <c r="B11" s="6"/>
      <c r="C11" s="1836" t="s">
        <v>302</v>
      </c>
      <c r="D11" s="1837">
        <f>'DATA INPUT'!$I$8</f>
        <v>12</v>
      </c>
      <c r="E11" s="1"/>
      <c r="F11" s="3470" t="s">
        <v>877</v>
      </c>
      <c r="G11" s="3470"/>
      <c r="H11" s="3471"/>
      <c r="I11" s="3472" t="s">
        <v>878</v>
      </c>
      <c r="J11" s="3473"/>
    </row>
    <row r="12" spans="1:11" ht="15.75" thickBot="1" x14ac:dyDescent="0.3">
      <c r="A12" s="2"/>
      <c r="B12" s="6"/>
      <c r="C12" s="93"/>
      <c r="D12" s="818" t="s">
        <v>148</v>
      </c>
      <c r="E12" s="825" t="s">
        <v>3</v>
      </c>
      <c r="F12" s="3470"/>
      <c r="G12" s="3470"/>
      <c r="H12" s="3471"/>
      <c r="I12" s="131" t="s">
        <v>148</v>
      </c>
      <c r="J12" s="162" t="s">
        <v>3</v>
      </c>
    </row>
    <row r="13" spans="1:11" ht="15" customHeight="1" thickBot="1" x14ac:dyDescent="0.3">
      <c r="A13" s="429" t="s">
        <v>24</v>
      </c>
      <c r="B13" s="2690" t="s">
        <v>110</v>
      </c>
      <c r="C13" s="2691"/>
      <c r="D13" s="2691"/>
      <c r="E13" s="2692"/>
      <c r="F13" s="3474" t="s">
        <v>879</v>
      </c>
      <c r="G13" s="3475"/>
      <c r="H13"/>
      <c r="I13" s="2148" t="s">
        <v>110</v>
      </c>
      <c r="J13" s="2150"/>
      <c r="K13" s="40"/>
    </row>
    <row r="14" spans="1:11" ht="15" customHeight="1" thickBot="1" x14ac:dyDescent="0.3">
      <c r="A14" s="25"/>
      <c r="B14" s="3214" t="s">
        <v>633</v>
      </c>
      <c r="C14" s="2139" t="str">
        <f ca="1">'Calc - SENIOR PERS'!$B$6</f>
        <v>Virag Mishra</v>
      </c>
      <c r="D14" s="85">
        <f ca="1">'Calc - SENIOR PERS'!$O$11*(1-$G$15)</f>
        <v>0</v>
      </c>
      <c r="E14" s="87">
        <f t="shared" ref="E14:E43" ca="1" si="1">SUM(D14:D14)</f>
        <v>0</v>
      </c>
      <c r="F14" s="3474"/>
      <c r="G14" s="3475"/>
      <c r="H14" s="4"/>
      <c r="I14" s="85">
        <f ca="1">'Calc - SENIOR PERS'!$O$11*$G$15</f>
        <v>16781.995999999999</v>
      </c>
      <c r="J14" s="166">
        <f t="shared" ref="J14:J43" ca="1" si="2">SUM(I14:I14)</f>
        <v>16781.995999999999</v>
      </c>
    </row>
    <row r="15" spans="1:11" ht="15" customHeight="1" thickBot="1" x14ac:dyDescent="0.3">
      <c r="A15" s="403"/>
      <c r="B15" s="3215"/>
      <c r="C15" s="2140">
        <f ca="1">'Calc - SENIOR PERS'!$B$20</f>
        <v>0</v>
      </c>
      <c r="D15" s="21">
        <f ca="1">'Calc - SENIOR PERS'!$O$25*(1-$G$15)</f>
        <v>0</v>
      </c>
      <c r="E15" s="88">
        <f t="shared" ca="1" si="1"/>
        <v>0</v>
      </c>
      <c r="F15" s="9" t="str">
        <f ca="1">IF(E15&lt;&gt;'Calc - SENIOR PERS'!$O$31,"ERROR","")</f>
        <v/>
      </c>
      <c r="G15" s="594">
        <v>1</v>
      </c>
      <c r="H15" s="4"/>
      <c r="I15" s="21">
        <f ca="1">'Calc - SENIOR PERS'!$O$25*$G$15</f>
        <v>0</v>
      </c>
      <c r="J15" s="164">
        <f t="shared" ca="1" si="2"/>
        <v>0</v>
      </c>
    </row>
    <row r="16" spans="1:11" ht="15" customHeight="1" x14ac:dyDescent="0.25">
      <c r="A16" s="403"/>
      <c r="B16" s="3215"/>
      <c r="C16" s="2140">
        <f ca="1">'Calc - SENIOR PERS'!$B$34</f>
        <v>0</v>
      </c>
      <c r="D16" s="21">
        <f ca="1">'Calc - SENIOR PERS'!$O$39*(1-$G$15)</f>
        <v>0</v>
      </c>
      <c r="E16" s="88">
        <f t="shared" ca="1" si="1"/>
        <v>0</v>
      </c>
      <c r="F16" s="9" t="str">
        <f ca="1">IF(E16&lt;&gt;'Calc - SENIOR PERS'!$O$45,"ERROR","")</f>
        <v/>
      </c>
      <c r="G16" s="256"/>
      <c r="H16" s="4"/>
      <c r="I16" s="21">
        <f ca="1">'Calc - SENIOR PERS'!$O$39*$G$15</f>
        <v>0</v>
      </c>
      <c r="J16" s="164">
        <f t="shared" ca="1" si="2"/>
        <v>0</v>
      </c>
    </row>
    <row r="17" spans="1:10" ht="15" customHeight="1" x14ac:dyDescent="0.25">
      <c r="A17" s="403"/>
      <c r="B17" s="3215"/>
      <c r="C17" s="2140">
        <f ca="1">'Calc - SENIOR PERS'!$B$48</f>
        <v>0</v>
      </c>
      <c r="D17" s="21">
        <f ca="1">'Calc - SENIOR PERS'!$O$53*(1-$G$15)</f>
        <v>0</v>
      </c>
      <c r="E17" s="88">
        <f t="shared" ca="1" si="1"/>
        <v>0</v>
      </c>
      <c r="F17" s="9" t="str">
        <f ca="1">IF(E17&lt;&gt;'Calc - SENIOR PERS'!$O$59,"ERROR","")</f>
        <v/>
      </c>
      <c r="G17" s="256"/>
      <c r="H17" s="4"/>
      <c r="I17" s="21">
        <f ca="1">'Calc - SENIOR PERS'!$O$53*$G$15</f>
        <v>0</v>
      </c>
      <c r="J17" s="164">
        <f t="shared" ca="1" si="2"/>
        <v>0</v>
      </c>
    </row>
    <row r="18" spans="1:10" ht="15" customHeight="1" x14ac:dyDescent="0.25">
      <c r="A18" s="403"/>
      <c r="B18" s="3215"/>
      <c r="C18" s="2140">
        <f ca="1">'Calc - SENIOR PERS'!$B$62</f>
        <v>0</v>
      </c>
      <c r="D18" s="21">
        <f ca="1">'Calc - SENIOR PERS'!$O$67*(1-$G$15)</f>
        <v>0</v>
      </c>
      <c r="E18" s="88">
        <f t="shared" ca="1" si="1"/>
        <v>0</v>
      </c>
      <c r="F18" s="9" t="str">
        <f ca="1">IF(E18&lt;&gt;'Calc - SENIOR PERS'!$O$73,"ERROR","")</f>
        <v/>
      </c>
      <c r="G18" s="256"/>
      <c r="H18" s="4"/>
      <c r="I18" s="21">
        <f ca="1">'Calc - SENIOR PERS'!$O$67*$G$15</f>
        <v>0</v>
      </c>
      <c r="J18" s="164">
        <f t="shared" ca="1" si="2"/>
        <v>0</v>
      </c>
    </row>
    <row r="19" spans="1:10" ht="15" customHeight="1" x14ac:dyDescent="0.25">
      <c r="A19" s="403"/>
      <c r="B19" s="3215"/>
      <c r="C19" s="2140">
        <f ca="1">'Calc - SENIOR PERS'!$B$76</f>
        <v>0</v>
      </c>
      <c r="D19" s="21">
        <f ca="1">'Calc - SENIOR PERS'!$O$81*(1-$G$15)</f>
        <v>0</v>
      </c>
      <c r="E19" s="88">
        <f t="shared" ca="1" si="1"/>
        <v>0</v>
      </c>
      <c r="F19" s="9" t="str">
        <f ca="1">IF(E19&lt;&gt;'Calc - SENIOR PERS'!$O$87,"ERROR","")</f>
        <v/>
      </c>
      <c r="G19" s="256"/>
      <c r="H19" s="4"/>
      <c r="I19" s="21">
        <f ca="1">'Calc - SENIOR PERS'!$O$81*$G$15</f>
        <v>0</v>
      </c>
      <c r="J19" s="164">
        <f t="shared" ca="1" si="2"/>
        <v>0</v>
      </c>
    </row>
    <row r="20" spans="1:10" ht="15" customHeight="1" x14ac:dyDescent="0.25">
      <c r="A20" s="403"/>
      <c r="B20" s="3215"/>
      <c r="C20" s="2140">
        <f ca="1">'Calc - SENIOR PERS'!$B$90</f>
        <v>0</v>
      </c>
      <c r="D20" s="21">
        <f ca="1">'Calc - SENIOR PERS'!$O$95*(1-$G$15)</f>
        <v>0</v>
      </c>
      <c r="E20" s="88">
        <f t="shared" ca="1" si="1"/>
        <v>0</v>
      </c>
      <c r="F20" s="9" t="str">
        <f ca="1">IF(E20&lt;&gt;'Calc - SENIOR PERS'!$O$101,"ERROR","")</f>
        <v/>
      </c>
      <c r="G20" s="256"/>
      <c r="H20" s="4"/>
      <c r="I20" s="21">
        <f ca="1">'Calc - SENIOR PERS'!$O$95*$G$15</f>
        <v>0</v>
      </c>
      <c r="J20" s="164">
        <f t="shared" ca="1" si="2"/>
        <v>0</v>
      </c>
    </row>
    <row r="21" spans="1:10" ht="15" customHeight="1" x14ac:dyDescent="0.25">
      <c r="A21" s="403"/>
      <c r="B21" s="3215"/>
      <c r="C21" s="2140">
        <f ca="1">'Calc - SENIOR PERS'!$B$104</f>
        <v>0</v>
      </c>
      <c r="D21" s="21">
        <f ca="1">'Calc - SENIOR PERS'!$O$109*(1-$G$15)</f>
        <v>0</v>
      </c>
      <c r="E21" s="88">
        <f t="shared" ca="1" si="1"/>
        <v>0</v>
      </c>
      <c r="F21" s="9" t="str">
        <f ca="1">IF(E21&lt;&gt;'Calc - SENIOR PERS'!$O$115,"ERROR","")</f>
        <v/>
      </c>
      <c r="G21" s="256"/>
      <c r="H21" s="4"/>
      <c r="I21" s="21">
        <f ca="1">'Calc - SENIOR PERS'!$O$109*$G$15</f>
        <v>0</v>
      </c>
      <c r="J21" s="164">
        <f t="shared" ca="1" si="2"/>
        <v>0</v>
      </c>
    </row>
    <row r="22" spans="1:10" ht="15" customHeight="1" x14ac:dyDescent="0.25">
      <c r="A22" s="403"/>
      <c r="B22" s="3215"/>
      <c r="C22" s="2140">
        <f ca="1">'Calc - SENIOR PERS'!$B$118</f>
        <v>0</v>
      </c>
      <c r="D22" s="21">
        <f ca="1">'Calc - SENIOR PERS'!$O$123*(1-$G$15)</f>
        <v>0</v>
      </c>
      <c r="E22" s="88">
        <f t="shared" ca="1" si="1"/>
        <v>0</v>
      </c>
      <c r="F22" s="9" t="str">
        <f ca="1">IF(E22&lt;&gt;'Calc - SENIOR PERS'!$O$129,"ERROR","")</f>
        <v/>
      </c>
      <c r="G22" s="256"/>
      <c r="H22" s="4"/>
      <c r="I22" s="21">
        <f ca="1">'Calc - SENIOR PERS'!$O$123*$G$15</f>
        <v>0</v>
      </c>
      <c r="J22" s="164">
        <f t="shared" ca="1" si="2"/>
        <v>0</v>
      </c>
    </row>
    <row r="23" spans="1:10" ht="15" customHeight="1" x14ac:dyDescent="0.25">
      <c r="A23" s="406"/>
      <c r="B23" s="3215"/>
      <c r="C23" s="2140">
        <f ca="1">'Calc - SENIOR PERS'!$B$132</f>
        <v>0</v>
      </c>
      <c r="D23" s="21">
        <f ca="1">'Calc - SENIOR PERS'!$O$137*(1-$G$15)</f>
        <v>0</v>
      </c>
      <c r="E23" s="351">
        <f t="shared" ca="1" si="1"/>
        <v>0</v>
      </c>
      <c r="F23" s="9" t="str">
        <f ca="1">IF(E23&lt;&gt;'Calc - SENIOR PERS'!$O$143,"ERROR","")</f>
        <v/>
      </c>
      <c r="G23" s="256"/>
      <c r="H23" s="4"/>
      <c r="I23" s="21">
        <f ca="1">'Calc - SENIOR PERS'!$O$137*$G$15</f>
        <v>0</v>
      </c>
      <c r="J23" s="164">
        <f t="shared" ca="1" si="2"/>
        <v>0</v>
      </c>
    </row>
    <row r="24" spans="1:10" ht="15" customHeight="1" x14ac:dyDescent="0.25">
      <c r="A24" s="403"/>
      <c r="B24" s="3215"/>
      <c r="C24" s="2140">
        <f ca="1">'Calc - SENIOR PERS'!$B$146</f>
        <v>0</v>
      </c>
      <c r="D24" s="21">
        <f ca="1">'Calc - SENIOR PERS'!$O$151*(1-$G$15)</f>
        <v>0</v>
      </c>
      <c r="E24" s="88">
        <f t="shared" ca="1" si="1"/>
        <v>0</v>
      </c>
      <c r="F24" s="9" t="str">
        <f ca="1">IF(E24&lt;&gt;'Calc - SENIOR PERS'!$O$157,"ERROR","")</f>
        <v/>
      </c>
      <c r="G24" s="256"/>
      <c r="H24" s="4"/>
      <c r="I24" s="21">
        <f ca="1">'Calc - SENIOR PERS'!$O$151*$G$15</f>
        <v>0</v>
      </c>
      <c r="J24" s="164">
        <f t="shared" ca="1" si="2"/>
        <v>0</v>
      </c>
    </row>
    <row r="25" spans="1:10" ht="15" customHeight="1" x14ac:dyDescent="0.25">
      <c r="A25" s="403"/>
      <c r="B25" s="3215"/>
      <c r="C25" s="2140">
        <f ca="1">'Calc - SENIOR PERS'!$B$160</f>
        <v>0</v>
      </c>
      <c r="D25" s="21">
        <f ca="1">'Calc - SENIOR PERS'!$O$165*(1-$G$15)</f>
        <v>0</v>
      </c>
      <c r="E25" s="88">
        <f t="shared" ca="1" si="1"/>
        <v>0</v>
      </c>
      <c r="F25" s="9" t="str">
        <f ca="1">IF(E25&lt;&gt;'Calc - SENIOR PERS'!$O$171,"ERROR","")</f>
        <v/>
      </c>
      <c r="G25" s="256"/>
      <c r="H25" s="4"/>
      <c r="I25" s="21">
        <f ca="1">'Calc - SENIOR PERS'!$O$165*$G$15</f>
        <v>0</v>
      </c>
      <c r="J25" s="164">
        <f t="shared" ca="1" si="2"/>
        <v>0</v>
      </c>
    </row>
    <row r="26" spans="1:10" ht="15" customHeight="1" x14ac:dyDescent="0.25">
      <c r="A26" s="403"/>
      <c r="B26" s="3215"/>
      <c r="C26" s="2140">
        <f ca="1">'Calc - SENIOR PERS'!$B$174</f>
        <v>0</v>
      </c>
      <c r="D26" s="21">
        <f ca="1">'Calc - SENIOR PERS'!$O$179*(1-$G$15)</f>
        <v>0</v>
      </c>
      <c r="E26" s="88">
        <f t="shared" ca="1" si="1"/>
        <v>0</v>
      </c>
      <c r="F26" s="9" t="str">
        <f ca="1">IF(E26&lt;&gt;'Calc - SENIOR PERS'!$O$185,"ERROR","")</f>
        <v/>
      </c>
      <c r="G26" s="256"/>
      <c r="H26" s="4"/>
      <c r="I26" s="21">
        <f ca="1">'Calc - SENIOR PERS'!$O$179*$G$15</f>
        <v>0</v>
      </c>
      <c r="J26" s="164">
        <f t="shared" ca="1" si="2"/>
        <v>0</v>
      </c>
    </row>
    <row r="27" spans="1:10" ht="15" customHeight="1" x14ac:dyDescent="0.25">
      <c r="A27" s="403"/>
      <c r="B27" s="3215"/>
      <c r="C27" s="2140">
        <f ca="1">'Calc - SENIOR PERS'!$B$188</f>
        <v>0</v>
      </c>
      <c r="D27" s="21">
        <f ca="1">'Calc - SENIOR PERS'!$O$193*(1-$G$15)</f>
        <v>0</v>
      </c>
      <c r="E27" s="88">
        <f t="shared" ca="1" si="1"/>
        <v>0</v>
      </c>
      <c r="F27" s="9" t="str">
        <f ca="1">IF(E27&lt;&gt;'Calc - SENIOR PERS'!$O$199,"ERROR","")</f>
        <v/>
      </c>
      <c r="G27" s="256"/>
      <c r="H27" s="4"/>
      <c r="I27" s="21">
        <f ca="1">'Calc - SENIOR PERS'!$O$193*$G$15</f>
        <v>0</v>
      </c>
      <c r="J27" s="164">
        <f t="shared" ca="1" si="2"/>
        <v>0</v>
      </c>
    </row>
    <row r="28" spans="1:10" ht="15" customHeight="1" thickBot="1" x14ac:dyDescent="0.3">
      <c r="A28" s="406"/>
      <c r="B28" s="3215"/>
      <c r="C28" s="2141">
        <f ca="1">'Calc - SENIOR PERS'!$B$202</f>
        <v>0</v>
      </c>
      <c r="D28" s="410">
        <f ca="1">'Calc - SENIOR PERS'!$O$207*(1-$G$15)</f>
        <v>0</v>
      </c>
      <c r="E28" s="351">
        <f t="shared" ca="1" si="1"/>
        <v>0</v>
      </c>
      <c r="F28" s="9" t="str">
        <f ca="1">IF(E28&lt;&gt;'Calc - SENIOR PERS'!$O$213,"ERROR","")</f>
        <v/>
      </c>
      <c r="G28" s="256"/>
      <c r="H28" s="4"/>
      <c r="I28" s="410">
        <f ca="1">'Calc - SENIOR PERS'!$O$207*$G$15</f>
        <v>0</v>
      </c>
      <c r="J28" s="380">
        <f t="shared" ca="1" si="2"/>
        <v>0</v>
      </c>
    </row>
    <row r="29" spans="1:10" ht="15" customHeight="1" x14ac:dyDescent="0.25">
      <c r="A29" s="407"/>
      <c r="B29" s="3216" t="s">
        <v>17</v>
      </c>
      <c r="C29" s="2142" t="str">
        <f ca="1">'Calc - SENIOR PERS'!$B$6</f>
        <v>Virag Mishra</v>
      </c>
      <c r="D29" s="85">
        <f ca="1">'Calc - SENIOR PERS'!$N$11*(1-$G$15)</f>
        <v>0</v>
      </c>
      <c r="E29" s="87">
        <f t="shared" ca="1" si="1"/>
        <v>0</v>
      </c>
      <c r="F29" s="9" t="str">
        <f ca="1">IF(E29&lt;&gt;'Calc - SENIOR PERS'!$N$17,"ERROR","")</f>
        <v/>
      </c>
      <c r="G29" s="256"/>
      <c r="H29" s="4"/>
      <c r="I29" s="85">
        <f ca="1">'Calc - SENIOR PERS'!$N$11*$G$15</f>
        <v>0</v>
      </c>
      <c r="J29" s="166">
        <f t="shared" ca="1" si="2"/>
        <v>0</v>
      </c>
    </row>
    <row r="30" spans="1:10" ht="15" customHeight="1" x14ac:dyDescent="0.25">
      <c r="A30" s="404"/>
      <c r="B30" s="3217"/>
      <c r="C30" s="422">
        <f ca="1">'Calc - SENIOR PERS'!$B$20</f>
        <v>0</v>
      </c>
      <c r="D30" s="21">
        <f ca="1">'Calc - SENIOR PERS'!$N$25*(1-$G$15)</f>
        <v>0</v>
      </c>
      <c r="E30" s="88">
        <f t="shared" ca="1" si="1"/>
        <v>0</v>
      </c>
      <c r="F30" s="9" t="str">
        <f ca="1">IF(E30&lt;&gt;'Calc - SENIOR PERS'!$N$31,"ERROR","")</f>
        <v/>
      </c>
      <c r="G30" s="256"/>
      <c r="H30" s="4"/>
      <c r="I30" s="21">
        <f ca="1">'Calc - SENIOR PERS'!$N$25*$G$15</f>
        <v>0</v>
      </c>
      <c r="J30" s="164">
        <f t="shared" ca="1" si="2"/>
        <v>0</v>
      </c>
    </row>
    <row r="31" spans="1:10" ht="15" customHeight="1" x14ac:dyDescent="0.25">
      <c r="A31" s="404"/>
      <c r="B31" s="3217"/>
      <c r="C31" s="422">
        <f ca="1">'Calc - SENIOR PERS'!$B$34</f>
        <v>0</v>
      </c>
      <c r="D31" s="21">
        <f ca="1">'Calc - SENIOR PERS'!$N$39*(1-$G$15)</f>
        <v>0</v>
      </c>
      <c r="E31" s="88">
        <f t="shared" ca="1" si="1"/>
        <v>0</v>
      </c>
      <c r="F31" s="9" t="str">
        <f ca="1">IF(E31&lt;&gt;'Calc - SENIOR PERS'!$N$45,"ERROR","")</f>
        <v/>
      </c>
      <c r="G31" s="256"/>
      <c r="H31" s="4"/>
      <c r="I31" s="21">
        <f ca="1">'Calc - SENIOR PERS'!$N$39*$G$15</f>
        <v>0</v>
      </c>
      <c r="J31" s="164">
        <f t="shared" ca="1" si="2"/>
        <v>0</v>
      </c>
    </row>
    <row r="32" spans="1:10" ht="15" customHeight="1" x14ac:dyDescent="0.25">
      <c r="A32" s="404"/>
      <c r="B32" s="3217"/>
      <c r="C32" s="422">
        <f ca="1">'Calc - SENIOR PERS'!$B$48</f>
        <v>0</v>
      </c>
      <c r="D32" s="21">
        <f ca="1">'Calc - SENIOR PERS'!$N$53*(1-$G$15)</f>
        <v>0</v>
      </c>
      <c r="E32" s="88">
        <f t="shared" ca="1" si="1"/>
        <v>0</v>
      </c>
      <c r="F32" s="9" t="str">
        <f ca="1">IF(E32&lt;&gt;'Calc - SENIOR PERS'!$N$59,"ERROR","")</f>
        <v/>
      </c>
      <c r="G32" s="256"/>
      <c r="H32" s="4"/>
      <c r="I32" s="21">
        <f ca="1">'Calc - SENIOR PERS'!$N$53*$G$15</f>
        <v>0</v>
      </c>
      <c r="J32" s="164">
        <f t="shared" ca="1" si="2"/>
        <v>0</v>
      </c>
    </row>
    <row r="33" spans="1:11" ht="15" customHeight="1" x14ac:dyDescent="0.25">
      <c r="A33" s="404"/>
      <c r="B33" s="3217"/>
      <c r="C33" s="422">
        <f ca="1">'Calc - SENIOR PERS'!$B$62</f>
        <v>0</v>
      </c>
      <c r="D33" s="21">
        <f ca="1">'Calc - SENIOR PERS'!$N$67*(1-$G$15)</f>
        <v>0</v>
      </c>
      <c r="E33" s="88">
        <f t="shared" ca="1" si="1"/>
        <v>0</v>
      </c>
      <c r="F33" s="9" t="str">
        <f ca="1">IF(E33&lt;&gt;'Calc - SENIOR PERS'!$N$73,"ERROR","")</f>
        <v/>
      </c>
      <c r="G33" s="256"/>
      <c r="H33" s="4"/>
      <c r="I33" s="21">
        <f ca="1">'Calc - SENIOR PERS'!$N$67*$G$15</f>
        <v>0</v>
      </c>
      <c r="J33" s="164">
        <f t="shared" ca="1" si="2"/>
        <v>0</v>
      </c>
    </row>
    <row r="34" spans="1:11" ht="15" customHeight="1" x14ac:dyDescent="0.25">
      <c r="A34" s="404"/>
      <c r="B34" s="3217"/>
      <c r="C34" s="422">
        <f ca="1">'Calc - SENIOR PERS'!$B$76</f>
        <v>0</v>
      </c>
      <c r="D34" s="21">
        <f ca="1">'Calc - SENIOR PERS'!$N$81*(1-$G$15)</f>
        <v>0</v>
      </c>
      <c r="E34" s="88">
        <f t="shared" ca="1" si="1"/>
        <v>0</v>
      </c>
      <c r="F34" s="9" t="str">
        <f ca="1">IF(E34&lt;&gt;'Calc - SENIOR PERS'!$N$87,"ERROR","")</f>
        <v/>
      </c>
      <c r="G34" s="256"/>
      <c r="H34" s="4"/>
      <c r="I34" s="21">
        <f ca="1">'Calc - SENIOR PERS'!$N$81*$G$15</f>
        <v>0</v>
      </c>
      <c r="J34" s="164">
        <f t="shared" ca="1" si="2"/>
        <v>0</v>
      </c>
    </row>
    <row r="35" spans="1:11" ht="15" customHeight="1" x14ac:dyDescent="0.25">
      <c r="A35" s="404"/>
      <c r="B35" s="3217"/>
      <c r="C35" s="422">
        <f ca="1">'Calc - SENIOR PERS'!$B$90</f>
        <v>0</v>
      </c>
      <c r="D35" s="21">
        <f ca="1">'Calc - SENIOR PERS'!$N$95*(1-$G$15)</f>
        <v>0</v>
      </c>
      <c r="E35" s="88">
        <f t="shared" ca="1" si="1"/>
        <v>0</v>
      </c>
      <c r="F35" s="9" t="str">
        <f ca="1">IF(E35&lt;&gt;'Calc - SENIOR PERS'!$N$101,"ERROR","")</f>
        <v/>
      </c>
      <c r="G35" s="256"/>
      <c r="H35" s="4"/>
      <c r="I35" s="21">
        <f ca="1">'Calc - SENIOR PERS'!$N$95*$G$15</f>
        <v>0</v>
      </c>
      <c r="J35" s="164">
        <f t="shared" ca="1" si="2"/>
        <v>0</v>
      </c>
    </row>
    <row r="36" spans="1:11" ht="15" customHeight="1" x14ac:dyDescent="0.25">
      <c r="A36" s="404"/>
      <c r="B36" s="3217"/>
      <c r="C36" s="422">
        <f ca="1">'Calc - SENIOR PERS'!$B$104</f>
        <v>0</v>
      </c>
      <c r="D36" s="21">
        <f ca="1">'Calc - SENIOR PERS'!$N$109*(1-$G$15)</f>
        <v>0</v>
      </c>
      <c r="E36" s="88">
        <f t="shared" ca="1" si="1"/>
        <v>0</v>
      </c>
      <c r="F36" s="9" t="str">
        <f ca="1">IF(E36&lt;&gt;'Calc - SENIOR PERS'!$N$115,"ERROR","")</f>
        <v/>
      </c>
      <c r="G36" s="256"/>
      <c r="H36" s="4"/>
      <c r="I36" s="21">
        <f ca="1">'Calc - SENIOR PERS'!$N$109*$G$15</f>
        <v>0</v>
      </c>
      <c r="J36" s="164">
        <f t="shared" ca="1" si="2"/>
        <v>0</v>
      </c>
    </row>
    <row r="37" spans="1:11" ht="15" customHeight="1" x14ac:dyDescent="0.25">
      <c r="A37" s="404"/>
      <c r="B37" s="3217"/>
      <c r="C37" s="422">
        <f ca="1">'Calc - SENIOR PERS'!$B$118</f>
        <v>0</v>
      </c>
      <c r="D37" s="21">
        <f ca="1">'Calc - SENIOR PERS'!$N$123*(1-$G$15)</f>
        <v>0</v>
      </c>
      <c r="E37" s="88">
        <f t="shared" ca="1" si="1"/>
        <v>0</v>
      </c>
      <c r="F37" s="9" t="str">
        <f ca="1">IF(E37&lt;&gt;'Calc - SENIOR PERS'!$N$129,"ERROR","")</f>
        <v/>
      </c>
      <c r="G37" s="256"/>
      <c r="H37" s="4"/>
      <c r="I37" s="21">
        <f ca="1">'Calc - SENIOR PERS'!$N$123*$G$15</f>
        <v>0</v>
      </c>
      <c r="J37" s="164">
        <f t="shared" ca="1" si="2"/>
        <v>0</v>
      </c>
    </row>
    <row r="38" spans="1:11" ht="15" customHeight="1" x14ac:dyDescent="0.25">
      <c r="A38" s="404"/>
      <c r="B38" s="3217"/>
      <c r="C38" s="422">
        <f ca="1">'Calc - SENIOR PERS'!$B$132</f>
        <v>0</v>
      </c>
      <c r="D38" s="21">
        <f ca="1">'Calc - SENIOR PERS'!$N$137*(1-$G$15)</f>
        <v>0</v>
      </c>
      <c r="E38" s="88">
        <f t="shared" ca="1" si="1"/>
        <v>0</v>
      </c>
      <c r="F38" s="2071" t="str">
        <f ca="1">IF(E38&lt;&gt;'Calc - SENIOR PERS'!$N$143,"ERROR","")</f>
        <v/>
      </c>
      <c r="G38" s="2693"/>
      <c r="H38" s="4"/>
      <c r="I38" s="21">
        <f ca="1">'Calc - SENIOR PERS'!$N$137*$G$15</f>
        <v>0</v>
      </c>
      <c r="J38" s="164">
        <f t="shared" ca="1" si="2"/>
        <v>0</v>
      </c>
    </row>
    <row r="39" spans="1:11" ht="15" customHeight="1" x14ac:dyDescent="0.25">
      <c r="A39" s="404"/>
      <c r="B39" s="3217"/>
      <c r="C39" s="422">
        <f ca="1">'Calc - SENIOR PERS'!$B$146</f>
        <v>0</v>
      </c>
      <c r="D39" s="21">
        <f ca="1">'Calc - SENIOR PERS'!$N$151*(1-$G$15)</f>
        <v>0</v>
      </c>
      <c r="E39" s="88">
        <f t="shared" ca="1" si="1"/>
        <v>0</v>
      </c>
      <c r="F39" s="9" t="str">
        <f ca="1">IF(E39&lt;&gt;'Calc - SENIOR PERS'!$N$157,"ERROR","")</f>
        <v/>
      </c>
      <c r="G39" s="256"/>
      <c r="H39" s="4"/>
      <c r="I39" s="21">
        <f ca="1">'Calc - SENIOR PERS'!$N$151*$G$15</f>
        <v>0</v>
      </c>
      <c r="J39" s="164">
        <f t="shared" ca="1" si="2"/>
        <v>0</v>
      </c>
    </row>
    <row r="40" spans="1:11" ht="15" customHeight="1" x14ac:dyDescent="0.25">
      <c r="A40" s="404"/>
      <c r="B40" s="3217"/>
      <c r="C40" s="422">
        <f ca="1">'Calc - SENIOR PERS'!$B$160</f>
        <v>0</v>
      </c>
      <c r="D40" s="21">
        <f ca="1">'Calc - SENIOR PERS'!$N$165*(1-$G$15)</f>
        <v>0</v>
      </c>
      <c r="E40" s="88">
        <f t="shared" ca="1" si="1"/>
        <v>0</v>
      </c>
      <c r="F40" s="9" t="str">
        <f ca="1">IF(E40&lt;&gt;'Calc - SENIOR PERS'!$N$171,"ERROR","")</f>
        <v/>
      </c>
      <c r="G40" s="256"/>
      <c r="H40" s="4"/>
      <c r="I40" s="21">
        <f ca="1">'Calc - SENIOR PERS'!$N$165*$G$15</f>
        <v>0</v>
      </c>
      <c r="J40" s="164">
        <f t="shared" ca="1" si="2"/>
        <v>0</v>
      </c>
    </row>
    <row r="41" spans="1:11" ht="15" customHeight="1" x14ac:dyDescent="0.25">
      <c r="A41" s="404"/>
      <c r="B41" s="3217"/>
      <c r="C41" s="422">
        <f ca="1">'Calc - SENIOR PERS'!$B$174</f>
        <v>0</v>
      </c>
      <c r="D41" s="21">
        <f ca="1">'Calc - SENIOR PERS'!$N$179*(1-$G$15)</f>
        <v>0</v>
      </c>
      <c r="E41" s="88">
        <f t="shared" ca="1" si="1"/>
        <v>0</v>
      </c>
      <c r="F41" s="9" t="str">
        <f ca="1">IF(E41&lt;&gt;'Calc - SENIOR PERS'!$N$185,"ERROR","")</f>
        <v/>
      </c>
      <c r="G41" s="256"/>
      <c r="H41" s="4"/>
      <c r="I41" s="21">
        <f ca="1">'Calc - SENIOR PERS'!$N$179*$G$15</f>
        <v>0</v>
      </c>
      <c r="J41" s="164">
        <f t="shared" ca="1" si="2"/>
        <v>0</v>
      </c>
    </row>
    <row r="42" spans="1:11" ht="15" customHeight="1" x14ac:dyDescent="0.25">
      <c r="A42" s="404"/>
      <c r="B42" s="3217"/>
      <c r="C42" s="422">
        <f ca="1">'Calc - SENIOR PERS'!$B$188</f>
        <v>0</v>
      </c>
      <c r="D42" s="21">
        <f ca="1">'Calc - SENIOR PERS'!$N$193*(1-$G$15)</f>
        <v>0</v>
      </c>
      <c r="E42" s="88">
        <f t="shared" ca="1" si="1"/>
        <v>0</v>
      </c>
      <c r="F42" s="9" t="str">
        <f ca="1">IF(E42&lt;&gt;'Calc - SENIOR PERS'!$N$199,"ERROR","")</f>
        <v/>
      </c>
      <c r="G42" s="256"/>
      <c r="H42" s="4"/>
      <c r="I42" s="21">
        <f ca="1">'Calc - SENIOR PERS'!$N$193*$G$15</f>
        <v>0</v>
      </c>
      <c r="J42" s="164">
        <f t="shared" ca="1" si="2"/>
        <v>0</v>
      </c>
    </row>
    <row r="43" spans="1:11" ht="15" customHeight="1" thickBot="1" x14ac:dyDescent="0.3">
      <c r="A43" s="404"/>
      <c r="B43" s="3218"/>
      <c r="C43" s="422">
        <f ca="1">'Calc - SENIOR PERS'!$B$202</f>
        <v>0</v>
      </c>
      <c r="D43" s="21">
        <f ca="1">'Calc - SENIOR PERS'!$N$207*(1-$G$15)</f>
        <v>0</v>
      </c>
      <c r="E43" s="88">
        <f t="shared" ca="1" si="1"/>
        <v>0</v>
      </c>
      <c r="F43" s="9" t="str">
        <f ca="1">IF(E43&lt;&gt;'Calc - SENIOR PERS'!$N$213,"ERROR","")</f>
        <v/>
      </c>
      <c r="G43" s="2693"/>
      <c r="H43" s="4"/>
      <c r="I43" s="21">
        <f ca="1">'Calc - SENIOR PERS'!$N$207*$G$15</f>
        <v>0</v>
      </c>
      <c r="J43" s="165">
        <f t="shared" ca="1" si="2"/>
        <v>0</v>
      </c>
    </row>
    <row r="44" spans="1:11" ht="15" customHeight="1" thickBot="1" x14ac:dyDescent="0.3">
      <c r="A44" s="404"/>
      <c r="B44" s="3212" t="s">
        <v>50</v>
      </c>
      <c r="C44" s="3213"/>
      <c r="D44" s="1238">
        <f ca="1">SUM(D14:D43)</f>
        <v>0</v>
      </c>
      <c r="E44" s="1239">
        <f ca="1">SUM(E14:E43)</f>
        <v>0</v>
      </c>
      <c r="F44" s="13">
        <f ca="1">SUM(D44:D44)</f>
        <v>0</v>
      </c>
      <c r="G44" s="2694" t="str">
        <f ca="1">IF(E44&lt;&gt;F44,"ERORR","")</f>
        <v/>
      </c>
      <c r="H44" s="13"/>
      <c r="I44" s="2153">
        <f ca="1">SUM(I14:I43)</f>
        <v>16781.995999999999</v>
      </c>
      <c r="J44" s="2155">
        <f ca="1">SUM(J14:J43)</f>
        <v>16781.995999999999</v>
      </c>
    </row>
    <row r="45" spans="1:11" ht="15" customHeight="1" thickBot="1" x14ac:dyDescent="0.3">
      <c r="A45" s="22"/>
      <c r="C45" s="430"/>
      <c r="D45" s="129"/>
      <c r="E45" s="130"/>
      <c r="F45" s="13"/>
      <c r="G45" s="10"/>
      <c r="H45" s="13"/>
      <c r="I45" s="129"/>
      <c r="J45" s="130"/>
    </row>
    <row r="46" spans="1:11" ht="15" customHeight="1" thickBot="1" x14ac:dyDescent="0.3">
      <c r="A46" s="429" t="s">
        <v>25</v>
      </c>
      <c r="B46" s="2695" t="s">
        <v>109</v>
      </c>
      <c r="C46" s="2696"/>
      <c r="D46" s="2696"/>
      <c r="E46" s="2697"/>
      <c r="F46" s="3474" t="s">
        <v>880</v>
      </c>
      <c r="G46" s="3475"/>
      <c r="H46"/>
      <c r="I46" s="465" t="s">
        <v>133</v>
      </c>
      <c r="J46" s="1097"/>
      <c r="K46" s="40"/>
    </row>
    <row r="47" spans="1:11" ht="15" customHeight="1" thickBot="1" x14ac:dyDescent="0.3">
      <c r="A47" s="22"/>
      <c r="B47" s="1600" t="str">
        <f>'Calc - GRAD ASST'!$C7</f>
        <v>EECS</v>
      </c>
      <c r="C47" s="346" t="str">
        <f>'Calc - GRAD ASST'!A6</f>
        <v>GA #01 / Sponsor Funds</v>
      </c>
      <c r="D47" s="1601">
        <f ca="1">'Calc - GRAD ASST'!$K$11*(1-$G$47)</f>
        <v>0</v>
      </c>
      <c r="E47" s="87">
        <f t="shared" ref="E47:E61" ca="1" si="3">SUM(D47:D47)</f>
        <v>0</v>
      </c>
      <c r="F47" s="2698"/>
      <c r="G47" s="594">
        <v>0</v>
      </c>
      <c r="H47" s="24"/>
      <c r="I47" s="1601">
        <f ca="1">'Calc - GRAD ASST'!$K$11*$G$47</f>
        <v>0</v>
      </c>
      <c r="J47" s="167">
        <f t="shared" ref="J47:J77" ca="1" si="4">SUM(I47:I47)</f>
        <v>0</v>
      </c>
    </row>
    <row r="48" spans="1:11" ht="15" customHeight="1" x14ac:dyDescent="0.25">
      <c r="A48" s="22"/>
      <c r="B48" s="348">
        <f>'Calc - GRAD ASST'!$C36</f>
        <v>0</v>
      </c>
      <c r="C48" s="57" t="str">
        <f>'Calc - GRAD ASST'!A35</f>
        <v>GA #02 / Sponsor Funds</v>
      </c>
      <c r="D48" s="53">
        <f ca="1">'Calc - GRAD ASST'!K40*(1-$G$47)</f>
        <v>0</v>
      </c>
      <c r="E48" s="88">
        <f t="shared" ca="1" si="3"/>
        <v>0</v>
      </c>
      <c r="F48" s="9" t="str">
        <f ca="1">IF(E49&lt;&gt;'Calc - SENIOR PERS'!$O$31,"ERROR","")</f>
        <v/>
      </c>
      <c r="H48" s="24"/>
      <c r="I48" s="53">
        <f>'Calc - GRAD ASST'!P40*($G$47)</f>
        <v>0</v>
      </c>
      <c r="J48" s="167">
        <f t="shared" si="4"/>
        <v>0</v>
      </c>
    </row>
    <row r="49" spans="1:11" ht="15" customHeight="1" x14ac:dyDescent="0.25">
      <c r="A49" s="22"/>
      <c r="B49" s="348">
        <f>'Calc - GRAD ASST'!$C65</f>
        <v>0</v>
      </c>
      <c r="C49" s="57" t="str">
        <f>'Calc - GRAD ASST'!A64</f>
        <v>GA #03 / Sponsor Funds</v>
      </c>
      <c r="D49" s="53">
        <f ca="1">'Calc - GRAD ASST'!K69*(1-$G$47)</f>
        <v>0</v>
      </c>
      <c r="E49" s="88">
        <f t="shared" ca="1" si="3"/>
        <v>0</v>
      </c>
      <c r="H49" s="24"/>
      <c r="I49" s="53">
        <f>'Calc - GRAD ASST'!P69*($G$47)</f>
        <v>0</v>
      </c>
      <c r="J49" s="167">
        <f t="shared" si="4"/>
        <v>0</v>
      </c>
    </row>
    <row r="50" spans="1:11" ht="15" customHeight="1" x14ac:dyDescent="0.25">
      <c r="A50" s="22"/>
      <c r="B50" s="348">
        <f>'Calc - GRAD ASST'!$C94</f>
        <v>0</v>
      </c>
      <c r="C50" s="57" t="str">
        <f>'Calc - GRAD ASST'!A93</f>
        <v>GA #04 / Sponsor Funds</v>
      </c>
      <c r="D50" s="53">
        <f ca="1">'Calc - GRAD ASST'!K98*(1-$G$47)</f>
        <v>0</v>
      </c>
      <c r="E50" s="88">
        <f t="shared" ca="1" si="3"/>
        <v>0</v>
      </c>
      <c r="F50" s="2072"/>
      <c r="H50" s="24"/>
      <c r="I50" s="53">
        <f>'Calc - GRAD ASST'!P98*($G$47)</f>
        <v>0</v>
      </c>
      <c r="J50" s="167">
        <f t="shared" si="4"/>
        <v>0</v>
      </c>
    </row>
    <row r="51" spans="1:11" ht="15" customHeight="1" x14ac:dyDescent="0.25">
      <c r="A51" s="22"/>
      <c r="B51" s="421">
        <f>'Calc - GRAD ASST'!$C123</f>
        <v>0</v>
      </c>
      <c r="C51" s="352" t="str">
        <f>'Calc - GRAD ASST'!A122</f>
        <v>GA #05 / Sponsor Funds</v>
      </c>
      <c r="D51" s="408">
        <f ca="1">'Calc - GRAD ASST'!K127*(1-$G$47)</f>
        <v>0</v>
      </c>
      <c r="E51" s="351">
        <f t="shared" ca="1" si="3"/>
        <v>0</v>
      </c>
      <c r="F51" s="2072"/>
      <c r="G51" s="2693"/>
      <c r="H51" s="24"/>
      <c r="I51" s="408">
        <f>'Calc - GRAD ASST'!P127*($G$47)</f>
        <v>0</v>
      </c>
      <c r="J51" s="167">
        <f t="shared" si="4"/>
        <v>0</v>
      </c>
    </row>
    <row r="52" spans="1:11" ht="15" customHeight="1" x14ac:dyDescent="0.25">
      <c r="A52" s="22"/>
      <c r="B52" s="348">
        <f>'Calc - GRAD ASST'!$C152</f>
        <v>0</v>
      </c>
      <c r="C52" s="57" t="str">
        <f>'Calc - GRAD ASST'!A151</f>
        <v>GA #06 / Sponsor Funds</v>
      </c>
      <c r="D52" s="53">
        <f ca="1">'Calc - GRAD ASST'!K156*(1-$G$47)</f>
        <v>0</v>
      </c>
      <c r="E52" s="88">
        <f t="shared" ca="1" si="3"/>
        <v>0</v>
      </c>
      <c r="F52" s="2072"/>
      <c r="H52" s="24"/>
      <c r="I52" s="53">
        <f>'Calc - GRAD ASST'!P156*($G$47)</f>
        <v>0</v>
      </c>
      <c r="J52" s="167">
        <f t="shared" si="4"/>
        <v>0</v>
      </c>
    </row>
    <row r="53" spans="1:11" ht="15" customHeight="1" x14ac:dyDescent="0.25">
      <c r="A53" s="22"/>
      <c r="B53" s="348">
        <f>'Calc - GRAD ASST'!$C181</f>
        <v>0</v>
      </c>
      <c r="C53" s="57" t="str">
        <f>'Calc - GRAD ASST'!A180</f>
        <v>GA #07 / Sponsor Funds</v>
      </c>
      <c r="D53" s="53">
        <f ca="1">'Calc - GRAD ASST'!$K185*(1-$G$47)</f>
        <v>0</v>
      </c>
      <c r="E53" s="88">
        <f t="shared" ca="1" si="3"/>
        <v>0</v>
      </c>
      <c r="F53" s="2072"/>
      <c r="H53" s="24"/>
      <c r="I53" s="53">
        <f ca="1">'Calc - GRAD ASST'!$K185*($G$47)</f>
        <v>0</v>
      </c>
      <c r="J53" s="167">
        <f t="shared" ca="1" si="4"/>
        <v>0</v>
      </c>
    </row>
    <row r="54" spans="1:11" ht="15" customHeight="1" x14ac:dyDescent="0.25">
      <c r="A54" s="22"/>
      <c r="B54" s="348">
        <f>'Calc - GRAD ASST'!$C210</f>
        <v>0</v>
      </c>
      <c r="C54" s="57" t="str">
        <f>'Calc - GRAD ASST'!A209</f>
        <v>GA #08 / Sponsor Funds</v>
      </c>
      <c r="D54" s="53">
        <f ca="1">'Calc - GRAD ASST'!$K214*(1-$G$47)</f>
        <v>0</v>
      </c>
      <c r="E54" s="88">
        <f t="shared" ca="1" si="3"/>
        <v>0</v>
      </c>
      <c r="F54" s="2072"/>
      <c r="H54" s="24"/>
      <c r="I54" s="53">
        <f ca="1">'Calc - GRAD ASST'!$K214*($G$47)</f>
        <v>0</v>
      </c>
      <c r="J54" s="167">
        <f t="shared" ca="1" si="4"/>
        <v>0</v>
      </c>
    </row>
    <row r="55" spans="1:11" ht="15" customHeight="1" x14ac:dyDescent="0.25">
      <c r="A55" s="22"/>
      <c r="B55" s="348">
        <f>'Calc - GRAD ASST'!$C239</f>
        <v>0</v>
      </c>
      <c r="C55" s="57" t="str">
        <f>'Calc - GRAD ASST'!A238</f>
        <v>GA #09 / Sponsor Funds</v>
      </c>
      <c r="D55" s="53">
        <f ca="1">'Calc - GRAD ASST'!$K243*(1-$G$47)</f>
        <v>0</v>
      </c>
      <c r="E55" s="88">
        <f t="shared" ca="1" si="3"/>
        <v>0</v>
      </c>
      <c r="F55" s="2072"/>
      <c r="H55" s="24"/>
      <c r="I55" s="53">
        <f ca="1">'Calc - GRAD ASST'!$K243*($G$47)</f>
        <v>0</v>
      </c>
      <c r="J55" s="167">
        <f t="shared" ca="1" si="4"/>
        <v>0</v>
      </c>
    </row>
    <row r="56" spans="1:11" ht="15" customHeight="1" x14ac:dyDescent="0.25">
      <c r="A56" s="22"/>
      <c r="B56" s="348">
        <f>'Calc - GRAD ASST'!$C268</f>
        <v>0</v>
      </c>
      <c r="C56" s="57" t="str">
        <f>'Calc - GRAD ASST'!A267</f>
        <v>GA #10 / Sponsor Funds</v>
      </c>
      <c r="D56" s="53">
        <f ca="1">'Calc - GRAD ASST'!$K272*(1-$G$47)</f>
        <v>0</v>
      </c>
      <c r="E56" s="88">
        <f t="shared" ca="1" si="3"/>
        <v>0</v>
      </c>
      <c r="F56" s="2072"/>
      <c r="G56" s="2693"/>
      <c r="H56" s="24"/>
      <c r="I56" s="53">
        <f ca="1">'Calc - GRAD ASST'!$K272*($G$47)</f>
        <v>0</v>
      </c>
      <c r="J56" s="167">
        <f t="shared" ca="1" si="4"/>
        <v>0</v>
      </c>
    </row>
    <row r="57" spans="1:11" ht="15" customHeight="1" x14ac:dyDescent="0.25">
      <c r="A57" s="22"/>
      <c r="B57" s="348">
        <f>'Calc - GRAD ASST'!$C297</f>
        <v>0</v>
      </c>
      <c r="C57" s="57" t="str">
        <f>'Calc - GRAD ASST'!A296</f>
        <v>GA #11 / Sponsor Funds</v>
      </c>
      <c r="D57" s="53">
        <f ca="1">'Calc - GRAD ASST'!$K301*(1-$G$47)</f>
        <v>0</v>
      </c>
      <c r="E57" s="88">
        <f t="shared" ca="1" si="3"/>
        <v>0</v>
      </c>
      <c r="F57" s="2072"/>
      <c r="H57" s="24"/>
      <c r="I57" s="53">
        <f ca="1">'Calc - GRAD ASST'!$K301*($G$47)</f>
        <v>0</v>
      </c>
      <c r="J57" s="167">
        <f t="shared" ca="1" si="4"/>
        <v>0</v>
      </c>
    </row>
    <row r="58" spans="1:11" ht="15" customHeight="1" x14ac:dyDescent="0.25">
      <c r="A58" s="22"/>
      <c r="B58" s="348">
        <f>'Calc - GRAD ASST'!$C326</f>
        <v>0</v>
      </c>
      <c r="C58" s="57" t="str">
        <f>'Calc - GRAD ASST'!A325</f>
        <v>GA #12 / Sponsor Funds</v>
      </c>
      <c r="D58" s="53">
        <f ca="1">'Calc - GRAD ASST'!$K330*(1-$G$47)</f>
        <v>0</v>
      </c>
      <c r="E58" s="88">
        <f t="shared" ca="1" si="3"/>
        <v>0</v>
      </c>
      <c r="F58" s="2072"/>
      <c r="H58" s="24"/>
      <c r="I58" s="53">
        <f ca="1">'Calc - GRAD ASST'!$K330*($G$47)</f>
        <v>0</v>
      </c>
      <c r="J58" s="167">
        <f t="shared" ca="1" si="4"/>
        <v>0</v>
      </c>
    </row>
    <row r="59" spans="1:11" ht="15" customHeight="1" x14ac:dyDescent="0.25">
      <c r="A59" s="22"/>
      <c r="B59" s="348">
        <f>'Calc - GRAD ASST'!$C355</f>
        <v>0</v>
      </c>
      <c r="C59" s="57" t="str">
        <f>'Calc - GRAD ASST'!A354</f>
        <v>GA #13 / Sponsor Funds</v>
      </c>
      <c r="D59" s="53">
        <f ca="1">'Calc - GRAD ASST'!$K359*(1-$G$47)</f>
        <v>0</v>
      </c>
      <c r="E59" s="88">
        <f t="shared" ca="1" si="3"/>
        <v>0</v>
      </c>
      <c r="F59" s="2072"/>
      <c r="H59" s="24"/>
      <c r="I59" s="53">
        <f ca="1">'Calc - GRAD ASST'!$K359*($G$47)</f>
        <v>0</v>
      </c>
      <c r="J59" s="167">
        <f t="shared" ca="1" si="4"/>
        <v>0</v>
      </c>
    </row>
    <row r="60" spans="1:11" ht="15" customHeight="1" x14ac:dyDescent="0.25">
      <c r="A60" s="22"/>
      <c r="B60" s="348">
        <f>'Calc - GRAD ASST'!$C384</f>
        <v>0</v>
      </c>
      <c r="C60" s="57" t="str">
        <f>'Calc - GRAD ASST'!A383</f>
        <v>GA #14 / Sponsor Funds</v>
      </c>
      <c r="D60" s="53">
        <f ca="1">'Calc - GRAD ASST'!$K388*(1-$G$47)</f>
        <v>0</v>
      </c>
      <c r="E60" s="88">
        <f t="shared" ca="1" si="3"/>
        <v>0</v>
      </c>
      <c r="F60" s="2072"/>
      <c r="H60" s="24"/>
      <c r="I60" s="53">
        <f ca="1">'Calc - GRAD ASST'!$K388*($G$47)</f>
        <v>0</v>
      </c>
      <c r="J60" s="167">
        <f t="shared" ca="1" si="4"/>
        <v>0</v>
      </c>
    </row>
    <row r="61" spans="1:11" ht="15" customHeight="1" thickBot="1" x14ac:dyDescent="0.3">
      <c r="A61" s="22"/>
      <c r="B61" s="1602">
        <f>'Calc - GRAD ASST'!$C413</f>
        <v>0</v>
      </c>
      <c r="C61" s="349" t="str">
        <f>'Calc - GRAD ASST'!A412</f>
        <v>GA #15 / Sponsor Funds</v>
      </c>
      <c r="D61" s="1603">
        <f ca="1">'Calc - GRAD ASST'!$K417*(1-$G$47)</f>
        <v>0</v>
      </c>
      <c r="E61" s="90">
        <f t="shared" ca="1" si="3"/>
        <v>0</v>
      </c>
      <c r="F61" s="2072"/>
      <c r="G61" s="2693"/>
      <c r="H61" s="24"/>
      <c r="I61" s="1603">
        <f ca="1">'Calc - GRAD ASST'!$K417*($G$47)</f>
        <v>0</v>
      </c>
      <c r="J61" s="167">
        <f t="shared" ca="1" si="4"/>
        <v>0</v>
      </c>
    </row>
    <row r="62" spans="1:11" ht="15" customHeight="1" thickBot="1" x14ac:dyDescent="0.3">
      <c r="A62" s="22"/>
      <c r="B62" s="3212" t="s">
        <v>240</v>
      </c>
      <c r="C62" s="3224"/>
      <c r="D62" s="96">
        <f ca="1">SUM(D47:D61)</f>
        <v>0</v>
      </c>
      <c r="E62" s="356">
        <f ca="1">SUM(E47:E61)</f>
        <v>0</v>
      </c>
      <c r="F62" s="13">
        <f ca="1">SUM(D62:D62)</f>
        <v>0</v>
      </c>
      <c r="G62" s="256"/>
      <c r="H62" s="13"/>
      <c r="I62" s="2222">
        <f ca="1">SUM(I47:I61)</f>
        <v>0</v>
      </c>
      <c r="J62" s="361">
        <f t="shared" ca="1" si="4"/>
        <v>0</v>
      </c>
    </row>
    <row r="63" spans="1:11" ht="15" customHeight="1" thickBot="1" x14ac:dyDescent="0.3">
      <c r="A63" s="22"/>
      <c r="B63" s="3211" t="s">
        <v>109</v>
      </c>
      <c r="C63" s="123" t="str">
        <f>('DATA INPUT'!B51&amp;" "&amp;"-"&amp;" "&amp;'DATA INPUT'!H51)</f>
        <v>TBD - Part Time &amp; Temporary</v>
      </c>
      <c r="D63" s="409">
        <f ca="1">'Calc - OTHER PERS'!$J$11*(1-$G$64)</f>
        <v>0</v>
      </c>
      <c r="E63" s="345">
        <f t="shared" ref="E63:E77" ca="1" si="5">SUM(D63:D63)</f>
        <v>0</v>
      </c>
      <c r="F63" s="3474" t="s">
        <v>881</v>
      </c>
      <c r="G63" s="3475"/>
      <c r="H63" s="4"/>
      <c r="I63" s="409">
        <f ca="1">'Calc - OTHER PERS'!$J$11*$G$64</f>
        <v>16250</v>
      </c>
      <c r="J63" s="166">
        <f t="shared" ca="1" si="4"/>
        <v>16250</v>
      </c>
    </row>
    <row r="64" spans="1:11" ht="15" customHeight="1" thickBot="1" x14ac:dyDescent="0.25">
      <c r="A64" s="22"/>
      <c r="B64" s="3211"/>
      <c r="C64" s="422" t="str">
        <f>('DATA INPUT'!B52&amp;" "&amp;"-"&amp;" "&amp;'DATA INPUT'!H52)</f>
        <v xml:space="preserve"> - </v>
      </c>
      <c r="D64" s="21">
        <f ca="1">'Calc - OTHER PERS'!$J$25*(1-$G$64)</f>
        <v>0</v>
      </c>
      <c r="E64" s="12">
        <f t="shared" ca="1" si="5"/>
        <v>0</v>
      </c>
      <c r="F64" s="2698"/>
      <c r="G64" s="594">
        <v>1</v>
      </c>
      <c r="H64" s="45"/>
      <c r="I64" s="409">
        <f ca="1">'Calc - OTHER PERS'!$J$25*$G$64</f>
        <v>0</v>
      </c>
      <c r="J64" s="164">
        <f t="shared" ca="1" si="4"/>
        <v>0</v>
      </c>
      <c r="K64" s="1"/>
    </row>
    <row r="65" spans="1:11" ht="15" customHeight="1" x14ac:dyDescent="0.25">
      <c r="A65" s="22"/>
      <c r="B65" s="3211"/>
      <c r="C65" s="123" t="str">
        <f>('DATA INPUT'!B53&amp;" "&amp;"-"&amp;" "&amp;'DATA INPUT'!H53)</f>
        <v xml:space="preserve"> - </v>
      </c>
      <c r="D65" s="21">
        <f ca="1">'Calc - OTHER PERS'!J39*(1-$G$63)</f>
        <v>0</v>
      </c>
      <c r="E65" s="12">
        <f t="shared" ca="1" si="5"/>
        <v>0</v>
      </c>
      <c r="F65" s="4"/>
      <c r="G65" s="256"/>
      <c r="H65" s="4"/>
      <c r="I65" s="21">
        <f ca="1">'Calc - OTHER PERS'!O39*($G$63)</f>
        <v>0</v>
      </c>
      <c r="J65" s="164">
        <f t="shared" ca="1" si="4"/>
        <v>0</v>
      </c>
    </row>
    <row r="66" spans="1:11" ht="13.9" customHeight="1" x14ac:dyDescent="0.2">
      <c r="A66" s="22"/>
      <c r="B66" s="3211"/>
      <c r="C66" s="57" t="str">
        <f>('DATA INPUT'!B54&amp;" "&amp;"-"&amp;" "&amp;'DATA INPUT'!H54)</f>
        <v xml:space="preserve"> - </v>
      </c>
      <c r="D66" s="21">
        <f ca="1">'Calc - OTHER PERS'!J53*(1-$G$63)</f>
        <v>0</v>
      </c>
      <c r="E66" s="12">
        <f t="shared" ca="1" si="5"/>
        <v>0</v>
      </c>
      <c r="F66" s="45"/>
      <c r="G66" s="256"/>
      <c r="H66" s="45"/>
      <c r="I66" s="21">
        <f ca="1">'Calc - OTHER PERS'!O53*($G$63)</f>
        <v>0</v>
      </c>
      <c r="J66" s="164">
        <f t="shared" ca="1" si="4"/>
        <v>0</v>
      </c>
      <c r="K66" s="1"/>
    </row>
    <row r="67" spans="1:11" ht="15" customHeight="1" x14ac:dyDescent="0.25">
      <c r="A67" s="22"/>
      <c r="B67" s="3211"/>
      <c r="C67" s="123" t="str">
        <f>('DATA INPUT'!B55&amp;" "&amp;"-"&amp;" "&amp;'DATA INPUT'!H55)</f>
        <v xml:space="preserve"> - </v>
      </c>
      <c r="D67" s="409">
        <f ca="1">'Calc - OTHER PERS'!J67*(1-$G$63)</f>
        <v>0</v>
      </c>
      <c r="E67" s="345">
        <f t="shared" ca="1" si="5"/>
        <v>0</v>
      </c>
      <c r="F67" s="4"/>
      <c r="G67" s="256"/>
      <c r="H67" s="4"/>
      <c r="I67" s="409">
        <f ca="1">'Calc - OTHER PERS'!O67*($G$63)</f>
        <v>0</v>
      </c>
      <c r="J67" s="164">
        <f t="shared" ca="1" si="4"/>
        <v>0</v>
      </c>
    </row>
    <row r="68" spans="1:11" ht="13.9" customHeight="1" x14ac:dyDescent="0.2">
      <c r="A68" s="22"/>
      <c r="B68" s="3211"/>
      <c r="C68" s="422" t="str">
        <f>('DATA INPUT'!B56&amp;" "&amp;"-"&amp;" "&amp;'DATA INPUT'!H56)</f>
        <v xml:space="preserve"> - </v>
      </c>
      <c r="D68" s="21">
        <f ca="1">'Calc - OTHER PERS'!J81*(1-$G$63)</f>
        <v>0</v>
      </c>
      <c r="E68" s="12">
        <f t="shared" ca="1" si="5"/>
        <v>0</v>
      </c>
      <c r="F68" s="45"/>
      <c r="G68" s="256"/>
      <c r="H68" s="45"/>
      <c r="I68" s="21">
        <f ca="1">'Calc - OTHER PERS'!O81*($G$63)</f>
        <v>0</v>
      </c>
      <c r="J68" s="164">
        <f t="shared" ca="1" si="4"/>
        <v>0</v>
      </c>
      <c r="K68" s="1"/>
    </row>
    <row r="69" spans="1:11" ht="15" customHeight="1" x14ac:dyDescent="0.25">
      <c r="A69" s="22"/>
      <c r="B69" s="3211"/>
      <c r="C69" s="123" t="str">
        <f>('DATA INPUT'!B57&amp;" "&amp;"-"&amp;" "&amp;'DATA INPUT'!H57)</f>
        <v xml:space="preserve"> - </v>
      </c>
      <c r="D69" s="21">
        <f ca="1">'Calc - OTHER PERS'!J95*(1-$G$63)</f>
        <v>0</v>
      </c>
      <c r="E69" s="12">
        <f t="shared" ca="1" si="5"/>
        <v>0</v>
      </c>
      <c r="F69" s="4"/>
      <c r="G69" s="256"/>
      <c r="H69" s="4"/>
      <c r="I69" s="21">
        <f ca="1">'Calc - OTHER PERS'!O95*($G$63)</f>
        <v>0</v>
      </c>
      <c r="J69" s="164">
        <f t="shared" ca="1" si="4"/>
        <v>0</v>
      </c>
    </row>
    <row r="70" spans="1:11" ht="15" customHeight="1" x14ac:dyDescent="0.25">
      <c r="A70" s="22"/>
      <c r="B70" s="3211"/>
      <c r="C70" s="123" t="str">
        <f>('DATA INPUT'!B58&amp;" "&amp;"-"&amp;" "&amp;'DATA INPUT'!H58)</f>
        <v xml:space="preserve"> - </v>
      </c>
      <c r="D70" s="409">
        <f ca="1">'Calc - OTHER PERS'!J109*(1-$G$63)</f>
        <v>0</v>
      </c>
      <c r="E70" s="345">
        <f t="shared" ca="1" si="5"/>
        <v>0</v>
      </c>
      <c r="F70" s="4"/>
      <c r="G70" s="256"/>
      <c r="H70" s="4"/>
      <c r="I70" s="409">
        <f ca="1">'Calc - OTHER PERS'!O109*($G$63)</f>
        <v>0</v>
      </c>
      <c r="J70" s="164">
        <f t="shared" ca="1" si="4"/>
        <v>0</v>
      </c>
    </row>
    <row r="71" spans="1:11" ht="13.9" customHeight="1" x14ac:dyDescent="0.2">
      <c r="A71" s="22"/>
      <c r="B71" s="3211"/>
      <c r="C71" s="422" t="str">
        <f>('DATA INPUT'!B59&amp;" "&amp;"-"&amp;" "&amp;'DATA INPUT'!H59)</f>
        <v xml:space="preserve"> - </v>
      </c>
      <c r="D71" s="21">
        <f ca="1">'Calc - OTHER PERS'!J123*(1-$G$63)</f>
        <v>0</v>
      </c>
      <c r="E71" s="12">
        <f t="shared" ca="1" si="5"/>
        <v>0</v>
      </c>
      <c r="F71" s="45"/>
      <c r="G71" s="256"/>
      <c r="H71" s="45"/>
      <c r="I71" s="21">
        <f ca="1">'Calc - OTHER PERS'!O123*($G$63)</f>
        <v>0</v>
      </c>
      <c r="J71" s="164">
        <f t="shared" ca="1" si="4"/>
        <v>0</v>
      </c>
      <c r="K71" s="1"/>
    </row>
    <row r="72" spans="1:11" ht="15" customHeight="1" x14ac:dyDescent="0.25">
      <c r="A72" s="22"/>
      <c r="B72" s="3211"/>
      <c r="C72" s="123" t="str">
        <f>('DATA INPUT'!B60&amp;" "&amp;"-"&amp;" "&amp;'DATA INPUT'!H60)</f>
        <v xml:space="preserve"> - </v>
      </c>
      <c r="D72" s="21">
        <f ca="1">'Calc - OTHER PERS'!J137*(1-$G$63)</f>
        <v>0</v>
      </c>
      <c r="E72" s="12">
        <f t="shared" ca="1" si="5"/>
        <v>0</v>
      </c>
      <c r="F72" s="4"/>
      <c r="G72" s="256"/>
      <c r="H72" s="4"/>
      <c r="I72" s="21">
        <f ca="1">'Calc - OTHER PERS'!O137*($G$63)</f>
        <v>0</v>
      </c>
      <c r="J72" s="164">
        <f t="shared" ca="1" si="4"/>
        <v>0</v>
      </c>
    </row>
    <row r="73" spans="1:11" ht="13.9" customHeight="1" x14ac:dyDescent="0.2">
      <c r="A73" s="22"/>
      <c r="B73" s="3211"/>
      <c r="C73" s="57" t="str">
        <f>('DATA INPUT'!B61&amp;" "&amp;"-"&amp;" "&amp;'DATA INPUT'!H61)</f>
        <v xml:space="preserve"> - </v>
      </c>
      <c r="D73" s="21">
        <f ca="1">'Calc - OTHER PERS'!J151*(1-$G$63)</f>
        <v>0</v>
      </c>
      <c r="E73" s="12">
        <f t="shared" ca="1" si="5"/>
        <v>0</v>
      </c>
      <c r="F73" s="45"/>
      <c r="G73" s="256"/>
      <c r="H73" s="45"/>
      <c r="I73" s="21">
        <f ca="1">'Calc - OTHER PERS'!O151*($G$63)</f>
        <v>0</v>
      </c>
      <c r="J73" s="164">
        <f t="shared" ca="1" si="4"/>
        <v>0</v>
      </c>
      <c r="K73" s="1"/>
    </row>
    <row r="74" spans="1:11" ht="15" customHeight="1" x14ac:dyDescent="0.25">
      <c r="A74" s="22"/>
      <c r="B74" s="3211"/>
      <c r="C74" s="418" t="str">
        <f>('DATA INPUT'!B62&amp;" "&amp;"-"&amp;" "&amp;'DATA INPUT'!H62)</f>
        <v xml:space="preserve"> - </v>
      </c>
      <c r="D74" s="409">
        <f ca="1">'Calc - OTHER PERS'!J165*(1-$G$63)</f>
        <v>0</v>
      </c>
      <c r="E74" s="345">
        <f t="shared" ca="1" si="5"/>
        <v>0</v>
      </c>
      <c r="F74" s="4"/>
      <c r="G74" s="256"/>
      <c r="H74" s="4"/>
      <c r="I74" s="409">
        <f ca="1">'Calc - OTHER PERS'!O165*($G$63)</f>
        <v>0</v>
      </c>
      <c r="J74" s="164">
        <f t="shared" ca="1" si="4"/>
        <v>0</v>
      </c>
    </row>
    <row r="75" spans="1:11" ht="13.9" customHeight="1" x14ac:dyDescent="0.2">
      <c r="A75" s="22"/>
      <c r="B75" s="3211"/>
      <c r="C75" s="422" t="str">
        <f>('DATA INPUT'!B63&amp;" "&amp;"-"&amp;" "&amp;'DATA INPUT'!H63)</f>
        <v xml:space="preserve"> - </v>
      </c>
      <c r="D75" s="21">
        <f ca="1">'Calc - OTHER PERS'!J179*(1-$G$63)</f>
        <v>0</v>
      </c>
      <c r="E75" s="12">
        <f t="shared" ca="1" si="5"/>
        <v>0</v>
      </c>
      <c r="F75" s="45"/>
      <c r="G75" s="256"/>
      <c r="H75" s="45"/>
      <c r="I75" s="21">
        <f ca="1">'Calc - OTHER PERS'!O179*($G$63)</f>
        <v>0</v>
      </c>
      <c r="J75" s="164">
        <f t="shared" ca="1" si="4"/>
        <v>0</v>
      </c>
      <c r="K75" s="1"/>
    </row>
    <row r="76" spans="1:11" ht="15" customHeight="1" x14ac:dyDescent="0.25">
      <c r="A76" s="22"/>
      <c r="B76" s="3211"/>
      <c r="C76" s="123" t="str">
        <f>('DATA INPUT'!B64&amp;" "&amp;"-"&amp;" "&amp;'DATA INPUT'!H64)</f>
        <v xml:space="preserve"> - </v>
      </c>
      <c r="D76" s="21">
        <f ca="1">'Calc - OTHER PERS'!J193*(1-$G$63)</f>
        <v>0</v>
      </c>
      <c r="E76" s="12">
        <f t="shared" ca="1" si="5"/>
        <v>0</v>
      </c>
      <c r="F76" s="4"/>
      <c r="G76" s="256"/>
      <c r="H76" s="4"/>
      <c r="I76" s="21">
        <f ca="1">'Calc - OTHER PERS'!O193*($G$63)</f>
        <v>0</v>
      </c>
      <c r="J76" s="164">
        <f t="shared" ca="1" si="4"/>
        <v>0</v>
      </c>
    </row>
    <row r="77" spans="1:11" ht="13.9" customHeight="1" thickBot="1" x14ac:dyDescent="0.25">
      <c r="A77" s="22"/>
      <c r="B77" s="3211"/>
      <c r="C77" s="424" t="str">
        <f>('DATA INPUT'!B65&amp;" "&amp;"-"&amp;" "&amp;'DATA INPUT'!H65)</f>
        <v xml:space="preserve"> - </v>
      </c>
      <c r="D77" s="410">
        <f ca="1">'Calc - OTHER PERS'!J207*(1-$G$63)</f>
        <v>0</v>
      </c>
      <c r="E77" s="322">
        <f t="shared" ca="1" si="5"/>
        <v>0</v>
      </c>
      <c r="F77" s="45"/>
      <c r="G77" s="256"/>
      <c r="H77" s="45"/>
      <c r="I77" s="410">
        <f ca="1">'Calc - OTHER PERS'!O207*($G$63)</f>
        <v>0</v>
      </c>
      <c r="J77" s="164">
        <f t="shared" ca="1" si="4"/>
        <v>0</v>
      </c>
      <c r="K77" s="1"/>
    </row>
    <row r="78" spans="1:11" ht="15" customHeight="1" thickBot="1" x14ac:dyDescent="0.25">
      <c r="A78" s="22"/>
      <c r="B78" s="3212" t="s">
        <v>241</v>
      </c>
      <c r="C78" s="3224"/>
      <c r="D78" s="96">
        <f ca="1">SUM(D63:D77)</f>
        <v>0</v>
      </c>
      <c r="E78" s="96">
        <f ca="1">SUM(E63:E77)</f>
        <v>0</v>
      </c>
      <c r="F78" s="3474" t="s">
        <v>882</v>
      </c>
      <c r="G78" s="3475"/>
      <c r="H78" s="45"/>
      <c r="I78" s="2251">
        <f ca="1">SUM(I63:I77)</f>
        <v>16250</v>
      </c>
      <c r="J78" s="165">
        <f ca="1">SUM(J63:J77)</f>
        <v>16250</v>
      </c>
      <c r="K78" s="1"/>
    </row>
    <row r="79" spans="1:11" ht="15" customHeight="1" thickBot="1" x14ac:dyDescent="0.3">
      <c r="A79" s="22"/>
      <c r="B79" s="3222" t="s">
        <v>574</v>
      </c>
      <c r="C79" s="425" t="str">
        <f>'Calc - OTHER PERS'!A219</f>
        <v>Hourly Student(s) #1</v>
      </c>
      <c r="D79" s="85">
        <f>'Calc - OTHER PERS'!$H$224*(1-$G$79)</f>
        <v>0</v>
      </c>
      <c r="E79" s="426">
        <f>SUM(D79:D79)</f>
        <v>0</v>
      </c>
      <c r="F79" s="2698"/>
      <c r="G79" s="594">
        <v>1</v>
      </c>
      <c r="H79" s="4"/>
      <c r="I79" s="85">
        <f>'Calc - OTHER PERS'!$H$224*$G$79</f>
        <v>0</v>
      </c>
      <c r="J79" s="381">
        <f>SUM(I79:I79)</f>
        <v>0</v>
      </c>
    </row>
    <row r="80" spans="1:11" ht="13.9" customHeight="1" x14ac:dyDescent="0.2">
      <c r="A80" s="22"/>
      <c r="B80" s="3211"/>
      <c r="C80" s="423" t="str">
        <f>'Calc - OTHER PERS'!A232</f>
        <v>Hourly Student(s) #2</v>
      </c>
      <c r="D80" s="21">
        <f>'Calc - OTHER PERS'!H237*(1-$G$79)</f>
        <v>0</v>
      </c>
      <c r="E80" s="12">
        <f>SUM(D80:D80)</f>
        <v>0</v>
      </c>
      <c r="F80" s="45"/>
      <c r="G80" s="256"/>
      <c r="H80" s="45"/>
      <c r="I80" s="21">
        <f>'Calc - OTHER PERS'!N237*($G$79)</f>
        <v>0</v>
      </c>
      <c r="J80" s="167">
        <f>SUM(I80:I80)</f>
        <v>0</v>
      </c>
      <c r="K80" s="1"/>
    </row>
    <row r="81" spans="1:11" ht="15" customHeight="1" thickBot="1" x14ac:dyDescent="0.3">
      <c r="A81" s="22"/>
      <c r="B81" s="3223"/>
      <c r="C81" s="427" t="str">
        <f>'Calc - OTHER PERS'!A245</f>
        <v>Hourly Student(s) #3</v>
      </c>
      <c r="D81" s="89">
        <f>'Calc - OTHER PERS'!H250*(1-$G$79)</f>
        <v>0</v>
      </c>
      <c r="E81" s="428">
        <f>SUM(D81:D81)</f>
        <v>0</v>
      </c>
      <c r="F81" s="4"/>
      <c r="G81" s="2693"/>
      <c r="H81" s="4"/>
      <c r="I81" s="89">
        <f>'Calc - OTHER PERS'!N250*($G$79)</f>
        <v>0</v>
      </c>
      <c r="J81" s="167">
        <f>SUM(I81:I81)</f>
        <v>0</v>
      </c>
    </row>
    <row r="82" spans="1:11" ht="15" customHeight="1" thickBot="1" x14ac:dyDescent="0.25">
      <c r="A82" s="25"/>
      <c r="B82" s="3212" t="s">
        <v>829</v>
      </c>
      <c r="C82" s="3224"/>
      <c r="D82" s="466">
        <f>SUM(D79:D81)</f>
        <v>0</v>
      </c>
      <c r="E82" s="97">
        <f>SUM(E79:E81)</f>
        <v>0</v>
      </c>
      <c r="F82" s="13">
        <f>SUM(D82:D82)</f>
        <v>0</v>
      </c>
      <c r="G82" s="2693"/>
      <c r="H82" s="13"/>
      <c r="I82" s="168">
        <f>SUM(I79:I81)</f>
        <v>0</v>
      </c>
      <c r="J82" s="168">
        <f>SUM(J79:J81)</f>
        <v>0</v>
      </c>
      <c r="K82" s="1"/>
    </row>
    <row r="83" spans="1:11" ht="15" customHeight="1" thickBot="1" x14ac:dyDescent="0.25">
      <c r="A83" s="25"/>
      <c r="B83" s="2258"/>
      <c r="C83" s="472" t="s">
        <v>830</v>
      </c>
      <c r="D83" s="2259">
        <f ca="1">SUM(D78,D82)</f>
        <v>0</v>
      </c>
      <c r="E83" s="1239">
        <f ca="1">SUM(E78,E82)</f>
        <v>0</v>
      </c>
      <c r="F83" s="13"/>
      <c r="G83" s="2693"/>
      <c r="H83" s="13"/>
      <c r="I83" s="168">
        <f ca="1">SUM(I78,I82)</f>
        <v>16250</v>
      </c>
      <c r="J83" s="168">
        <f ca="1">SUM(J78,J82)</f>
        <v>16250</v>
      </c>
      <c r="K83" s="1"/>
    </row>
    <row r="84" spans="1:11" ht="15" customHeight="1" thickBot="1" x14ac:dyDescent="0.25">
      <c r="A84" s="25"/>
      <c r="B84" s="411"/>
      <c r="C84" s="472" t="s">
        <v>44</v>
      </c>
      <c r="D84" s="412">
        <f ca="1">SUM(D44,D62,D83)</f>
        <v>0</v>
      </c>
      <c r="E84" s="413">
        <f ca="1">SUM(E44,E62,E83)</f>
        <v>0</v>
      </c>
      <c r="F84" s="13">
        <f ca="1">SUM(D84:D84)</f>
        <v>0</v>
      </c>
      <c r="G84" s="2693"/>
      <c r="H84" s="13"/>
      <c r="I84" s="168">
        <f ca="1">SUM(I44,I62,I83)</f>
        <v>33031.995999999999</v>
      </c>
      <c r="J84" s="167">
        <f ca="1">SUM(J44,J62,J83)</f>
        <v>33031.995999999999</v>
      </c>
      <c r="K84" s="1"/>
    </row>
    <row r="85" spans="1:11" ht="15" customHeight="1" thickBot="1" x14ac:dyDescent="0.25">
      <c r="A85" s="25"/>
      <c r="C85" s="430"/>
      <c r="D85" s="129"/>
      <c r="E85" s="431"/>
      <c r="F85" s="13"/>
      <c r="G85" s="2"/>
      <c r="H85" s="13"/>
      <c r="I85" s="36"/>
      <c r="J85" s="37"/>
      <c r="K85" s="1"/>
    </row>
    <row r="86" spans="1:11" ht="15" customHeight="1" thickBot="1" x14ac:dyDescent="0.3">
      <c r="A86" s="429" t="s">
        <v>26</v>
      </c>
      <c r="B86" s="2699" t="s">
        <v>108</v>
      </c>
      <c r="C86" s="2700"/>
      <c r="D86" s="2700"/>
      <c r="E86" s="2701"/>
      <c r="F86" s="6"/>
      <c r="G86" s="256"/>
      <c r="H86" s="6"/>
      <c r="I86" s="2144" t="s">
        <v>136</v>
      </c>
      <c r="J86" s="2146"/>
      <c r="K86" s="24"/>
    </row>
    <row r="87" spans="1:11" ht="15" customHeight="1" x14ac:dyDescent="0.2">
      <c r="A87" s="25"/>
      <c r="B87" s="3219" t="str">
        <f>B14</f>
        <v>Academic/Cal. Year and/or Cost Share</v>
      </c>
      <c r="C87" s="418" t="str">
        <f ca="1">'Calc - SENIOR PERS'!$B$6</f>
        <v>Virag Mishra</v>
      </c>
      <c r="D87" s="41">
        <f ca="1">'Calc - SENIOR PERS'!$S$11*(1-$G$15)</f>
        <v>0</v>
      </c>
      <c r="E87" s="94">
        <f t="shared" ref="E87:E116" ca="1" si="6">SUM(D87:D87)</f>
        <v>0</v>
      </c>
      <c r="F87" s="4"/>
      <c r="G87" s="256"/>
      <c r="H87" s="4"/>
      <c r="I87" s="41">
        <f ca="1">'Calc - SENIOR PERS'!$S$11*($G$15)</f>
        <v>8508.4719719999994</v>
      </c>
      <c r="J87" s="166">
        <f t="shared" ref="J87:J116" ca="1" si="7">SUM(I87:I87)</f>
        <v>8508.4719719999994</v>
      </c>
      <c r="K87" s="1"/>
    </row>
    <row r="88" spans="1:11" ht="15" customHeight="1" x14ac:dyDescent="0.2">
      <c r="A88" s="403"/>
      <c r="B88" s="3220"/>
      <c r="C88" s="57">
        <f ca="1">'Calc - SENIOR PERS'!$B$20</f>
        <v>0</v>
      </c>
      <c r="D88" s="5">
        <f ca="1">'Calc - SENIOR PERS'!$S$25*(1-$G$15)</f>
        <v>0</v>
      </c>
      <c r="E88" s="88">
        <f t="shared" ca="1" si="6"/>
        <v>0</v>
      </c>
      <c r="F88" s="4"/>
      <c r="G88" s="256"/>
      <c r="H88" s="4"/>
      <c r="I88" s="5">
        <f ca="1">'Calc - SENIOR PERS'!$S$25*($G$15)</f>
        <v>0</v>
      </c>
      <c r="J88" s="164">
        <f t="shared" ca="1" si="7"/>
        <v>0</v>
      </c>
      <c r="K88" s="1"/>
    </row>
    <row r="89" spans="1:11" ht="13.9" customHeight="1" x14ac:dyDescent="0.2">
      <c r="A89" s="403"/>
      <c r="B89" s="3220"/>
      <c r="C89" s="57">
        <f ca="1">'Calc - SENIOR PERS'!$B$34</f>
        <v>0</v>
      </c>
      <c r="D89" s="5">
        <f ca="1">'Calc - SENIOR PERS'!$S$39*(1-$G$15)</f>
        <v>0</v>
      </c>
      <c r="E89" s="88">
        <f t="shared" ca="1" si="6"/>
        <v>0</v>
      </c>
      <c r="F89" s="4"/>
      <c r="G89" s="256"/>
      <c r="H89" s="4"/>
      <c r="I89" s="5">
        <f ca="1">'Calc - SENIOR PERS'!$S$39*($G$15)</f>
        <v>0</v>
      </c>
      <c r="J89" s="164">
        <f t="shared" ca="1" si="7"/>
        <v>0</v>
      </c>
      <c r="K89" s="1"/>
    </row>
    <row r="90" spans="1:11" ht="13.9" customHeight="1" x14ac:dyDescent="0.2">
      <c r="A90" s="403"/>
      <c r="B90" s="3220"/>
      <c r="C90" s="57">
        <f ca="1">'Calc - SENIOR PERS'!$B$48</f>
        <v>0</v>
      </c>
      <c r="D90" s="5">
        <f ca="1">'Calc - SENIOR PERS'!$S$53*(1-$G$15)</f>
        <v>0</v>
      </c>
      <c r="E90" s="88">
        <f t="shared" ca="1" si="6"/>
        <v>0</v>
      </c>
      <c r="F90" s="4"/>
      <c r="G90" s="256"/>
      <c r="H90" s="4"/>
      <c r="I90" s="5">
        <f ca="1">'Calc - SENIOR PERS'!$S$53*($G$15)</f>
        <v>0</v>
      </c>
      <c r="J90" s="164">
        <f t="shared" ca="1" si="7"/>
        <v>0</v>
      </c>
      <c r="K90" s="1"/>
    </row>
    <row r="91" spans="1:11" ht="13.9" customHeight="1" x14ac:dyDescent="0.2">
      <c r="A91" s="403"/>
      <c r="B91" s="3220"/>
      <c r="C91" s="57">
        <f ca="1">'Calc - SENIOR PERS'!$B$62</f>
        <v>0</v>
      </c>
      <c r="D91" s="5">
        <f ca="1">'Calc - SENIOR PERS'!$S$67*(1-$G$15)</f>
        <v>0</v>
      </c>
      <c r="E91" s="88">
        <f t="shared" ca="1" si="6"/>
        <v>0</v>
      </c>
      <c r="F91" s="4"/>
      <c r="G91" s="256"/>
      <c r="H91" s="4"/>
      <c r="I91" s="5">
        <f ca="1">'Calc - SENIOR PERS'!$S$67*($G$15)</f>
        <v>0</v>
      </c>
      <c r="J91" s="164">
        <f t="shared" ca="1" si="7"/>
        <v>0</v>
      </c>
      <c r="K91" s="1"/>
    </row>
    <row r="92" spans="1:11" ht="13.9" customHeight="1" x14ac:dyDescent="0.2">
      <c r="A92" s="403"/>
      <c r="B92" s="3220"/>
      <c r="C92" s="57">
        <f ca="1">'Calc - SENIOR PERS'!$B$76</f>
        <v>0</v>
      </c>
      <c r="D92" s="5">
        <f ca="1">'Calc - SENIOR PERS'!$S$81*(1-$G$15)</f>
        <v>0</v>
      </c>
      <c r="E92" s="88">
        <f t="shared" ca="1" si="6"/>
        <v>0</v>
      </c>
      <c r="F92" s="4"/>
      <c r="G92" s="256"/>
      <c r="H92" s="4"/>
      <c r="I92" s="5">
        <f ca="1">'Calc - SENIOR PERS'!$S$81*($G$15)</f>
        <v>0</v>
      </c>
      <c r="J92" s="164">
        <f t="shared" ca="1" si="7"/>
        <v>0</v>
      </c>
      <c r="K92" s="1"/>
    </row>
    <row r="93" spans="1:11" ht="13.9" customHeight="1" x14ac:dyDescent="0.2">
      <c r="A93" s="403"/>
      <c r="B93" s="3220"/>
      <c r="C93" s="57">
        <f ca="1">'Calc - SENIOR PERS'!$B$90</f>
        <v>0</v>
      </c>
      <c r="D93" s="5">
        <f ca="1">'Calc - SENIOR PERS'!$S$95*(1-$G$15)</f>
        <v>0</v>
      </c>
      <c r="E93" s="88">
        <f t="shared" ca="1" si="6"/>
        <v>0</v>
      </c>
      <c r="F93" s="4"/>
      <c r="G93" s="256"/>
      <c r="H93" s="4"/>
      <c r="I93" s="5">
        <f ca="1">'Calc - SENIOR PERS'!$S$95*($G$15)</f>
        <v>0</v>
      </c>
      <c r="J93" s="164">
        <f t="shared" ca="1" si="7"/>
        <v>0</v>
      </c>
      <c r="K93" s="1"/>
    </row>
    <row r="94" spans="1:11" ht="13.9" customHeight="1" x14ac:dyDescent="0.2">
      <c r="A94" s="403"/>
      <c r="B94" s="3220"/>
      <c r="C94" s="57">
        <f ca="1">'Calc - SENIOR PERS'!$B$104</f>
        <v>0</v>
      </c>
      <c r="D94" s="5">
        <f ca="1">'Calc - SENIOR PERS'!$S$109*(1-$G$15)</f>
        <v>0</v>
      </c>
      <c r="E94" s="88">
        <f t="shared" ca="1" si="6"/>
        <v>0</v>
      </c>
      <c r="F94" s="4"/>
      <c r="G94" s="256"/>
      <c r="H94" s="4"/>
      <c r="I94" s="5">
        <f ca="1">'Calc - SENIOR PERS'!$S$109*($G$15)</f>
        <v>0</v>
      </c>
      <c r="J94" s="164">
        <f t="shared" ca="1" si="7"/>
        <v>0</v>
      </c>
      <c r="K94" s="1"/>
    </row>
    <row r="95" spans="1:11" ht="13.9" customHeight="1" x14ac:dyDescent="0.2">
      <c r="A95" s="403"/>
      <c r="B95" s="3220"/>
      <c r="C95" s="57">
        <f ca="1">'Calc - SENIOR PERS'!$B$118</f>
        <v>0</v>
      </c>
      <c r="D95" s="5">
        <f ca="1">'Calc - SENIOR PERS'!$S$123*(1-$G$15)</f>
        <v>0</v>
      </c>
      <c r="E95" s="88">
        <f t="shared" ca="1" si="6"/>
        <v>0</v>
      </c>
      <c r="F95" s="4"/>
      <c r="G95" s="256"/>
      <c r="H95" s="4"/>
      <c r="I95" s="5">
        <f ca="1">'Calc - SENIOR PERS'!$S$123*(1-$G$15)</f>
        <v>0</v>
      </c>
      <c r="J95" s="164">
        <f t="shared" ca="1" si="7"/>
        <v>0</v>
      </c>
      <c r="K95" s="1"/>
    </row>
    <row r="96" spans="1:11" ht="13.9" customHeight="1" x14ac:dyDescent="0.2">
      <c r="A96" s="403"/>
      <c r="B96" s="3220"/>
      <c r="C96" s="352">
        <f ca="1">'Calc - SENIOR PERS'!$B$132</f>
        <v>0</v>
      </c>
      <c r="D96" s="321">
        <f ca="1">'Calc - SENIOR PERS'!$S$137*(1-$G$15)</f>
        <v>0</v>
      </c>
      <c r="E96" s="351">
        <f t="shared" ca="1" si="6"/>
        <v>0</v>
      </c>
      <c r="F96" s="4"/>
      <c r="G96" s="256"/>
      <c r="H96" s="4"/>
      <c r="I96" s="321">
        <f ca="1">'Calc - SENIOR PERS'!$S$137*(1-$G$15)</f>
        <v>0</v>
      </c>
      <c r="J96" s="164">
        <f t="shared" ca="1" si="7"/>
        <v>0</v>
      </c>
      <c r="K96" s="1"/>
    </row>
    <row r="97" spans="1:11" ht="13.9" customHeight="1" x14ac:dyDescent="0.2">
      <c r="A97" s="403"/>
      <c r="B97" s="3220"/>
      <c r="C97" s="57">
        <f ca="1">'Calc - SENIOR PERS'!$B$146</f>
        <v>0</v>
      </c>
      <c r="D97" s="5">
        <f ca="1">'Calc - SENIOR PERS'!$S$151*(1-$G$15)</f>
        <v>0</v>
      </c>
      <c r="E97" s="88">
        <f t="shared" ca="1" si="6"/>
        <v>0</v>
      </c>
      <c r="F97" s="4"/>
      <c r="G97" s="256"/>
      <c r="H97" s="4"/>
      <c r="I97" s="5">
        <f ca="1">'Calc - SENIOR PERS'!$S$151*($G$15)</f>
        <v>0</v>
      </c>
      <c r="J97" s="164">
        <f t="shared" ca="1" si="7"/>
        <v>0</v>
      </c>
      <c r="K97" s="1"/>
    </row>
    <row r="98" spans="1:11" ht="13.9" customHeight="1" x14ac:dyDescent="0.2">
      <c r="A98" s="403"/>
      <c r="B98" s="3220"/>
      <c r="C98" s="57">
        <f ca="1">'Calc - SENIOR PERS'!$B$160</f>
        <v>0</v>
      </c>
      <c r="D98" s="5">
        <f ca="1">'Calc - SENIOR PERS'!$S$165*(1-$G$15)</f>
        <v>0</v>
      </c>
      <c r="E98" s="88">
        <f t="shared" ca="1" si="6"/>
        <v>0</v>
      </c>
      <c r="F98" s="4"/>
      <c r="G98" s="256"/>
      <c r="H98" s="4"/>
      <c r="I98" s="5">
        <f ca="1">'Calc - SENIOR PERS'!$S$165*($G$15)</f>
        <v>0</v>
      </c>
      <c r="J98" s="164">
        <f t="shared" ca="1" si="7"/>
        <v>0</v>
      </c>
      <c r="K98" s="1"/>
    </row>
    <row r="99" spans="1:11" ht="13.9" customHeight="1" x14ac:dyDescent="0.2">
      <c r="A99" s="403"/>
      <c r="B99" s="3220"/>
      <c r="C99" s="57">
        <f ca="1">'Calc - SENIOR PERS'!$B$174</f>
        <v>0</v>
      </c>
      <c r="D99" s="5">
        <f ca="1">'Calc - SENIOR PERS'!$S$179*(1-$G$15)</f>
        <v>0</v>
      </c>
      <c r="E99" s="88">
        <f t="shared" ca="1" si="6"/>
        <v>0</v>
      </c>
      <c r="F99" s="4"/>
      <c r="G99" s="256"/>
      <c r="H99" s="4"/>
      <c r="I99" s="5">
        <f ca="1">'Calc - SENIOR PERS'!$S$179*($G$15)</f>
        <v>0</v>
      </c>
      <c r="J99" s="164">
        <f t="shared" ca="1" si="7"/>
        <v>0</v>
      </c>
      <c r="K99" s="1"/>
    </row>
    <row r="100" spans="1:11" ht="13.9" customHeight="1" x14ac:dyDescent="0.2">
      <c r="A100" s="403"/>
      <c r="B100" s="3220"/>
      <c r="C100" s="57">
        <f ca="1">'Calc - SENIOR PERS'!$B$188</f>
        <v>0</v>
      </c>
      <c r="D100" s="5">
        <f ca="1">'Calc - SENIOR PERS'!$S$193*(1-$G$15)</f>
        <v>0</v>
      </c>
      <c r="E100" s="88">
        <f t="shared" ca="1" si="6"/>
        <v>0</v>
      </c>
      <c r="F100" s="4"/>
      <c r="G100" s="256"/>
      <c r="H100" s="4"/>
      <c r="I100" s="5">
        <f ca="1">'Calc - SENIOR PERS'!$S$193*($G$15)</f>
        <v>0</v>
      </c>
      <c r="J100" s="164">
        <f t="shared" ca="1" si="7"/>
        <v>0</v>
      </c>
      <c r="K100" s="1"/>
    </row>
    <row r="101" spans="1:11" ht="13.9" customHeight="1" thickBot="1" x14ac:dyDescent="0.25">
      <c r="A101" s="403"/>
      <c r="B101" s="3221"/>
      <c r="C101" s="352">
        <f ca="1">'Calc - SENIOR PERS'!$B$202</f>
        <v>0</v>
      </c>
      <c r="D101" s="321">
        <f ca="1">'Calc - SENIOR PERS'!$S$207*(1-$G$15)</f>
        <v>0</v>
      </c>
      <c r="E101" s="351">
        <f t="shared" ca="1" si="6"/>
        <v>0</v>
      </c>
      <c r="F101" s="4"/>
      <c r="G101" s="256"/>
      <c r="H101" s="4"/>
      <c r="I101" s="321">
        <f ca="1">'Calc - SENIOR PERS'!$S$207*($G$15)</f>
        <v>0</v>
      </c>
      <c r="J101" s="165">
        <f t="shared" ca="1" si="7"/>
        <v>0</v>
      </c>
      <c r="K101" s="1"/>
    </row>
    <row r="102" spans="1:11" ht="15" customHeight="1" x14ac:dyDescent="0.2">
      <c r="A102" s="25"/>
      <c r="B102" s="3225" t="str">
        <f>B29</f>
        <v>Summer</v>
      </c>
      <c r="C102" s="91" t="str">
        <f ca="1">'Calc - SENIOR PERS'!$B$6</f>
        <v>Virag Mishra</v>
      </c>
      <c r="D102" s="86">
        <f ca="1">'Calc - SENIOR PERS'!$Q$11*(1-$G$15)</f>
        <v>0</v>
      </c>
      <c r="E102" s="87">
        <f t="shared" ca="1" si="6"/>
        <v>0</v>
      </c>
      <c r="F102" s="4"/>
      <c r="G102" s="256"/>
      <c r="H102" s="4"/>
      <c r="I102" s="86">
        <f ca="1">'Calc - SENIOR PERS'!$Q$11*($G$15)</f>
        <v>0</v>
      </c>
      <c r="J102" s="163">
        <f t="shared" ca="1" si="7"/>
        <v>0</v>
      </c>
      <c r="K102" s="1"/>
    </row>
    <row r="103" spans="1:11" ht="15" customHeight="1" x14ac:dyDescent="0.2">
      <c r="A103" s="403"/>
      <c r="B103" s="3226"/>
      <c r="C103" s="92">
        <f ca="1">'Calc - SENIOR PERS'!$B$20</f>
        <v>0</v>
      </c>
      <c r="D103" s="5">
        <f ca="1">'Calc - SENIOR PERS'!$Q$25*(1-$G$15)</f>
        <v>0</v>
      </c>
      <c r="E103" s="88">
        <f t="shared" ca="1" si="6"/>
        <v>0</v>
      </c>
      <c r="F103" s="4"/>
      <c r="G103" s="256"/>
      <c r="H103" s="4"/>
      <c r="I103" s="5">
        <f ca="1">'Calc - SENIOR PERS'!$Q$25*($G$15)</f>
        <v>0</v>
      </c>
      <c r="J103" s="164">
        <f t="shared" ca="1" si="7"/>
        <v>0</v>
      </c>
      <c r="K103" s="1"/>
    </row>
    <row r="104" spans="1:11" ht="13.9" customHeight="1" x14ac:dyDescent="0.2">
      <c r="A104" s="403"/>
      <c r="B104" s="3226"/>
      <c r="C104" s="92">
        <f ca="1">'Calc - SENIOR PERS'!$B$34</f>
        <v>0</v>
      </c>
      <c r="D104" s="5">
        <f ca="1">'Calc - SENIOR PERS'!$Q$39*(1-$G$15)</f>
        <v>0</v>
      </c>
      <c r="E104" s="88">
        <f t="shared" ca="1" si="6"/>
        <v>0</v>
      </c>
      <c r="F104" s="4"/>
      <c r="G104" s="256"/>
      <c r="H104" s="4"/>
      <c r="I104" s="5">
        <f ca="1">'Calc - SENIOR PERS'!$Q$39*($G$15)</f>
        <v>0</v>
      </c>
      <c r="J104" s="164">
        <f t="shared" ca="1" si="7"/>
        <v>0</v>
      </c>
      <c r="K104" s="1"/>
    </row>
    <row r="105" spans="1:11" ht="13.9" customHeight="1" x14ac:dyDescent="0.2">
      <c r="A105" s="403"/>
      <c r="B105" s="3226"/>
      <c r="C105" s="92">
        <f ca="1">'Calc - SENIOR PERS'!$B$48</f>
        <v>0</v>
      </c>
      <c r="D105" s="5">
        <f ca="1">'Calc - SENIOR PERS'!$Q$53*(1-$G$15)</f>
        <v>0</v>
      </c>
      <c r="E105" s="88">
        <f t="shared" ca="1" si="6"/>
        <v>0</v>
      </c>
      <c r="F105" s="4"/>
      <c r="G105" s="256"/>
      <c r="H105" s="4"/>
      <c r="I105" s="5">
        <f ca="1">'Calc - SENIOR PERS'!$Q$53*($G$15)</f>
        <v>0</v>
      </c>
      <c r="J105" s="164">
        <f t="shared" ca="1" si="7"/>
        <v>0</v>
      </c>
      <c r="K105" s="1"/>
    </row>
    <row r="106" spans="1:11" ht="13.9" customHeight="1" x14ac:dyDescent="0.2">
      <c r="A106" s="403"/>
      <c r="B106" s="3226"/>
      <c r="C106" s="92">
        <f ca="1">'Calc - SENIOR PERS'!$B$62</f>
        <v>0</v>
      </c>
      <c r="D106" s="5">
        <f ca="1">'Calc - SENIOR PERS'!$Q$67*(1-$G$15)</f>
        <v>0</v>
      </c>
      <c r="E106" s="88">
        <f t="shared" ca="1" si="6"/>
        <v>0</v>
      </c>
      <c r="F106" s="4"/>
      <c r="G106" s="256"/>
      <c r="H106" s="4"/>
      <c r="I106" s="5">
        <f ca="1">'Calc - SENIOR PERS'!$Q$67*($G$15)</f>
        <v>0</v>
      </c>
      <c r="J106" s="164">
        <f t="shared" ca="1" si="7"/>
        <v>0</v>
      </c>
      <c r="K106" s="1"/>
    </row>
    <row r="107" spans="1:11" ht="13.9" customHeight="1" x14ac:dyDescent="0.2">
      <c r="A107" s="403"/>
      <c r="B107" s="3226"/>
      <c r="C107" s="92">
        <f ca="1">'Calc - SENIOR PERS'!$B$76</f>
        <v>0</v>
      </c>
      <c r="D107" s="5">
        <f ca="1">'Calc - SENIOR PERS'!$Q$81*(1-$G$15)</f>
        <v>0</v>
      </c>
      <c r="E107" s="88">
        <f t="shared" ca="1" si="6"/>
        <v>0</v>
      </c>
      <c r="F107" s="4"/>
      <c r="G107" s="256"/>
      <c r="H107" s="4"/>
      <c r="I107" s="5">
        <f ca="1">'Calc - SENIOR PERS'!$Q$81*($G$15)</f>
        <v>0</v>
      </c>
      <c r="J107" s="164">
        <f t="shared" ca="1" si="7"/>
        <v>0</v>
      </c>
      <c r="K107" s="1"/>
    </row>
    <row r="108" spans="1:11" ht="13.9" customHeight="1" x14ac:dyDescent="0.2">
      <c r="A108" s="403"/>
      <c r="B108" s="3226"/>
      <c r="C108" s="92">
        <f ca="1">'Calc - SENIOR PERS'!$B$90</f>
        <v>0</v>
      </c>
      <c r="D108" s="5">
        <f ca="1">'Calc - SENIOR PERS'!$Q$95*(1-$G$15)</f>
        <v>0</v>
      </c>
      <c r="E108" s="88">
        <f t="shared" ca="1" si="6"/>
        <v>0</v>
      </c>
      <c r="F108" s="4"/>
      <c r="G108" s="256"/>
      <c r="H108" s="4"/>
      <c r="I108" s="5">
        <f ca="1">'Calc - SENIOR PERS'!$Q$95*($G$15)</f>
        <v>0</v>
      </c>
      <c r="J108" s="164">
        <f t="shared" ca="1" si="7"/>
        <v>0</v>
      </c>
      <c r="K108" s="1"/>
    </row>
    <row r="109" spans="1:11" ht="13.9" customHeight="1" x14ac:dyDescent="0.2">
      <c r="A109" s="403"/>
      <c r="B109" s="3226"/>
      <c r="C109" s="92">
        <f ca="1">'Calc - SENIOR PERS'!$B$104</f>
        <v>0</v>
      </c>
      <c r="D109" s="5">
        <f ca="1">'Calc - SENIOR PERS'!$Q$109*(1-$G$15)</f>
        <v>0</v>
      </c>
      <c r="E109" s="88">
        <f t="shared" ca="1" si="6"/>
        <v>0</v>
      </c>
      <c r="F109" s="4"/>
      <c r="G109" s="256"/>
      <c r="H109" s="4"/>
      <c r="I109" s="5">
        <f ca="1">'Calc - SENIOR PERS'!$Q$109*(1-$G$15)</f>
        <v>0</v>
      </c>
      <c r="J109" s="164">
        <f t="shared" ca="1" si="7"/>
        <v>0</v>
      </c>
      <c r="K109" s="1"/>
    </row>
    <row r="110" spans="1:11" ht="13.9" customHeight="1" x14ac:dyDescent="0.2">
      <c r="A110" s="403"/>
      <c r="B110" s="3226"/>
      <c r="C110" s="92">
        <f ca="1">'Calc - SENIOR PERS'!$B$118</f>
        <v>0</v>
      </c>
      <c r="D110" s="5">
        <f ca="1">'Calc - SENIOR PERS'!$Q$123*(1-$G$15)</f>
        <v>0</v>
      </c>
      <c r="E110" s="88">
        <f t="shared" ca="1" si="6"/>
        <v>0</v>
      </c>
      <c r="F110" s="4"/>
      <c r="G110" s="256"/>
      <c r="H110" s="4"/>
      <c r="I110" s="5">
        <f ca="1">'Calc - SENIOR PERS'!$Q$123*(1-$G$15)</f>
        <v>0</v>
      </c>
      <c r="J110" s="164">
        <f t="shared" ca="1" si="7"/>
        <v>0</v>
      </c>
      <c r="K110" s="1"/>
    </row>
    <row r="111" spans="1:11" ht="13.9" customHeight="1" x14ac:dyDescent="0.2">
      <c r="A111" s="403"/>
      <c r="B111" s="3226"/>
      <c r="C111" s="92">
        <f ca="1">'Calc - SENIOR PERS'!$B$132</f>
        <v>0</v>
      </c>
      <c r="D111" s="5">
        <f ca="1">'Calc - SENIOR PERS'!$Q$137*(1-$G$15)</f>
        <v>0</v>
      </c>
      <c r="E111" s="88">
        <f t="shared" ca="1" si="6"/>
        <v>0</v>
      </c>
      <c r="F111" s="4"/>
      <c r="G111" s="256"/>
      <c r="H111" s="4"/>
      <c r="I111" s="5">
        <f ca="1">'Calc - SENIOR PERS'!$Q$137*($G$15)</f>
        <v>0</v>
      </c>
      <c r="J111" s="380">
        <f t="shared" ca="1" si="7"/>
        <v>0</v>
      </c>
      <c r="K111" s="1"/>
    </row>
    <row r="112" spans="1:11" ht="13.9" customHeight="1" x14ac:dyDescent="0.2">
      <c r="A112" s="403"/>
      <c r="B112" s="3226"/>
      <c r="C112" s="92">
        <f ca="1">'Calc - SENIOR PERS'!$B$146</f>
        <v>0</v>
      </c>
      <c r="D112" s="5">
        <f ca="1">'Calc - SENIOR PERS'!$Q$151*(1-$G$15)</f>
        <v>0</v>
      </c>
      <c r="E112" s="88">
        <f t="shared" ca="1" si="6"/>
        <v>0</v>
      </c>
      <c r="F112" s="4"/>
      <c r="G112" s="256"/>
      <c r="H112" s="4"/>
      <c r="I112" s="5">
        <f ca="1">'Calc - SENIOR PERS'!$Q$151*($G$15)</f>
        <v>0</v>
      </c>
      <c r="J112" s="164">
        <f t="shared" ca="1" si="7"/>
        <v>0</v>
      </c>
      <c r="K112" s="1"/>
    </row>
    <row r="113" spans="1:11" ht="13.9" customHeight="1" x14ac:dyDescent="0.2">
      <c r="A113" s="403"/>
      <c r="B113" s="3226"/>
      <c r="C113" s="92">
        <f ca="1">'Calc - SENIOR PERS'!$B$160</f>
        <v>0</v>
      </c>
      <c r="D113" s="5">
        <f ca="1">'Calc - SENIOR PERS'!$Q$165*(1-$G$15)</f>
        <v>0</v>
      </c>
      <c r="E113" s="88">
        <f t="shared" ca="1" si="6"/>
        <v>0</v>
      </c>
      <c r="F113" s="4"/>
      <c r="G113" s="256"/>
      <c r="H113" s="4"/>
      <c r="I113" s="5">
        <f ca="1">'Calc - SENIOR PERS'!$Q$165*($G$15)</f>
        <v>0</v>
      </c>
      <c r="J113" s="164">
        <f t="shared" ca="1" si="7"/>
        <v>0</v>
      </c>
      <c r="K113" s="1"/>
    </row>
    <row r="114" spans="1:11" ht="13.9" customHeight="1" x14ac:dyDescent="0.2">
      <c r="A114" s="403"/>
      <c r="B114" s="3226"/>
      <c r="C114" s="92">
        <f ca="1">'Calc - SENIOR PERS'!$B$174</f>
        <v>0</v>
      </c>
      <c r="D114" s="5">
        <f ca="1">'Calc - SENIOR PERS'!$Q$179*(1-$G$15)</f>
        <v>0</v>
      </c>
      <c r="E114" s="88">
        <f t="shared" ca="1" si="6"/>
        <v>0</v>
      </c>
      <c r="F114" s="4"/>
      <c r="G114" s="256"/>
      <c r="H114" s="4"/>
      <c r="I114" s="5">
        <f ca="1">'Calc - SENIOR PERS'!$Q$179*($G$15)</f>
        <v>0</v>
      </c>
      <c r="J114" s="164">
        <f t="shared" ca="1" si="7"/>
        <v>0</v>
      </c>
      <c r="K114" s="1"/>
    </row>
    <row r="115" spans="1:11" ht="13.9" customHeight="1" x14ac:dyDescent="0.2">
      <c r="A115" s="403"/>
      <c r="B115" s="3226"/>
      <c r="C115" s="92">
        <f ca="1">'Calc - SENIOR PERS'!$B$188</f>
        <v>0</v>
      </c>
      <c r="D115" s="5">
        <f ca="1">'Calc - SENIOR PERS'!$Q$193*(1-$G$15)</f>
        <v>0</v>
      </c>
      <c r="E115" s="88">
        <f t="shared" ca="1" si="6"/>
        <v>0</v>
      </c>
      <c r="F115" s="4"/>
      <c r="G115" s="256"/>
      <c r="H115" s="4"/>
      <c r="I115" s="5">
        <f ca="1">'Calc - SENIOR PERS'!$Q$193*($G$15)</f>
        <v>0</v>
      </c>
      <c r="J115" s="164">
        <f t="shared" ca="1" si="7"/>
        <v>0</v>
      </c>
      <c r="K115" s="1"/>
    </row>
    <row r="116" spans="1:11" ht="13.9" customHeight="1" thickBot="1" x14ac:dyDescent="0.25">
      <c r="A116" s="403"/>
      <c r="B116" s="3227"/>
      <c r="C116" s="2143">
        <f ca="1">'Calc - SENIOR PERS'!$B$202</f>
        <v>0</v>
      </c>
      <c r="D116" s="42">
        <f ca="1">'Calc - SENIOR PERS'!$Q$207*(1-$G$15)</f>
        <v>0</v>
      </c>
      <c r="E116" s="90">
        <f t="shared" ca="1" si="6"/>
        <v>0</v>
      </c>
      <c r="F116" s="4"/>
      <c r="G116" s="256"/>
      <c r="H116" s="4"/>
      <c r="I116" s="42">
        <f ca="1">'Calc - SENIOR PERS'!$Q$207*($G$15)</f>
        <v>0</v>
      </c>
      <c r="J116" s="380">
        <f t="shared" ca="1" si="7"/>
        <v>0</v>
      </c>
      <c r="K116" s="1"/>
    </row>
    <row r="117" spans="1:11" ht="15" customHeight="1" thickBot="1" x14ac:dyDescent="0.25">
      <c r="A117" s="403"/>
      <c r="B117" s="3233" t="s">
        <v>242</v>
      </c>
      <c r="C117" s="3234"/>
      <c r="D117" s="1635">
        <f ca="1">SUM(D87:D116)</f>
        <v>0</v>
      </c>
      <c r="E117" s="1635">
        <f ca="1">SUM(E87:E116)</f>
        <v>0</v>
      </c>
      <c r="F117" s="353">
        <f ca="1">SUM(D117:D117)</f>
        <v>0</v>
      </c>
      <c r="H117" s="4"/>
      <c r="I117" s="171">
        <f ca="1">SUM(I87:I116)</f>
        <v>8508.4719719999994</v>
      </c>
      <c r="J117" s="167">
        <f ca="1">SUM(J87:J116)</f>
        <v>8508.4719719999994</v>
      </c>
      <c r="K117" s="1"/>
    </row>
    <row r="118" spans="1:11" ht="15" customHeight="1" x14ac:dyDescent="0.2">
      <c r="A118" s="25"/>
      <c r="B118" s="1600" t="str">
        <f>'Calc - GRAD ASST'!C7</f>
        <v>EECS</v>
      </c>
      <c r="C118" s="346" t="str">
        <f>'Calc - GRAD ASST'!A6</f>
        <v>GA #01 / Sponsor Funds</v>
      </c>
      <c r="D118" s="347">
        <f ca="1">'Calc - GRAD ASST'!$M$11*(1-$G$47)</f>
        <v>0</v>
      </c>
      <c r="E118" s="87">
        <f t="shared" ref="E118:E132" ca="1" si="8">SUM(D118:D118)</f>
        <v>0</v>
      </c>
      <c r="F118" s="24"/>
      <c r="H118" s="24"/>
      <c r="I118" s="347">
        <f ca="1">'Calc - GRAD ASST'!$M$11*$G$47</f>
        <v>0</v>
      </c>
      <c r="J118" s="381">
        <f t="shared" ref="J118:J148" ca="1" si="9">SUM(I118:I118)</f>
        <v>0</v>
      </c>
      <c r="K118" s="1"/>
    </row>
    <row r="119" spans="1:11" ht="13.15" customHeight="1" x14ac:dyDescent="0.2">
      <c r="A119" s="25"/>
      <c r="B119" s="348">
        <f>'Calc - GRAD ASST'!C36</f>
        <v>0</v>
      </c>
      <c r="C119" s="57" t="str">
        <f>'Calc - GRAD ASST'!A35</f>
        <v>GA #02 / Sponsor Funds</v>
      </c>
      <c r="D119" s="29">
        <f ca="1">'Calc - GRAD ASST'!M40*(1-$G$47)</f>
        <v>0</v>
      </c>
      <c r="E119" s="88">
        <f t="shared" ca="1" si="8"/>
        <v>0</v>
      </c>
      <c r="F119" s="24"/>
      <c r="H119" s="24"/>
      <c r="I119" s="29" t="e">
        <f>'Calc - GRAD ASST'!#REF!*($G$47)</f>
        <v>#REF!</v>
      </c>
      <c r="J119" s="167" t="e">
        <f t="shared" si="9"/>
        <v>#REF!</v>
      </c>
      <c r="K119" s="1"/>
    </row>
    <row r="120" spans="1:11" ht="13.15" customHeight="1" x14ac:dyDescent="0.2">
      <c r="A120" s="25"/>
      <c r="B120" s="348">
        <f>'Calc - GRAD ASST'!C65</f>
        <v>0</v>
      </c>
      <c r="C120" s="57" t="str">
        <f>'Calc - GRAD ASST'!A64</f>
        <v>GA #03 / Sponsor Funds</v>
      </c>
      <c r="D120" s="29">
        <f ca="1">'Calc - GRAD ASST'!M69*(1-$G$47)</f>
        <v>0</v>
      </c>
      <c r="E120" s="88">
        <f t="shared" ca="1" si="8"/>
        <v>0</v>
      </c>
      <c r="F120" s="24"/>
      <c r="H120" s="24"/>
      <c r="I120" s="29" t="e">
        <f>'Calc - GRAD ASST'!#REF!*($G$47)</f>
        <v>#REF!</v>
      </c>
      <c r="J120" s="167" t="e">
        <f t="shared" si="9"/>
        <v>#REF!</v>
      </c>
      <c r="K120" s="1"/>
    </row>
    <row r="121" spans="1:11" ht="13.15" customHeight="1" x14ac:dyDescent="0.2">
      <c r="A121" s="25"/>
      <c r="B121" s="348">
        <f>'Calc - GRAD ASST'!C94</f>
        <v>0</v>
      </c>
      <c r="C121" s="57" t="str">
        <f>'Calc - GRAD ASST'!A93</f>
        <v>GA #04 / Sponsor Funds</v>
      </c>
      <c r="D121" s="29">
        <f ca="1">'Calc - GRAD ASST'!M98*(1-$G$47)</f>
        <v>0</v>
      </c>
      <c r="E121" s="88">
        <f t="shared" ca="1" si="8"/>
        <v>0</v>
      </c>
      <c r="F121" s="24"/>
      <c r="H121" s="24"/>
      <c r="I121" s="29" t="e">
        <f>'Calc - GRAD ASST'!#REF!*($G$47)</f>
        <v>#REF!</v>
      </c>
      <c r="J121" s="167" t="e">
        <f t="shared" si="9"/>
        <v>#REF!</v>
      </c>
      <c r="K121" s="1"/>
    </row>
    <row r="122" spans="1:11" ht="13.15" customHeight="1" x14ac:dyDescent="0.2">
      <c r="A122" s="25"/>
      <c r="B122" s="348">
        <f>'Calc - GRAD ASST'!C123</f>
        <v>0</v>
      </c>
      <c r="C122" s="57" t="str">
        <f>'Calc - GRAD ASST'!A122</f>
        <v>GA #05 / Sponsor Funds</v>
      </c>
      <c r="D122" s="29">
        <f ca="1">'Calc - GRAD ASST'!M127*(1-$G$47)</f>
        <v>0</v>
      </c>
      <c r="E122" s="88">
        <f t="shared" ca="1" si="8"/>
        <v>0</v>
      </c>
      <c r="F122" s="24"/>
      <c r="G122" s="256"/>
      <c r="H122" s="24"/>
      <c r="I122" s="29" t="e">
        <f>'Calc - GRAD ASST'!#REF!*($G$47)</f>
        <v>#REF!</v>
      </c>
      <c r="J122" s="167" t="e">
        <f t="shared" si="9"/>
        <v>#REF!</v>
      </c>
      <c r="K122" s="1"/>
    </row>
    <row r="123" spans="1:11" ht="13.15" customHeight="1" x14ac:dyDescent="0.2">
      <c r="A123" s="25"/>
      <c r="B123" s="348">
        <f>'Calc - GRAD ASST'!C152</f>
        <v>0</v>
      </c>
      <c r="C123" s="57" t="str">
        <f>'Calc - GRAD ASST'!A151</f>
        <v>GA #06 / Sponsor Funds</v>
      </c>
      <c r="D123" s="29">
        <f ca="1">'Calc - GRAD ASST'!$M$156*(1-$G$47)</f>
        <v>0</v>
      </c>
      <c r="E123" s="88">
        <f t="shared" ca="1" si="8"/>
        <v>0</v>
      </c>
      <c r="F123" s="24"/>
      <c r="H123" s="24"/>
      <c r="I123" s="29">
        <f ca="1">'Calc - GRAD ASST'!$M$156*($G$47)</f>
        <v>0</v>
      </c>
      <c r="J123" s="381">
        <f t="shared" ca="1" si="9"/>
        <v>0</v>
      </c>
      <c r="K123" s="1"/>
    </row>
    <row r="124" spans="1:11" ht="13.15" customHeight="1" x14ac:dyDescent="0.2">
      <c r="A124" s="25"/>
      <c r="B124" s="348">
        <f>'Calc - GRAD ASST'!C181</f>
        <v>0</v>
      </c>
      <c r="C124" s="57" t="str">
        <f>'Calc - GRAD ASST'!A180</f>
        <v>GA #07 / Sponsor Funds</v>
      </c>
      <c r="D124" s="29">
        <f ca="1">'Calc - GRAD ASST'!$M$185*(1-$G$47)</f>
        <v>0</v>
      </c>
      <c r="E124" s="88">
        <f t="shared" ca="1" si="8"/>
        <v>0</v>
      </c>
      <c r="F124" s="24"/>
      <c r="H124" s="24"/>
      <c r="I124" s="29">
        <f ca="1">'Calc - GRAD ASST'!$M$185*($G$47)</f>
        <v>0</v>
      </c>
      <c r="J124" s="167">
        <f t="shared" ca="1" si="9"/>
        <v>0</v>
      </c>
      <c r="K124" s="1"/>
    </row>
    <row r="125" spans="1:11" ht="13.15" customHeight="1" x14ac:dyDescent="0.2">
      <c r="A125" s="25"/>
      <c r="B125" s="348">
        <f>'Calc - GRAD ASST'!C210</f>
        <v>0</v>
      </c>
      <c r="C125" s="57" t="str">
        <f>'Calc - GRAD ASST'!A209</f>
        <v>GA #08 / Sponsor Funds</v>
      </c>
      <c r="D125" s="29">
        <f ca="1">'Calc - GRAD ASST'!$M$214*(1-$G$47)</f>
        <v>0</v>
      </c>
      <c r="E125" s="88">
        <f t="shared" ca="1" si="8"/>
        <v>0</v>
      </c>
      <c r="F125" s="24"/>
      <c r="H125" s="24"/>
      <c r="I125" s="29">
        <f ca="1">'Calc - GRAD ASST'!$M$214*($G$47)</f>
        <v>0</v>
      </c>
      <c r="J125" s="167">
        <f t="shared" ca="1" si="9"/>
        <v>0</v>
      </c>
      <c r="K125" s="1"/>
    </row>
    <row r="126" spans="1:11" ht="13.15" customHeight="1" x14ac:dyDescent="0.2">
      <c r="A126" s="25"/>
      <c r="B126" s="348">
        <f>'Calc - GRAD ASST'!C239</f>
        <v>0</v>
      </c>
      <c r="C126" s="57" t="str">
        <f>'Calc - GRAD ASST'!A238</f>
        <v>GA #09 / Sponsor Funds</v>
      </c>
      <c r="D126" s="29">
        <f ca="1">'Calc - GRAD ASST'!$M$243*(1-$G$47)</f>
        <v>0</v>
      </c>
      <c r="E126" s="88">
        <f t="shared" ca="1" si="8"/>
        <v>0</v>
      </c>
      <c r="F126" s="24"/>
      <c r="H126" s="24"/>
      <c r="I126" s="29">
        <f ca="1">'Calc - GRAD ASST'!$M$243*($G$47)</f>
        <v>0</v>
      </c>
      <c r="J126" s="167">
        <f t="shared" ca="1" si="9"/>
        <v>0</v>
      </c>
      <c r="K126" s="1"/>
    </row>
    <row r="127" spans="1:11" ht="13.15" customHeight="1" x14ac:dyDescent="0.2">
      <c r="A127" s="25"/>
      <c r="B127" s="348">
        <f>'Calc - GRAD ASST'!C268</f>
        <v>0</v>
      </c>
      <c r="C127" s="57" t="str">
        <f>'Calc - GRAD ASST'!A267</f>
        <v>GA #10 / Sponsor Funds</v>
      </c>
      <c r="D127" s="29">
        <f ca="1">'Calc - GRAD ASST'!$M$272*(1-$G$47)</f>
        <v>0</v>
      </c>
      <c r="E127" s="88">
        <f t="shared" ca="1" si="8"/>
        <v>0</v>
      </c>
      <c r="F127" s="24"/>
      <c r="G127" s="256"/>
      <c r="H127" s="24"/>
      <c r="I127" s="29">
        <f ca="1">'Calc - GRAD ASST'!$M$272*($G$47)</f>
        <v>0</v>
      </c>
      <c r="J127" s="167">
        <f t="shared" ca="1" si="9"/>
        <v>0</v>
      </c>
      <c r="K127" s="1"/>
    </row>
    <row r="128" spans="1:11" ht="13.15" customHeight="1" x14ac:dyDescent="0.2">
      <c r="A128" s="25"/>
      <c r="B128" s="348">
        <f>'Calc - GRAD ASST'!C297</f>
        <v>0</v>
      </c>
      <c r="C128" s="57" t="str">
        <f>'Calc - GRAD ASST'!A296</f>
        <v>GA #11 / Sponsor Funds</v>
      </c>
      <c r="D128" s="29">
        <f ca="1">'Calc - GRAD ASST'!$M$301*(1-$G$47)</f>
        <v>0</v>
      </c>
      <c r="E128" s="88">
        <f t="shared" ca="1" si="8"/>
        <v>0</v>
      </c>
      <c r="F128" s="24"/>
      <c r="H128" s="24"/>
      <c r="I128" s="29">
        <f ca="1">'Calc - GRAD ASST'!$M$301*($G$47)</f>
        <v>0</v>
      </c>
      <c r="J128" s="381">
        <f t="shared" ca="1" si="9"/>
        <v>0</v>
      </c>
      <c r="K128" s="1"/>
    </row>
    <row r="129" spans="1:11" ht="13.15" customHeight="1" x14ac:dyDescent="0.2">
      <c r="A129" s="25"/>
      <c r="B129" s="348">
        <f>'Calc - GRAD ASST'!C326</f>
        <v>0</v>
      </c>
      <c r="C129" s="57" t="str">
        <f>'Calc - GRAD ASST'!A325</f>
        <v>GA #12 / Sponsor Funds</v>
      </c>
      <c r="D129" s="29">
        <f ca="1">'Calc - GRAD ASST'!$M$330*(1-$G$47)</f>
        <v>0</v>
      </c>
      <c r="E129" s="88">
        <f t="shared" ca="1" si="8"/>
        <v>0</v>
      </c>
      <c r="F129" s="24"/>
      <c r="H129" s="24"/>
      <c r="I129" s="29">
        <f ca="1">'Calc - GRAD ASST'!$M$330*($G$47)</f>
        <v>0</v>
      </c>
      <c r="J129" s="167">
        <f t="shared" ca="1" si="9"/>
        <v>0</v>
      </c>
      <c r="K129" s="1"/>
    </row>
    <row r="130" spans="1:11" ht="13.15" customHeight="1" x14ac:dyDescent="0.2">
      <c r="A130" s="25"/>
      <c r="B130" s="348">
        <f>'Calc - GRAD ASST'!C355</f>
        <v>0</v>
      </c>
      <c r="C130" s="57" t="str">
        <f>'Calc - GRAD ASST'!A354</f>
        <v>GA #13 / Sponsor Funds</v>
      </c>
      <c r="D130" s="29">
        <f ca="1">'Calc - GRAD ASST'!$M$359*(1-$G$47)</f>
        <v>0</v>
      </c>
      <c r="E130" s="88">
        <f t="shared" ca="1" si="8"/>
        <v>0</v>
      </c>
      <c r="F130" s="24"/>
      <c r="H130" s="24"/>
      <c r="I130" s="29">
        <f ca="1">'Calc - GRAD ASST'!$M$359*($G$47)</f>
        <v>0</v>
      </c>
      <c r="J130" s="167">
        <f t="shared" ca="1" si="9"/>
        <v>0</v>
      </c>
      <c r="K130" s="1"/>
    </row>
    <row r="131" spans="1:11" ht="13.15" customHeight="1" x14ac:dyDescent="0.2">
      <c r="A131" s="25"/>
      <c r="B131" s="348">
        <f>'Calc - GRAD ASST'!C384</f>
        <v>0</v>
      </c>
      <c r="C131" s="57" t="str">
        <f>'Calc - GRAD ASST'!A383</f>
        <v>GA #14 / Sponsor Funds</v>
      </c>
      <c r="D131" s="29">
        <f ca="1">'Calc - GRAD ASST'!$M$388*(1-$G$47)</f>
        <v>0</v>
      </c>
      <c r="E131" s="88">
        <f t="shared" ca="1" si="8"/>
        <v>0</v>
      </c>
      <c r="F131" s="24"/>
      <c r="H131" s="24"/>
      <c r="I131" s="29">
        <f ca="1">'Calc - GRAD ASST'!$M$388*($G$47)</f>
        <v>0</v>
      </c>
      <c r="J131" s="167">
        <f t="shared" ca="1" si="9"/>
        <v>0</v>
      </c>
      <c r="K131" s="1"/>
    </row>
    <row r="132" spans="1:11" ht="13.9" customHeight="1" thickBot="1" x14ac:dyDescent="0.25">
      <c r="A132" s="25"/>
      <c r="B132" s="1602">
        <f>'Calc - GRAD ASST'!C413</f>
        <v>0</v>
      </c>
      <c r="C132" s="349" t="str">
        <f>'Calc - GRAD ASST'!A412</f>
        <v>GA #15 / Sponsor Funds</v>
      </c>
      <c r="D132" s="350">
        <f ca="1">'Calc - GRAD ASST'!$M$417*(1-$G$47)</f>
        <v>0</v>
      </c>
      <c r="E132" s="90">
        <f t="shared" ca="1" si="8"/>
        <v>0</v>
      </c>
      <c r="F132" s="24"/>
      <c r="G132" s="256"/>
      <c r="H132" s="24"/>
      <c r="I132" s="350">
        <f ca="1">'Calc - GRAD ASST'!$M$417*($G$47)</f>
        <v>0</v>
      </c>
      <c r="J132" s="167">
        <f t="shared" ca="1" si="9"/>
        <v>0</v>
      </c>
      <c r="K132" s="1"/>
    </row>
    <row r="133" spans="1:11" ht="15" customHeight="1" thickBot="1" x14ac:dyDescent="0.25">
      <c r="A133" s="25"/>
      <c r="B133" s="3235" t="s">
        <v>243</v>
      </c>
      <c r="C133" s="3236"/>
      <c r="D133" s="354">
        <f ca="1">SUM(D118:D132)</f>
        <v>0</v>
      </c>
      <c r="E133" s="354">
        <f ca="1">SUM(E118:E132)</f>
        <v>0</v>
      </c>
      <c r="F133" s="353">
        <f ca="1">SUM(D133:D133)</f>
        <v>0</v>
      </c>
      <c r="H133" s="4"/>
      <c r="I133" s="2219" t="e">
        <f ca="1">SUM(I118:I132)</f>
        <v>#REF!</v>
      </c>
      <c r="J133" s="380" t="e">
        <f t="shared" ca="1" si="9"/>
        <v>#REF!</v>
      </c>
      <c r="K133" s="1"/>
    </row>
    <row r="134" spans="1:11" ht="15" customHeight="1" x14ac:dyDescent="0.2">
      <c r="A134" s="25"/>
      <c r="B134" s="3211" t="s">
        <v>133</v>
      </c>
      <c r="C134" s="123" t="str">
        <f>('DATA INPUT'!B51&amp;" "&amp;"-"&amp;" "&amp;'DATA INPUT'!H51)</f>
        <v>TBD - Part Time &amp; Temporary</v>
      </c>
      <c r="D134" s="347">
        <f ca="1">'Calc - OTHER PERS'!$L$11*(1-$G$64)</f>
        <v>0</v>
      </c>
      <c r="E134" s="87">
        <f t="shared" ref="E134:E148" ca="1" si="10">SUM(D134:D134)</f>
        <v>0</v>
      </c>
      <c r="F134" s="24"/>
      <c r="G134" s="2702"/>
      <c r="H134" s="24"/>
      <c r="I134" s="347">
        <f ca="1">'Calc - OTHER PERS'!$L$11*$G$64</f>
        <v>5070</v>
      </c>
      <c r="J134" s="166">
        <f t="shared" ca="1" si="9"/>
        <v>5070</v>
      </c>
      <c r="K134" s="1"/>
    </row>
    <row r="135" spans="1:11" ht="13.9" customHeight="1" x14ac:dyDescent="0.2">
      <c r="A135" s="22"/>
      <c r="B135" s="3211"/>
      <c r="C135" s="422" t="str">
        <f>('DATA INPUT'!B52&amp;" "&amp;"-"&amp;" "&amp;'DATA INPUT'!H52)</f>
        <v xml:space="preserve"> - </v>
      </c>
      <c r="D135" s="5">
        <f ca="1">'Calc - OTHER PERS'!$L$25*(1-$G$64)</f>
        <v>0</v>
      </c>
      <c r="E135" s="88">
        <f t="shared" ca="1" si="10"/>
        <v>0</v>
      </c>
      <c r="F135" s="8"/>
      <c r="H135" s="8"/>
      <c r="I135" s="29">
        <f ca="1">'Calc - OTHER PERS'!$L$25*$G$64</f>
        <v>0</v>
      </c>
      <c r="J135" s="164">
        <f t="shared" ca="1" si="9"/>
        <v>0</v>
      </c>
      <c r="K135" s="1"/>
    </row>
    <row r="136" spans="1:11" ht="13.9" customHeight="1" x14ac:dyDescent="0.2">
      <c r="A136" s="25"/>
      <c r="B136" s="3211"/>
      <c r="C136" s="123" t="str">
        <f>('DATA INPUT'!B53&amp;" "&amp;"-"&amp;" "&amp;'DATA INPUT'!H53)</f>
        <v xml:space="preserve"> - </v>
      </c>
      <c r="D136" s="29">
        <f ca="1">'Calc - OTHER PERS'!L39*(1-$G$63)</f>
        <v>0</v>
      </c>
      <c r="E136" s="88">
        <f t="shared" ca="1" si="10"/>
        <v>0</v>
      </c>
      <c r="F136" s="24"/>
      <c r="G136" s="2702"/>
      <c r="H136" s="24"/>
      <c r="I136" s="29">
        <f ca="1">'Calc - OTHER PERS'!R39*($G$63)</f>
        <v>0</v>
      </c>
      <c r="J136" s="164">
        <f t="shared" ca="1" si="9"/>
        <v>0</v>
      </c>
      <c r="K136" s="1"/>
    </row>
    <row r="137" spans="1:11" ht="13.9" customHeight="1" x14ac:dyDescent="0.2">
      <c r="A137" s="25"/>
      <c r="B137" s="3211"/>
      <c r="C137" s="57" t="str">
        <f>('DATA INPUT'!B54&amp;" "&amp;"-"&amp;" "&amp;'DATA INPUT'!H54)</f>
        <v xml:space="preserve"> - </v>
      </c>
      <c r="D137" s="29">
        <f ca="1">'Calc - OTHER PERS'!L53*(1-$G$63)</f>
        <v>0</v>
      </c>
      <c r="E137" s="88">
        <f t="shared" ca="1" si="10"/>
        <v>0</v>
      </c>
      <c r="F137" s="24"/>
      <c r="G137" s="2702"/>
      <c r="H137" s="24"/>
      <c r="I137" s="29">
        <f ca="1">'Calc - OTHER PERS'!R53*($G$63)</f>
        <v>0</v>
      </c>
      <c r="J137" s="164">
        <f t="shared" ca="1" si="9"/>
        <v>0</v>
      </c>
      <c r="K137" s="1"/>
    </row>
    <row r="138" spans="1:11" ht="13.9" customHeight="1" x14ac:dyDescent="0.2">
      <c r="A138" s="25"/>
      <c r="B138" s="3211"/>
      <c r="C138" s="123" t="str">
        <f>('DATA INPUT'!B55&amp;" "&amp;"-"&amp;" "&amp;'DATA INPUT'!H55)</f>
        <v xml:space="preserve"> - </v>
      </c>
      <c r="D138" s="29">
        <f ca="1">'Calc - OTHER PERS'!L67*(1-$G$63)</f>
        <v>0</v>
      </c>
      <c r="E138" s="88">
        <f t="shared" ca="1" si="10"/>
        <v>0</v>
      </c>
      <c r="F138" s="24"/>
      <c r="G138" s="2702"/>
      <c r="H138" s="24"/>
      <c r="I138" s="29">
        <f ca="1">'Calc - OTHER PERS'!R67*($G$63)</f>
        <v>0</v>
      </c>
      <c r="J138" s="164">
        <f t="shared" ca="1" si="9"/>
        <v>0</v>
      </c>
      <c r="K138" s="1"/>
    </row>
    <row r="139" spans="1:11" ht="13.9" customHeight="1" x14ac:dyDescent="0.2">
      <c r="A139" s="25"/>
      <c r="B139" s="3211"/>
      <c r="C139" s="422" t="str">
        <f>('DATA INPUT'!B56&amp;" "&amp;"-"&amp;" "&amp;'DATA INPUT'!H56)</f>
        <v xml:space="preserve"> - </v>
      </c>
      <c r="D139" s="29">
        <f ca="1">'Calc - OTHER PERS'!L81*(1-$G$63)</f>
        <v>0</v>
      </c>
      <c r="E139" s="88">
        <f t="shared" ca="1" si="10"/>
        <v>0</v>
      </c>
      <c r="F139" s="24"/>
      <c r="G139" s="2702"/>
      <c r="H139" s="24"/>
      <c r="I139" s="29">
        <f ca="1">'Calc - OTHER PERS'!R81*($G$63)</f>
        <v>0</v>
      </c>
      <c r="J139" s="164">
        <f t="shared" ca="1" si="9"/>
        <v>0</v>
      </c>
      <c r="K139" s="1"/>
    </row>
    <row r="140" spans="1:11" ht="13.9" customHeight="1" x14ac:dyDescent="0.2">
      <c r="A140" s="25"/>
      <c r="B140" s="3211"/>
      <c r="C140" s="123" t="str">
        <f>('DATA INPUT'!B57&amp;" "&amp;"-"&amp;" "&amp;'DATA INPUT'!H57)</f>
        <v xml:space="preserve"> - </v>
      </c>
      <c r="D140" s="29">
        <f ca="1">'Calc - OTHER PERS'!L95*(1-$G$63)</f>
        <v>0</v>
      </c>
      <c r="E140" s="88">
        <f t="shared" ca="1" si="10"/>
        <v>0</v>
      </c>
      <c r="F140" s="24"/>
      <c r="G140" s="2702"/>
      <c r="H140" s="24"/>
      <c r="I140" s="29">
        <f ca="1">'Calc - OTHER PERS'!R95*($G$63)</f>
        <v>0</v>
      </c>
      <c r="J140" s="164">
        <f t="shared" ca="1" si="9"/>
        <v>0</v>
      </c>
      <c r="K140" s="1"/>
    </row>
    <row r="141" spans="1:11" ht="13.9" customHeight="1" x14ac:dyDescent="0.2">
      <c r="A141" s="25"/>
      <c r="B141" s="3211"/>
      <c r="C141" s="123" t="str">
        <f>('DATA INPUT'!B58&amp;" "&amp;"-"&amp;" "&amp;'DATA INPUT'!H58)</f>
        <v xml:space="preserve"> - </v>
      </c>
      <c r="D141" s="29">
        <f ca="1">'Calc - OTHER PERS'!L109*(1-$G$63)</f>
        <v>0</v>
      </c>
      <c r="E141" s="88">
        <f t="shared" ca="1" si="10"/>
        <v>0</v>
      </c>
      <c r="F141" s="24"/>
      <c r="G141" s="2702"/>
      <c r="H141" s="24"/>
      <c r="I141" s="29">
        <f ca="1">'Calc - OTHER PERS'!R109*($G$63)</f>
        <v>0</v>
      </c>
      <c r="J141" s="164">
        <f t="shared" ca="1" si="9"/>
        <v>0</v>
      </c>
      <c r="K141" s="1"/>
    </row>
    <row r="142" spans="1:11" ht="13.9" customHeight="1" x14ac:dyDescent="0.2">
      <c r="A142" s="25"/>
      <c r="B142" s="3211"/>
      <c r="C142" s="422" t="str">
        <f>('DATA INPUT'!B59&amp;" "&amp;"-"&amp;" "&amp;'DATA INPUT'!H59)</f>
        <v xml:space="preserve"> - </v>
      </c>
      <c r="D142" s="29">
        <f ca="1">'Calc - OTHER PERS'!L123*(1-$G$63)</f>
        <v>0</v>
      </c>
      <c r="E142" s="88">
        <f t="shared" ca="1" si="10"/>
        <v>0</v>
      </c>
      <c r="F142" s="24"/>
      <c r="G142" s="2702"/>
      <c r="H142" s="24"/>
      <c r="I142" s="29">
        <f ca="1">'Calc - OTHER PERS'!R123*($G$63)</f>
        <v>0</v>
      </c>
      <c r="J142" s="164">
        <f t="shared" ca="1" si="9"/>
        <v>0</v>
      </c>
      <c r="K142" s="1"/>
    </row>
    <row r="143" spans="1:11" ht="13.9" customHeight="1" x14ac:dyDescent="0.2">
      <c r="A143" s="25"/>
      <c r="B143" s="3211"/>
      <c r="C143" s="123" t="str">
        <f>('DATA INPUT'!B60&amp;" "&amp;"-"&amp;" "&amp;'DATA INPUT'!H60)</f>
        <v xml:space="preserve"> - </v>
      </c>
      <c r="D143" s="29">
        <f ca="1">'Calc - OTHER PERS'!L137*(1-$G$63)</f>
        <v>0</v>
      </c>
      <c r="E143" s="88">
        <f t="shared" ca="1" si="10"/>
        <v>0</v>
      </c>
      <c r="F143" s="24"/>
      <c r="G143" s="2702"/>
      <c r="H143" s="24"/>
      <c r="I143" s="29">
        <f ca="1">'Calc - OTHER PERS'!R137*($G$63)</f>
        <v>0</v>
      </c>
      <c r="J143" s="164">
        <f t="shared" ca="1" si="9"/>
        <v>0</v>
      </c>
      <c r="K143" s="1"/>
    </row>
    <row r="144" spans="1:11" ht="13.9" customHeight="1" x14ac:dyDescent="0.2">
      <c r="A144" s="25"/>
      <c r="B144" s="3211"/>
      <c r="C144" s="57" t="str">
        <f>('DATA INPUT'!B61&amp;" "&amp;"-"&amp;" "&amp;'DATA INPUT'!H61)</f>
        <v xml:space="preserve"> - </v>
      </c>
      <c r="D144" s="29">
        <f ca="1">'Calc - OTHER PERS'!L151*(1-$G$63)</f>
        <v>0</v>
      </c>
      <c r="E144" s="88">
        <f t="shared" ca="1" si="10"/>
        <v>0</v>
      </c>
      <c r="F144" s="24"/>
      <c r="G144" s="2702"/>
      <c r="H144" s="24"/>
      <c r="I144" s="29">
        <f ca="1">'Calc - OTHER PERS'!R151*($G$63)</f>
        <v>0</v>
      </c>
      <c r="J144" s="164">
        <f t="shared" ca="1" si="9"/>
        <v>0</v>
      </c>
      <c r="K144" s="1"/>
    </row>
    <row r="145" spans="1:11" ht="13.9" customHeight="1" x14ac:dyDescent="0.2">
      <c r="A145" s="25"/>
      <c r="B145" s="3211"/>
      <c r="C145" s="418" t="str">
        <f>('DATA INPUT'!B62&amp;" "&amp;"-"&amp;" "&amp;'DATA INPUT'!H62)</f>
        <v xml:space="preserve"> - </v>
      </c>
      <c r="D145" s="29">
        <f ca="1">'Calc - OTHER PERS'!L165*(1-$G$63)</f>
        <v>0</v>
      </c>
      <c r="E145" s="88">
        <f t="shared" ca="1" si="10"/>
        <v>0</v>
      </c>
      <c r="F145" s="24"/>
      <c r="G145" s="2702"/>
      <c r="H145" s="24"/>
      <c r="I145" s="29">
        <f ca="1">'Calc - OTHER PERS'!R165*($G$63)</f>
        <v>0</v>
      </c>
      <c r="J145" s="164">
        <f t="shared" ca="1" si="9"/>
        <v>0</v>
      </c>
      <c r="K145" s="1"/>
    </row>
    <row r="146" spans="1:11" ht="13.9" customHeight="1" x14ac:dyDescent="0.2">
      <c r="A146" s="25"/>
      <c r="B146" s="3211"/>
      <c r="C146" s="422" t="str">
        <f>('DATA INPUT'!B63&amp;" "&amp;"-"&amp;" "&amp;'DATA INPUT'!H63)</f>
        <v xml:space="preserve"> - </v>
      </c>
      <c r="D146" s="29">
        <f ca="1">'Calc - OTHER PERS'!L179*(1-$G$63)</f>
        <v>0</v>
      </c>
      <c r="E146" s="88">
        <f t="shared" ca="1" si="10"/>
        <v>0</v>
      </c>
      <c r="F146" s="24"/>
      <c r="G146" s="2702"/>
      <c r="H146" s="24"/>
      <c r="I146" s="29">
        <f ca="1">'Calc - OTHER PERS'!R179*($G$63)</f>
        <v>0</v>
      </c>
      <c r="J146" s="164">
        <f t="shared" ca="1" si="9"/>
        <v>0</v>
      </c>
      <c r="K146" s="1"/>
    </row>
    <row r="147" spans="1:11" ht="13.9" customHeight="1" x14ac:dyDescent="0.2">
      <c r="A147" s="25"/>
      <c r="B147" s="3211"/>
      <c r="C147" s="123" t="str">
        <f>('DATA INPUT'!B64&amp;" "&amp;"-"&amp;" "&amp;'DATA INPUT'!H64)</f>
        <v xml:space="preserve"> - </v>
      </c>
      <c r="D147" s="29">
        <f ca="1">'Calc - OTHER PERS'!L193*(1-$G$63)</f>
        <v>0</v>
      </c>
      <c r="E147" s="88">
        <f t="shared" ca="1" si="10"/>
        <v>0</v>
      </c>
      <c r="F147" s="24"/>
      <c r="G147" s="2702"/>
      <c r="H147" s="24"/>
      <c r="I147" s="29">
        <f ca="1">'Calc - OTHER PERS'!R193*($G$63)</f>
        <v>0</v>
      </c>
      <c r="J147" s="164">
        <f t="shared" ca="1" si="9"/>
        <v>0</v>
      </c>
      <c r="K147" s="1"/>
    </row>
    <row r="148" spans="1:11" ht="13.9" customHeight="1" thickBot="1" x14ac:dyDescent="0.25">
      <c r="A148" s="22"/>
      <c r="B148" s="3211"/>
      <c r="C148" s="424" t="str">
        <f>('DATA INPUT'!B65&amp;" "&amp;"-"&amp;" "&amp;'DATA INPUT'!H65)</f>
        <v xml:space="preserve"> - </v>
      </c>
      <c r="D148" s="29">
        <f ca="1">'Calc - OTHER PERS'!L207*(1-$G$63)</f>
        <v>0</v>
      </c>
      <c r="E148" s="88">
        <f t="shared" ca="1" si="10"/>
        <v>0</v>
      </c>
      <c r="F148" s="8"/>
      <c r="G148" s="2702"/>
      <c r="H148" s="8"/>
      <c r="I148" s="29">
        <f ca="1">'Calc - OTHER PERS'!R207*($G$63)</f>
        <v>0</v>
      </c>
      <c r="J148" s="164">
        <f t="shared" ca="1" si="9"/>
        <v>0</v>
      </c>
      <c r="K148" s="1"/>
    </row>
    <row r="149" spans="1:11" ht="15" customHeight="1" thickBot="1" x14ac:dyDescent="0.25">
      <c r="A149" s="22"/>
      <c r="B149" s="3212" t="s">
        <v>241</v>
      </c>
      <c r="C149" s="3224"/>
      <c r="D149" s="96">
        <f ca="1">SUM(D134:D148)</f>
        <v>0</v>
      </c>
      <c r="E149" s="356">
        <f ca="1">SUM(E134:E148)</f>
        <v>0</v>
      </c>
      <c r="F149" s="2389"/>
      <c r="G149" s="2702"/>
      <c r="H149" s="8"/>
      <c r="I149" s="2290">
        <f ca="1">SUM(I134:I148)</f>
        <v>5070</v>
      </c>
      <c r="J149" s="165">
        <f ca="1">SUM(J134:J148)</f>
        <v>5070</v>
      </c>
      <c r="K149" s="1"/>
    </row>
    <row r="150" spans="1:11" ht="15" customHeight="1" x14ac:dyDescent="0.2">
      <c r="A150" s="22"/>
      <c r="B150" s="3222" t="s">
        <v>574</v>
      </c>
      <c r="C150" s="419" t="str">
        <f>'Calc - OTHER PERS'!A219</f>
        <v>Hourly Student(s) #1</v>
      </c>
      <c r="D150" s="86">
        <f>'Calc - OTHER PERS'!$J$224*(1-$G$79)</f>
        <v>0</v>
      </c>
      <c r="E150" s="87">
        <f>SUM(D150:D150)</f>
        <v>0</v>
      </c>
      <c r="F150" s="8"/>
      <c r="G150" s="2702"/>
      <c r="H150" s="8"/>
      <c r="I150" s="86">
        <f>'Calc - OTHER PERS'!$J$224*$G$79</f>
        <v>0</v>
      </c>
      <c r="J150" s="381">
        <f>SUM(I150:I150)</f>
        <v>0</v>
      </c>
      <c r="K150" s="1"/>
    </row>
    <row r="151" spans="1:11" ht="13.9" customHeight="1" x14ac:dyDescent="0.2">
      <c r="A151" s="22"/>
      <c r="B151" s="3211"/>
      <c r="C151" s="379" t="str">
        <f>'Calc - OTHER PERS'!A232</f>
        <v>Hourly Student(s) #2</v>
      </c>
      <c r="D151" s="5">
        <f>'Calc - OTHER PERS'!J237*(1-$G$79)</f>
        <v>0</v>
      </c>
      <c r="E151" s="88">
        <f>SUM(D151:D151)</f>
        <v>0</v>
      </c>
      <c r="F151" s="8"/>
      <c r="G151" s="2702"/>
      <c r="H151" s="8"/>
      <c r="I151" s="5">
        <f>'Calc - OTHER PERS'!P237*($G$79)</f>
        <v>0</v>
      </c>
      <c r="J151" s="167">
        <f>SUM(I151:I151)</f>
        <v>0</v>
      </c>
      <c r="K151" s="1"/>
    </row>
    <row r="152" spans="1:11" ht="13.9" customHeight="1" thickBot="1" x14ac:dyDescent="0.25">
      <c r="A152" s="22"/>
      <c r="B152" s="3223"/>
      <c r="C152" s="420" t="str">
        <f>'Calc - OTHER PERS'!A245</f>
        <v>Hourly Student(s) #3</v>
      </c>
      <c r="D152" s="42">
        <f>'Calc - OTHER PERS'!J250*(1-$G$79)</f>
        <v>0</v>
      </c>
      <c r="E152" s="90">
        <f>SUM(D152:D152)</f>
        <v>0</v>
      </c>
      <c r="F152" s="8"/>
      <c r="G152" s="256"/>
      <c r="H152" s="8"/>
      <c r="I152" s="42">
        <f>'Calc - OTHER PERS'!P250*($G$79)</f>
        <v>0</v>
      </c>
      <c r="J152" s="167">
        <f>SUM(I152:I152)</f>
        <v>0</v>
      </c>
      <c r="K152" s="1"/>
    </row>
    <row r="153" spans="1:11" ht="15" customHeight="1" thickBot="1" x14ac:dyDescent="0.25">
      <c r="A153" s="414"/>
      <c r="B153" s="3212" t="s">
        <v>829</v>
      </c>
      <c r="C153" s="3224"/>
      <c r="D153" s="415">
        <f>SUM(D150:D152)</f>
        <v>0</v>
      </c>
      <c r="E153" s="356">
        <f>SUM(E150:E152)</f>
        <v>0</v>
      </c>
      <c r="F153" s="353">
        <f>SUM(D153:D153)</f>
        <v>0</v>
      </c>
      <c r="G153" s="2693"/>
      <c r="H153" s="4"/>
      <c r="I153" s="171">
        <f>SUM(I150:I152)</f>
        <v>0</v>
      </c>
      <c r="J153" s="167">
        <f>SUM(J150:J152)</f>
        <v>0</v>
      </c>
      <c r="K153" s="1"/>
    </row>
    <row r="154" spans="1:11" ht="15" customHeight="1" thickBot="1" x14ac:dyDescent="0.25">
      <c r="A154" s="414"/>
      <c r="B154" s="2258"/>
      <c r="C154" s="472" t="s">
        <v>830</v>
      </c>
      <c r="D154" s="2259">
        <f ca="1">SUM(D149,D153)</f>
        <v>0</v>
      </c>
      <c r="E154" s="1239">
        <f ca="1">SUM(E149,E153)</f>
        <v>0</v>
      </c>
      <c r="F154" s="353">
        <f ca="1">SUM(D154:D154)</f>
        <v>0</v>
      </c>
      <c r="G154" s="2693"/>
      <c r="H154" s="4"/>
      <c r="I154" s="171">
        <f ca="1">SUM(I149,I153)</f>
        <v>5070</v>
      </c>
      <c r="J154" s="167">
        <f ca="1">SUM(J149,J153)</f>
        <v>5070</v>
      </c>
      <c r="K154" s="1"/>
    </row>
    <row r="155" spans="1:11" ht="15" customHeight="1" thickBot="1" x14ac:dyDescent="0.25">
      <c r="A155" s="25"/>
      <c r="B155" s="417"/>
      <c r="C155" s="2270" t="s">
        <v>20</v>
      </c>
      <c r="D155" s="2271">
        <f ca="1">SUM(D117,D133,D154)</f>
        <v>0</v>
      </c>
      <c r="E155" s="2273">
        <f ca="1">SUM(E117,E133,E154)</f>
        <v>0</v>
      </c>
      <c r="F155" s="13">
        <f ca="1">SUM(D155:D155)</f>
        <v>0</v>
      </c>
      <c r="G155" s="2693"/>
      <c r="H155" s="13"/>
      <c r="I155" s="2274" t="e">
        <f ca="1">SUM(I117,I133,I154)</f>
        <v>#REF!</v>
      </c>
      <c r="J155" s="2275" t="e">
        <f ca="1">SUM(J117,J133,J154)</f>
        <v>#REF!</v>
      </c>
      <c r="K155" s="1"/>
    </row>
    <row r="156" spans="1:11" ht="15" customHeight="1" thickBot="1" x14ac:dyDescent="0.25">
      <c r="A156" s="407"/>
      <c r="B156" s="417"/>
      <c r="C156" s="467" t="s">
        <v>137</v>
      </c>
      <c r="D156" s="416">
        <f ca="1">SUM(D155,D84)</f>
        <v>0</v>
      </c>
      <c r="E156" s="96">
        <f ca="1">SUM(E155,E84)</f>
        <v>0</v>
      </c>
      <c r="F156" s="13">
        <f ca="1">SUM(D156:D156)</f>
        <v>0</v>
      </c>
      <c r="G156" s="2693"/>
      <c r="H156" s="13"/>
      <c r="I156" s="168" t="e">
        <f ca="1">SUM(I155,I84)</f>
        <v>#REF!</v>
      </c>
      <c r="J156" s="167" t="e">
        <f ca="1">SUM(J155,J84)</f>
        <v>#REF!</v>
      </c>
      <c r="K156" s="1"/>
    </row>
    <row r="157" spans="1:11" ht="15" customHeight="1" thickBot="1" x14ac:dyDescent="0.25">
      <c r="A157" s="3228"/>
      <c r="B157" s="3229"/>
      <c r="C157" s="3229"/>
      <c r="D157" s="3229"/>
      <c r="E157" s="3229"/>
      <c r="F157" s="13"/>
      <c r="G157" s="2"/>
      <c r="H157" s="13"/>
      <c r="J157" s="1"/>
      <c r="K157" s="1"/>
    </row>
    <row r="158" spans="1:11" ht="15" customHeight="1" thickBot="1" x14ac:dyDescent="0.3">
      <c r="A158" s="429" t="s">
        <v>27</v>
      </c>
      <c r="B158" s="2699" t="s">
        <v>6</v>
      </c>
      <c r="C158" s="2700"/>
      <c r="D158" s="2700"/>
      <c r="E158" s="2701"/>
      <c r="F158" s="3474" t="s">
        <v>883</v>
      </c>
      <c r="G158" s="3475"/>
      <c r="H158" s="6"/>
      <c r="I158" s="870" t="s">
        <v>6</v>
      </c>
      <c r="J158" s="1099"/>
      <c r="K158" s="24"/>
    </row>
    <row r="159" spans="1:11" ht="15" customHeight="1" thickBot="1" x14ac:dyDescent="0.25">
      <c r="A159" s="432" t="s">
        <v>47</v>
      </c>
      <c r="B159" s="433"/>
      <c r="C159" s="434">
        <f>'DATA INPUT'!B85</f>
        <v>0</v>
      </c>
      <c r="D159" s="409">
        <f>'DATA INPUT'!$I$85*(1-$G$159)</f>
        <v>0</v>
      </c>
      <c r="E159" s="345">
        <f t="shared" ref="E159:E164" si="11">SUM(D159:D159)</f>
        <v>0</v>
      </c>
      <c r="F159" s="2698"/>
      <c r="G159" s="594">
        <v>0</v>
      </c>
      <c r="H159" s="6"/>
      <c r="I159" s="409">
        <f>'DATA INPUT'!$I$85*$G$159</f>
        <v>0</v>
      </c>
      <c r="J159" s="167">
        <f t="shared" ref="J159:J164" si="12">SUM(I159:I159)</f>
        <v>0</v>
      </c>
      <c r="K159" s="1"/>
    </row>
    <row r="160" spans="1:11" ht="13.9" customHeight="1" x14ac:dyDescent="0.2">
      <c r="A160" s="27" t="s">
        <v>48</v>
      </c>
      <c r="B160" s="34"/>
      <c r="C160" s="63">
        <f>'DATA INPUT'!B86</f>
        <v>0</v>
      </c>
      <c r="D160" s="21">
        <f>'DATA INPUT'!I86</f>
        <v>0</v>
      </c>
      <c r="E160" s="12">
        <f t="shared" si="11"/>
        <v>0</v>
      </c>
      <c r="F160" s="6"/>
      <c r="G160" s="2"/>
      <c r="H160" s="6"/>
      <c r="I160" s="21"/>
      <c r="J160" s="167">
        <f t="shared" si="12"/>
        <v>0</v>
      </c>
      <c r="K160" s="1"/>
    </row>
    <row r="161" spans="1:11" ht="13.9" customHeight="1" x14ac:dyDescent="0.2">
      <c r="A161" s="432" t="s">
        <v>49</v>
      </c>
      <c r="B161" s="34"/>
      <c r="C161" s="63">
        <f>'DATA INPUT'!B87</f>
        <v>0</v>
      </c>
      <c r="D161" s="21">
        <f>'DATA INPUT'!I87</f>
        <v>0</v>
      </c>
      <c r="E161" s="12">
        <f t="shared" si="11"/>
        <v>0</v>
      </c>
      <c r="F161" s="6"/>
      <c r="G161" s="2"/>
      <c r="H161" s="6"/>
      <c r="I161" s="21"/>
      <c r="J161" s="167">
        <f t="shared" si="12"/>
        <v>0</v>
      </c>
      <c r="K161" s="1"/>
    </row>
    <row r="162" spans="1:11" ht="13.9" customHeight="1" x14ac:dyDescent="0.2">
      <c r="A162" s="27" t="s">
        <v>778</v>
      </c>
      <c r="B162" s="34"/>
      <c r="C162" s="63">
        <f>'DATA INPUT'!B88</f>
        <v>0</v>
      </c>
      <c r="D162" s="21">
        <f>'DATA INPUT'!I88</f>
        <v>0</v>
      </c>
      <c r="E162" s="12">
        <f t="shared" si="11"/>
        <v>0</v>
      </c>
      <c r="F162" s="6"/>
      <c r="G162" s="2"/>
      <c r="H162" s="6"/>
      <c r="I162" s="21"/>
      <c r="J162" s="167">
        <f t="shared" si="12"/>
        <v>0</v>
      </c>
      <c r="K162" s="1"/>
    </row>
    <row r="163" spans="1:11" ht="13.9" customHeight="1" x14ac:dyDescent="0.2">
      <c r="A163" s="432" t="s">
        <v>779</v>
      </c>
      <c r="B163" s="34"/>
      <c r="C163" s="63">
        <f>'DATA INPUT'!B89</f>
        <v>0</v>
      </c>
      <c r="D163" s="21">
        <f>'DATA INPUT'!I89</f>
        <v>0</v>
      </c>
      <c r="E163" s="12">
        <f t="shared" si="11"/>
        <v>0</v>
      </c>
      <c r="F163" s="6"/>
      <c r="G163" s="2"/>
      <c r="H163" s="6"/>
      <c r="I163" s="21"/>
      <c r="J163" s="167">
        <f t="shared" si="12"/>
        <v>0</v>
      </c>
      <c r="K163" s="1"/>
    </row>
    <row r="164" spans="1:11" ht="13.9" customHeight="1" thickBot="1" x14ac:dyDescent="0.25">
      <c r="A164" s="27" t="s">
        <v>780</v>
      </c>
      <c r="B164" s="444"/>
      <c r="C164" s="445">
        <f>'DATA INPUT'!B90</f>
        <v>0</v>
      </c>
      <c r="D164" s="21">
        <f>'DATA INPUT'!I90</f>
        <v>0</v>
      </c>
      <c r="E164" s="12">
        <f t="shared" si="11"/>
        <v>0</v>
      </c>
      <c r="F164" s="6"/>
      <c r="G164" s="2693"/>
      <c r="H164" s="6"/>
      <c r="I164" s="21"/>
      <c r="J164" s="167">
        <f t="shared" si="12"/>
        <v>0</v>
      </c>
      <c r="K164" s="1"/>
    </row>
    <row r="165" spans="1:11" ht="15" customHeight="1" thickBot="1" x14ac:dyDescent="0.25">
      <c r="A165" s="446"/>
      <c r="B165" s="442"/>
      <c r="C165" s="470" t="s">
        <v>46</v>
      </c>
      <c r="D165" s="443">
        <f>SUM(D159:D164)</f>
        <v>0</v>
      </c>
      <c r="E165" s="15">
        <f>SUM(E159:E164)</f>
        <v>0</v>
      </c>
      <c r="F165" s="13">
        <f>SUM(D165:D165)</f>
        <v>0</v>
      </c>
      <c r="G165" s="2703"/>
      <c r="H165" s="13"/>
      <c r="I165" s="169">
        <f>SUM(I159:I164)</f>
        <v>0</v>
      </c>
      <c r="J165" s="169">
        <f>SUM(J159:J164)</f>
        <v>0</v>
      </c>
      <c r="K165" s="1"/>
    </row>
    <row r="166" spans="1:11" ht="15" customHeight="1" thickBot="1" x14ac:dyDescent="0.25">
      <c r="A166" s="3237"/>
      <c r="B166" s="3238"/>
      <c r="C166" s="3238"/>
      <c r="D166" s="3239"/>
      <c r="E166" s="3240"/>
      <c r="F166" s="35"/>
      <c r="G166" s="2703"/>
      <c r="H166" s="35"/>
      <c r="J166" s="1"/>
      <c r="K166" s="1"/>
    </row>
    <row r="167" spans="1:11" ht="15" customHeight="1" thickBot="1" x14ac:dyDescent="0.3">
      <c r="A167" s="436" t="s">
        <v>45</v>
      </c>
      <c r="B167" s="2699" t="s">
        <v>12</v>
      </c>
      <c r="C167" s="2700"/>
      <c r="D167" s="2700"/>
      <c r="E167" s="2701"/>
      <c r="F167" s="3474" t="s">
        <v>884</v>
      </c>
      <c r="G167" s="3475"/>
      <c r="H167" s="35"/>
      <c r="I167" s="3193" t="s">
        <v>12</v>
      </c>
      <c r="J167" s="3195"/>
      <c r="K167" s="1"/>
    </row>
    <row r="168" spans="1:11" ht="15" customHeight="1" thickBot="1" x14ac:dyDescent="0.25">
      <c r="A168" s="432" t="s">
        <v>36</v>
      </c>
      <c r="B168" s="435"/>
      <c r="C168" s="26" t="s">
        <v>4</v>
      </c>
      <c r="D168" s="41">
        <f ca="1">'Calc - TRAVEL'!$AP$9*(1-$G$168)</f>
        <v>0</v>
      </c>
      <c r="E168" s="345">
        <f ca="1">SUM(D168:D168)</f>
        <v>0</v>
      </c>
      <c r="F168" s="2698"/>
      <c r="G168" s="594">
        <v>1</v>
      </c>
      <c r="H168" s="35"/>
      <c r="I168" s="41">
        <f ca="1">'Calc - TRAVEL'!$AP$9*$G$168</f>
        <v>2489.87</v>
      </c>
      <c r="J168" s="167">
        <f ca="1">SUM(I168:I168)</f>
        <v>2489.87</v>
      </c>
      <c r="K168" s="1"/>
    </row>
    <row r="169" spans="1:11" ht="15" customHeight="1" thickBot="1" x14ac:dyDescent="0.25">
      <c r="A169" s="32" t="s">
        <v>37</v>
      </c>
      <c r="B169" s="441"/>
      <c r="C169" s="320" t="s">
        <v>5</v>
      </c>
      <c r="D169" s="5">
        <f ca="1">'Calc - TRAVEL'!$AQ$9*(1-$G$168)</f>
        <v>0</v>
      </c>
      <c r="E169" s="12">
        <f ca="1">SUM(D169:D169)</f>
        <v>0</v>
      </c>
      <c r="G169" s="2693"/>
      <c r="I169" s="5">
        <f ca="1">'Calc - TRAVEL'!$AQ$9*$G$168</f>
        <v>0</v>
      </c>
      <c r="J169" s="167">
        <f ca="1">SUM(I169:I169)</f>
        <v>0</v>
      </c>
      <c r="K169" s="1"/>
    </row>
    <row r="170" spans="1:11" ht="15" customHeight="1" thickBot="1" x14ac:dyDescent="0.25">
      <c r="A170" s="446"/>
      <c r="B170" s="442"/>
      <c r="C170" s="468" t="s">
        <v>40</v>
      </c>
      <c r="D170" s="440">
        <f ca="1">SUM(D168:D169)</f>
        <v>0</v>
      </c>
      <c r="E170" s="18">
        <f ca="1">SUM(E168:E169)</f>
        <v>0</v>
      </c>
      <c r="F170" s="13">
        <f ca="1">SUM(D170:D170)</f>
        <v>0</v>
      </c>
      <c r="G170" s="2703"/>
      <c r="H170" s="13"/>
      <c r="I170" s="171">
        <f ca="1">SUM(I168:I169)</f>
        <v>2489.87</v>
      </c>
      <c r="J170" s="170">
        <f ca="1">SUM(J168:J169)</f>
        <v>2489.87</v>
      </c>
      <c r="K170" s="1"/>
    </row>
    <row r="171" spans="1:11" ht="15" customHeight="1" thickBot="1" x14ac:dyDescent="0.25">
      <c r="A171" s="3237"/>
      <c r="B171" s="3238"/>
      <c r="C171" s="3238"/>
      <c r="D171" s="3239"/>
      <c r="E171" s="3239"/>
      <c r="F171" s="35"/>
      <c r="G171" s="2703"/>
      <c r="H171" s="35"/>
      <c r="J171" s="1"/>
      <c r="K171" s="1"/>
    </row>
    <row r="172" spans="1:11" ht="15" customHeight="1" thickBot="1" x14ac:dyDescent="0.3">
      <c r="A172" s="429" t="s">
        <v>28</v>
      </c>
      <c r="B172" s="2699" t="s">
        <v>38</v>
      </c>
      <c r="C172" s="2700"/>
      <c r="D172" s="2700"/>
      <c r="E172" s="2701"/>
      <c r="F172" s="35"/>
      <c r="G172" s="2703"/>
      <c r="H172" s="35"/>
      <c r="I172" s="870" t="s">
        <v>38</v>
      </c>
      <c r="J172" s="1099"/>
      <c r="K172" s="24"/>
    </row>
    <row r="173" spans="1:11" ht="13.9" customHeight="1" x14ac:dyDescent="0.2">
      <c r="A173" s="22"/>
      <c r="B173" s="23"/>
      <c r="C173" s="434" t="s">
        <v>11</v>
      </c>
      <c r="D173" s="41">
        <f>'DATA INPUT'!I120</f>
        <v>0</v>
      </c>
      <c r="E173" s="345">
        <f>SUM(D173:D173)</f>
        <v>0</v>
      </c>
      <c r="F173" s="35"/>
      <c r="G173" s="2703"/>
      <c r="H173" s="35"/>
      <c r="I173" s="5"/>
      <c r="J173" s="167">
        <f>SUM(I173:I173)</f>
        <v>0</v>
      </c>
      <c r="K173" s="1"/>
    </row>
    <row r="174" spans="1:11" ht="13.9" customHeight="1" x14ac:dyDescent="0.2">
      <c r="A174" s="25"/>
      <c r="B174" s="23"/>
      <c r="C174" s="63" t="s">
        <v>12</v>
      </c>
      <c r="D174" s="41">
        <f>'DATA INPUT'!I121</f>
        <v>0</v>
      </c>
      <c r="E174" s="12">
        <f>SUM(D174:D174)</f>
        <v>0</v>
      </c>
      <c r="F174" s="35"/>
      <c r="G174" s="2703"/>
      <c r="H174" s="35"/>
      <c r="I174" s="5"/>
      <c r="J174" s="167">
        <f>SUM(I174:I174)</f>
        <v>0</v>
      </c>
      <c r="K174" s="1"/>
    </row>
    <row r="175" spans="1:11" ht="13.9" customHeight="1" x14ac:dyDescent="0.2">
      <c r="A175" s="25"/>
      <c r="B175" s="23"/>
      <c r="C175" s="63" t="s">
        <v>13</v>
      </c>
      <c r="D175" s="41">
        <f>'DATA INPUT'!I122</f>
        <v>0</v>
      </c>
      <c r="E175" s="12">
        <f>SUM(D175:D175)</f>
        <v>0</v>
      </c>
      <c r="F175" s="35"/>
      <c r="H175" s="35"/>
      <c r="I175" s="5"/>
      <c r="J175" s="167">
        <f>SUM(I175:I175)</f>
        <v>0</v>
      </c>
      <c r="K175" s="1"/>
    </row>
    <row r="176" spans="1:11" ht="13.9" customHeight="1" thickBot="1" x14ac:dyDescent="0.25">
      <c r="A176" s="26"/>
      <c r="B176" s="23"/>
      <c r="C176" s="445" t="s">
        <v>15</v>
      </c>
      <c r="D176" s="41">
        <f>'DATA INPUT'!I123</f>
        <v>0</v>
      </c>
      <c r="E176" s="12">
        <f>SUM(D176:D176)</f>
        <v>0</v>
      </c>
      <c r="G176" s="2693"/>
      <c r="I176" s="5"/>
      <c r="J176" s="167">
        <f>SUM(I176:I176)</f>
        <v>0</v>
      </c>
      <c r="K176" s="1"/>
    </row>
    <row r="177" spans="1:11" ht="15" customHeight="1" thickBot="1" x14ac:dyDescent="0.25">
      <c r="A177" s="447"/>
      <c r="B177" s="442"/>
      <c r="C177" s="470" t="s">
        <v>21</v>
      </c>
      <c r="D177" s="443">
        <f>SUM(D173:D176)</f>
        <v>0</v>
      </c>
      <c r="E177" s="16">
        <f>SUM(E173:E176)</f>
        <v>0</v>
      </c>
      <c r="F177" s="13">
        <f>SUM(D177:D177)</f>
        <v>0</v>
      </c>
      <c r="G177" s="2703"/>
      <c r="H177" s="13"/>
      <c r="I177" s="169">
        <f>SUM(I173:I176)</f>
        <v>0</v>
      </c>
      <c r="J177" s="172">
        <f>SUM(J173:J176)</f>
        <v>0</v>
      </c>
      <c r="K177" s="1"/>
    </row>
    <row r="178" spans="1:11" ht="15" customHeight="1" thickBot="1" x14ac:dyDescent="0.25">
      <c r="A178" s="25"/>
      <c r="C178" s="45"/>
      <c r="D178" s="437"/>
      <c r="E178" s="438"/>
      <c r="F178" s="35"/>
      <c r="G178" s="2703"/>
      <c r="H178" s="35"/>
      <c r="I178" s="38"/>
      <c r="J178" s="39"/>
      <c r="K178" s="1"/>
    </row>
    <row r="179" spans="1:11" ht="15" customHeight="1" thickBot="1" x14ac:dyDescent="0.3">
      <c r="A179" s="429" t="s">
        <v>29</v>
      </c>
      <c r="B179" s="2699" t="s">
        <v>39</v>
      </c>
      <c r="C179" s="2700"/>
      <c r="D179" s="2700"/>
      <c r="E179" s="2701"/>
      <c r="F179" s="35"/>
      <c r="G179" s="10"/>
      <c r="H179" s="35"/>
      <c r="I179" s="870" t="s">
        <v>39</v>
      </c>
      <c r="J179" s="1099"/>
      <c r="K179" s="24"/>
    </row>
    <row r="180" spans="1:11" ht="15" customHeight="1" x14ac:dyDescent="0.2">
      <c r="A180" s="432" t="s">
        <v>30</v>
      </c>
      <c r="B180" s="439"/>
      <c r="C180" s="26" t="str">
        <f>'DATA INPUT'!B93</f>
        <v>Materials and Supplies</v>
      </c>
      <c r="D180" s="41">
        <f>'DATA INPUT'!I93-I180</f>
        <v>900</v>
      </c>
      <c r="E180" s="345">
        <f t="shared" ref="E180:E185" si="13">SUM(D180:D180)</f>
        <v>900</v>
      </c>
      <c r="F180" s="3476" t="s">
        <v>885</v>
      </c>
      <c r="G180" s="3470"/>
      <c r="H180" s="2704" t="s">
        <v>886</v>
      </c>
      <c r="I180" s="5"/>
      <c r="J180" s="167">
        <f t="shared" ref="J180:J185" si="14">SUM(I180:I180)</f>
        <v>0</v>
      </c>
      <c r="K180" s="1"/>
    </row>
    <row r="181" spans="1:11" ht="15" customHeight="1" x14ac:dyDescent="0.2">
      <c r="A181" s="27" t="s">
        <v>31</v>
      </c>
      <c r="B181" s="28"/>
      <c r="C181" s="26" t="str">
        <f>'DATA INPUT'!B94</f>
        <v>Publication Costs</v>
      </c>
      <c r="D181" s="41">
        <f>'DATA INPUT'!I94-I181</f>
        <v>0</v>
      </c>
      <c r="E181" s="12">
        <f t="shared" si="13"/>
        <v>0</v>
      </c>
      <c r="F181" s="3476"/>
      <c r="G181" s="3470"/>
      <c r="H181" s="2704" t="s">
        <v>886</v>
      </c>
      <c r="I181" s="5"/>
      <c r="J181" s="167">
        <f t="shared" si="14"/>
        <v>0</v>
      </c>
      <c r="K181" s="1"/>
    </row>
    <row r="182" spans="1:11" ht="15" customHeight="1" x14ac:dyDescent="0.2">
      <c r="A182" s="27" t="s">
        <v>32</v>
      </c>
      <c r="B182" s="28"/>
      <c r="C182" s="26" t="str">
        <f>'DATA INPUT'!B95</f>
        <v>Consultant Services</v>
      </c>
      <c r="D182" s="41">
        <f>'DATA INPUT'!I95-I182</f>
        <v>0</v>
      </c>
      <c r="E182" s="12">
        <f t="shared" si="13"/>
        <v>0</v>
      </c>
      <c r="F182" s="3476"/>
      <c r="G182" s="3470"/>
      <c r="H182" s="2704" t="s">
        <v>886</v>
      </c>
      <c r="I182" s="5"/>
      <c r="J182" s="167">
        <f t="shared" si="14"/>
        <v>0</v>
      </c>
      <c r="K182" s="1"/>
    </row>
    <row r="183" spans="1:11" ht="15" customHeight="1" thickBot="1" x14ac:dyDescent="0.25">
      <c r="A183" s="27" t="s">
        <v>33</v>
      </c>
      <c r="B183" s="125"/>
      <c r="C183" s="320" t="s">
        <v>238</v>
      </c>
      <c r="D183" s="41">
        <f>'DATA INPUT'!I96-I183</f>
        <v>0</v>
      </c>
      <c r="E183" s="322">
        <f t="shared" si="13"/>
        <v>0</v>
      </c>
      <c r="F183" s="3476"/>
      <c r="G183" s="3470"/>
      <c r="H183" s="2704" t="s">
        <v>886</v>
      </c>
      <c r="I183" s="321"/>
      <c r="J183" s="361">
        <f t="shared" si="14"/>
        <v>0</v>
      </c>
      <c r="K183" s="1"/>
    </row>
    <row r="184" spans="1:11" ht="13.9" customHeight="1" x14ac:dyDescent="0.2">
      <c r="A184" s="27" t="s">
        <v>34</v>
      </c>
      <c r="B184" s="3230">
        <f>'DATA INPUT'!B108</f>
        <v>0</v>
      </c>
      <c r="C184" s="357" t="s">
        <v>223</v>
      </c>
      <c r="D184" s="358">
        <f>IF('DATA INPUT'!I108&gt;0,IF('DATA INPUT'!I108&lt;=25000,'DATA INPUT'!I108,25000),0)</f>
        <v>0</v>
      </c>
      <c r="E184" s="152">
        <f t="shared" si="13"/>
        <v>0</v>
      </c>
      <c r="F184" s="6"/>
      <c r="G184" s="2705"/>
      <c r="H184" s="6"/>
      <c r="I184" s="390"/>
      <c r="J184" s="166">
        <f t="shared" si="14"/>
        <v>0</v>
      </c>
      <c r="K184" s="1"/>
    </row>
    <row r="185" spans="1:11" ht="13.9" customHeight="1" x14ac:dyDescent="0.2">
      <c r="A185" s="2424"/>
      <c r="B185" s="3231"/>
      <c r="C185" s="368" t="s">
        <v>224</v>
      </c>
      <c r="D185" s="55">
        <f>IF('DATA INPUT'!I108&gt;25000,'DATA INPUT'!I108-D184,0)</f>
        <v>0</v>
      </c>
      <c r="E185" s="150">
        <f t="shared" si="13"/>
        <v>0</v>
      </c>
      <c r="F185" s="9"/>
      <c r="G185" s="2705"/>
      <c r="H185" s="9"/>
      <c r="I185" s="391"/>
      <c r="J185" s="164">
        <f t="shared" si="14"/>
        <v>0</v>
      </c>
      <c r="K185" s="1"/>
    </row>
    <row r="186" spans="1:11" ht="13.9" customHeight="1" thickBot="1" x14ac:dyDescent="0.25">
      <c r="A186" s="2424"/>
      <c r="B186" s="3232"/>
      <c r="C186" s="372" t="s">
        <v>239</v>
      </c>
      <c r="D186" s="373">
        <f>SUM(D184:D185)</f>
        <v>0</v>
      </c>
      <c r="E186" s="374">
        <f>SUM(E184:E185)</f>
        <v>0</v>
      </c>
      <c r="F186" s="13">
        <f>SUM(D186:D186)</f>
        <v>0</v>
      </c>
      <c r="G186" s="2693"/>
      <c r="H186" s="9"/>
      <c r="I186" s="392">
        <f>SUM(I184:I185)</f>
        <v>0</v>
      </c>
      <c r="J186" s="393">
        <f>SUM(J184:J185)</f>
        <v>0</v>
      </c>
      <c r="K186" s="1"/>
    </row>
    <row r="187" spans="1:11" ht="13.9" customHeight="1" x14ac:dyDescent="0.2">
      <c r="A187" s="2424"/>
      <c r="B187" s="3320">
        <f>'DATA INPUT'!B109</f>
        <v>0</v>
      </c>
      <c r="C187" s="359" t="s">
        <v>223</v>
      </c>
      <c r="D187" s="360">
        <f>IF('DATA INPUT'!I109&gt;0,IF('DATA INPUT'!I109&lt;=25000,'DATA INPUT'!I109,25000),0)</f>
        <v>0</v>
      </c>
      <c r="E187" s="180">
        <f>SUM(D187:D187)</f>
        <v>0</v>
      </c>
      <c r="F187" s="6"/>
      <c r="G187" s="2705"/>
      <c r="H187" s="6"/>
      <c r="I187" s="386"/>
      <c r="J187" s="166">
        <f t="shared" ref="J187:J213" si="15">SUM(I187:I187)</f>
        <v>0</v>
      </c>
      <c r="K187" s="1"/>
    </row>
    <row r="188" spans="1:11" ht="13.9" customHeight="1" x14ac:dyDescent="0.2">
      <c r="A188" s="2424"/>
      <c r="B188" s="3321"/>
      <c r="C188" s="367" t="s">
        <v>224</v>
      </c>
      <c r="D188" s="56">
        <f>IF('DATA INPUT'!I109&gt;25000,'DATA INPUT'!I109-D187,0)</f>
        <v>0</v>
      </c>
      <c r="E188" s="178">
        <f>SUM(D188:D188)</f>
        <v>0</v>
      </c>
      <c r="F188" s="9"/>
      <c r="G188" s="2705"/>
      <c r="H188" s="9"/>
      <c r="I188" s="387"/>
      <c r="J188" s="164">
        <f t="shared" si="15"/>
        <v>0</v>
      </c>
      <c r="K188" s="1"/>
    </row>
    <row r="189" spans="1:11" ht="13.9" customHeight="1" thickBot="1" x14ac:dyDescent="0.25">
      <c r="A189" s="2424"/>
      <c r="B189" s="3322"/>
      <c r="C189" s="369" t="s">
        <v>239</v>
      </c>
      <c r="D189" s="370">
        <f>SUM(D187:D188)</f>
        <v>0</v>
      </c>
      <c r="E189" s="371">
        <f>SUM(E187:E188)</f>
        <v>0</v>
      </c>
      <c r="F189" s="13">
        <f>SUM(D189:D189)</f>
        <v>0</v>
      </c>
      <c r="G189" s="2"/>
      <c r="H189" s="9"/>
      <c r="I189" s="388">
        <f>SUM(I187:I188)</f>
        <v>0</v>
      </c>
      <c r="J189" s="389">
        <f t="shared" si="15"/>
        <v>0</v>
      </c>
      <c r="K189" s="1"/>
    </row>
    <row r="190" spans="1:11" ht="13.9" customHeight="1" x14ac:dyDescent="0.2">
      <c r="A190" s="2424"/>
      <c r="B190" s="3230">
        <f>'DATA INPUT'!B110</f>
        <v>0</v>
      </c>
      <c r="C190" s="357" t="s">
        <v>223</v>
      </c>
      <c r="D190" s="358">
        <f>IF('DATA INPUT'!I110&gt;0,IF('DATA INPUT'!I110&lt;=25000,'DATA INPUT'!I110,25000),0)</f>
        <v>0</v>
      </c>
      <c r="E190" s="152">
        <f>SUM(D190:D190)</f>
        <v>0</v>
      </c>
      <c r="F190" s="6"/>
      <c r="G190" s="2705"/>
      <c r="H190" s="6"/>
      <c r="I190" s="390"/>
      <c r="J190" s="166">
        <f t="shared" si="15"/>
        <v>0</v>
      </c>
      <c r="K190" s="1"/>
    </row>
    <row r="191" spans="1:11" ht="13.9" customHeight="1" x14ac:dyDescent="0.2">
      <c r="A191" s="2424"/>
      <c r="B191" s="3231"/>
      <c r="C191" s="368" t="s">
        <v>224</v>
      </c>
      <c r="D191" s="55">
        <f>IF('DATA INPUT'!I110&gt;25000,'DATA INPUT'!I110-D190,0)</f>
        <v>0</v>
      </c>
      <c r="E191" s="150">
        <f>SUM(D191:D191)</f>
        <v>0</v>
      </c>
      <c r="F191" s="9"/>
      <c r="G191" s="2705"/>
      <c r="H191" s="9"/>
      <c r="I191" s="391"/>
      <c r="J191" s="164">
        <f t="shared" si="15"/>
        <v>0</v>
      </c>
      <c r="K191" s="1"/>
    </row>
    <row r="192" spans="1:11" ht="13.9" customHeight="1" thickBot="1" x14ac:dyDescent="0.25">
      <c r="A192" s="2424"/>
      <c r="B192" s="3232"/>
      <c r="C192" s="372" t="s">
        <v>239</v>
      </c>
      <c r="D192" s="373">
        <f>SUM(D190:D191)</f>
        <v>0</v>
      </c>
      <c r="E192" s="374">
        <f>SUM(E190:E191)</f>
        <v>0</v>
      </c>
      <c r="F192" s="13">
        <f>SUM(D192:D192)</f>
        <v>0</v>
      </c>
      <c r="G192" s="2693"/>
      <c r="H192" s="9"/>
      <c r="I192" s="392">
        <f>SUM(I190:I191)</f>
        <v>0</v>
      </c>
      <c r="J192" s="393">
        <f t="shared" si="15"/>
        <v>0</v>
      </c>
      <c r="K192" s="1"/>
    </row>
    <row r="193" spans="1:11" ht="13.9" customHeight="1" x14ac:dyDescent="0.2">
      <c r="A193" s="2424"/>
      <c r="B193" s="3320">
        <f>'DATA INPUT'!B111</f>
        <v>0</v>
      </c>
      <c r="C193" s="359" t="s">
        <v>223</v>
      </c>
      <c r="D193" s="360">
        <f>IF('DATA INPUT'!I111&gt;0,IF('DATA INPUT'!I111&lt;=25000,'DATA INPUT'!I111,25000),0)</f>
        <v>0</v>
      </c>
      <c r="E193" s="180">
        <f>SUM(D193:D193)</f>
        <v>0</v>
      </c>
      <c r="F193" s="6"/>
      <c r="G193" s="2705"/>
      <c r="H193" s="6"/>
      <c r="I193" s="386"/>
      <c r="J193" s="166">
        <f t="shared" si="15"/>
        <v>0</v>
      </c>
      <c r="K193" s="1"/>
    </row>
    <row r="194" spans="1:11" ht="13.9" customHeight="1" x14ac:dyDescent="0.2">
      <c r="A194" s="2424"/>
      <c r="B194" s="3321"/>
      <c r="C194" s="367" t="s">
        <v>224</v>
      </c>
      <c r="D194" s="56">
        <f>IF('DATA INPUT'!I111&gt;25000,'DATA INPUT'!I111-D193,0)</f>
        <v>0</v>
      </c>
      <c r="E194" s="178">
        <f>SUM(D194:D194)</f>
        <v>0</v>
      </c>
      <c r="F194" s="9"/>
      <c r="G194" s="2705"/>
      <c r="H194" s="9"/>
      <c r="I194" s="387"/>
      <c r="J194" s="164">
        <f t="shared" si="15"/>
        <v>0</v>
      </c>
      <c r="K194" s="1"/>
    </row>
    <row r="195" spans="1:11" ht="13.9" customHeight="1" thickBot="1" x14ac:dyDescent="0.25">
      <c r="A195" s="2424"/>
      <c r="B195" s="3322"/>
      <c r="C195" s="369" t="s">
        <v>239</v>
      </c>
      <c r="D195" s="370">
        <f>SUM(D193:D194)</f>
        <v>0</v>
      </c>
      <c r="E195" s="371">
        <f>SUM(E193:E194)</f>
        <v>0</v>
      </c>
      <c r="F195" s="13">
        <f>SUM(D195:D195)</f>
        <v>0</v>
      </c>
      <c r="G195" s="2"/>
      <c r="H195" s="9"/>
      <c r="I195" s="388">
        <f>SUM(I193:I194)</f>
        <v>0</v>
      </c>
      <c r="J195" s="389">
        <f t="shared" si="15"/>
        <v>0</v>
      </c>
      <c r="K195" s="1"/>
    </row>
    <row r="196" spans="1:11" ht="13.9" customHeight="1" x14ac:dyDescent="0.2">
      <c r="A196" s="2424"/>
      <c r="B196" s="3230">
        <f>'DATA INPUT'!B112</f>
        <v>0</v>
      </c>
      <c r="C196" s="357" t="s">
        <v>223</v>
      </c>
      <c r="D196" s="358">
        <f>IF('DATA INPUT'!I112&gt;0,IF('DATA INPUT'!I112&lt;=25000,'DATA INPUT'!I112,25000),0)</f>
        <v>0</v>
      </c>
      <c r="E196" s="152">
        <f>SUM(D196:D196)</f>
        <v>0</v>
      </c>
      <c r="F196" s="6"/>
      <c r="G196" s="2705"/>
      <c r="H196" s="6"/>
      <c r="I196" s="390"/>
      <c r="J196" s="166">
        <f t="shared" si="15"/>
        <v>0</v>
      </c>
      <c r="K196" s="1"/>
    </row>
    <row r="197" spans="1:11" ht="13.9" customHeight="1" x14ac:dyDescent="0.2">
      <c r="A197" s="2424"/>
      <c r="B197" s="3231"/>
      <c r="C197" s="368" t="s">
        <v>224</v>
      </c>
      <c r="D197" s="55">
        <f>IF('DATA INPUT'!I112&gt;25000,'DATA INPUT'!I112-D196,0)</f>
        <v>0</v>
      </c>
      <c r="E197" s="150">
        <f>SUM(D197:D197)</f>
        <v>0</v>
      </c>
      <c r="F197" s="9"/>
      <c r="G197" s="2705"/>
      <c r="H197" s="9"/>
      <c r="I197" s="391"/>
      <c r="J197" s="164">
        <f t="shared" si="15"/>
        <v>0</v>
      </c>
      <c r="K197" s="1"/>
    </row>
    <row r="198" spans="1:11" ht="13.9" customHeight="1" thickBot="1" x14ac:dyDescent="0.25">
      <c r="A198" s="2424"/>
      <c r="B198" s="3232"/>
      <c r="C198" s="372" t="s">
        <v>239</v>
      </c>
      <c r="D198" s="373">
        <f>SUM(D196:D197)</f>
        <v>0</v>
      </c>
      <c r="E198" s="374">
        <f>SUM(E196:E197)</f>
        <v>0</v>
      </c>
      <c r="F198" s="13">
        <f>SUM(D198:D198)</f>
        <v>0</v>
      </c>
      <c r="G198" s="2693"/>
      <c r="H198" s="9"/>
      <c r="I198" s="392">
        <f>SUM(I196:I197)</f>
        <v>0</v>
      </c>
      <c r="J198" s="393">
        <f t="shared" si="15"/>
        <v>0</v>
      </c>
      <c r="K198" s="1"/>
    </row>
    <row r="199" spans="1:11" ht="13.9" customHeight="1" x14ac:dyDescent="0.2">
      <c r="A199" s="2424"/>
      <c r="B199" s="3320">
        <f>'DATA INPUT'!B113</f>
        <v>0</v>
      </c>
      <c r="C199" s="359" t="s">
        <v>223</v>
      </c>
      <c r="D199" s="360">
        <f>IF('DATA INPUT'!I113&gt;0,IF('DATA INPUT'!I113&lt;=25000,'DATA INPUT'!I113,25000),0)</f>
        <v>0</v>
      </c>
      <c r="E199" s="180">
        <f>SUM(D199:D199)</f>
        <v>0</v>
      </c>
      <c r="F199" s="6"/>
      <c r="G199" s="2705"/>
      <c r="H199" s="6"/>
      <c r="I199" s="386"/>
      <c r="J199" s="166">
        <f t="shared" si="15"/>
        <v>0</v>
      </c>
      <c r="K199" s="1"/>
    </row>
    <row r="200" spans="1:11" ht="13.9" customHeight="1" x14ac:dyDescent="0.2">
      <c r="A200" s="2424"/>
      <c r="B200" s="3321"/>
      <c r="C200" s="367" t="s">
        <v>224</v>
      </c>
      <c r="D200" s="56">
        <f>IF('DATA INPUT'!I113&gt;25000,'DATA INPUT'!I113-D199,0)</f>
        <v>0</v>
      </c>
      <c r="E200" s="178">
        <f>SUM(D200:D200)</f>
        <v>0</v>
      </c>
      <c r="F200" s="9"/>
      <c r="G200" s="2705"/>
      <c r="H200" s="9"/>
      <c r="I200" s="387"/>
      <c r="J200" s="164">
        <f t="shared" si="15"/>
        <v>0</v>
      </c>
      <c r="K200" s="1"/>
    </row>
    <row r="201" spans="1:11" ht="13.9" customHeight="1" thickBot="1" x14ac:dyDescent="0.25">
      <c r="A201" s="2424"/>
      <c r="B201" s="3322"/>
      <c r="C201" s="369" t="s">
        <v>239</v>
      </c>
      <c r="D201" s="370">
        <f>SUM(D199:D200)</f>
        <v>0</v>
      </c>
      <c r="E201" s="371">
        <f>SUM(E199:E200)</f>
        <v>0</v>
      </c>
      <c r="F201" s="13">
        <f>SUM(D201:D201)</f>
        <v>0</v>
      </c>
      <c r="G201" s="2"/>
      <c r="H201" s="9"/>
      <c r="I201" s="388">
        <f>SUM(I199:I200)</f>
        <v>0</v>
      </c>
      <c r="J201" s="389">
        <f t="shared" si="15"/>
        <v>0</v>
      </c>
      <c r="K201" s="1"/>
    </row>
    <row r="202" spans="1:11" ht="13.9" customHeight="1" x14ac:dyDescent="0.2">
      <c r="A202" s="2424"/>
      <c r="B202" s="3230">
        <f>'DATA INPUT'!B114</f>
        <v>0</v>
      </c>
      <c r="C202" s="357" t="s">
        <v>223</v>
      </c>
      <c r="D202" s="358">
        <f>IF('DATA INPUT'!I114&gt;0,IF('DATA INPUT'!I114&lt;=25000,'DATA INPUT'!I114,25000),0)</f>
        <v>0</v>
      </c>
      <c r="E202" s="152">
        <f>SUM(D202:D202)</f>
        <v>0</v>
      </c>
      <c r="F202" s="6"/>
      <c r="G202" s="2705"/>
      <c r="H202" s="6"/>
      <c r="I202" s="390"/>
      <c r="J202" s="166">
        <f t="shared" si="15"/>
        <v>0</v>
      </c>
      <c r="K202" s="1"/>
    </row>
    <row r="203" spans="1:11" ht="13.9" customHeight="1" x14ac:dyDescent="0.2">
      <c r="A203" s="2424"/>
      <c r="B203" s="3231"/>
      <c r="C203" s="368" t="s">
        <v>224</v>
      </c>
      <c r="D203" s="55">
        <f>IF('DATA INPUT'!I114&gt;25000,'DATA INPUT'!I114-D202,0)</f>
        <v>0</v>
      </c>
      <c r="E203" s="150">
        <f>SUM(D203:D203)</f>
        <v>0</v>
      </c>
      <c r="F203" s="9"/>
      <c r="G203" s="2705"/>
      <c r="H203" s="9"/>
      <c r="I203" s="391"/>
      <c r="J203" s="164">
        <f t="shared" si="15"/>
        <v>0</v>
      </c>
      <c r="K203" s="1"/>
    </row>
    <row r="204" spans="1:11" ht="13.9" customHeight="1" thickBot="1" x14ac:dyDescent="0.25">
      <c r="A204" s="2424"/>
      <c r="B204" s="3232"/>
      <c r="C204" s="372" t="s">
        <v>239</v>
      </c>
      <c r="D204" s="373">
        <f>SUM(D202:D203)</f>
        <v>0</v>
      </c>
      <c r="E204" s="374">
        <f>SUM(E202:E203)</f>
        <v>0</v>
      </c>
      <c r="F204" s="13">
        <f>SUM(D204:D204)</f>
        <v>0</v>
      </c>
      <c r="G204" s="2693"/>
      <c r="H204" s="9"/>
      <c r="I204" s="392">
        <f>SUM(I202:I203)</f>
        <v>0</v>
      </c>
      <c r="J204" s="393">
        <f t="shared" si="15"/>
        <v>0</v>
      </c>
      <c r="K204" s="1"/>
    </row>
    <row r="205" spans="1:11" ht="13.9" customHeight="1" x14ac:dyDescent="0.2">
      <c r="A205" s="2424"/>
      <c r="B205" s="3320">
        <f>'DATA INPUT'!B115</f>
        <v>0</v>
      </c>
      <c r="C205" s="359" t="s">
        <v>223</v>
      </c>
      <c r="D205" s="360">
        <f>IF('DATA INPUT'!I115&gt;0,IF('DATA INPUT'!I115&lt;=25000,'DATA INPUT'!I115,25000),0)</f>
        <v>0</v>
      </c>
      <c r="E205" s="180">
        <f>SUM(D205:D205)</f>
        <v>0</v>
      </c>
      <c r="F205" s="6"/>
      <c r="G205" s="2705"/>
      <c r="H205" s="6"/>
      <c r="I205" s="386"/>
      <c r="J205" s="166">
        <f t="shared" si="15"/>
        <v>0</v>
      </c>
      <c r="K205" s="1"/>
    </row>
    <row r="206" spans="1:11" ht="13.9" customHeight="1" x14ac:dyDescent="0.2">
      <c r="A206" s="2424"/>
      <c r="B206" s="3321"/>
      <c r="C206" s="367" t="s">
        <v>224</v>
      </c>
      <c r="D206" s="56">
        <f>IF('DATA INPUT'!I115&gt;25000,'DATA INPUT'!I115-D205,0)</f>
        <v>0</v>
      </c>
      <c r="E206" s="178">
        <f>SUM(D206:D206)</f>
        <v>0</v>
      </c>
      <c r="F206" s="9"/>
      <c r="G206" s="2705"/>
      <c r="H206" s="9"/>
      <c r="I206" s="387"/>
      <c r="J206" s="164">
        <f t="shared" si="15"/>
        <v>0</v>
      </c>
      <c r="K206" s="1"/>
    </row>
    <row r="207" spans="1:11" ht="13.9" customHeight="1" thickBot="1" x14ac:dyDescent="0.25">
      <c r="A207" s="2424"/>
      <c r="B207" s="3322"/>
      <c r="C207" s="369" t="s">
        <v>239</v>
      </c>
      <c r="D207" s="370">
        <f>SUM(D205:D206)</f>
        <v>0</v>
      </c>
      <c r="E207" s="371">
        <f>SUM(E205:E206)</f>
        <v>0</v>
      </c>
      <c r="F207" s="13">
        <f>SUM(D207:D207)</f>
        <v>0</v>
      </c>
      <c r="G207" s="2"/>
      <c r="H207" s="9"/>
      <c r="I207" s="388">
        <f>SUM(I205:I206)</f>
        <v>0</v>
      </c>
      <c r="J207" s="389">
        <f t="shared" si="15"/>
        <v>0</v>
      </c>
      <c r="K207" s="1"/>
    </row>
    <row r="208" spans="1:11" ht="13.9" customHeight="1" x14ac:dyDescent="0.2">
      <c r="A208" s="2424"/>
      <c r="B208" s="3230">
        <f>'DATA INPUT'!B116</f>
        <v>0</v>
      </c>
      <c r="C208" s="357" t="s">
        <v>223</v>
      </c>
      <c r="D208" s="358">
        <f>IF('DATA INPUT'!I116&gt;0,IF('DATA INPUT'!I116&lt;=25000,'DATA INPUT'!I116,25000),0)</f>
        <v>0</v>
      </c>
      <c r="E208" s="152">
        <f>SUM(D208:D208)</f>
        <v>0</v>
      </c>
      <c r="F208" s="6"/>
      <c r="G208" s="2705"/>
      <c r="H208" s="6"/>
      <c r="I208" s="390"/>
      <c r="J208" s="166">
        <f t="shared" si="15"/>
        <v>0</v>
      </c>
      <c r="K208" s="1"/>
    </row>
    <row r="209" spans="1:11" ht="13.9" customHeight="1" x14ac:dyDescent="0.2">
      <c r="A209" s="2424"/>
      <c r="B209" s="3231"/>
      <c r="C209" s="368" t="s">
        <v>224</v>
      </c>
      <c r="D209" s="55">
        <f>IF('DATA INPUT'!I116&gt;25000,'DATA INPUT'!I116-D208,0)</f>
        <v>0</v>
      </c>
      <c r="E209" s="150">
        <f>SUM(D209:D209)</f>
        <v>0</v>
      </c>
      <c r="F209" s="9"/>
      <c r="G209" s="2705"/>
      <c r="H209" s="9"/>
      <c r="I209" s="391"/>
      <c r="J209" s="164">
        <f t="shared" si="15"/>
        <v>0</v>
      </c>
      <c r="K209" s="1"/>
    </row>
    <row r="210" spans="1:11" ht="13.9" customHeight="1" thickBot="1" x14ac:dyDescent="0.25">
      <c r="A210" s="2424"/>
      <c r="B210" s="3232"/>
      <c r="C210" s="372" t="s">
        <v>239</v>
      </c>
      <c r="D210" s="373">
        <f>SUM(D208:D209)</f>
        <v>0</v>
      </c>
      <c r="E210" s="374">
        <f>SUM(E208:E209)</f>
        <v>0</v>
      </c>
      <c r="F210" s="13">
        <f>SUM(D210:D210)</f>
        <v>0</v>
      </c>
      <c r="G210" s="2693"/>
      <c r="H210" s="9"/>
      <c r="I210" s="392">
        <f>SUM(I208:I209)</f>
        <v>0</v>
      </c>
      <c r="J210" s="393">
        <f t="shared" si="15"/>
        <v>0</v>
      </c>
      <c r="K210" s="1"/>
    </row>
    <row r="211" spans="1:11" ht="13.9" customHeight="1" x14ac:dyDescent="0.2">
      <c r="A211" s="2424"/>
      <c r="B211" s="3320">
        <f>'DATA INPUT'!B117</f>
        <v>0</v>
      </c>
      <c r="C211" s="359" t="s">
        <v>223</v>
      </c>
      <c r="D211" s="360">
        <f>IF('DATA INPUT'!I117&gt;0,IF('DATA INPUT'!I117&lt;=25000,'DATA INPUT'!I117,25000),0)</f>
        <v>0</v>
      </c>
      <c r="E211" s="180">
        <f>SUM(D211:D211)</f>
        <v>0</v>
      </c>
      <c r="F211" s="6"/>
      <c r="G211" s="2705"/>
      <c r="H211" s="6"/>
      <c r="I211" s="386"/>
      <c r="J211" s="166">
        <f t="shared" si="15"/>
        <v>0</v>
      </c>
      <c r="K211" s="1"/>
    </row>
    <row r="212" spans="1:11" ht="13.9" customHeight="1" x14ac:dyDescent="0.2">
      <c r="A212" s="2424"/>
      <c r="B212" s="3321"/>
      <c r="C212" s="367" t="s">
        <v>224</v>
      </c>
      <c r="D212" s="56">
        <f>IF('DATA INPUT'!I117&gt;25000,'DATA INPUT'!I117-D211,0)</f>
        <v>0</v>
      </c>
      <c r="E212" s="178">
        <f>SUM(D212:D212)</f>
        <v>0</v>
      </c>
      <c r="F212" s="9"/>
      <c r="G212" s="2705"/>
      <c r="H212" s="9"/>
      <c r="I212" s="387"/>
      <c r="J212" s="164">
        <f t="shared" si="15"/>
        <v>0</v>
      </c>
      <c r="K212" s="1"/>
    </row>
    <row r="213" spans="1:11" ht="13.9" customHeight="1" thickBot="1" x14ac:dyDescent="0.25">
      <c r="A213" s="2424"/>
      <c r="B213" s="3322"/>
      <c r="C213" s="369" t="s">
        <v>239</v>
      </c>
      <c r="D213" s="370">
        <f>SUM(D211:D212)</f>
        <v>0</v>
      </c>
      <c r="E213" s="371">
        <f>SUM(E211:E212)</f>
        <v>0</v>
      </c>
      <c r="F213" s="13">
        <f>SUM(D213:D213)</f>
        <v>0</v>
      </c>
      <c r="G213" s="2"/>
      <c r="H213" s="9"/>
      <c r="I213" s="388">
        <f>SUM(I211:I212)</f>
        <v>0</v>
      </c>
      <c r="J213" s="389">
        <f t="shared" si="15"/>
        <v>0</v>
      </c>
      <c r="K213" s="1"/>
    </row>
    <row r="214" spans="1:11" ht="13.9" customHeight="1" thickBot="1" x14ac:dyDescent="0.25">
      <c r="A214" s="2425"/>
      <c r="B214" s="375"/>
      <c r="C214" s="376" t="s">
        <v>55</v>
      </c>
      <c r="D214" s="377">
        <f>SUMIF($C$184:$C$213,"SUBTOTAL",D$184:D$213)</f>
        <v>0</v>
      </c>
      <c r="E214" s="377">
        <f>SUMIF($C$184:$C$213,"SUBTOTAL",E$184:E$213)</f>
        <v>0</v>
      </c>
      <c r="F214" s="13">
        <f>SUM(D214:D214)</f>
        <v>0</v>
      </c>
      <c r="G214" s="2705"/>
      <c r="H214" s="13"/>
      <c r="I214" s="377">
        <f>SUMIF($C$184:$C$213,"SUBTOTAL",I$184:I$213)</f>
        <v>0</v>
      </c>
      <c r="J214" s="377">
        <f>SUMIF($C$184:$C$213,"SUBTOTAL",J$184:J$213)</f>
        <v>0</v>
      </c>
      <c r="K214" s="1"/>
    </row>
    <row r="215" spans="1:11" ht="15" customHeight="1" x14ac:dyDescent="0.2">
      <c r="A215" s="2510" t="s">
        <v>35</v>
      </c>
      <c r="C215" s="484" t="str">
        <f>'DATA INPUT'!B97</f>
        <v>User/Service Fees</v>
      </c>
      <c r="D215" s="41">
        <f>'DATA INPUT'!I97-I215</f>
        <v>0</v>
      </c>
      <c r="E215" s="426">
        <f t="shared" ref="E215:E227" si="16">SUM(D215:D215)</f>
        <v>0</v>
      </c>
      <c r="F215" s="9"/>
      <c r="G215" s="2705"/>
      <c r="H215" s="2704" t="s">
        <v>886</v>
      </c>
      <c r="I215" s="5"/>
      <c r="J215" s="381">
        <f t="shared" ref="J215:J227" si="17">SUM(I215:I215)</f>
        <v>0</v>
      </c>
      <c r="K215" s="1"/>
    </row>
    <row r="216" spans="1:11" ht="15" customHeight="1" x14ac:dyDescent="0.2">
      <c r="A216" s="72"/>
      <c r="B216" s="54"/>
      <c r="C216" s="320" t="str">
        <f>'DATA INPUT'!B98</f>
        <v>Payment to Human Subjects</v>
      </c>
      <c r="D216" s="41">
        <f>'DATA INPUT'!I98-I216</f>
        <v>0</v>
      </c>
      <c r="E216" s="322">
        <f t="shared" si="16"/>
        <v>0</v>
      </c>
      <c r="F216" s="9"/>
      <c r="G216" s="2705"/>
      <c r="H216" s="2704" t="s">
        <v>886</v>
      </c>
      <c r="I216" s="5"/>
      <c r="J216" s="167">
        <f t="shared" si="17"/>
        <v>0</v>
      </c>
      <c r="K216" s="1"/>
    </row>
    <row r="217" spans="1:11" ht="15" customHeight="1" x14ac:dyDescent="0.2">
      <c r="A217" s="72"/>
      <c r="B217" s="54"/>
      <c r="C217" s="2509" t="str">
        <f>'DATA INPUT'!B99</f>
        <v>Rental Costs (no F&amp;A)</v>
      </c>
      <c r="D217" s="41">
        <f>'DATA INPUT'!I99-I217</f>
        <v>0</v>
      </c>
      <c r="E217" s="322">
        <f t="shared" si="16"/>
        <v>0</v>
      </c>
      <c r="F217" s="9"/>
      <c r="G217" s="2705"/>
      <c r="H217" s="2704" t="s">
        <v>886</v>
      </c>
      <c r="I217" s="5"/>
      <c r="J217" s="167">
        <f t="shared" si="17"/>
        <v>0</v>
      </c>
      <c r="K217" s="1"/>
    </row>
    <row r="218" spans="1:11" ht="15" customHeight="1" x14ac:dyDescent="0.2">
      <c r="A218" s="72"/>
      <c r="B218" s="54"/>
      <c r="C218" s="320" t="str">
        <f>'DATA INPUT'!B100</f>
        <v>Other - Specify</v>
      </c>
      <c r="D218" s="41">
        <f>'DATA INPUT'!I100-I218</f>
        <v>0</v>
      </c>
      <c r="E218" s="322">
        <f t="shared" si="16"/>
        <v>0</v>
      </c>
      <c r="F218" s="9"/>
      <c r="G218" s="2705"/>
      <c r="H218" s="2704" t="s">
        <v>886</v>
      </c>
      <c r="I218" s="5"/>
      <c r="J218" s="167">
        <f t="shared" si="17"/>
        <v>0</v>
      </c>
      <c r="K218" s="1"/>
    </row>
    <row r="219" spans="1:11" ht="15" customHeight="1" x14ac:dyDescent="0.2">
      <c r="A219" s="72"/>
      <c r="B219" s="54"/>
      <c r="C219" s="320" t="str">
        <f>'DATA INPUT'!B101</f>
        <v>Other - Specify</v>
      </c>
      <c r="D219" s="41">
        <f>'DATA INPUT'!I101-I219</f>
        <v>0</v>
      </c>
      <c r="E219" s="322">
        <f t="shared" si="16"/>
        <v>0</v>
      </c>
      <c r="F219" s="9"/>
      <c r="G219" s="2705"/>
      <c r="H219" s="2704" t="s">
        <v>886</v>
      </c>
      <c r="I219" s="5"/>
      <c r="J219" s="167">
        <f t="shared" si="17"/>
        <v>0</v>
      </c>
      <c r="K219" s="1"/>
    </row>
    <row r="220" spans="1:11" ht="15" customHeight="1" x14ac:dyDescent="0.2">
      <c r="A220" s="72"/>
      <c r="B220" s="54"/>
      <c r="C220" s="320" t="str">
        <f>'DATA INPUT'!B102</f>
        <v>Other - Specify</v>
      </c>
      <c r="D220" s="41">
        <f>'DATA INPUT'!I102-I220</f>
        <v>0</v>
      </c>
      <c r="E220" s="322">
        <f t="shared" si="16"/>
        <v>0</v>
      </c>
      <c r="F220" s="9"/>
      <c r="G220" s="2705"/>
      <c r="H220" s="2704" t="s">
        <v>886</v>
      </c>
      <c r="I220" s="5"/>
      <c r="J220" s="167">
        <f t="shared" si="17"/>
        <v>0</v>
      </c>
      <c r="K220" s="1"/>
    </row>
    <row r="221" spans="1:11" ht="15" customHeight="1" x14ac:dyDescent="0.2">
      <c r="A221" s="72"/>
      <c r="B221" s="54"/>
      <c r="C221" s="320" t="str">
        <f>'DATA INPUT'!B103</f>
        <v>Other - Specify</v>
      </c>
      <c r="D221" s="41">
        <f>'DATA INPUT'!I103-I221</f>
        <v>0</v>
      </c>
      <c r="E221" s="322">
        <f t="shared" si="16"/>
        <v>0</v>
      </c>
      <c r="F221" s="9"/>
      <c r="G221" s="2705"/>
      <c r="H221" s="2704" t="s">
        <v>886</v>
      </c>
      <c r="I221" s="5"/>
      <c r="J221" s="167">
        <f t="shared" si="17"/>
        <v>0</v>
      </c>
      <c r="K221" s="1"/>
    </row>
    <row r="222" spans="1:11" ht="15" customHeight="1" x14ac:dyDescent="0.2">
      <c r="A222" s="72"/>
      <c r="B222" s="54"/>
      <c r="C222" s="320" t="str">
        <f>'DATA INPUT'!B104</f>
        <v>Other - Specify</v>
      </c>
      <c r="D222" s="41">
        <f>'DATA INPUT'!I104-I222</f>
        <v>0</v>
      </c>
      <c r="E222" s="322">
        <f t="shared" si="16"/>
        <v>0</v>
      </c>
      <c r="F222" s="9"/>
      <c r="G222" s="2705"/>
      <c r="H222" s="2704" t="s">
        <v>886</v>
      </c>
      <c r="I222" s="5"/>
      <c r="J222" s="167">
        <f t="shared" si="17"/>
        <v>0</v>
      </c>
      <c r="K222" s="1"/>
    </row>
    <row r="223" spans="1:11" ht="15" customHeight="1" x14ac:dyDescent="0.2">
      <c r="A223" s="72"/>
      <c r="B223" s="54"/>
      <c r="C223" s="320" t="str">
        <f>'DATA INPUT'!B105</f>
        <v>Other - Specify</v>
      </c>
      <c r="D223" s="41">
        <f>'DATA INPUT'!I105-I223</f>
        <v>0</v>
      </c>
      <c r="E223" s="322">
        <f t="shared" si="16"/>
        <v>0</v>
      </c>
      <c r="F223" s="9"/>
      <c r="G223" s="2705"/>
      <c r="H223" s="2704" t="s">
        <v>886</v>
      </c>
      <c r="I223" s="5"/>
      <c r="J223" s="167">
        <f t="shared" si="17"/>
        <v>0</v>
      </c>
      <c r="K223" s="1"/>
    </row>
    <row r="224" spans="1:11" ht="15" customHeight="1" thickBot="1" x14ac:dyDescent="0.25">
      <c r="A224" s="72"/>
      <c r="B224" s="54"/>
      <c r="C224" s="320" t="s">
        <v>566</v>
      </c>
      <c r="D224" s="321">
        <f ca="1">'Calc - TRAVEL'!AR20*(1-$G$168)</f>
        <v>0</v>
      </c>
      <c r="E224" s="322">
        <f t="shared" ca="1" si="16"/>
        <v>0</v>
      </c>
      <c r="F224" s="9"/>
      <c r="G224" s="2705"/>
      <c r="H224" s="9"/>
      <c r="I224" s="321">
        <f ca="1">'Calc - TRAVEL'!AX20*($G$168)</f>
        <v>0</v>
      </c>
      <c r="J224" s="167">
        <f t="shared" ca="1" si="17"/>
        <v>0</v>
      </c>
      <c r="K224" s="1"/>
    </row>
    <row r="225" spans="1:11" ht="15" customHeight="1" x14ac:dyDescent="0.2">
      <c r="A225" s="72"/>
      <c r="B225" s="3296" t="str">
        <f>'Calc - GRAD ASST'!A6</f>
        <v>GA #01 / Sponsor Funds</v>
      </c>
      <c r="C225" s="483" t="s">
        <v>57</v>
      </c>
      <c r="D225" s="86">
        <f ca="1">'Calc - GRAD ASST'!$J$20*(1-$G$47)</f>
        <v>0</v>
      </c>
      <c r="E225" s="87">
        <f t="shared" ca="1" si="16"/>
        <v>0</v>
      </c>
      <c r="F225" s="9"/>
      <c r="H225" s="9"/>
      <c r="I225" s="86">
        <f ca="1">'Calc - GRAD ASST'!$J$20*($G$47)</f>
        <v>0</v>
      </c>
      <c r="J225" s="167">
        <f t="shared" ca="1" si="17"/>
        <v>0</v>
      </c>
      <c r="K225" s="1"/>
    </row>
    <row r="226" spans="1:11" ht="15" customHeight="1" x14ac:dyDescent="0.2">
      <c r="A226" s="72"/>
      <c r="B226" s="3297"/>
      <c r="C226" s="78" t="s">
        <v>96</v>
      </c>
      <c r="D226" s="29">
        <f ca="1">'Calc - GRAD ASST'!$E$20*(1-$G$47)</f>
        <v>0</v>
      </c>
      <c r="E226" s="88">
        <f t="shared" ca="1" si="16"/>
        <v>0</v>
      </c>
      <c r="G226" s="2705"/>
      <c r="I226" s="29">
        <f ca="1">'Calc - GRAD ASST'!$E$20*($G$47)</f>
        <v>0</v>
      </c>
      <c r="J226" s="167">
        <f t="shared" ca="1" si="17"/>
        <v>0</v>
      </c>
      <c r="K226" s="1"/>
    </row>
    <row r="227" spans="1:11" ht="15" customHeight="1" thickBot="1" x14ac:dyDescent="0.25">
      <c r="A227" s="72"/>
      <c r="B227" s="1839" t="str">
        <f>'Calc - GRAD ASST'!C7</f>
        <v>EECS</v>
      </c>
      <c r="C227" s="420" t="s">
        <v>130</v>
      </c>
      <c r="D227" s="42">
        <f ca="1">'Calc - GRAD ASST'!$M$20*(1-$G$47)</f>
        <v>0</v>
      </c>
      <c r="E227" s="90">
        <f t="shared" ca="1" si="16"/>
        <v>0</v>
      </c>
      <c r="F227" s="9"/>
      <c r="G227" s="2705"/>
      <c r="H227" s="9"/>
      <c r="I227" s="42">
        <f ca="1">'Calc - GRAD ASST'!$M$20*($G$47)</f>
        <v>0</v>
      </c>
      <c r="J227" s="167">
        <f t="shared" ca="1" si="17"/>
        <v>0</v>
      </c>
      <c r="K227" s="1"/>
    </row>
    <row r="228" spans="1:11" ht="15" customHeight="1" thickBot="1" x14ac:dyDescent="0.25">
      <c r="A228" s="72"/>
      <c r="B228" s="1840"/>
      <c r="C228" s="1677" t="s">
        <v>267</v>
      </c>
      <c r="D228" s="1678">
        <f ca="1">SUM(D225:D227)</f>
        <v>0</v>
      </c>
      <c r="E228" s="1679">
        <f ca="1">SUM(E225:E227)</f>
        <v>0</v>
      </c>
      <c r="F228" s="13">
        <f ca="1">SUM(D228:D228)</f>
        <v>0</v>
      </c>
      <c r="G228" s="2705"/>
      <c r="H228" s="9"/>
      <c r="I228" s="1678">
        <f ca="1">SUM(I225:I227)</f>
        <v>0</v>
      </c>
      <c r="J228" s="1628">
        <f ca="1">SUM(J225:J227)</f>
        <v>0</v>
      </c>
      <c r="K228" s="2314"/>
    </row>
    <row r="229" spans="1:11" ht="13.15" customHeight="1" x14ac:dyDescent="0.2">
      <c r="A229" s="72"/>
      <c r="B229" s="3290" t="str">
        <f>'Calc - GRAD ASST'!A35</f>
        <v>GA #02 / Sponsor Funds</v>
      </c>
      <c r="C229" s="483" t="s">
        <v>57</v>
      </c>
      <c r="D229" s="86">
        <f ca="1">'Calc - GRAD ASST'!$J$49*(1-$G$47)</f>
        <v>0</v>
      </c>
      <c r="E229" s="87">
        <f ca="1">SUM(D229:D229)</f>
        <v>0</v>
      </c>
      <c r="F229" s="9"/>
      <c r="H229" s="9"/>
      <c r="I229" s="86">
        <f ca="1">'Calc - GRAD ASST'!$J$49*($G$47)</f>
        <v>0</v>
      </c>
      <c r="J229" s="167">
        <f ca="1">SUM(I229:I229)</f>
        <v>0</v>
      </c>
      <c r="K229" s="1"/>
    </row>
    <row r="230" spans="1:11" ht="13.15" customHeight="1" x14ac:dyDescent="0.2">
      <c r="A230" s="72"/>
      <c r="B230" s="3291"/>
      <c r="C230" s="78" t="s">
        <v>96</v>
      </c>
      <c r="D230" s="29">
        <f ca="1">'Calc - GRAD ASST'!$E$49*(1-$G$47)</f>
        <v>0</v>
      </c>
      <c r="E230" s="88">
        <f ca="1">SUM(D230:D230)</f>
        <v>0</v>
      </c>
      <c r="G230" s="2705"/>
      <c r="I230" s="29">
        <f ca="1">'Calc - GRAD ASST'!$E$49*($G$47)</f>
        <v>0</v>
      </c>
      <c r="J230" s="167">
        <f ca="1">SUM(I230:I230)</f>
        <v>0</v>
      </c>
      <c r="K230" s="1"/>
    </row>
    <row r="231" spans="1:11" ht="13.9" customHeight="1" thickBot="1" x14ac:dyDescent="0.25">
      <c r="A231" s="72"/>
      <c r="B231" s="1841">
        <f>'Calc - GRAD ASST'!C36</f>
        <v>0</v>
      </c>
      <c r="C231" s="420" t="s">
        <v>130</v>
      </c>
      <c r="D231" s="42">
        <f ca="1">'Calc - GRAD ASST'!$M$49*(1-$G$47)</f>
        <v>0</v>
      </c>
      <c r="E231" s="90">
        <f ca="1">SUM(D231:D231)</f>
        <v>0</v>
      </c>
      <c r="F231" s="9"/>
      <c r="G231" s="2705"/>
      <c r="H231" s="9"/>
      <c r="I231" s="42">
        <f ca="1">'Calc - GRAD ASST'!$M$49*($G$47)</f>
        <v>0</v>
      </c>
      <c r="J231" s="167">
        <f ca="1">SUM(I231:I231)</f>
        <v>0</v>
      </c>
      <c r="K231" s="1"/>
    </row>
    <row r="232" spans="1:11" ht="13.9" customHeight="1" thickBot="1" x14ac:dyDescent="0.25">
      <c r="A232" s="72"/>
      <c r="B232" s="1842"/>
      <c r="C232" s="1625" t="s">
        <v>268</v>
      </c>
      <c r="D232" s="1626">
        <f ca="1">SUM(D229:D231)</f>
        <v>0</v>
      </c>
      <c r="E232" s="1680">
        <f ca="1">SUM(E229:E231)</f>
        <v>0</v>
      </c>
      <c r="F232" s="13">
        <f ca="1">SUM(D232:D232)</f>
        <v>0</v>
      </c>
      <c r="G232" s="2705"/>
      <c r="H232" s="9"/>
      <c r="I232" s="1626">
        <f ca="1">SUM(I229:I231)</f>
        <v>0</v>
      </c>
      <c r="J232" s="1628">
        <f ca="1">SUM(J229:J231)</f>
        <v>0</v>
      </c>
      <c r="K232" s="1"/>
    </row>
    <row r="233" spans="1:11" ht="13.15" customHeight="1" x14ac:dyDescent="0.2">
      <c r="A233" s="72"/>
      <c r="B233" s="3294" t="str">
        <f>'Calc - GRAD ASST'!A64</f>
        <v>GA #03 / Sponsor Funds</v>
      </c>
      <c r="C233" s="483" t="s">
        <v>57</v>
      </c>
      <c r="D233" s="86">
        <f ca="1">'Calc - GRAD ASST'!$J78*(1-$G$47)</f>
        <v>0</v>
      </c>
      <c r="E233" s="87">
        <f ca="1">SUM(D233:D233)</f>
        <v>0</v>
      </c>
      <c r="F233" s="9"/>
      <c r="H233" s="9"/>
      <c r="I233" s="86">
        <f ca="1">'Calc - GRAD ASST'!$J78*($G$47)</f>
        <v>0</v>
      </c>
      <c r="J233" s="167">
        <f ca="1">SUM(I233:I233)</f>
        <v>0</v>
      </c>
      <c r="K233" s="1"/>
    </row>
    <row r="234" spans="1:11" ht="13.15" customHeight="1" x14ac:dyDescent="0.2">
      <c r="A234" s="72"/>
      <c r="B234" s="3295"/>
      <c r="C234" s="78" t="s">
        <v>96</v>
      </c>
      <c r="D234" s="29">
        <f ca="1">'Calc - GRAD ASST'!$E$78*(1-$G$47)</f>
        <v>0</v>
      </c>
      <c r="E234" s="88">
        <f ca="1">SUM(D234:D234)</f>
        <v>0</v>
      </c>
      <c r="G234" s="2705"/>
      <c r="I234" s="29">
        <f ca="1">'Calc - GRAD ASST'!$E$78*($G$47)</f>
        <v>0</v>
      </c>
      <c r="J234" s="167">
        <f ca="1">SUM(I234:I234)</f>
        <v>0</v>
      </c>
      <c r="K234" s="1"/>
    </row>
    <row r="235" spans="1:11" ht="13.9" customHeight="1" thickBot="1" x14ac:dyDescent="0.25">
      <c r="A235" s="72"/>
      <c r="B235" s="1843">
        <f>'Calc - GRAD ASST'!C65</f>
        <v>0</v>
      </c>
      <c r="C235" s="420" t="s">
        <v>130</v>
      </c>
      <c r="D235" s="42">
        <f ca="1">'Calc - GRAD ASST'!$M$78*(1-$G$47)</f>
        <v>0</v>
      </c>
      <c r="E235" s="90">
        <f ca="1">SUM(D235:D235)</f>
        <v>0</v>
      </c>
      <c r="F235" s="9"/>
      <c r="G235" s="2705"/>
      <c r="H235" s="9"/>
      <c r="I235" s="42">
        <f ca="1">'Calc - GRAD ASST'!$M$78*($G$47)</f>
        <v>0</v>
      </c>
      <c r="J235" s="167">
        <f ca="1">SUM(I235:I235)</f>
        <v>0</v>
      </c>
      <c r="K235" s="1"/>
    </row>
    <row r="236" spans="1:11" ht="13.9" customHeight="1" thickBot="1" x14ac:dyDescent="0.25">
      <c r="A236" s="72"/>
      <c r="B236" s="1844"/>
      <c r="C236" s="1681" t="s">
        <v>269</v>
      </c>
      <c r="D236" s="1342">
        <f ca="1">SUM(D233:D235)</f>
        <v>0</v>
      </c>
      <c r="E236" s="1343">
        <f ca="1">SUM(E233:E235)</f>
        <v>0</v>
      </c>
      <c r="F236" s="13">
        <f ca="1">SUM(D236:D236)</f>
        <v>0</v>
      </c>
      <c r="G236" s="2705"/>
      <c r="H236" s="9"/>
      <c r="I236" s="1342">
        <f ca="1">SUM(I233:I235)</f>
        <v>0</v>
      </c>
      <c r="J236" s="1628">
        <f ca="1">SUM(J233:J235)</f>
        <v>0</v>
      </c>
      <c r="K236" s="1"/>
    </row>
    <row r="237" spans="1:11" ht="13.15" customHeight="1" x14ac:dyDescent="0.2">
      <c r="A237" s="72"/>
      <c r="B237" s="3292" t="str">
        <f>'Calc - GRAD ASST'!A93</f>
        <v>GA #04 / Sponsor Funds</v>
      </c>
      <c r="C237" s="483" t="s">
        <v>57</v>
      </c>
      <c r="D237" s="86">
        <f ca="1">'Calc - GRAD ASST'!$J107*(1-$G$47)</f>
        <v>0</v>
      </c>
      <c r="E237" s="87">
        <f ca="1">SUM(D237:D237)</f>
        <v>0</v>
      </c>
      <c r="F237" s="9"/>
      <c r="H237" s="9"/>
      <c r="I237" s="86">
        <f ca="1">'Calc - GRAD ASST'!$J107*($G$47)</f>
        <v>0</v>
      </c>
      <c r="J237" s="167">
        <f ca="1">SUM(I237:I237)</f>
        <v>0</v>
      </c>
      <c r="K237" s="1"/>
    </row>
    <row r="238" spans="1:11" ht="13.15" customHeight="1" x14ac:dyDescent="0.2">
      <c r="A238" s="72"/>
      <c r="B238" s="3293"/>
      <c r="C238" s="78" t="s">
        <v>96</v>
      </c>
      <c r="D238" s="29">
        <f ca="1">'Calc - GRAD ASST'!$E$107*(1-$G$47)</f>
        <v>0</v>
      </c>
      <c r="E238" s="88">
        <f ca="1">SUM(D238:D238)</f>
        <v>0</v>
      </c>
      <c r="G238" s="2705"/>
      <c r="I238" s="29">
        <f ca="1">'Calc - GRAD ASST'!$E$107*($G$47)</f>
        <v>0</v>
      </c>
      <c r="J238" s="167">
        <f ca="1">SUM(I238:I238)</f>
        <v>0</v>
      </c>
      <c r="K238" s="1"/>
    </row>
    <row r="239" spans="1:11" ht="13.9" customHeight="1" thickBot="1" x14ac:dyDescent="0.25">
      <c r="A239" s="72"/>
      <c r="B239" s="1845">
        <f>'Calc - GRAD ASST'!C94</f>
        <v>0</v>
      </c>
      <c r="C239" s="420" t="s">
        <v>130</v>
      </c>
      <c r="D239" s="42">
        <f ca="1">'Calc - GRAD ASST'!$M$107*(1-$G$47)</f>
        <v>0</v>
      </c>
      <c r="E239" s="90">
        <f ca="1">SUM(D239:D239)</f>
        <v>0</v>
      </c>
      <c r="F239" s="9"/>
      <c r="G239" s="2705"/>
      <c r="H239" s="9"/>
      <c r="I239" s="42">
        <f ca="1">'Calc - GRAD ASST'!$M$107*($G$47)</f>
        <v>0</v>
      </c>
      <c r="J239" s="167">
        <f ca="1">SUM(I239:I239)</f>
        <v>0</v>
      </c>
      <c r="K239" s="1"/>
    </row>
    <row r="240" spans="1:11" ht="13.9" customHeight="1" thickBot="1" x14ac:dyDescent="0.25">
      <c r="A240" s="72"/>
      <c r="B240" s="1846"/>
      <c r="C240" s="1682" t="s">
        <v>270</v>
      </c>
      <c r="D240" s="1337">
        <f ca="1">SUM(D237:D239)</f>
        <v>0</v>
      </c>
      <c r="E240" s="1338">
        <f ca="1">SUM(E237:E239)</f>
        <v>0</v>
      </c>
      <c r="F240" s="13">
        <f ca="1">SUM(D240:D240)</f>
        <v>0</v>
      </c>
      <c r="G240" s="2705"/>
      <c r="H240" s="9"/>
      <c r="I240" s="1337">
        <f ca="1">SUM(I237:I239)</f>
        <v>0</v>
      </c>
      <c r="J240" s="1628">
        <f ca="1">SUM(J237:J239)</f>
        <v>0</v>
      </c>
      <c r="K240" s="1"/>
    </row>
    <row r="241" spans="1:11" ht="13.15" customHeight="1" x14ac:dyDescent="0.2">
      <c r="A241" s="72"/>
      <c r="B241" s="3288" t="str">
        <f>'Calc - GRAD ASST'!A122</f>
        <v>GA #05 / Sponsor Funds</v>
      </c>
      <c r="C241" s="483" t="s">
        <v>57</v>
      </c>
      <c r="D241" s="86">
        <f ca="1">'Calc - GRAD ASST'!$J136*(1-$G$47)</f>
        <v>0</v>
      </c>
      <c r="E241" s="87">
        <f ca="1">SUM(D241:D241)</f>
        <v>0</v>
      </c>
      <c r="F241" s="9"/>
      <c r="H241" s="9"/>
      <c r="I241" s="86">
        <f ca="1">'Calc - GRAD ASST'!$J136*($G$47)</f>
        <v>0</v>
      </c>
      <c r="J241" s="167">
        <f ca="1">SUM(I241:I241)</f>
        <v>0</v>
      </c>
      <c r="K241" s="1"/>
    </row>
    <row r="242" spans="1:11" ht="13.15" customHeight="1" x14ac:dyDescent="0.2">
      <c r="A242" s="72"/>
      <c r="B242" s="3289"/>
      <c r="C242" s="78" t="s">
        <v>96</v>
      </c>
      <c r="D242" s="29">
        <f ca="1">'Calc - GRAD ASST'!$E$136*(1-$G$47)</f>
        <v>0</v>
      </c>
      <c r="E242" s="88">
        <f ca="1">SUM(D242:D242)</f>
        <v>0</v>
      </c>
      <c r="G242" s="2705"/>
      <c r="H242" s="9"/>
      <c r="I242" s="29">
        <f ca="1">'Calc - GRAD ASST'!$E$136*($G$47)</f>
        <v>0</v>
      </c>
      <c r="J242" s="167">
        <f ca="1">SUM(I242:I242)</f>
        <v>0</v>
      </c>
      <c r="K242" s="1"/>
    </row>
    <row r="243" spans="1:11" ht="13.9" customHeight="1" thickBot="1" x14ac:dyDescent="0.25">
      <c r="A243" s="72"/>
      <c r="B243" s="1847">
        <f>'Calc - GRAD ASST'!C123</f>
        <v>0</v>
      </c>
      <c r="C243" s="420" t="s">
        <v>130</v>
      </c>
      <c r="D243" s="42">
        <f ca="1">'Calc - GRAD ASST'!$M$136*(1-$G$47)</f>
        <v>0</v>
      </c>
      <c r="E243" s="90">
        <f ca="1">SUM(D243:D243)</f>
        <v>0</v>
      </c>
      <c r="F243" s="9"/>
      <c r="G243" s="2705"/>
      <c r="H243" s="9"/>
      <c r="I243" s="42">
        <f ca="1">'Calc - GRAD ASST'!$M$136*($G$47)</f>
        <v>0</v>
      </c>
      <c r="J243" s="167">
        <f ca="1">SUM(I243:I243)</f>
        <v>0</v>
      </c>
      <c r="K243" s="1"/>
    </row>
    <row r="244" spans="1:11" ht="13.9" customHeight="1" thickBot="1" x14ac:dyDescent="0.25">
      <c r="A244" s="480"/>
      <c r="B244" s="1848"/>
      <c r="C244" s="487" t="s">
        <v>271</v>
      </c>
      <c r="D244" s="488">
        <f ca="1">SUM(D241:D243)</f>
        <v>0</v>
      </c>
      <c r="E244" s="489">
        <f ca="1">SUM(E241:E243)</f>
        <v>0</v>
      </c>
      <c r="F244" s="13">
        <f ca="1">SUM(D244:D244)</f>
        <v>0</v>
      </c>
      <c r="G244" s="2693"/>
      <c r="H244" s="9"/>
      <c r="I244" s="488">
        <f ca="1">SUM(I241:I243)</f>
        <v>0</v>
      </c>
      <c r="J244" s="1628">
        <f ca="1">SUM(J241:J243)</f>
        <v>0</v>
      </c>
      <c r="K244" s="1"/>
    </row>
    <row r="245" spans="1:11" ht="13.15" customHeight="1" x14ac:dyDescent="0.2">
      <c r="A245" s="480"/>
      <c r="B245" s="3302" t="str">
        <f>'Calc - GRAD ASST'!A151</f>
        <v>GA #06 / Sponsor Funds</v>
      </c>
      <c r="C245" s="483" t="s">
        <v>57</v>
      </c>
      <c r="D245" s="86">
        <f ca="1">'Calc - GRAD ASST'!$J165*(1-$G$47)</f>
        <v>0</v>
      </c>
      <c r="E245" s="87">
        <f ca="1">SUM(D245:D245)</f>
        <v>0</v>
      </c>
      <c r="F245" s="9"/>
      <c r="H245" s="9"/>
      <c r="I245" s="86">
        <f ca="1">'Calc - GRAD ASST'!$J165*($G$47)</f>
        <v>0</v>
      </c>
      <c r="J245" s="167">
        <f ca="1">SUM(I245:I245)</f>
        <v>0</v>
      </c>
      <c r="K245" s="1"/>
    </row>
    <row r="246" spans="1:11" ht="13.15" customHeight="1" x14ac:dyDescent="0.2">
      <c r="A246" s="480"/>
      <c r="B246" s="3303"/>
      <c r="C246" s="78" t="s">
        <v>96</v>
      </c>
      <c r="D246" s="29">
        <f ca="1">'Calc - GRAD ASST'!$E$165*(1-$G$47)</f>
        <v>0</v>
      </c>
      <c r="E246" s="88">
        <f ca="1">SUM(D246:D246)</f>
        <v>0</v>
      </c>
      <c r="G246" s="2705"/>
      <c r="H246" s="9"/>
      <c r="I246" s="29">
        <f ca="1">'Calc - GRAD ASST'!$E$165*($G$47)</f>
        <v>0</v>
      </c>
      <c r="J246" s="167">
        <f ca="1">SUM(I246:I246)</f>
        <v>0</v>
      </c>
      <c r="K246" s="1"/>
    </row>
    <row r="247" spans="1:11" ht="13.9" customHeight="1" thickBot="1" x14ac:dyDescent="0.25">
      <c r="A247" s="480"/>
      <c r="B247" s="1849">
        <f>'Calc - GRAD ASST'!C152</f>
        <v>0</v>
      </c>
      <c r="C247" s="420" t="s">
        <v>130</v>
      </c>
      <c r="D247" s="42">
        <f ca="1">'Calc - GRAD ASST'!$M$165*(1-$G$47)</f>
        <v>0</v>
      </c>
      <c r="E247" s="90">
        <f ca="1">SUM(D247:D247)</f>
        <v>0</v>
      </c>
      <c r="F247" s="9"/>
      <c r="G247" s="2705"/>
      <c r="H247" s="9"/>
      <c r="I247" s="42">
        <f ca="1">'Calc - GRAD ASST'!$M$165*($G$47)</f>
        <v>0</v>
      </c>
      <c r="J247" s="167">
        <f ca="1">SUM(I247:I247)</f>
        <v>0</v>
      </c>
      <c r="K247" s="1"/>
    </row>
    <row r="248" spans="1:11" ht="13.9" customHeight="1" thickBot="1" x14ac:dyDescent="0.25">
      <c r="A248" s="480"/>
      <c r="B248" s="1850"/>
      <c r="C248" s="1610" t="s">
        <v>499</v>
      </c>
      <c r="D248" s="377">
        <f ca="1">SUM(D245:D247)</f>
        <v>0</v>
      </c>
      <c r="E248" s="394">
        <f ca="1">SUM(E245:E247)</f>
        <v>0</v>
      </c>
      <c r="F248" s="13">
        <f ca="1">SUM(D248:D248)</f>
        <v>0</v>
      </c>
      <c r="G248" s="2693"/>
      <c r="H248" s="9"/>
      <c r="I248" s="377">
        <f ca="1">SUM(I245:I247)</f>
        <v>0</v>
      </c>
      <c r="J248" s="1628">
        <f ca="1">SUM(J245:J247)</f>
        <v>0</v>
      </c>
      <c r="K248" s="1"/>
    </row>
    <row r="249" spans="1:11" ht="13.15" customHeight="1" x14ac:dyDescent="0.2">
      <c r="A249" s="480"/>
      <c r="B249" s="3304" t="str">
        <f>'Calc - GRAD ASST'!A180</f>
        <v>GA #07 / Sponsor Funds</v>
      </c>
      <c r="C249" s="483" t="s">
        <v>57</v>
      </c>
      <c r="D249" s="86">
        <f ca="1">'Calc - GRAD ASST'!$J$194*(1-$G$47)</f>
        <v>0</v>
      </c>
      <c r="E249" s="87">
        <f ca="1">SUM(D249:D249)</f>
        <v>0</v>
      </c>
      <c r="F249" s="9"/>
      <c r="H249" s="9"/>
      <c r="I249" s="86">
        <f ca="1">'Calc - GRAD ASST'!$J$194*($G$47)</f>
        <v>0</v>
      </c>
      <c r="J249" s="167">
        <f ca="1">SUM(I249:I249)</f>
        <v>0</v>
      </c>
      <c r="K249" s="1"/>
    </row>
    <row r="250" spans="1:11" ht="13.15" customHeight="1" x14ac:dyDescent="0.2">
      <c r="A250" s="480"/>
      <c r="B250" s="3305"/>
      <c r="C250" s="78" t="s">
        <v>96</v>
      </c>
      <c r="D250" s="29">
        <f ca="1">'Calc - GRAD ASST'!$E$194*(1-$G$47)</f>
        <v>0</v>
      </c>
      <c r="E250" s="88">
        <f ca="1">SUM(D250:D250)</f>
        <v>0</v>
      </c>
      <c r="G250" s="2705"/>
      <c r="H250" s="9"/>
      <c r="I250" s="29">
        <f ca="1">'Calc - GRAD ASST'!$E$194*($G$47)</f>
        <v>0</v>
      </c>
      <c r="J250" s="167">
        <f ca="1">SUM(I250:I250)</f>
        <v>0</v>
      </c>
      <c r="K250" s="1"/>
    </row>
    <row r="251" spans="1:11" ht="13.9" customHeight="1" thickBot="1" x14ac:dyDescent="0.25">
      <c r="A251" s="480"/>
      <c r="B251" s="1851">
        <f>'Calc - GRAD ASST'!C181</f>
        <v>0</v>
      </c>
      <c r="C251" s="420" t="s">
        <v>130</v>
      </c>
      <c r="D251" s="42">
        <f ca="1">'Calc - GRAD ASST'!$M$194*(1-$G$47)</f>
        <v>0</v>
      </c>
      <c r="E251" s="90">
        <f ca="1">SUM(D251:D251)</f>
        <v>0</v>
      </c>
      <c r="F251" s="9"/>
      <c r="G251" s="2705"/>
      <c r="H251" s="9"/>
      <c r="I251" s="42">
        <f ca="1">'Calc - GRAD ASST'!$M$194*($G$47)</f>
        <v>0</v>
      </c>
      <c r="J251" s="167">
        <f ca="1">SUM(I251:I251)</f>
        <v>0</v>
      </c>
      <c r="K251" s="1"/>
    </row>
    <row r="252" spans="1:11" ht="13.9" customHeight="1" thickBot="1" x14ac:dyDescent="0.25">
      <c r="A252" s="480"/>
      <c r="B252" s="1852"/>
      <c r="C252" s="328" t="s">
        <v>500</v>
      </c>
      <c r="D252" s="1037">
        <f ca="1">SUM(D249:D251)</f>
        <v>0</v>
      </c>
      <c r="E252" s="1609">
        <f ca="1">SUM(E249:E251)</f>
        <v>0</v>
      </c>
      <c r="F252" s="13">
        <f ca="1">SUM(D252:D252)</f>
        <v>0</v>
      </c>
      <c r="G252" s="2693"/>
      <c r="H252" s="9"/>
      <c r="I252" s="1037">
        <f ca="1">SUM(I249:I251)</f>
        <v>0</v>
      </c>
      <c r="J252" s="1628">
        <f ca="1">SUM(J249:J251)</f>
        <v>0</v>
      </c>
      <c r="K252" s="1"/>
    </row>
    <row r="253" spans="1:11" ht="13.15" customHeight="1" x14ac:dyDescent="0.2">
      <c r="A253" s="480"/>
      <c r="B253" s="3306" t="str">
        <f>'Calc - GRAD ASST'!A209</f>
        <v>GA #08 / Sponsor Funds</v>
      </c>
      <c r="C253" s="483" t="s">
        <v>57</v>
      </c>
      <c r="D253" s="86">
        <f ca="1">'Calc - GRAD ASST'!$J$223*(1-$G$47)</f>
        <v>0</v>
      </c>
      <c r="E253" s="87">
        <f ca="1">SUM(D253:D253)</f>
        <v>0</v>
      </c>
      <c r="F253" s="9"/>
      <c r="H253" s="9"/>
      <c r="I253" s="86">
        <f ca="1">'Calc - GRAD ASST'!$J$223*($G$47)</f>
        <v>0</v>
      </c>
      <c r="J253" s="167">
        <f ca="1">SUM(I253:I253)</f>
        <v>0</v>
      </c>
      <c r="K253" s="1"/>
    </row>
    <row r="254" spans="1:11" ht="13.15" customHeight="1" x14ac:dyDescent="0.2">
      <c r="A254" s="480"/>
      <c r="B254" s="3307"/>
      <c r="C254" s="78" t="s">
        <v>96</v>
      </c>
      <c r="D254" s="29">
        <f ca="1">'Calc - GRAD ASST'!$E$223*(1-$G$47)</f>
        <v>0</v>
      </c>
      <c r="E254" s="88">
        <f ca="1">SUM(D254:D254)</f>
        <v>0</v>
      </c>
      <c r="G254" s="2705"/>
      <c r="H254" s="9"/>
      <c r="I254" s="29">
        <f ca="1">'Calc - GRAD ASST'!$E$223*($G$47)</f>
        <v>0</v>
      </c>
      <c r="J254" s="167">
        <f ca="1">SUM(I254:I254)</f>
        <v>0</v>
      </c>
      <c r="K254" s="1"/>
    </row>
    <row r="255" spans="1:11" ht="13.9" customHeight="1" thickBot="1" x14ac:dyDescent="0.25">
      <c r="A255" s="480"/>
      <c r="B255" s="1853">
        <f>'Calc - GRAD ASST'!C210</f>
        <v>0</v>
      </c>
      <c r="C255" s="420" t="s">
        <v>130</v>
      </c>
      <c r="D255" s="42">
        <f ca="1">'Calc - GRAD ASST'!$M$223*(1-$G$47)</f>
        <v>0</v>
      </c>
      <c r="E255" s="90">
        <f ca="1">SUM(D255:D255)</f>
        <v>0</v>
      </c>
      <c r="F255" s="9"/>
      <c r="G255" s="2705"/>
      <c r="H255" s="9"/>
      <c r="I255" s="42">
        <f ca="1">'Calc - GRAD ASST'!$M$223*($G$47)</f>
        <v>0</v>
      </c>
      <c r="J255" s="167">
        <f ca="1">SUM(I255:I255)</f>
        <v>0</v>
      </c>
      <c r="K255" s="1"/>
    </row>
    <row r="256" spans="1:11" ht="13.9" customHeight="1" thickBot="1" x14ac:dyDescent="0.25">
      <c r="A256" s="480"/>
      <c r="B256" s="1854"/>
      <c r="C256" s="1613" t="s">
        <v>501</v>
      </c>
      <c r="D256" s="1614">
        <f ca="1">SUM(D253:D255)</f>
        <v>0</v>
      </c>
      <c r="E256" s="1615">
        <f ca="1">SUM(E253:E255)</f>
        <v>0</v>
      </c>
      <c r="F256" s="13">
        <f ca="1">SUM(D256:D256)</f>
        <v>0</v>
      </c>
      <c r="G256" s="2693"/>
      <c r="H256" s="9"/>
      <c r="I256" s="1614">
        <f ca="1">SUM(I253:I255)</f>
        <v>0</v>
      </c>
      <c r="J256" s="1628">
        <f ca="1">SUM(J253:J255)</f>
        <v>0</v>
      </c>
      <c r="K256" s="1"/>
    </row>
    <row r="257" spans="1:11" ht="13.15" customHeight="1" x14ac:dyDescent="0.2">
      <c r="A257" s="480"/>
      <c r="B257" s="3308" t="str">
        <f>'Calc - GRAD ASST'!A238</f>
        <v>GA #09 / Sponsor Funds</v>
      </c>
      <c r="C257" s="483" t="s">
        <v>57</v>
      </c>
      <c r="D257" s="86">
        <f ca="1">'Calc - GRAD ASST'!$J$252*(1-$G$47)</f>
        <v>0</v>
      </c>
      <c r="E257" s="87">
        <f ca="1">SUM(D257:D257)</f>
        <v>0</v>
      </c>
      <c r="F257" s="9"/>
      <c r="H257" s="9"/>
      <c r="I257" s="86">
        <f ca="1">'Calc - GRAD ASST'!$J$252*($G$47)</f>
        <v>0</v>
      </c>
      <c r="J257" s="167">
        <f ca="1">SUM(I257:I257)</f>
        <v>0</v>
      </c>
      <c r="K257" s="1"/>
    </row>
    <row r="258" spans="1:11" ht="13.15" customHeight="1" x14ac:dyDescent="0.2">
      <c r="A258" s="480"/>
      <c r="B258" s="3309"/>
      <c r="C258" s="78" t="s">
        <v>96</v>
      </c>
      <c r="D258" s="29">
        <f ca="1">'Calc - GRAD ASST'!$E$252*(1-$G$47)</f>
        <v>0</v>
      </c>
      <c r="E258" s="88">
        <f ca="1">SUM(D258:D258)</f>
        <v>0</v>
      </c>
      <c r="G258" s="2705"/>
      <c r="H258" s="9"/>
      <c r="I258" s="29">
        <f ca="1">'Calc - GRAD ASST'!$E$252*($G$47)</f>
        <v>0</v>
      </c>
      <c r="J258" s="167">
        <f ca="1">SUM(I258:I258)</f>
        <v>0</v>
      </c>
      <c r="K258" s="1"/>
    </row>
    <row r="259" spans="1:11" ht="13.9" customHeight="1" thickBot="1" x14ac:dyDescent="0.25">
      <c r="A259" s="480"/>
      <c r="B259" s="1855">
        <f>'Calc - GRAD ASST'!C239</f>
        <v>0</v>
      </c>
      <c r="C259" s="420" t="s">
        <v>130</v>
      </c>
      <c r="D259" s="42">
        <f ca="1">'Calc - GRAD ASST'!$M$252*(1-$G$47)</f>
        <v>0</v>
      </c>
      <c r="E259" s="90">
        <f ca="1">SUM(D259:D259)</f>
        <v>0</v>
      </c>
      <c r="F259" s="9"/>
      <c r="G259" s="2705"/>
      <c r="H259" s="9"/>
      <c r="I259" s="42">
        <f ca="1">'Calc - GRAD ASST'!$M$252*($G$47)</f>
        <v>0</v>
      </c>
      <c r="J259" s="167">
        <f ca="1">SUM(I259:I259)</f>
        <v>0</v>
      </c>
      <c r="K259" s="1"/>
    </row>
    <row r="260" spans="1:11" ht="13.9" customHeight="1" thickBot="1" x14ac:dyDescent="0.25">
      <c r="A260" s="480"/>
      <c r="B260" s="1856"/>
      <c r="C260" s="1606" t="s">
        <v>502</v>
      </c>
      <c r="D260" s="1607">
        <f ca="1">SUM(D257:D259)</f>
        <v>0</v>
      </c>
      <c r="E260" s="1608">
        <f ca="1">SUM(E257:E259)</f>
        <v>0</v>
      </c>
      <c r="F260" s="13">
        <f ca="1">SUM(D260:D260)</f>
        <v>0</v>
      </c>
      <c r="G260" s="2693"/>
      <c r="H260" s="9"/>
      <c r="I260" s="1607">
        <f ca="1">SUM(I257:I259)</f>
        <v>0</v>
      </c>
      <c r="J260" s="1628">
        <f ca="1">SUM(J257:J259)</f>
        <v>0</v>
      </c>
      <c r="K260" s="1"/>
    </row>
    <row r="261" spans="1:11" ht="13.15" customHeight="1" x14ac:dyDescent="0.2">
      <c r="A261" s="480"/>
      <c r="B261" s="3312" t="str">
        <f>'Calc - GRAD ASST'!A267</f>
        <v>GA #10 / Sponsor Funds</v>
      </c>
      <c r="C261" s="483" t="s">
        <v>57</v>
      </c>
      <c r="D261" s="86">
        <f ca="1">'Calc - GRAD ASST'!$J$281*(1-$G$47)</f>
        <v>0</v>
      </c>
      <c r="E261" s="87">
        <f ca="1">SUM(D261:D261)</f>
        <v>0</v>
      </c>
      <c r="F261" s="9"/>
      <c r="H261" s="9"/>
      <c r="I261" s="86">
        <f ca="1">'Calc - GRAD ASST'!$J$281*($G$47)</f>
        <v>0</v>
      </c>
      <c r="J261" s="167">
        <f ca="1">SUM(I261:I261)</f>
        <v>0</v>
      </c>
      <c r="K261" s="1"/>
    </row>
    <row r="262" spans="1:11" ht="13.15" customHeight="1" x14ac:dyDescent="0.2">
      <c r="A262" s="480"/>
      <c r="B262" s="3313"/>
      <c r="C262" s="78" t="s">
        <v>96</v>
      </c>
      <c r="D262" s="29">
        <f ca="1">'Calc - GRAD ASST'!$E$281*(1-$G$47)</f>
        <v>0</v>
      </c>
      <c r="E262" s="88">
        <f ca="1">SUM(D262:D262)</f>
        <v>0</v>
      </c>
      <c r="G262" s="2705"/>
      <c r="H262" s="9"/>
      <c r="I262" s="29">
        <f ca="1">'Calc - GRAD ASST'!$E$281*($G$47)</f>
        <v>0</v>
      </c>
      <c r="J262" s="167">
        <f ca="1">SUM(I262:I262)</f>
        <v>0</v>
      </c>
      <c r="K262" s="1"/>
    </row>
    <row r="263" spans="1:11" ht="13.9" customHeight="1" thickBot="1" x14ac:dyDescent="0.25">
      <c r="A263" s="480"/>
      <c r="B263" s="1857">
        <f>'Calc - GRAD ASST'!C268</f>
        <v>0</v>
      </c>
      <c r="C263" s="420" t="s">
        <v>130</v>
      </c>
      <c r="D263" s="42">
        <f ca="1">'Calc - GRAD ASST'!$M$281*(1-$G$47)</f>
        <v>0</v>
      </c>
      <c r="E263" s="90">
        <f ca="1">SUM(D263:D263)</f>
        <v>0</v>
      </c>
      <c r="F263" s="9"/>
      <c r="G263" s="2705"/>
      <c r="H263" s="9"/>
      <c r="I263" s="42">
        <f ca="1">'Calc - GRAD ASST'!$M$281*($G$47)</f>
        <v>0</v>
      </c>
      <c r="J263" s="167">
        <f ca="1">SUM(I263:I263)</f>
        <v>0</v>
      </c>
      <c r="K263" s="1"/>
    </row>
    <row r="264" spans="1:11" ht="13.9" customHeight="1" thickBot="1" x14ac:dyDescent="0.25">
      <c r="A264" s="480"/>
      <c r="B264" s="1858"/>
      <c r="C264" s="1611" t="s">
        <v>503</v>
      </c>
      <c r="D264" s="1612">
        <f ca="1">SUM(D261:D263)</f>
        <v>0</v>
      </c>
      <c r="E264" s="1086">
        <f ca="1">SUM(E261:E263)</f>
        <v>0</v>
      </c>
      <c r="F264" s="13">
        <f ca="1">SUM(D264:D264)</f>
        <v>0</v>
      </c>
      <c r="G264" s="2693"/>
      <c r="H264" s="9"/>
      <c r="I264" s="1612">
        <f ca="1">SUM(I261:I263)</f>
        <v>0</v>
      </c>
      <c r="J264" s="1628">
        <f ca="1">SUM(J261:J263)</f>
        <v>0</v>
      </c>
      <c r="K264" s="1"/>
    </row>
    <row r="265" spans="1:11" ht="13.15" customHeight="1" x14ac:dyDescent="0.2">
      <c r="A265" s="480"/>
      <c r="B265" s="3314" t="str">
        <f>'Calc - GRAD ASST'!A296</f>
        <v>GA #11 / Sponsor Funds</v>
      </c>
      <c r="C265" s="483" t="s">
        <v>57</v>
      </c>
      <c r="D265" s="86">
        <f ca="1">'Calc - GRAD ASST'!$J$310*(1-$G$47)</f>
        <v>0</v>
      </c>
      <c r="E265" s="87">
        <f ca="1">SUM(D265:D265)</f>
        <v>0</v>
      </c>
      <c r="F265" s="9"/>
      <c r="H265" s="9"/>
      <c r="I265" s="86">
        <f ca="1">'Calc - GRAD ASST'!$J$310*($G$47)</f>
        <v>0</v>
      </c>
      <c r="J265" s="167">
        <f ca="1">SUM(I265:I265)</f>
        <v>0</v>
      </c>
      <c r="K265" s="1"/>
    </row>
    <row r="266" spans="1:11" ht="13.15" customHeight="1" x14ac:dyDescent="0.2">
      <c r="A266" s="480"/>
      <c r="B266" s="3315"/>
      <c r="C266" s="78" t="s">
        <v>96</v>
      </c>
      <c r="D266" s="29">
        <f ca="1">'Calc - GRAD ASST'!$E$310*(1-$G$47)</f>
        <v>0</v>
      </c>
      <c r="E266" s="88">
        <f ca="1">SUM(D266:D266)</f>
        <v>0</v>
      </c>
      <c r="G266" s="2705"/>
      <c r="H266" s="9"/>
      <c r="I266" s="29">
        <f ca="1">'Calc - GRAD ASST'!$E$310*($G$47)</f>
        <v>0</v>
      </c>
      <c r="J266" s="167">
        <f ca="1">SUM(I266:I266)</f>
        <v>0</v>
      </c>
      <c r="K266" s="1"/>
    </row>
    <row r="267" spans="1:11" ht="13.9" customHeight="1" thickBot="1" x14ac:dyDescent="0.25">
      <c r="A267" s="480"/>
      <c r="B267" s="1859">
        <f>'Calc - GRAD ASST'!C297</f>
        <v>0</v>
      </c>
      <c r="C267" s="420" t="s">
        <v>130</v>
      </c>
      <c r="D267" s="42">
        <f ca="1">'Calc - GRAD ASST'!$M$310*(1-$G$47)</f>
        <v>0</v>
      </c>
      <c r="E267" s="90">
        <f ca="1">SUM(D267:D267)</f>
        <v>0</v>
      </c>
      <c r="F267" s="9"/>
      <c r="G267" s="2705"/>
      <c r="H267" s="9"/>
      <c r="I267" s="42">
        <f ca="1">'Calc - GRAD ASST'!$M$310*($G$47)</f>
        <v>0</v>
      </c>
      <c r="J267" s="167">
        <f ca="1">SUM(I267:I267)</f>
        <v>0</v>
      </c>
      <c r="K267" s="1"/>
    </row>
    <row r="268" spans="1:11" ht="13.9" customHeight="1" thickBot="1" x14ac:dyDescent="0.25">
      <c r="A268" s="480"/>
      <c r="B268" s="1860"/>
      <c r="C268" s="1619" t="s">
        <v>504</v>
      </c>
      <c r="D268" s="1620">
        <f ca="1">SUM(D265:D267)</f>
        <v>0</v>
      </c>
      <c r="E268" s="1621">
        <f ca="1">SUM(E265:E267)</f>
        <v>0</v>
      </c>
      <c r="F268" s="13">
        <f ca="1">SUM(D268:D268)</f>
        <v>0</v>
      </c>
      <c r="G268" s="2693"/>
      <c r="H268" s="9"/>
      <c r="I268" s="1620">
        <f ca="1">SUM(I265:I267)</f>
        <v>0</v>
      </c>
      <c r="J268" s="1628">
        <f ca="1">SUM(J265:J267)</f>
        <v>0</v>
      </c>
      <c r="K268" s="1"/>
    </row>
    <row r="269" spans="1:11" ht="13.15" customHeight="1" x14ac:dyDescent="0.2">
      <c r="A269" s="480"/>
      <c r="B269" s="3316" t="str">
        <f>'Calc - GRAD ASST'!A325</f>
        <v>GA #12 / Sponsor Funds</v>
      </c>
      <c r="C269" s="483" t="s">
        <v>57</v>
      </c>
      <c r="D269" s="86">
        <f ca="1">'Calc - GRAD ASST'!$J$339*(1-$G$47)</f>
        <v>0</v>
      </c>
      <c r="E269" s="87">
        <f ca="1">SUM(D269:D269)</f>
        <v>0</v>
      </c>
      <c r="F269" s="9"/>
      <c r="H269" s="9"/>
      <c r="I269" s="86">
        <f ca="1">'Calc - GRAD ASST'!$J$339*($G$47)</f>
        <v>0</v>
      </c>
      <c r="J269" s="167">
        <f ca="1">SUM(I269:I269)</f>
        <v>0</v>
      </c>
      <c r="K269" s="1"/>
    </row>
    <row r="270" spans="1:11" ht="13.15" customHeight="1" x14ac:dyDescent="0.2">
      <c r="A270" s="480"/>
      <c r="B270" s="3317"/>
      <c r="C270" s="78" t="s">
        <v>96</v>
      </c>
      <c r="D270" s="29">
        <f ca="1">'Calc - GRAD ASST'!$E$339*(1-$G$47)</f>
        <v>0</v>
      </c>
      <c r="E270" s="88">
        <f ca="1">SUM(D270:D270)</f>
        <v>0</v>
      </c>
      <c r="G270" s="2705"/>
      <c r="H270" s="9"/>
      <c r="I270" s="29">
        <f ca="1">'Calc - GRAD ASST'!$E$339*($G$47)</f>
        <v>0</v>
      </c>
      <c r="J270" s="167">
        <f ca="1">SUM(I270:I270)</f>
        <v>0</v>
      </c>
      <c r="K270" s="1"/>
    </row>
    <row r="271" spans="1:11" ht="13.9" customHeight="1" thickBot="1" x14ac:dyDescent="0.25">
      <c r="A271" s="480"/>
      <c r="B271" s="1861">
        <f>'Calc - GRAD ASST'!C326</f>
        <v>0</v>
      </c>
      <c r="C271" s="420" t="s">
        <v>130</v>
      </c>
      <c r="D271" s="42">
        <f ca="1">'Calc - GRAD ASST'!$M$339*(1-$G$47)</f>
        <v>0</v>
      </c>
      <c r="E271" s="90">
        <f ca="1">SUM(D271:D271)</f>
        <v>0</v>
      </c>
      <c r="F271" s="9"/>
      <c r="G271" s="2705"/>
      <c r="H271" s="9"/>
      <c r="I271" s="42">
        <f ca="1">'Calc - GRAD ASST'!$M$339*($G$47)</f>
        <v>0</v>
      </c>
      <c r="J271" s="167">
        <f ca="1">SUM(I271:I271)</f>
        <v>0</v>
      </c>
      <c r="K271" s="1"/>
    </row>
    <row r="272" spans="1:11" ht="13.9" customHeight="1" thickBot="1" x14ac:dyDescent="0.25">
      <c r="A272" s="480"/>
      <c r="B272" s="1862"/>
      <c r="C272" s="1616" t="s">
        <v>505</v>
      </c>
      <c r="D272" s="1617">
        <f ca="1">SUM(D269:D271)</f>
        <v>0</v>
      </c>
      <c r="E272" s="1618">
        <f ca="1">SUM(E269:E271)</f>
        <v>0</v>
      </c>
      <c r="F272" s="13">
        <f ca="1">SUM(D272:D272)</f>
        <v>0</v>
      </c>
      <c r="G272" s="2693"/>
      <c r="H272" s="9"/>
      <c r="I272" s="1617">
        <f ca="1">SUM(I269:I271)</f>
        <v>0</v>
      </c>
      <c r="J272" s="1628">
        <f ca="1">SUM(J269:J271)</f>
        <v>0</v>
      </c>
      <c r="K272" s="1"/>
    </row>
    <row r="273" spans="1:11" ht="13.15" customHeight="1" x14ac:dyDescent="0.2">
      <c r="A273" s="480"/>
      <c r="B273" s="3318" t="str">
        <f>'Calc - GRAD ASST'!A354</f>
        <v>GA #13 / Sponsor Funds</v>
      </c>
      <c r="C273" s="483" t="s">
        <v>57</v>
      </c>
      <c r="D273" s="86">
        <f ca="1">'Calc - GRAD ASST'!$J$368*(1-$G$47)</f>
        <v>0</v>
      </c>
      <c r="E273" s="87">
        <f ca="1">SUM(D273:D273)</f>
        <v>0</v>
      </c>
      <c r="F273" s="9"/>
      <c r="H273" s="9"/>
      <c r="I273" s="86">
        <f ca="1">'Calc - GRAD ASST'!$J$368*($G$47)</f>
        <v>0</v>
      </c>
      <c r="J273" s="167">
        <f ca="1">SUM(I273:I273)</f>
        <v>0</v>
      </c>
      <c r="K273" s="1"/>
    </row>
    <row r="274" spans="1:11" ht="13.15" customHeight="1" x14ac:dyDescent="0.2">
      <c r="A274" s="480"/>
      <c r="B274" s="3319"/>
      <c r="C274" s="78" t="s">
        <v>96</v>
      </c>
      <c r="D274" s="29">
        <f ca="1">'Calc - GRAD ASST'!$E$368*(1-$G$47)</f>
        <v>0</v>
      </c>
      <c r="E274" s="88">
        <f ca="1">SUM(D274:D274)</f>
        <v>0</v>
      </c>
      <c r="G274" s="2705"/>
      <c r="H274" s="9"/>
      <c r="I274" s="29">
        <f ca="1">'Calc - GRAD ASST'!$E$368*($G$47)</f>
        <v>0</v>
      </c>
      <c r="J274" s="167">
        <f ca="1">SUM(I274:I274)</f>
        <v>0</v>
      </c>
      <c r="K274" s="1"/>
    </row>
    <row r="275" spans="1:11" ht="13.9" customHeight="1" thickBot="1" x14ac:dyDescent="0.25">
      <c r="A275" s="480"/>
      <c r="B275" s="1863">
        <f>'Calc - GRAD ASST'!C355</f>
        <v>0</v>
      </c>
      <c r="C275" s="420" t="s">
        <v>130</v>
      </c>
      <c r="D275" s="42">
        <f ca="1">'Calc - GRAD ASST'!$M$368*(1-$G$47)</f>
        <v>0</v>
      </c>
      <c r="E275" s="90">
        <f ca="1">SUM(D275:D275)</f>
        <v>0</v>
      </c>
      <c r="F275" s="9"/>
      <c r="G275" s="2705"/>
      <c r="H275" s="9"/>
      <c r="I275" s="42">
        <f ca="1">'Calc - GRAD ASST'!$M$368*($G$47)</f>
        <v>0</v>
      </c>
      <c r="J275" s="167">
        <f ca="1">SUM(I275:I275)</f>
        <v>0</v>
      </c>
      <c r="K275" s="1"/>
    </row>
    <row r="276" spans="1:11" ht="13.9" customHeight="1" thickBot="1" x14ac:dyDescent="0.25">
      <c r="A276" s="480"/>
      <c r="B276" s="1864"/>
      <c r="C276" s="1622" t="s">
        <v>506</v>
      </c>
      <c r="D276" s="1623">
        <f ca="1">SUM(D273:D275)</f>
        <v>0</v>
      </c>
      <c r="E276" s="1624">
        <f ca="1">SUM(E273:E275)</f>
        <v>0</v>
      </c>
      <c r="F276" s="13">
        <f ca="1">SUM(D276:D276)</f>
        <v>0</v>
      </c>
      <c r="G276" s="2693"/>
      <c r="H276" s="9"/>
      <c r="I276" s="1623">
        <f ca="1">SUM(I273:I275)</f>
        <v>0</v>
      </c>
      <c r="J276" s="1628">
        <f ca="1">SUM(J273:J275)</f>
        <v>0</v>
      </c>
      <c r="K276" s="1"/>
    </row>
    <row r="277" spans="1:11" ht="13.15" customHeight="1" x14ac:dyDescent="0.2">
      <c r="A277" s="480"/>
      <c r="B277" s="3288" t="str">
        <f>'Calc - GRAD ASST'!A383</f>
        <v>GA #14 / Sponsor Funds</v>
      </c>
      <c r="C277" s="483" t="s">
        <v>57</v>
      </c>
      <c r="D277" s="86">
        <f ca="1">'Calc - GRAD ASST'!$J$397*(1-$G$47)</f>
        <v>0</v>
      </c>
      <c r="E277" s="87">
        <f ca="1">SUM(D277:D277)</f>
        <v>0</v>
      </c>
      <c r="F277" s="9"/>
      <c r="H277" s="9"/>
      <c r="I277" s="86">
        <f ca="1">'Calc - GRAD ASST'!$J$397*($G$47)</f>
        <v>0</v>
      </c>
      <c r="J277" s="167">
        <f ca="1">SUM(I277:I277)</f>
        <v>0</v>
      </c>
      <c r="K277" s="1"/>
    </row>
    <row r="278" spans="1:11" ht="13.15" customHeight="1" x14ac:dyDescent="0.2">
      <c r="A278" s="480"/>
      <c r="B278" s="3289"/>
      <c r="C278" s="78" t="s">
        <v>96</v>
      </c>
      <c r="D278" s="29">
        <f ca="1">'Calc - GRAD ASST'!$E$397*(1-$G$47)</f>
        <v>0</v>
      </c>
      <c r="E278" s="88">
        <f ca="1">SUM(D278:D278)</f>
        <v>0</v>
      </c>
      <c r="G278" s="2705"/>
      <c r="H278" s="9"/>
      <c r="I278" s="29">
        <f ca="1">'Calc - GRAD ASST'!$E$397*($G$47)</f>
        <v>0</v>
      </c>
      <c r="J278" s="167">
        <f ca="1">SUM(I278:I278)</f>
        <v>0</v>
      </c>
      <c r="K278" s="1"/>
    </row>
    <row r="279" spans="1:11" ht="13.9" customHeight="1" thickBot="1" x14ac:dyDescent="0.25">
      <c r="A279" s="480"/>
      <c r="B279" s="1847">
        <f>'Calc - GRAD ASST'!C384</f>
        <v>0</v>
      </c>
      <c r="C279" s="420" t="s">
        <v>130</v>
      </c>
      <c r="D279" s="42">
        <f ca="1">'Calc - GRAD ASST'!$M$397*(1-$G$47)</f>
        <v>0</v>
      </c>
      <c r="E279" s="90">
        <f ca="1">SUM(D279:D279)</f>
        <v>0</v>
      </c>
      <c r="F279" s="9"/>
      <c r="G279" s="2705"/>
      <c r="H279" s="9"/>
      <c r="I279" s="42">
        <f ca="1">'Calc - GRAD ASST'!$M$397*($G$47)</f>
        <v>0</v>
      </c>
      <c r="J279" s="167">
        <f ca="1">SUM(I279:I279)</f>
        <v>0</v>
      </c>
      <c r="K279" s="1"/>
    </row>
    <row r="280" spans="1:11" ht="13.9" customHeight="1" thickBot="1" x14ac:dyDescent="0.25">
      <c r="A280" s="480"/>
      <c r="B280" s="1848"/>
      <c r="C280" s="487" t="s">
        <v>507</v>
      </c>
      <c r="D280" s="488">
        <f ca="1">SUM(D277:D279)</f>
        <v>0</v>
      </c>
      <c r="E280" s="489">
        <f ca="1">SUM(E277:E279)</f>
        <v>0</v>
      </c>
      <c r="F280" s="13">
        <f ca="1">SUM(D280:D280)</f>
        <v>0</v>
      </c>
      <c r="G280" s="2693"/>
      <c r="H280" s="9"/>
      <c r="I280" s="488">
        <f ca="1">SUM(I277:I279)</f>
        <v>0</v>
      </c>
      <c r="J280" s="1628">
        <f ca="1">SUM(J277:J279)</f>
        <v>0</v>
      </c>
      <c r="K280" s="1"/>
    </row>
    <row r="281" spans="1:11" ht="13.15" customHeight="1" x14ac:dyDescent="0.2">
      <c r="A281" s="480"/>
      <c r="B281" s="3290" t="str">
        <f>'Calc - GRAD ASST'!A412</f>
        <v>GA #15 / Sponsor Funds</v>
      </c>
      <c r="C281" s="483" t="s">
        <v>57</v>
      </c>
      <c r="D281" s="86">
        <f ca="1">'Calc - GRAD ASST'!$J$426*(1-$G$47)</f>
        <v>0</v>
      </c>
      <c r="E281" s="87">
        <f ca="1">SUM(D281:D281)</f>
        <v>0</v>
      </c>
      <c r="F281" s="9"/>
      <c r="H281" s="9"/>
      <c r="I281" s="86">
        <f ca="1">'Calc - GRAD ASST'!$J$426*($G$47)</f>
        <v>0</v>
      </c>
      <c r="J281" s="167">
        <f ca="1">SUM(I281:I281)</f>
        <v>0</v>
      </c>
      <c r="K281" s="1"/>
    </row>
    <row r="282" spans="1:11" ht="13.15" customHeight="1" x14ac:dyDescent="0.2">
      <c r="A282" s="480"/>
      <c r="B282" s="3291"/>
      <c r="C282" s="78" t="s">
        <v>96</v>
      </c>
      <c r="D282" s="29">
        <f ca="1">'Calc - GRAD ASST'!$E$426*(1-$G$47)</f>
        <v>0</v>
      </c>
      <c r="E282" s="88">
        <f ca="1">SUM(D282:D282)</f>
        <v>0</v>
      </c>
      <c r="G282" s="2705"/>
      <c r="H282" s="9"/>
      <c r="I282" s="29">
        <f ca="1">'Calc - GRAD ASST'!$E$426*($G$47)</f>
        <v>0</v>
      </c>
      <c r="J282" s="167">
        <f ca="1">SUM(I282:I282)</f>
        <v>0</v>
      </c>
      <c r="K282" s="1"/>
    </row>
    <row r="283" spans="1:11" ht="13.9" customHeight="1" thickBot="1" x14ac:dyDescent="0.25">
      <c r="A283" s="480"/>
      <c r="B283" s="1841">
        <f>'Calc - GRAD ASST'!C413</f>
        <v>0</v>
      </c>
      <c r="C283" s="420" t="s">
        <v>130</v>
      </c>
      <c r="D283" s="42">
        <f ca="1">'Calc - GRAD ASST'!$M$426*(1-$G$47)</f>
        <v>0</v>
      </c>
      <c r="E283" s="90">
        <f ca="1">SUM(D283:D283)</f>
        <v>0</v>
      </c>
      <c r="F283" s="9"/>
      <c r="G283" s="2705"/>
      <c r="H283" s="9"/>
      <c r="I283" s="42">
        <f ca="1">'Calc - GRAD ASST'!$M$426*($G$47)</f>
        <v>0</v>
      </c>
      <c r="J283" s="167">
        <f ca="1">SUM(I283:I283)</f>
        <v>0</v>
      </c>
      <c r="K283" s="1"/>
    </row>
    <row r="284" spans="1:11" ht="13.9" customHeight="1" thickBot="1" x14ac:dyDescent="0.25">
      <c r="A284" s="480"/>
      <c r="B284" s="1842"/>
      <c r="C284" s="1625" t="s">
        <v>508</v>
      </c>
      <c r="D284" s="1626">
        <f ca="1">SUM(D281:D283)</f>
        <v>0</v>
      </c>
      <c r="E284" s="1627">
        <f ca="1">SUM(E281:E283)</f>
        <v>0</v>
      </c>
      <c r="F284" s="13">
        <f ca="1">SUM(D284:D284)</f>
        <v>0</v>
      </c>
      <c r="G284" s="2693"/>
      <c r="H284" s="9"/>
      <c r="I284" s="1626">
        <f ca="1">SUM(I281:I283)</f>
        <v>0</v>
      </c>
      <c r="J284" s="1628">
        <f ca="1">SUM(J281:J283)</f>
        <v>0</v>
      </c>
      <c r="K284" s="1"/>
    </row>
    <row r="285" spans="1:11" ht="15" customHeight="1" x14ac:dyDescent="0.2">
      <c r="A285" s="72"/>
      <c r="B285" s="485"/>
      <c r="C285" s="486" t="s">
        <v>244</v>
      </c>
      <c r="D285" s="378">
        <f ca="1">SUM(D228,D232,D236,D240,D244,D248,D252,D256,D260,D264,D268,D272,D276,D280,D284)</f>
        <v>0</v>
      </c>
      <c r="E285" s="378">
        <f ca="1">SUM(E228,E232,E236,E240,E244,E248,E252,E256,E260,E264,E268,E272,E276,E280,E284)</f>
        <v>0</v>
      </c>
      <c r="F285" s="13">
        <f ca="1">SUM(D285:D285)</f>
        <v>0</v>
      </c>
      <c r="G285" s="2693"/>
      <c r="H285" s="9"/>
      <c r="I285" s="173">
        <f ca="1">SUM(I228,I232,I236,I240,I244,I248,I252,I256,I260,I264,I268,I272,I276,I280,I284)</f>
        <v>0</v>
      </c>
      <c r="J285" s="173">
        <f ca="1">SUM(J228,J232,J236,J240,J244,J248,J252,J256,J260,J264,J268,J272,J276,J280,J284)</f>
        <v>0</v>
      </c>
      <c r="K285" s="1"/>
    </row>
    <row r="286" spans="1:11" ht="15" customHeight="1" x14ac:dyDescent="0.2">
      <c r="A286" s="72"/>
      <c r="B286" s="76"/>
      <c r="C286" s="471" t="s">
        <v>56</v>
      </c>
      <c r="D286" s="47">
        <f ca="1">SUM(D215:D224)+D285</f>
        <v>0</v>
      </c>
      <c r="E286" s="47">
        <f ca="1">SUM(E215:E224)+E285</f>
        <v>0</v>
      </c>
      <c r="F286" s="13">
        <f ca="1">SUM(D286:D286)</f>
        <v>0</v>
      </c>
      <c r="G286" s="2693"/>
      <c r="H286" s="9"/>
      <c r="I286" s="47">
        <f ca="1">SUM(I215:I224)+I285</f>
        <v>0</v>
      </c>
      <c r="J286" s="47">
        <f ca="1">SUM(J215:J224)+J285</f>
        <v>0</v>
      </c>
      <c r="K286" s="1"/>
    </row>
    <row r="287" spans="1:11" ht="15" customHeight="1" x14ac:dyDescent="0.2">
      <c r="A287" s="72"/>
      <c r="B287" s="2511"/>
      <c r="C287" s="2512" t="s">
        <v>782</v>
      </c>
      <c r="D287" s="2513">
        <f ca="1">SUM(D180:D183,D215:D224)</f>
        <v>900</v>
      </c>
      <c r="E287" s="2513">
        <f ca="1">SUM(E180:E183,E215:E224)</f>
        <v>900</v>
      </c>
      <c r="F287" s="13">
        <f ca="1">SUM(D287:D287)</f>
        <v>900</v>
      </c>
      <c r="G287" s="2693"/>
      <c r="H287" s="9"/>
      <c r="I287" s="2513">
        <f ca="1">SUM(I180:I183,I215:I224)</f>
        <v>0</v>
      </c>
      <c r="J287" s="2513">
        <f ca="1">SUM(J180:J183,J215:J224)</f>
        <v>0</v>
      </c>
      <c r="K287" s="1"/>
    </row>
    <row r="288" spans="1:11" ht="15" customHeight="1" x14ac:dyDescent="0.25">
      <c r="A288" s="33" t="s">
        <v>7</v>
      </c>
      <c r="B288" s="62"/>
      <c r="C288" s="469" t="s">
        <v>22</v>
      </c>
      <c r="D288" s="7">
        <f ca="1">SUM(D286,D180:D183,D214)</f>
        <v>900</v>
      </c>
      <c r="E288" s="7">
        <f ca="1">SUM(E286,E180:E183,E214)</f>
        <v>900</v>
      </c>
      <c r="F288" s="13">
        <f ca="1">SUM(D288:D288)</f>
        <v>900</v>
      </c>
      <c r="G288" s="10"/>
      <c r="H288" s="9"/>
      <c r="I288" s="171">
        <f ca="1">SUM(I286,I180:I183,I214)</f>
        <v>0</v>
      </c>
      <c r="J288" s="171">
        <f ca="1">SUM(J286,J180:J183,J214)</f>
        <v>0</v>
      </c>
      <c r="K288" s="1"/>
    </row>
    <row r="289" spans="1:11" ht="15" customHeight="1" x14ac:dyDescent="0.25">
      <c r="A289" s="33"/>
      <c r="B289" s="78"/>
      <c r="C289" s="78"/>
      <c r="D289" s="78"/>
      <c r="E289" s="78"/>
      <c r="F289"/>
      <c r="G289" s="2693"/>
      <c r="H289" s="9"/>
      <c r="I289" s="78"/>
      <c r="J289" s="73"/>
      <c r="K289" s="1"/>
    </row>
    <row r="290" spans="1:11" ht="15" customHeight="1" x14ac:dyDescent="0.2">
      <c r="A290" s="405" t="s">
        <v>53</v>
      </c>
      <c r="B290" s="77" t="s">
        <v>52</v>
      </c>
      <c r="C290" s="79"/>
      <c r="D290" s="7">
        <f ca="1">SUM(D156,D165,D170,D177,D288)</f>
        <v>900</v>
      </c>
      <c r="E290" s="12">
        <f ca="1">SUM(E156,E165,E170,E177,E288)</f>
        <v>900</v>
      </c>
      <c r="F290" s="13">
        <f ca="1">SUM(D290:D290)</f>
        <v>900</v>
      </c>
      <c r="G290" s="2693"/>
      <c r="H290" s="9"/>
      <c r="I290" s="171" t="e">
        <f ca="1">SUM(I156,I165,I170,I177,I288)</f>
        <v>#REF!</v>
      </c>
      <c r="J290" s="171" t="e">
        <f ca="1">SUM(J156,J165,J170,J177,J288)</f>
        <v>#REF!</v>
      </c>
      <c r="K290" s="1"/>
    </row>
    <row r="291" spans="1:11" ht="15" customHeight="1" x14ac:dyDescent="0.25">
      <c r="A291" s="30"/>
      <c r="B291" s="74" t="s">
        <v>357</v>
      </c>
      <c r="C291" s="80"/>
      <c r="D291" s="15">
        <f ca="1">SUM(D165,D177,SUMIF($C$184:$C$213,"Remaining*",D$184:D$213),D217,D285)*-1</f>
        <v>0</v>
      </c>
      <c r="E291" s="16">
        <f ca="1">SUM(D291:D291)</f>
        <v>0</v>
      </c>
      <c r="F291" s="13"/>
      <c r="G291" s="2693"/>
      <c r="H291" s="9"/>
      <c r="I291" s="172"/>
      <c r="J291" s="172"/>
      <c r="K291" s="1"/>
    </row>
    <row r="292" spans="1:11" ht="15" customHeight="1" x14ac:dyDescent="0.25">
      <c r="A292" s="43"/>
      <c r="B292" s="670" t="s">
        <v>354</v>
      </c>
      <c r="C292" s="669" t="str">
        <f>'DATA INPUT'!E126</f>
        <v>Modified Total Direct Costs (MTDC)</v>
      </c>
      <c r="D292" s="44">
        <f ca="1">IF($C$292='Reference Sheet'!$A$26,SUM(D290:D291),(D290-SUMIF($C$184:$C$213,"Remaining*",D$184:D$213)))</f>
        <v>900</v>
      </c>
      <c r="E292" s="44">
        <f ca="1">SUM(D292:D292)</f>
        <v>900</v>
      </c>
      <c r="F292" s="13"/>
      <c r="G292" s="2693"/>
      <c r="H292" s="9"/>
      <c r="I292" s="175"/>
      <c r="J292" s="175"/>
      <c r="K292" s="1"/>
    </row>
    <row r="293" spans="1:11" ht="15" customHeight="1" x14ac:dyDescent="0.25">
      <c r="A293" s="46" t="s">
        <v>54</v>
      </c>
      <c r="B293" s="81" t="s">
        <v>132</v>
      </c>
      <c r="C293" s="82"/>
      <c r="D293" s="31">
        <f ca="1">D292*D294</f>
        <v>0</v>
      </c>
      <c r="E293" s="31">
        <f ca="1">SUM(D293:D293)</f>
        <v>0</v>
      </c>
      <c r="F293" s="13"/>
      <c r="G293" s="2693"/>
      <c r="H293" s="9"/>
      <c r="I293" s="1381"/>
      <c r="J293" s="1381"/>
      <c r="K293" s="1"/>
    </row>
    <row r="294" spans="1:11" ht="15" customHeight="1" x14ac:dyDescent="0.25">
      <c r="A294" s="46"/>
      <c r="B294" s="81" t="s">
        <v>648</v>
      </c>
      <c r="C294" s="512">
        <f>'DATA INPUT'!F125</f>
        <v>0</v>
      </c>
      <c r="D294" s="458">
        <f>C294</f>
        <v>0</v>
      </c>
      <c r="E294" s="458">
        <f>AVERAGE(D294:D294)</f>
        <v>0</v>
      </c>
      <c r="F294" s="13" t="s">
        <v>262</v>
      </c>
      <c r="G294" s="2693"/>
      <c r="H294" s="9"/>
      <c r="I294" s="598">
        <v>0</v>
      </c>
      <c r="J294" s="598">
        <v>0</v>
      </c>
      <c r="K294" s="1"/>
    </row>
    <row r="295" spans="1:11" ht="15" customHeight="1" x14ac:dyDescent="0.25">
      <c r="A295" s="30"/>
      <c r="B295" s="2706" t="s">
        <v>887</v>
      </c>
      <c r="C295" s="2707"/>
      <c r="D295" s="2708">
        <v>0</v>
      </c>
      <c r="E295" s="2709">
        <f>D295</f>
        <v>0</v>
      </c>
      <c r="F295" s="13"/>
      <c r="G295" s="10"/>
      <c r="H295" s="1389"/>
      <c r="J295" s="1"/>
    </row>
    <row r="296" spans="1:11" ht="15" customHeight="1" x14ac:dyDescent="0.25">
      <c r="A296" s="2710"/>
      <c r="B296" s="83" t="s">
        <v>487</v>
      </c>
      <c r="C296" s="84"/>
      <c r="D296" s="11">
        <f ca="1">SUM(D290,D293,D295)</f>
        <v>900</v>
      </c>
      <c r="E296" s="11">
        <f ca="1">SUM(E290,E293,E295)</f>
        <v>900</v>
      </c>
      <c r="F296" s="13"/>
      <c r="G296" s="10"/>
      <c r="H296" s="1389"/>
      <c r="I296" s="168" t="e">
        <f ca="1">SUM(I290,I293)</f>
        <v>#REF!</v>
      </c>
      <c r="J296" s="170" t="e">
        <f ca="1">SUM(I296:I296)</f>
        <v>#REF!</v>
      </c>
    </row>
    <row r="297" spans="1:11" ht="15" customHeight="1" x14ac:dyDescent="0.25">
      <c r="E297" s="1"/>
      <c r="J297"/>
    </row>
    <row r="298" spans="1:11" ht="15" customHeight="1" x14ac:dyDescent="0.25">
      <c r="E298" s="1"/>
      <c r="J298"/>
    </row>
    <row r="299" spans="1:11" ht="15" customHeight="1" x14ac:dyDescent="0.25">
      <c r="A299"/>
      <c r="B299"/>
      <c r="C299"/>
      <c r="D299"/>
      <c r="E299" s="19"/>
      <c r="F299"/>
      <c r="G299" s="10"/>
      <c r="H299"/>
      <c r="I299"/>
      <c r="J299" s="19"/>
      <c r="K299" s="1"/>
    </row>
    <row r="300" spans="1:11" ht="15" customHeight="1" x14ac:dyDescent="0.25">
      <c r="A300"/>
      <c r="B300"/>
      <c r="C300"/>
      <c r="D300"/>
      <c r="E300" s="19"/>
      <c r="F300"/>
      <c r="G300" s="10"/>
      <c r="H300"/>
      <c r="I300"/>
      <c r="J300" s="19"/>
      <c r="K300" s="1"/>
    </row>
    <row r="301" spans="1:11" ht="15" customHeight="1" x14ac:dyDescent="0.25">
      <c r="A301"/>
      <c r="B301"/>
      <c r="D301"/>
      <c r="E301" s="19"/>
      <c r="F301"/>
      <c r="G301" s="10"/>
      <c r="H301"/>
      <c r="I301"/>
      <c r="J301" s="19"/>
      <c r="K301" s="1"/>
    </row>
    <row r="302" spans="1:11" ht="15" customHeight="1" x14ac:dyDescent="0.25">
      <c r="A302"/>
      <c r="B302"/>
      <c r="D302"/>
      <c r="E302" s="19"/>
      <c r="F302"/>
      <c r="G302" s="10"/>
      <c r="H302"/>
      <c r="I302"/>
      <c r="J302" s="19"/>
      <c r="K302" s="1"/>
    </row>
    <row r="303" spans="1:11" ht="15" customHeight="1" x14ac:dyDescent="0.25">
      <c r="A303"/>
      <c r="B303"/>
      <c r="D303"/>
      <c r="E303" s="19"/>
      <c r="F303"/>
      <c r="G303" s="10"/>
      <c r="H303"/>
      <c r="I303"/>
      <c r="J303" s="19"/>
      <c r="K303" s="1"/>
    </row>
    <row r="304" spans="1:11" ht="15" customHeight="1" x14ac:dyDescent="0.25">
      <c r="A304"/>
      <c r="B304"/>
      <c r="D304"/>
      <c r="E304" s="19"/>
      <c r="F304"/>
      <c r="G304" s="10"/>
      <c r="H304"/>
      <c r="I304"/>
      <c r="J304" s="19"/>
      <c r="K304" s="1"/>
    </row>
    <row r="305" spans="5:11" ht="15" customHeight="1" x14ac:dyDescent="0.25">
      <c r="E305" s="19"/>
      <c r="F305"/>
      <c r="G305" s="10"/>
      <c r="H305"/>
      <c r="J305" s="19"/>
      <c r="K305" s="1"/>
    </row>
    <row r="306" spans="5:11" ht="15" customHeight="1" x14ac:dyDescent="0.25">
      <c r="E306" s="19"/>
      <c r="H306"/>
      <c r="J306" s="19"/>
      <c r="K306" s="1"/>
    </row>
  </sheetData>
  <mergeCells count="55">
    <mergeCell ref="B277:B278"/>
    <mergeCell ref="B281:B282"/>
    <mergeCell ref="B253:B254"/>
    <mergeCell ref="B257:B258"/>
    <mergeCell ref="B261:B262"/>
    <mergeCell ref="B265:B266"/>
    <mergeCell ref="B269:B270"/>
    <mergeCell ref="B273:B274"/>
    <mergeCell ref="B249:B250"/>
    <mergeCell ref="B199:B201"/>
    <mergeCell ref="B202:B204"/>
    <mergeCell ref="B205:B207"/>
    <mergeCell ref="B208:B210"/>
    <mergeCell ref="B211:B213"/>
    <mergeCell ref="B225:B226"/>
    <mergeCell ref="B229:B230"/>
    <mergeCell ref="B233:B234"/>
    <mergeCell ref="B237:B238"/>
    <mergeCell ref="B241:B242"/>
    <mergeCell ref="B245:B246"/>
    <mergeCell ref="B196:B198"/>
    <mergeCell ref="A157:E157"/>
    <mergeCell ref="F158:G158"/>
    <mergeCell ref="A166:E166"/>
    <mergeCell ref="F167:G167"/>
    <mergeCell ref="F180:G183"/>
    <mergeCell ref="B184:B186"/>
    <mergeCell ref="B187:B189"/>
    <mergeCell ref="B190:B192"/>
    <mergeCell ref="B193:B195"/>
    <mergeCell ref="I167:J167"/>
    <mergeCell ref="A171:E171"/>
    <mergeCell ref="B117:C117"/>
    <mergeCell ref="B133:C133"/>
    <mergeCell ref="B134:B148"/>
    <mergeCell ref="B149:C149"/>
    <mergeCell ref="B150:B152"/>
    <mergeCell ref="B153:C153"/>
    <mergeCell ref="B102:B116"/>
    <mergeCell ref="B44:C44"/>
    <mergeCell ref="F46:G46"/>
    <mergeCell ref="B62:C62"/>
    <mergeCell ref="B63:B66"/>
    <mergeCell ref="F63:G63"/>
    <mergeCell ref="B67:B77"/>
    <mergeCell ref="B78:C78"/>
    <mergeCell ref="F78:G78"/>
    <mergeCell ref="B79:B81"/>
    <mergeCell ref="B82:C82"/>
    <mergeCell ref="B87:B101"/>
    <mergeCell ref="B29:B43"/>
    <mergeCell ref="F11:H12"/>
    <mergeCell ref="I11:J11"/>
    <mergeCell ref="F13:G14"/>
    <mergeCell ref="B14:B28"/>
  </mergeCells>
  <conditionalFormatting sqref="F62">
    <cfRule type="expression" dxfId="136" priority="6">
      <formula>IF(E62=F62,"","ERROR")</formula>
    </cfRule>
  </conditionalFormatting>
  <conditionalFormatting sqref="E184 E187 E208 E211">
    <cfRule type="cellIs" dxfId="135" priority="5" operator="greaterThan">
      <formula>25000</formula>
    </cfRule>
  </conditionalFormatting>
  <conditionalFormatting sqref="E202 E205">
    <cfRule type="cellIs" dxfId="134" priority="4" operator="greaterThan">
      <formula>25000</formula>
    </cfRule>
  </conditionalFormatting>
  <conditionalFormatting sqref="E196 E199">
    <cfRule type="cellIs" dxfId="133" priority="3" operator="greaterThan">
      <formula>25000</formula>
    </cfRule>
  </conditionalFormatting>
  <conditionalFormatting sqref="E190 E193">
    <cfRule type="cellIs" dxfId="132" priority="2" operator="greaterThan">
      <formula>25000</formula>
    </cfRule>
  </conditionalFormatting>
  <conditionalFormatting sqref="F7">
    <cfRule type="expression" dxfId="131" priority="1">
      <formula>$F$7&gt;($F$8-$F$7)</formula>
    </cfRule>
  </conditionalFormatting>
  <dataValidations disablePrompts="1" count="1">
    <dataValidation type="list" allowBlank="1" showInputMessage="1" showErrorMessage="1" prompt="Select MTDC or TDC" sqref="C292" xr:uid="{8F541FF5-F790-42CF-816F-A5BDC6428593}">
      <formula1>FA_Base</formula1>
    </dataValidation>
  </dataValidations>
  <pageMargins left="0.25" right="0.25" top="0.38" bottom="0.32" header="0.17" footer="0.3"/>
  <pageSetup paperSize="17" fitToWidth="0" orientation="landscape" r:id="rId1"/>
  <headerFooter>
    <oddHeader xml:space="preserve">&amp;C&amp;"-,Bold"Budget Template - Revised &amp;D &amp;T </oddHead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
  <sheetViews>
    <sheetView workbookViewId="0">
      <selection activeCell="A34" sqref="A34"/>
    </sheetView>
  </sheetViews>
  <sheetFormatPr defaultRowHeight="15" x14ac:dyDescent="0.25"/>
  <cols>
    <col min="46" max="46" width="6.28515625" customWidth="1"/>
  </cols>
  <sheetData/>
  <pageMargins left="0.5" right="0.5" top="0.5" bottom="0.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tabColor theme="3" tint="0.59999389629810485"/>
  </sheetPr>
  <dimension ref="A1:AF203"/>
  <sheetViews>
    <sheetView showGridLines="0" zoomScaleNormal="100" workbookViewId="0"/>
  </sheetViews>
  <sheetFormatPr defaultColWidth="8.85546875" defaultRowHeight="15" x14ac:dyDescent="0.25"/>
  <cols>
    <col min="1" max="1" width="27.5703125" style="40" customWidth="1"/>
    <col min="2" max="2" width="11.7109375" customWidth="1"/>
    <col min="3" max="4" width="11.7109375" hidden="1" customWidth="1"/>
    <col min="5" max="5" width="12.7109375" hidden="1" customWidth="1"/>
    <col min="6" max="7" width="11.7109375" hidden="1" customWidth="1"/>
    <col min="8" max="8" width="11.7109375" customWidth="1"/>
    <col min="9" max="9" width="8.85546875" hidden="1" customWidth="1"/>
    <col min="10" max="10" width="27.42578125" hidden="1" customWidth="1"/>
    <col min="11" max="17" width="11.7109375" hidden="1" customWidth="1"/>
    <col min="18" max="18" width="11.7109375" style="509" hidden="1" customWidth="1"/>
    <col min="19" max="19" width="11.7109375" hidden="1" customWidth="1"/>
    <col min="20" max="20" width="14" hidden="1" customWidth="1"/>
    <col min="22" max="22" width="20.5703125" customWidth="1"/>
    <col min="23" max="23" width="13.5703125" bestFit="1" customWidth="1"/>
    <col min="24" max="24" width="15.7109375" bestFit="1" customWidth="1"/>
    <col min="25" max="25" width="17.140625" bestFit="1" customWidth="1"/>
    <col min="26" max="26" width="21" customWidth="1"/>
    <col min="27" max="27" width="18" customWidth="1"/>
  </cols>
  <sheetData>
    <row r="1" spans="1:27" ht="21" x14ac:dyDescent="0.35">
      <c r="A1" s="1579" t="s">
        <v>356</v>
      </c>
    </row>
    <row r="2" spans="1:27" ht="21" x14ac:dyDescent="0.35">
      <c r="A2" s="1579" t="s">
        <v>355</v>
      </c>
      <c r="V2" s="1157" t="s">
        <v>306</v>
      </c>
      <c r="W2" s="1151"/>
      <c r="X2" s="1151"/>
      <c r="Y2" s="1152"/>
    </row>
    <row r="3" spans="1:27" ht="18.75" x14ac:dyDescent="0.3">
      <c r="A3" s="2623" t="s">
        <v>1094</v>
      </c>
      <c r="V3" s="505" t="s">
        <v>307</v>
      </c>
      <c r="W3" s="516" t="s">
        <v>308</v>
      </c>
      <c r="X3" s="516" t="s">
        <v>309</v>
      </c>
      <c r="Y3" s="516" t="s">
        <v>310</v>
      </c>
    </row>
    <row r="4" spans="1:27" ht="24" thickBot="1" x14ac:dyDescent="0.4">
      <c r="A4" s="327">
        <v>1</v>
      </c>
      <c r="B4" s="682" t="s">
        <v>305</v>
      </c>
      <c r="C4" s="681"/>
      <c r="D4" s="681"/>
      <c r="F4" s="681"/>
      <c r="G4" s="681"/>
      <c r="H4" s="681"/>
      <c r="J4" s="681" t="s">
        <v>222</v>
      </c>
      <c r="K4" s="681"/>
      <c r="L4" s="681"/>
      <c r="M4" s="681"/>
      <c r="N4" s="681"/>
      <c r="O4" s="681"/>
      <c r="P4" s="681"/>
      <c r="Q4" s="681"/>
      <c r="V4" s="520" t="str">
        <f>Budget!$J$304</f>
        <v/>
      </c>
      <c r="W4" s="717">
        <f ca="1">Budget!$K$304</f>
        <v>0</v>
      </c>
      <c r="X4" s="522">
        <f ca="1">Budget!$L$304</f>
        <v>0</v>
      </c>
      <c r="Y4" s="522">
        <f ca="1">Budget!$M$304</f>
        <v>0</v>
      </c>
    </row>
    <row r="5" spans="1:27" ht="15.75" thickBot="1" x14ac:dyDescent="0.3">
      <c r="A5" s="650" t="str">
        <f ca="1">'Calc - SENIOR PERS'!B6</f>
        <v>Virag Mishra</v>
      </c>
      <c r="B5" s="673" t="str">
        <f ca="1">'Calc - SENIOR PERS'!B7</f>
        <v>COE</v>
      </c>
      <c r="C5" s="673"/>
      <c r="D5" s="673"/>
      <c r="E5" s="675"/>
      <c r="F5" s="675"/>
      <c r="G5" s="650"/>
      <c r="H5" s="708"/>
      <c r="J5" s="676" t="str">
        <f ca="1">A5</f>
        <v>Virag Mishra</v>
      </c>
      <c r="K5" s="674" t="str">
        <f ca="1">B5</f>
        <v>COE</v>
      </c>
      <c r="L5" s="674"/>
      <c r="M5" s="709"/>
      <c r="N5" s="515"/>
      <c r="O5" s="674"/>
      <c r="P5" s="674"/>
      <c r="Q5" s="710"/>
      <c r="S5" s="3484" t="s">
        <v>170</v>
      </c>
      <c r="T5" s="3485"/>
      <c r="V5" s="523" t="str">
        <f>Budget!$J$305</f>
        <v/>
      </c>
      <c r="W5" s="713">
        <f ca="1">Budget!$K$305</f>
        <v>0</v>
      </c>
      <c r="X5" s="525">
        <f ca="1">Budget!$L$305</f>
        <v>0</v>
      </c>
      <c r="Y5" s="525">
        <f ca="1">Budget!$M$305</f>
        <v>0</v>
      </c>
    </row>
    <row r="6" spans="1:27" ht="15.75" thickBot="1" x14ac:dyDescent="0.3">
      <c r="A6" s="1580"/>
      <c r="B6" s="517" t="s">
        <v>106</v>
      </c>
      <c r="C6" s="517" t="s">
        <v>0</v>
      </c>
      <c r="D6" s="517" t="s">
        <v>1</v>
      </c>
      <c r="E6" s="517" t="s">
        <v>2</v>
      </c>
      <c r="F6" s="517" t="s">
        <v>16</v>
      </c>
      <c r="G6" s="517" t="s">
        <v>105</v>
      </c>
      <c r="H6" s="518" t="s">
        <v>170</v>
      </c>
      <c r="J6" s="711"/>
      <c r="K6" s="519" t="s">
        <v>106</v>
      </c>
      <c r="L6" s="633" t="s">
        <v>0</v>
      </c>
      <c r="M6" s="633" t="s">
        <v>1</v>
      </c>
      <c r="N6" s="633" t="s">
        <v>2</v>
      </c>
      <c r="O6" s="633" t="s">
        <v>16</v>
      </c>
      <c r="P6" s="633" t="s">
        <v>105</v>
      </c>
      <c r="Q6" s="519" t="s">
        <v>170</v>
      </c>
      <c r="S6" s="633" t="s">
        <v>62</v>
      </c>
      <c r="T6" s="519" t="s">
        <v>311</v>
      </c>
      <c r="V6" s="526" t="str">
        <f>Budget!$J$306</f>
        <v/>
      </c>
      <c r="W6" s="721">
        <f ca="1">Budget!$K$306</f>
        <v>0</v>
      </c>
      <c r="X6" s="528">
        <f ca="1">Budget!$L$306</f>
        <v>0</v>
      </c>
      <c r="Y6" s="528">
        <f ca="1">Budget!$M$306</f>
        <v>0</v>
      </c>
    </row>
    <row r="7" spans="1:27" x14ac:dyDescent="0.25">
      <c r="A7" s="1581" t="s">
        <v>110</v>
      </c>
      <c r="B7" s="1481"/>
      <c r="C7" s="1481"/>
      <c r="D7" s="1481"/>
      <c r="E7" s="1481"/>
      <c r="F7" s="1481"/>
      <c r="G7" s="1481"/>
      <c r="H7" s="1482">
        <f t="shared" ref="H7:H21" si="0">SUM(B7:G7)</f>
        <v>0</v>
      </c>
      <c r="J7" s="712" t="s">
        <v>110</v>
      </c>
      <c r="K7" s="1483"/>
      <c r="L7" s="1484"/>
      <c r="M7" s="1484"/>
      <c r="N7" s="1484"/>
      <c r="O7" s="1484"/>
      <c r="P7" s="1484"/>
      <c r="Q7" s="1482">
        <f t="shared" ref="Q7:Q21" si="1">SUM(K7:P7)</f>
        <v>0</v>
      </c>
      <c r="S7" s="1485">
        <f t="shared" ref="S7:S21" si="2">H7</f>
        <v>0</v>
      </c>
      <c r="T7" s="1486">
        <f t="shared" ref="T7:T21" si="3">Q7</f>
        <v>0</v>
      </c>
      <c r="V7" s="529" t="str">
        <f>Budget!$J$307</f>
        <v/>
      </c>
      <c r="W7" s="716">
        <f ca="1">Budget!$K$307</f>
        <v>0</v>
      </c>
      <c r="X7" s="531">
        <f ca="1">Budget!$L$307</f>
        <v>0</v>
      </c>
      <c r="Y7" s="531">
        <f ca="1">Budget!$M$307</f>
        <v>0</v>
      </c>
    </row>
    <row r="8" spans="1:27" x14ac:dyDescent="0.25">
      <c r="A8" s="1582" t="s">
        <v>133</v>
      </c>
      <c r="B8" s="1487"/>
      <c r="C8" s="1487"/>
      <c r="D8" s="1487"/>
      <c r="E8" s="1487"/>
      <c r="F8" s="1487"/>
      <c r="G8" s="1487"/>
      <c r="H8" s="1488">
        <f t="shared" si="0"/>
        <v>0</v>
      </c>
      <c r="J8" s="712" t="s">
        <v>133</v>
      </c>
      <c r="K8" s="1489"/>
      <c r="L8" s="1490"/>
      <c r="M8" s="1490"/>
      <c r="N8" s="1490"/>
      <c r="O8" s="1490"/>
      <c r="P8" s="1490"/>
      <c r="Q8" s="1488">
        <f t="shared" si="1"/>
        <v>0</v>
      </c>
      <c r="S8" s="1491">
        <f t="shared" si="2"/>
        <v>0</v>
      </c>
      <c r="T8" s="1488">
        <f t="shared" si="3"/>
        <v>0</v>
      </c>
      <c r="V8" s="532" t="str">
        <f>Budget!$J$308</f>
        <v/>
      </c>
      <c r="W8" s="718">
        <f ca="1">Budget!$K$308</f>
        <v>0</v>
      </c>
      <c r="X8" s="534">
        <f ca="1">Budget!$L$308</f>
        <v>0</v>
      </c>
      <c r="Y8" s="534">
        <f ca="1">Budget!$M$308</f>
        <v>0</v>
      </c>
    </row>
    <row r="9" spans="1:27" x14ac:dyDescent="0.25">
      <c r="A9" s="1582" t="s">
        <v>136</v>
      </c>
      <c r="B9" s="1487"/>
      <c r="C9" s="1487"/>
      <c r="D9" s="1487"/>
      <c r="E9" s="1487"/>
      <c r="F9" s="1487"/>
      <c r="G9" s="1487"/>
      <c r="H9" s="1488">
        <f t="shared" si="0"/>
        <v>0</v>
      </c>
      <c r="J9" s="712" t="s">
        <v>136</v>
      </c>
      <c r="K9" s="1489"/>
      <c r="L9" s="1490"/>
      <c r="M9" s="1490"/>
      <c r="N9" s="1490"/>
      <c r="O9" s="1490"/>
      <c r="P9" s="1490"/>
      <c r="Q9" s="1488">
        <f t="shared" si="1"/>
        <v>0</v>
      </c>
      <c r="S9" s="1491">
        <f t="shared" si="2"/>
        <v>0</v>
      </c>
      <c r="T9" s="1488">
        <f t="shared" si="3"/>
        <v>0</v>
      </c>
      <c r="V9" s="535" t="str">
        <f>Budget!$J$309</f>
        <v/>
      </c>
      <c r="W9" s="715">
        <f ca="1">Budget!$K$309</f>
        <v>0</v>
      </c>
      <c r="X9" s="537">
        <f ca="1">Budget!$L$309</f>
        <v>0</v>
      </c>
      <c r="Y9" s="537">
        <f ca="1">Budget!$M$309</f>
        <v>0</v>
      </c>
    </row>
    <row r="10" spans="1:27" x14ac:dyDescent="0.25">
      <c r="A10" s="1582" t="s">
        <v>146</v>
      </c>
      <c r="B10" s="1487"/>
      <c r="C10" s="1487"/>
      <c r="D10" s="1487"/>
      <c r="E10" s="1487"/>
      <c r="F10" s="1487"/>
      <c r="G10" s="1487"/>
      <c r="H10" s="1488">
        <f t="shared" si="0"/>
        <v>0</v>
      </c>
      <c r="J10" s="712" t="s">
        <v>146</v>
      </c>
      <c r="K10" s="1489"/>
      <c r="L10" s="1490"/>
      <c r="M10" s="1490"/>
      <c r="N10" s="1490"/>
      <c r="O10" s="1490"/>
      <c r="P10" s="1490"/>
      <c r="Q10" s="1488">
        <f t="shared" si="1"/>
        <v>0</v>
      </c>
      <c r="S10" s="1491">
        <f t="shared" si="2"/>
        <v>0</v>
      </c>
      <c r="T10" s="1488">
        <f t="shared" si="3"/>
        <v>0</v>
      </c>
      <c r="V10" s="1158" t="str">
        <f>Budget!$J$310</f>
        <v>OSU Unrecovered F&amp;A</v>
      </c>
      <c r="W10" s="1492">
        <f>Budget!$K$310</f>
        <v>0</v>
      </c>
      <c r="X10" s="1159">
        <f ca="1">Budget!$L$310</f>
        <v>0</v>
      </c>
      <c r="Y10" s="1159">
        <f ca="1">Budget!$M$310</f>
        <v>0</v>
      </c>
    </row>
    <row r="11" spans="1:27" x14ac:dyDescent="0.25">
      <c r="A11" s="1582" t="s">
        <v>12</v>
      </c>
      <c r="B11" s="1487"/>
      <c r="C11" s="1487"/>
      <c r="D11" s="1487"/>
      <c r="E11" s="1487"/>
      <c r="F11" s="1487"/>
      <c r="G11" s="1487"/>
      <c r="H11" s="1488">
        <f t="shared" si="0"/>
        <v>0</v>
      </c>
      <c r="J11" s="712" t="s">
        <v>12</v>
      </c>
      <c r="K11" s="1489"/>
      <c r="L11" s="1490"/>
      <c r="M11" s="1490"/>
      <c r="N11" s="1490"/>
      <c r="O11" s="1490"/>
      <c r="P11" s="1490"/>
      <c r="Q11" s="1488">
        <f t="shared" si="1"/>
        <v>0</v>
      </c>
      <c r="S11" s="1491">
        <f t="shared" si="2"/>
        <v>0</v>
      </c>
      <c r="T11" s="1488">
        <f t="shared" si="3"/>
        <v>0</v>
      </c>
      <c r="V11" s="538" t="s">
        <v>139</v>
      </c>
      <c r="W11" s="1493">
        <f ca="1">SUM(W4:W9)</f>
        <v>0</v>
      </c>
      <c r="X11" s="539">
        <f ca="1">SUM(X4:X9)</f>
        <v>0</v>
      </c>
      <c r="Y11" s="539">
        <f ca="1">SUM(Y4:Y9)</f>
        <v>0</v>
      </c>
    </row>
    <row r="12" spans="1:27" ht="15.75" thickBot="1" x14ac:dyDescent="0.3">
      <c r="A12" s="1582" t="s">
        <v>159</v>
      </c>
      <c r="B12" s="1487"/>
      <c r="C12" s="1487"/>
      <c r="D12" s="1487"/>
      <c r="E12" s="1487"/>
      <c r="F12" s="1487"/>
      <c r="G12" s="1487"/>
      <c r="H12" s="1488">
        <f t="shared" si="0"/>
        <v>0</v>
      </c>
      <c r="J12" s="712" t="s">
        <v>159</v>
      </c>
      <c r="K12" s="1489"/>
      <c r="L12" s="1490"/>
      <c r="M12" s="1490"/>
      <c r="N12" s="1490"/>
      <c r="O12" s="1490"/>
      <c r="P12" s="1490"/>
      <c r="Q12" s="1488">
        <f t="shared" si="1"/>
        <v>0</v>
      </c>
      <c r="S12" s="1491">
        <f t="shared" si="2"/>
        <v>0</v>
      </c>
      <c r="T12" s="1488">
        <f t="shared" si="3"/>
        <v>0</v>
      </c>
    </row>
    <row r="13" spans="1:27" x14ac:dyDescent="0.25">
      <c r="A13" s="1582" t="s">
        <v>1037</v>
      </c>
      <c r="B13" s="1487"/>
      <c r="C13" s="1487"/>
      <c r="D13" s="1487"/>
      <c r="E13" s="1487"/>
      <c r="F13" s="1487"/>
      <c r="G13" s="1487"/>
      <c r="H13" s="1488">
        <f t="shared" si="0"/>
        <v>0</v>
      </c>
      <c r="J13" s="712" t="s">
        <v>1037</v>
      </c>
      <c r="K13" s="1489"/>
      <c r="L13" s="1490"/>
      <c r="M13" s="1490"/>
      <c r="N13" s="1490"/>
      <c r="O13" s="1490"/>
      <c r="P13" s="1490"/>
      <c r="Q13" s="1488">
        <f t="shared" si="1"/>
        <v>0</v>
      </c>
      <c r="S13" s="1491">
        <f t="shared" si="2"/>
        <v>0</v>
      </c>
      <c r="T13" s="1488">
        <f t="shared" si="3"/>
        <v>0</v>
      </c>
      <c r="V13" s="3477" t="s">
        <v>361</v>
      </c>
      <c r="W13" s="3478"/>
      <c r="X13" s="3478"/>
      <c r="Y13" s="3478"/>
      <c r="Z13" s="3478"/>
      <c r="AA13" s="3479"/>
    </row>
    <row r="14" spans="1:27" x14ac:dyDescent="0.25">
      <c r="A14" s="1582" t="s">
        <v>1038</v>
      </c>
      <c r="B14" s="1487"/>
      <c r="C14" s="1487"/>
      <c r="D14" s="1487"/>
      <c r="E14" s="1487"/>
      <c r="F14" s="1487"/>
      <c r="G14" s="1487"/>
      <c r="H14" s="1488">
        <f t="shared" si="0"/>
        <v>0</v>
      </c>
      <c r="J14" s="712" t="s">
        <v>1038</v>
      </c>
      <c r="K14" s="1489"/>
      <c r="L14" s="1490"/>
      <c r="M14" s="1490"/>
      <c r="N14" s="1490"/>
      <c r="O14" s="1490"/>
      <c r="P14" s="1490"/>
      <c r="Q14" s="1488">
        <f t="shared" si="1"/>
        <v>0</v>
      </c>
      <c r="S14" s="1491">
        <f t="shared" si="2"/>
        <v>0</v>
      </c>
      <c r="T14" s="1488">
        <f t="shared" si="3"/>
        <v>0</v>
      </c>
      <c r="V14" s="50" t="s">
        <v>145</v>
      </c>
      <c r="W14" s="505" t="s">
        <v>229</v>
      </c>
      <c r="X14" s="505" t="s">
        <v>228</v>
      </c>
      <c r="Y14" s="505" t="s">
        <v>230</v>
      </c>
      <c r="Z14" s="505" t="s">
        <v>312</v>
      </c>
      <c r="AA14" s="540" t="s">
        <v>313</v>
      </c>
    </row>
    <row r="15" spans="1:27" x14ac:dyDescent="0.25">
      <c r="A15" s="1582" t="s">
        <v>39</v>
      </c>
      <c r="B15" s="1487"/>
      <c r="C15" s="1487"/>
      <c r="D15" s="1487"/>
      <c r="E15" s="1487"/>
      <c r="F15" s="1487"/>
      <c r="G15" s="1487"/>
      <c r="H15" s="1488">
        <f t="shared" si="0"/>
        <v>0</v>
      </c>
      <c r="J15" s="712" t="s">
        <v>39</v>
      </c>
      <c r="K15" s="1489"/>
      <c r="L15" s="1490"/>
      <c r="M15" s="1490"/>
      <c r="N15" s="1490"/>
      <c r="O15" s="1490"/>
      <c r="P15" s="1490"/>
      <c r="Q15" s="1488">
        <f t="shared" si="1"/>
        <v>0</v>
      </c>
      <c r="S15" s="1491">
        <f t="shared" si="2"/>
        <v>0</v>
      </c>
      <c r="T15" s="1488">
        <f t="shared" si="3"/>
        <v>0</v>
      </c>
      <c r="V15" s="541" t="str">
        <f ca="1">A5</f>
        <v>Virag Mishra</v>
      </c>
      <c r="W15" s="713">
        <f>H21</f>
        <v>0</v>
      </c>
      <c r="X15" s="713">
        <f>Q21</f>
        <v>0</v>
      </c>
      <c r="Y15" s="713">
        <f t="shared" ref="Y15:Y24" si="4">SUM(W15:X15)</f>
        <v>0</v>
      </c>
      <c r="Z15" s="220">
        <f t="shared" ref="Z15:Z24" si="5">IFERROR(X15/$Y$25,0)</f>
        <v>0</v>
      </c>
      <c r="AA15" s="542">
        <f t="shared" ref="AA15:AA24" si="6">IFERROR(X15/$W$25,0)</f>
        <v>0</v>
      </c>
    </row>
    <row r="16" spans="1:27" ht="15.75" thickBot="1" x14ac:dyDescent="0.3">
      <c r="A16" s="1583" t="s">
        <v>225</v>
      </c>
      <c r="B16" s="1494"/>
      <c r="C16" s="1494"/>
      <c r="D16" s="1494"/>
      <c r="E16" s="1494"/>
      <c r="F16" s="1494"/>
      <c r="G16" s="1494"/>
      <c r="H16" s="1495">
        <f t="shared" si="0"/>
        <v>0</v>
      </c>
      <c r="J16" s="743" t="s">
        <v>225</v>
      </c>
      <c r="K16" s="1496"/>
      <c r="L16" s="1497"/>
      <c r="M16" s="1497"/>
      <c r="N16" s="1497"/>
      <c r="O16" s="1497"/>
      <c r="P16" s="1497"/>
      <c r="Q16" s="1495">
        <f t="shared" si="1"/>
        <v>0</v>
      </c>
      <c r="S16" s="1498">
        <f t="shared" si="2"/>
        <v>0</v>
      </c>
      <c r="T16" s="1495">
        <f t="shared" si="3"/>
        <v>0</v>
      </c>
      <c r="V16" s="543">
        <f ca="1">A25</f>
        <v>0</v>
      </c>
      <c r="W16" s="714">
        <f>H41</f>
        <v>0</v>
      </c>
      <c r="X16" s="714">
        <f>Q41</f>
        <v>0</v>
      </c>
      <c r="Y16" s="714">
        <f t="shared" si="4"/>
        <v>0</v>
      </c>
      <c r="Z16" s="476">
        <f t="shared" si="5"/>
        <v>0</v>
      </c>
      <c r="AA16" s="544">
        <f t="shared" si="6"/>
        <v>0</v>
      </c>
    </row>
    <row r="17" spans="1:32" x14ac:dyDescent="0.25">
      <c r="A17" s="1584" t="s">
        <v>226</v>
      </c>
      <c r="B17" s="1499">
        <f t="shared" ref="B17:G17" si="7">SUM(B7:B16)</f>
        <v>0</v>
      </c>
      <c r="C17" s="1499">
        <f t="shared" si="7"/>
        <v>0</v>
      </c>
      <c r="D17" s="1499">
        <f t="shared" si="7"/>
        <v>0</v>
      </c>
      <c r="E17" s="1499">
        <f t="shared" si="7"/>
        <v>0</v>
      </c>
      <c r="F17" s="1499">
        <f t="shared" si="7"/>
        <v>0</v>
      </c>
      <c r="G17" s="1499">
        <f t="shared" si="7"/>
        <v>0</v>
      </c>
      <c r="H17" s="1482">
        <f t="shared" si="0"/>
        <v>0</v>
      </c>
      <c r="J17" s="744" t="s">
        <v>226</v>
      </c>
      <c r="K17" s="1482">
        <f t="shared" ref="K17:P17" si="8">SUM(K7:K16)</f>
        <v>0</v>
      </c>
      <c r="L17" s="1500">
        <f t="shared" si="8"/>
        <v>0</v>
      </c>
      <c r="M17" s="1500">
        <f t="shared" si="8"/>
        <v>0</v>
      </c>
      <c r="N17" s="1500">
        <f t="shared" si="8"/>
        <v>0</v>
      </c>
      <c r="O17" s="1500">
        <f t="shared" si="8"/>
        <v>0</v>
      </c>
      <c r="P17" s="1500">
        <f t="shared" si="8"/>
        <v>0</v>
      </c>
      <c r="Q17" s="1482">
        <f t="shared" si="1"/>
        <v>0</v>
      </c>
      <c r="S17" s="1499">
        <f t="shared" si="2"/>
        <v>0</v>
      </c>
      <c r="T17" s="1482">
        <f t="shared" si="3"/>
        <v>0</v>
      </c>
      <c r="V17" s="545">
        <f ca="1">A45</f>
        <v>0</v>
      </c>
      <c r="W17" s="715">
        <f>H61</f>
        <v>0</v>
      </c>
      <c r="X17" s="715">
        <f>Q61</f>
        <v>0</v>
      </c>
      <c r="Y17" s="715">
        <f t="shared" si="4"/>
        <v>0</v>
      </c>
      <c r="Z17" s="224">
        <f t="shared" si="5"/>
        <v>0</v>
      </c>
      <c r="AA17" s="546">
        <f t="shared" si="6"/>
        <v>0</v>
      </c>
    </row>
    <row r="18" spans="1:32" x14ac:dyDescent="0.25">
      <c r="A18" s="1585" t="s">
        <v>131</v>
      </c>
      <c r="B18" s="1501">
        <f t="shared" ref="B18:G18" si="9">SUM(B10,B12,B14,B16)*-1</f>
        <v>0</v>
      </c>
      <c r="C18" s="1501">
        <f t="shared" si="9"/>
        <v>0</v>
      </c>
      <c r="D18" s="1501">
        <f t="shared" si="9"/>
        <v>0</v>
      </c>
      <c r="E18" s="1501">
        <f t="shared" si="9"/>
        <v>0</v>
      </c>
      <c r="F18" s="1501">
        <f t="shared" si="9"/>
        <v>0</v>
      </c>
      <c r="G18" s="1501">
        <f t="shared" si="9"/>
        <v>0</v>
      </c>
      <c r="H18" s="1502">
        <f t="shared" si="0"/>
        <v>0</v>
      </c>
      <c r="J18" s="745" t="s">
        <v>131</v>
      </c>
      <c r="K18" s="1502">
        <f t="shared" ref="K18:P18" si="10">SUM(K10,K12,K14,K16)*-1</f>
        <v>0</v>
      </c>
      <c r="L18" s="1503">
        <f t="shared" si="10"/>
        <v>0</v>
      </c>
      <c r="M18" s="1503">
        <f t="shared" si="10"/>
        <v>0</v>
      </c>
      <c r="N18" s="1503">
        <f t="shared" si="10"/>
        <v>0</v>
      </c>
      <c r="O18" s="1503">
        <f t="shared" si="10"/>
        <v>0</v>
      </c>
      <c r="P18" s="1503">
        <f t="shared" si="10"/>
        <v>0</v>
      </c>
      <c r="Q18" s="1502">
        <f t="shared" si="1"/>
        <v>0</v>
      </c>
      <c r="S18" s="1501">
        <f t="shared" si="2"/>
        <v>0</v>
      </c>
      <c r="T18" s="1502">
        <f t="shared" si="3"/>
        <v>0</v>
      </c>
      <c r="V18" s="547">
        <f ca="1">A65</f>
        <v>0</v>
      </c>
      <c r="W18" s="716">
        <f>H81</f>
        <v>0</v>
      </c>
      <c r="X18" s="716">
        <f>Q81</f>
        <v>0</v>
      </c>
      <c r="Y18" s="716">
        <f t="shared" si="4"/>
        <v>0</v>
      </c>
      <c r="Z18" s="222">
        <f t="shared" si="5"/>
        <v>0</v>
      </c>
      <c r="AA18" s="548">
        <f t="shared" si="6"/>
        <v>0</v>
      </c>
    </row>
    <row r="19" spans="1:32" x14ac:dyDescent="0.25">
      <c r="A19" s="1586" t="s">
        <v>358</v>
      </c>
      <c r="B19" s="1504">
        <f>IF(Budget!$C$292='Reference Sheet'!$A$26,SUM(B17:B18),(B17-B14))</f>
        <v>0</v>
      </c>
      <c r="C19" s="1504">
        <f>IF(Budget!$C$292='Reference Sheet'!$A$26,SUM(C17:C18),(C17-C14))</f>
        <v>0</v>
      </c>
      <c r="D19" s="1504">
        <f>IF(Budget!$C$292='Reference Sheet'!$A$26,SUM(D17:D18),(D17-D14))</f>
        <v>0</v>
      </c>
      <c r="E19" s="1504">
        <f>IF(Budget!$C$292='Reference Sheet'!$A$26,SUM(E17:E18),(E17-E14))</f>
        <v>0</v>
      </c>
      <c r="F19" s="1504">
        <f>IF(Budget!$C$292='Reference Sheet'!$A$26,SUM(F17:F18),(F17-F14))</f>
        <v>0</v>
      </c>
      <c r="G19" s="1504">
        <f>IF(Budget!$C$292='Reference Sheet'!$A$26,SUM(G17:G18),(G17-G14))</f>
        <v>0</v>
      </c>
      <c r="H19" s="1505">
        <f t="shared" si="0"/>
        <v>0</v>
      </c>
      <c r="J19" s="746" t="s">
        <v>358</v>
      </c>
      <c r="K19" s="1504">
        <f>IF(Budget!$C$292='Reference Sheet'!$A$26,SUM(K17:K18),(K17-K14))</f>
        <v>0</v>
      </c>
      <c r="L19" s="1504">
        <f>IF(Budget!$C$292='Reference Sheet'!$A$26,SUM(L17:L18),(L17-L14))</f>
        <v>0</v>
      </c>
      <c r="M19" s="1504">
        <f>IF(Budget!$C$292='Reference Sheet'!$A$26,SUM(M17:M18),(M17-M14))</f>
        <v>0</v>
      </c>
      <c r="N19" s="1504">
        <f>IF(Budget!$C$292='Reference Sheet'!$A$26,SUM(N17:N18),(N17-N14))</f>
        <v>0</v>
      </c>
      <c r="O19" s="1504">
        <f>IF(Budget!$C$292='Reference Sheet'!$A$26,SUM(O17:O18),(O17-O14))</f>
        <v>0</v>
      </c>
      <c r="P19" s="1504">
        <f>IF(Budget!$C$292='Reference Sheet'!$A$26,SUM(P17:P18),(P17-P14))</f>
        <v>0</v>
      </c>
      <c r="Q19" s="1505">
        <f t="shared" si="1"/>
        <v>0</v>
      </c>
      <c r="S19" s="1504">
        <f t="shared" si="2"/>
        <v>0</v>
      </c>
      <c r="T19" s="1505">
        <f t="shared" si="3"/>
        <v>0</v>
      </c>
      <c r="V19" s="549">
        <f ca="1">A85</f>
        <v>0</v>
      </c>
      <c r="W19" s="717">
        <f>H101</f>
        <v>0</v>
      </c>
      <c r="X19" s="717">
        <f>Q101</f>
        <v>0</v>
      </c>
      <c r="Y19" s="717">
        <f t="shared" si="4"/>
        <v>0</v>
      </c>
      <c r="Z19" s="219">
        <f t="shared" si="5"/>
        <v>0</v>
      </c>
      <c r="AA19" s="550">
        <f t="shared" si="6"/>
        <v>0</v>
      </c>
    </row>
    <row r="20" spans="1:32" ht="15.75" thickBot="1" x14ac:dyDescent="0.3">
      <c r="A20" s="1587" t="s">
        <v>359</v>
      </c>
      <c r="B20" s="1506">
        <f>Budget!$C$294*B19</f>
        <v>0</v>
      </c>
      <c r="C20" s="1506">
        <f>Budget!$C$294*C19</f>
        <v>0</v>
      </c>
      <c r="D20" s="1506">
        <f>Budget!$C$294*D19</f>
        <v>0</v>
      </c>
      <c r="E20" s="1506">
        <f>Budget!$C$294*E19</f>
        <v>0</v>
      </c>
      <c r="F20" s="1506">
        <f>Budget!$C$294*F19</f>
        <v>0</v>
      </c>
      <c r="G20" s="1506">
        <f>Budget!$C$294*G19</f>
        <v>0</v>
      </c>
      <c r="H20" s="1506">
        <f t="shared" si="0"/>
        <v>0</v>
      </c>
      <c r="J20" s="747" t="s">
        <v>359</v>
      </c>
      <c r="K20" s="1506">
        <f>Budget!C$294*K19</f>
        <v>0</v>
      </c>
      <c r="L20" s="1506">
        <f>Budget!D$294*L19</f>
        <v>0</v>
      </c>
      <c r="M20" s="1506">
        <f>Budget!E$294*M19</f>
        <v>0</v>
      </c>
      <c r="N20" s="1506">
        <f>Budget!F$294*N19</f>
        <v>0</v>
      </c>
      <c r="O20" s="1506">
        <f>Budget!G$294*O19</f>
        <v>0</v>
      </c>
      <c r="P20" s="1506">
        <f>Budget!H$294*P19</f>
        <v>0</v>
      </c>
      <c r="Q20" s="1506">
        <f t="shared" si="1"/>
        <v>0</v>
      </c>
      <c r="S20" s="1506">
        <f t="shared" si="2"/>
        <v>0</v>
      </c>
      <c r="T20" s="1506">
        <f t="shared" si="3"/>
        <v>0</v>
      </c>
      <c r="V20" s="551">
        <f ca="1">A105</f>
        <v>0</v>
      </c>
      <c r="W20" s="718">
        <f>H121</f>
        <v>0</v>
      </c>
      <c r="X20" s="718">
        <f>Q121</f>
        <v>0</v>
      </c>
      <c r="Y20" s="718">
        <f t="shared" si="4"/>
        <v>0</v>
      </c>
      <c r="Z20" s="223">
        <f t="shared" si="5"/>
        <v>0</v>
      </c>
      <c r="AA20" s="552">
        <f t="shared" si="6"/>
        <v>0</v>
      </c>
    </row>
    <row r="21" spans="1:32" ht="15.75" thickBot="1" x14ac:dyDescent="0.3">
      <c r="A21" s="1588" t="s">
        <v>170</v>
      </c>
      <c r="B21" s="1507">
        <f t="shared" ref="B21:G21" si="11">SUM(B17,B20)</f>
        <v>0</v>
      </c>
      <c r="C21" s="1507">
        <f t="shared" si="11"/>
        <v>0</v>
      </c>
      <c r="D21" s="1507">
        <f t="shared" si="11"/>
        <v>0</v>
      </c>
      <c r="E21" s="1507">
        <f t="shared" si="11"/>
        <v>0</v>
      </c>
      <c r="F21" s="1507">
        <f t="shared" si="11"/>
        <v>0</v>
      </c>
      <c r="G21" s="1507">
        <f t="shared" si="11"/>
        <v>0</v>
      </c>
      <c r="H21" s="1508">
        <f t="shared" si="0"/>
        <v>0</v>
      </c>
      <c r="J21" s="748" t="s">
        <v>170</v>
      </c>
      <c r="K21" s="1508">
        <f t="shared" ref="K21:P21" si="12">SUM(K17,K20)</f>
        <v>0</v>
      </c>
      <c r="L21" s="1509">
        <f t="shared" si="12"/>
        <v>0</v>
      </c>
      <c r="M21" s="1509">
        <f t="shared" si="12"/>
        <v>0</v>
      </c>
      <c r="N21" s="1509">
        <f t="shared" si="12"/>
        <v>0</v>
      </c>
      <c r="O21" s="1509">
        <f t="shared" si="12"/>
        <v>0</v>
      </c>
      <c r="P21" s="1509">
        <f t="shared" si="12"/>
        <v>0</v>
      </c>
      <c r="Q21" s="1508">
        <f t="shared" si="1"/>
        <v>0</v>
      </c>
      <c r="S21" s="1507">
        <f t="shared" si="2"/>
        <v>0</v>
      </c>
      <c r="T21" s="1508">
        <f t="shared" si="3"/>
        <v>0</v>
      </c>
      <c r="V21" s="553">
        <f ca="1">A125</f>
        <v>0</v>
      </c>
      <c r="W21" s="719">
        <f>H141</f>
        <v>0</v>
      </c>
      <c r="X21" s="719">
        <f>Q141</f>
        <v>0</v>
      </c>
      <c r="Y21" s="719">
        <f t="shared" si="4"/>
        <v>0</v>
      </c>
      <c r="Z21" s="477">
        <f t="shared" si="5"/>
        <v>0</v>
      </c>
      <c r="AA21" s="554">
        <f t="shared" si="6"/>
        <v>0</v>
      </c>
    </row>
    <row r="22" spans="1:32" ht="15.75" thickBot="1" x14ac:dyDescent="0.3">
      <c r="R22" s="672" t="s">
        <v>230</v>
      </c>
      <c r="S22" s="3480">
        <f>SUM(S21:T21)</f>
        <v>0</v>
      </c>
      <c r="T22" s="3481"/>
      <c r="V22" s="555">
        <f ca="1">A145</f>
        <v>0</v>
      </c>
      <c r="W22" s="720">
        <f>H161</f>
        <v>0</v>
      </c>
      <c r="X22" s="720">
        <f>Q161</f>
        <v>0</v>
      </c>
      <c r="Y22" s="720">
        <f t="shared" si="4"/>
        <v>0</v>
      </c>
      <c r="Z22" s="478">
        <f t="shared" si="5"/>
        <v>0</v>
      </c>
      <c r="AA22" s="556">
        <f t="shared" si="6"/>
        <v>0</v>
      </c>
    </row>
    <row r="23" spans="1:32" ht="15.75" thickBot="1" x14ac:dyDescent="0.3">
      <c r="R23" s="672" t="s">
        <v>360</v>
      </c>
      <c r="S23" s="3482">
        <f>IFERROR(T21/S22,0%)</f>
        <v>0</v>
      </c>
      <c r="T23" s="3483"/>
      <c r="V23" s="557">
        <f ca="1">A165</f>
        <v>0</v>
      </c>
      <c r="W23" s="721">
        <f>H181</f>
        <v>0</v>
      </c>
      <c r="X23" s="721">
        <f>Q181</f>
        <v>0</v>
      </c>
      <c r="Y23" s="721">
        <f t="shared" si="4"/>
        <v>0</v>
      </c>
      <c r="Z23" s="221">
        <f t="shared" si="5"/>
        <v>0</v>
      </c>
      <c r="AA23" s="558">
        <f t="shared" si="6"/>
        <v>0</v>
      </c>
    </row>
    <row r="24" spans="1:32" ht="24" thickBot="1" x14ac:dyDescent="0.4">
      <c r="A24" s="327">
        <v>2</v>
      </c>
      <c r="B24" s="681" t="s">
        <v>305</v>
      </c>
      <c r="C24" s="681"/>
      <c r="D24" s="681"/>
      <c r="E24" s="681"/>
      <c r="F24" s="681"/>
      <c r="G24" s="681"/>
      <c r="H24" s="681"/>
      <c r="J24" s="681" t="s">
        <v>222</v>
      </c>
      <c r="K24" s="681"/>
      <c r="L24" s="681"/>
      <c r="M24" s="681"/>
      <c r="N24" s="681"/>
      <c r="O24" s="681"/>
      <c r="P24" s="681"/>
      <c r="Q24" s="681"/>
      <c r="V24" s="559">
        <f ca="1">A185</f>
        <v>0</v>
      </c>
      <c r="W24" s="725">
        <f>H201</f>
        <v>0</v>
      </c>
      <c r="X24" s="725">
        <f>Q201</f>
        <v>0</v>
      </c>
      <c r="Y24" s="725">
        <f t="shared" si="4"/>
        <v>0</v>
      </c>
      <c r="Z24" s="479">
        <f t="shared" si="5"/>
        <v>0</v>
      </c>
      <c r="AA24" s="560">
        <f t="shared" si="6"/>
        <v>0</v>
      </c>
    </row>
    <row r="25" spans="1:32" ht="15.75" thickBot="1" x14ac:dyDescent="0.3">
      <c r="A25" s="648">
        <f ca="1">'Calc - SENIOR PERS'!B20</f>
        <v>0</v>
      </c>
      <c r="B25" s="648">
        <f ca="1">'Calc - SENIOR PERS'!B21</f>
        <v>0</v>
      </c>
      <c r="C25" s="677"/>
      <c r="D25" s="677"/>
      <c r="E25" s="678"/>
      <c r="F25" s="678"/>
      <c r="G25" s="678"/>
      <c r="H25" s="722"/>
      <c r="J25" s="680">
        <f ca="1">A25</f>
        <v>0</v>
      </c>
      <c r="K25" s="649">
        <f ca="1">B25</f>
        <v>0</v>
      </c>
      <c r="L25" s="679"/>
      <c r="M25" s="723"/>
      <c r="N25" s="561"/>
      <c r="O25" s="679"/>
      <c r="P25" s="679"/>
      <c r="Q25" s="724"/>
      <c r="S25" s="3196" t="s">
        <v>170</v>
      </c>
      <c r="T25" s="3198"/>
      <c r="V25" s="562" t="s">
        <v>85</v>
      </c>
      <c r="W25" s="563">
        <f>SUM(W15:W24)</f>
        <v>0</v>
      </c>
      <c r="X25" s="563">
        <f>SUM(X15:X24)</f>
        <v>0</v>
      </c>
      <c r="Y25" s="563">
        <f>SUM(Y15:Y24)</f>
        <v>0</v>
      </c>
      <c r="Z25" s="564">
        <f>SUM(Z15:Z24)</f>
        <v>0</v>
      </c>
      <c r="AA25" s="565">
        <f>SUM(AA15:AA24)</f>
        <v>0</v>
      </c>
    </row>
    <row r="26" spans="1:32" ht="15.75" thickBot="1" x14ac:dyDescent="0.3">
      <c r="A26" s="1580"/>
      <c r="B26" s="517" t="s">
        <v>106</v>
      </c>
      <c r="C26" s="517" t="s">
        <v>0</v>
      </c>
      <c r="D26" s="517" t="s">
        <v>1</v>
      </c>
      <c r="E26" s="517" t="s">
        <v>2</v>
      </c>
      <c r="F26" s="517" t="s">
        <v>16</v>
      </c>
      <c r="G26" s="517" t="s">
        <v>105</v>
      </c>
      <c r="H26" s="518" t="s">
        <v>170</v>
      </c>
      <c r="J26" s="711"/>
      <c r="K26" s="519" t="s">
        <v>106</v>
      </c>
      <c r="L26" s="633" t="s">
        <v>0</v>
      </c>
      <c r="M26" s="633" t="s">
        <v>1</v>
      </c>
      <c r="N26" s="633" t="s">
        <v>2</v>
      </c>
      <c r="O26" s="633" t="s">
        <v>16</v>
      </c>
      <c r="P26" s="633" t="s">
        <v>105</v>
      </c>
      <c r="Q26" s="519" t="s">
        <v>170</v>
      </c>
      <c r="S26" s="633" t="s">
        <v>62</v>
      </c>
      <c r="T26" s="519" t="s">
        <v>311</v>
      </c>
    </row>
    <row r="27" spans="1:32" ht="15.75" thickBot="1" x14ac:dyDescent="0.3">
      <c r="A27" s="1581" t="s">
        <v>110</v>
      </c>
      <c r="B27" s="1481"/>
      <c r="C27" s="1481"/>
      <c r="D27" s="1481"/>
      <c r="E27" s="1481"/>
      <c r="F27" s="1481"/>
      <c r="G27" s="1481"/>
      <c r="H27" s="1482">
        <f t="shared" ref="H27:H41" si="13">SUM(B27:G27)</f>
        <v>0</v>
      </c>
      <c r="J27" s="712" t="s">
        <v>110</v>
      </c>
      <c r="K27" s="1483"/>
      <c r="L27" s="1484"/>
      <c r="M27" s="1484"/>
      <c r="N27" s="1484"/>
      <c r="O27" s="1484"/>
      <c r="P27" s="1484"/>
      <c r="Q27" s="1482">
        <f t="shared" ref="Q27:Q41" si="14">SUM(K27:P27)</f>
        <v>0</v>
      </c>
      <c r="S27" s="1485">
        <f t="shared" ref="S27:S41" si="15">H27</f>
        <v>0</v>
      </c>
      <c r="T27" s="1486">
        <f t="shared" ref="T27:T41" si="16">Q27</f>
        <v>0</v>
      </c>
      <c r="V27" s="3442" t="s">
        <v>314</v>
      </c>
      <c r="W27" s="3443"/>
      <c r="X27" s="3443"/>
      <c r="Y27" s="3452"/>
      <c r="AF27" s="19"/>
    </row>
    <row r="28" spans="1:32" x14ac:dyDescent="0.25">
      <c r="A28" s="1582" t="s">
        <v>133</v>
      </c>
      <c r="B28" s="1487"/>
      <c r="C28" s="1487"/>
      <c r="D28" s="1487"/>
      <c r="E28" s="1487"/>
      <c r="F28" s="1487"/>
      <c r="G28" s="1487"/>
      <c r="H28" s="1488">
        <f t="shared" si="13"/>
        <v>0</v>
      </c>
      <c r="J28" s="712" t="s">
        <v>133</v>
      </c>
      <c r="K28" s="1489"/>
      <c r="L28" s="1490"/>
      <c r="M28" s="1490"/>
      <c r="N28" s="1490"/>
      <c r="O28" s="1490"/>
      <c r="P28" s="1490"/>
      <c r="Q28" s="1488">
        <f t="shared" si="14"/>
        <v>0</v>
      </c>
      <c r="S28" s="1491">
        <f t="shared" si="15"/>
        <v>0</v>
      </c>
      <c r="T28" s="1488">
        <f t="shared" si="16"/>
        <v>0</v>
      </c>
      <c r="V28" s="237" t="s">
        <v>315</v>
      </c>
      <c r="W28" s="566" t="s">
        <v>316</v>
      </c>
      <c r="X28" s="567" t="s">
        <v>317</v>
      </c>
      <c r="Y28" s="568" t="s">
        <v>318</v>
      </c>
      <c r="AC28" s="226"/>
      <c r="AD28" s="329"/>
      <c r="AE28" s="329"/>
      <c r="AF28" s="330"/>
    </row>
    <row r="29" spans="1:32" x14ac:dyDescent="0.25">
      <c r="A29" s="1582" t="s">
        <v>136</v>
      </c>
      <c r="B29" s="1487"/>
      <c r="C29" s="1487"/>
      <c r="D29" s="1487"/>
      <c r="E29" s="1487"/>
      <c r="F29" s="1487"/>
      <c r="G29" s="1487"/>
      <c r="H29" s="1488">
        <f t="shared" si="13"/>
        <v>0</v>
      </c>
      <c r="J29" s="712" t="s">
        <v>136</v>
      </c>
      <c r="K29" s="1489"/>
      <c r="L29" s="1490"/>
      <c r="M29" s="1490"/>
      <c r="N29" s="1490"/>
      <c r="O29" s="1490"/>
      <c r="P29" s="1490"/>
      <c r="Q29" s="1488">
        <f t="shared" si="14"/>
        <v>0</v>
      </c>
      <c r="S29" s="1491">
        <f t="shared" si="15"/>
        <v>0</v>
      </c>
      <c r="T29" s="1488">
        <f t="shared" si="16"/>
        <v>0</v>
      </c>
      <c r="V29" s="749" t="s">
        <v>221</v>
      </c>
      <c r="W29" s="1510">
        <f ca="1">Budget!J84</f>
        <v>33031.995999999999</v>
      </c>
      <c r="X29" s="1511">
        <f>SUM(H7:H8,H27:H28,H47:H48,H67:H68,H87:H88,H107:H108,H127:H128,H147:H148,H167:H168,H187:H188)</f>
        <v>0</v>
      </c>
      <c r="Y29" s="1512">
        <f t="shared" ref="Y29:Y38" ca="1" si="17">W29-X29</f>
        <v>33031.995999999999</v>
      </c>
    </row>
    <row r="30" spans="1:32" x14ac:dyDescent="0.25">
      <c r="A30" s="1582" t="s">
        <v>146</v>
      </c>
      <c r="B30" s="1487"/>
      <c r="C30" s="1487"/>
      <c r="D30" s="1487"/>
      <c r="E30" s="1487"/>
      <c r="F30" s="1487"/>
      <c r="G30" s="1487"/>
      <c r="H30" s="1488">
        <f t="shared" si="13"/>
        <v>0</v>
      </c>
      <c r="J30" s="712" t="s">
        <v>146</v>
      </c>
      <c r="K30" s="1489"/>
      <c r="L30" s="1490"/>
      <c r="M30" s="1490"/>
      <c r="N30" s="1490"/>
      <c r="O30" s="1490"/>
      <c r="P30" s="1490"/>
      <c r="Q30" s="1488">
        <f t="shared" si="14"/>
        <v>0</v>
      </c>
      <c r="S30" s="1491">
        <f t="shared" si="15"/>
        <v>0</v>
      </c>
      <c r="T30" s="1488">
        <f t="shared" si="16"/>
        <v>0</v>
      </c>
      <c r="V30" s="749" t="s">
        <v>136</v>
      </c>
      <c r="W30" s="1510">
        <f ca="1">Budget!J155</f>
        <v>13578.471971999999</v>
      </c>
      <c r="X30" s="1511">
        <f>SUM(H9,H29,H49,H69,H89,H109,H129,H149,H169,H189)</f>
        <v>0</v>
      </c>
      <c r="Y30" s="1512">
        <f t="shared" ca="1" si="17"/>
        <v>13578.471971999999</v>
      </c>
    </row>
    <row r="31" spans="1:32" x14ac:dyDescent="0.25">
      <c r="A31" s="1582" t="s">
        <v>12</v>
      </c>
      <c r="B31" s="1487"/>
      <c r="C31" s="1487"/>
      <c r="D31" s="1487"/>
      <c r="E31" s="1487"/>
      <c r="F31" s="1487"/>
      <c r="G31" s="1487"/>
      <c r="H31" s="1488">
        <f t="shared" si="13"/>
        <v>0</v>
      </c>
      <c r="J31" s="712" t="s">
        <v>12</v>
      </c>
      <c r="K31" s="1489"/>
      <c r="L31" s="1490"/>
      <c r="M31" s="1490"/>
      <c r="N31" s="1490"/>
      <c r="O31" s="1490"/>
      <c r="P31" s="1490"/>
      <c r="Q31" s="1488">
        <f t="shared" si="14"/>
        <v>0</v>
      </c>
      <c r="S31" s="1491">
        <f t="shared" si="15"/>
        <v>0</v>
      </c>
      <c r="T31" s="1488">
        <f t="shared" si="16"/>
        <v>0</v>
      </c>
      <c r="V31" s="749" t="s">
        <v>146</v>
      </c>
      <c r="W31" s="1510">
        <f>Budget!J165</f>
        <v>0</v>
      </c>
      <c r="X31" s="1511">
        <f>SUM(H10,H30,H50,H70,H90,H110,H130,H150,H170,H190)</f>
        <v>0</v>
      </c>
      <c r="Y31" s="1512">
        <f t="shared" si="17"/>
        <v>0</v>
      </c>
    </row>
    <row r="32" spans="1:32" x14ac:dyDescent="0.25">
      <c r="A32" s="1582" t="s">
        <v>159</v>
      </c>
      <c r="B32" s="1487"/>
      <c r="C32" s="1487"/>
      <c r="D32" s="1487"/>
      <c r="E32" s="1487"/>
      <c r="F32" s="1487"/>
      <c r="G32" s="1487"/>
      <c r="H32" s="1488">
        <f t="shared" si="13"/>
        <v>0</v>
      </c>
      <c r="J32" s="712" t="s">
        <v>159</v>
      </c>
      <c r="K32" s="1489"/>
      <c r="L32" s="1490"/>
      <c r="M32" s="1490"/>
      <c r="N32" s="1490"/>
      <c r="O32" s="1490"/>
      <c r="P32" s="1490"/>
      <c r="Q32" s="1488">
        <f t="shared" si="14"/>
        <v>0</v>
      </c>
      <c r="S32" s="1491">
        <f t="shared" si="15"/>
        <v>0</v>
      </c>
      <c r="T32" s="1488">
        <f t="shared" si="16"/>
        <v>0</v>
      </c>
      <c r="V32" s="749" t="s">
        <v>12</v>
      </c>
      <c r="W32" s="1510">
        <f ca="1">Budget!J170</f>
        <v>2489.87</v>
      </c>
      <c r="X32" s="1511">
        <f>SUM(H11,H31,H51,H71,H91,H111,H131,H151,H171,H191)</f>
        <v>0</v>
      </c>
      <c r="Y32" s="1512">
        <f t="shared" ca="1" si="17"/>
        <v>2489.87</v>
      </c>
    </row>
    <row r="33" spans="1:25" x14ac:dyDescent="0.25">
      <c r="A33" s="1582" t="s">
        <v>1037</v>
      </c>
      <c r="B33" s="1487"/>
      <c r="C33" s="1487"/>
      <c r="D33" s="1487"/>
      <c r="E33" s="1487"/>
      <c r="F33" s="1487"/>
      <c r="G33" s="1487"/>
      <c r="H33" s="1488">
        <f t="shared" si="13"/>
        <v>0</v>
      </c>
      <c r="J33" s="712" t="s">
        <v>1037</v>
      </c>
      <c r="K33" s="1489"/>
      <c r="L33" s="1490"/>
      <c r="M33" s="1490"/>
      <c r="N33" s="1490"/>
      <c r="O33" s="1490"/>
      <c r="P33" s="1490"/>
      <c r="Q33" s="1488">
        <f t="shared" si="14"/>
        <v>0</v>
      </c>
      <c r="S33" s="1491">
        <f t="shared" si="15"/>
        <v>0</v>
      </c>
      <c r="T33" s="1488">
        <f t="shared" si="16"/>
        <v>0</v>
      </c>
      <c r="V33" s="749" t="s">
        <v>159</v>
      </c>
      <c r="W33" s="1510">
        <f>Budget!J177</f>
        <v>0</v>
      </c>
      <c r="X33" s="1511">
        <f>SUM(H12,H32,H52,H72,H92,H112,H132,H152,H172,H192)</f>
        <v>0</v>
      </c>
      <c r="Y33" s="1512">
        <f t="shared" si="17"/>
        <v>0</v>
      </c>
    </row>
    <row r="34" spans="1:25" x14ac:dyDescent="0.25">
      <c r="A34" s="1582" t="s">
        <v>1038</v>
      </c>
      <c r="B34" s="1487"/>
      <c r="C34" s="1487"/>
      <c r="D34" s="1487"/>
      <c r="E34" s="1487"/>
      <c r="F34" s="1487"/>
      <c r="G34" s="1487"/>
      <c r="H34" s="1488">
        <f t="shared" si="13"/>
        <v>0</v>
      </c>
      <c r="J34" s="712" t="s">
        <v>1038</v>
      </c>
      <c r="K34" s="1489"/>
      <c r="L34" s="1490"/>
      <c r="M34" s="1490"/>
      <c r="N34" s="1490"/>
      <c r="O34" s="1490"/>
      <c r="P34" s="1490"/>
      <c r="Q34" s="1488">
        <f t="shared" si="14"/>
        <v>0</v>
      </c>
      <c r="S34" s="1491">
        <f t="shared" si="15"/>
        <v>0</v>
      </c>
      <c r="T34" s="1488">
        <f t="shared" si="16"/>
        <v>0</v>
      </c>
      <c r="V34" s="749" t="s">
        <v>39</v>
      </c>
      <c r="W34" s="1510">
        <f ca="1">Budget!J288</f>
        <v>900</v>
      </c>
      <c r="X34" s="1511">
        <f>SUM(H13:H16,H33:H36,H53:H56,H73:H76,H93:H96,H113:H116,H133:H136,H153:H156,H173:H176,H193:H196)</f>
        <v>0</v>
      </c>
      <c r="Y34" s="1512">
        <f t="shared" ca="1" si="17"/>
        <v>900</v>
      </c>
    </row>
    <row r="35" spans="1:25" x14ac:dyDescent="0.25">
      <c r="A35" s="1582" t="s">
        <v>39</v>
      </c>
      <c r="B35" s="1487"/>
      <c r="C35" s="1487"/>
      <c r="D35" s="1487"/>
      <c r="E35" s="1487"/>
      <c r="F35" s="1487"/>
      <c r="G35" s="1487"/>
      <c r="H35" s="1488">
        <f t="shared" si="13"/>
        <v>0</v>
      </c>
      <c r="J35" s="712" t="s">
        <v>39</v>
      </c>
      <c r="K35" s="1489"/>
      <c r="L35" s="1490"/>
      <c r="M35" s="1490"/>
      <c r="N35" s="1490"/>
      <c r="O35" s="1490"/>
      <c r="P35" s="1490"/>
      <c r="Q35" s="1488">
        <f t="shared" si="14"/>
        <v>0</v>
      </c>
      <c r="S35" s="1491">
        <f t="shared" si="15"/>
        <v>0</v>
      </c>
      <c r="T35" s="1488">
        <f t="shared" si="16"/>
        <v>0</v>
      </c>
      <c r="V35" s="750" t="s">
        <v>226</v>
      </c>
      <c r="W35" s="1514">
        <f ca="1">Budget!J290</f>
        <v>50000.337972000001</v>
      </c>
      <c r="X35" s="1515">
        <f>SUM(H17,H37,H57,H77,H97,H117,H137,H157,H177,H197)</f>
        <v>0</v>
      </c>
      <c r="Y35" s="1516">
        <f t="shared" ca="1" si="17"/>
        <v>50000.337972000001</v>
      </c>
    </row>
    <row r="36" spans="1:25" ht="15.75" thickBot="1" x14ac:dyDescent="0.3">
      <c r="A36" s="1583" t="s">
        <v>225</v>
      </c>
      <c r="B36" s="1494"/>
      <c r="C36" s="1494"/>
      <c r="D36" s="1494"/>
      <c r="E36" s="1494"/>
      <c r="F36" s="1494"/>
      <c r="G36" s="1494"/>
      <c r="H36" s="1495">
        <f t="shared" si="13"/>
        <v>0</v>
      </c>
      <c r="J36" s="743" t="s">
        <v>225</v>
      </c>
      <c r="K36" s="1513"/>
      <c r="L36" s="1497"/>
      <c r="M36" s="1497"/>
      <c r="N36" s="1497"/>
      <c r="O36" s="1497"/>
      <c r="P36" s="1497"/>
      <c r="Q36" s="1495">
        <f t="shared" si="14"/>
        <v>0</v>
      </c>
      <c r="S36" s="1498">
        <f t="shared" si="15"/>
        <v>0</v>
      </c>
      <c r="T36" s="1495">
        <f t="shared" si="16"/>
        <v>0</v>
      </c>
      <c r="V36" s="749" t="s">
        <v>354</v>
      </c>
      <c r="W36" s="1518">
        <f ca="1">Budget!J292</f>
        <v>50000.337972000001</v>
      </c>
      <c r="X36" s="1519">
        <f>SUM(H19,H39,H59,H79,H99,H119,H139,H159,H179,H199)</f>
        <v>0</v>
      </c>
      <c r="Y36" s="1520">
        <f t="shared" ca="1" si="17"/>
        <v>50000.337972000001</v>
      </c>
    </row>
    <row r="37" spans="1:25" x14ac:dyDescent="0.25">
      <c r="A37" s="1584" t="s">
        <v>226</v>
      </c>
      <c r="B37" s="1499">
        <f t="shared" ref="B37:G37" si="18">SUM(B27:B36)</f>
        <v>0</v>
      </c>
      <c r="C37" s="1499">
        <f t="shared" si="18"/>
        <v>0</v>
      </c>
      <c r="D37" s="1499">
        <f t="shared" si="18"/>
        <v>0</v>
      </c>
      <c r="E37" s="1499">
        <f t="shared" si="18"/>
        <v>0</v>
      </c>
      <c r="F37" s="1499">
        <f t="shared" si="18"/>
        <v>0</v>
      </c>
      <c r="G37" s="1499">
        <f t="shared" si="18"/>
        <v>0</v>
      </c>
      <c r="H37" s="1482">
        <f t="shared" si="13"/>
        <v>0</v>
      </c>
      <c r="J37" s="752" t="s">
        <v>226</v>
      </c>
      <c r="K37" s="1517">
        <f t="shared" ref="K37:P37" si="19">SUM(K27:K36)</f>
        <v>0</v>
      </c>
      <c r="L37" s="1500">
        <f t="shared" si="19"/>
        <v>0</v>
      </c>
      <c r="M37" s="1500">
        <f t="shared" si="19"/>
        <v>0</v>
      </c>
      <c r="N37" s="1500">
        <f t="shared" si="19"/>
        <v>0</v>
      </c>
      <c r="O37" s="1500">
        <f t="shared" si="19"/>
        <v>0</v>
      </c>
      <c r="P37" s="1500">
        <f t="shared" si="19"/>
        <v>0</v>
      </c>
      <c r="Q37" s="1482">
        <f t="shared" si="14"/>
        <v>0</v>
      </c>
      <c r="S37" s="1499">
        <f t="shared" si="15"/>
        <v>0</v>
      </c>
      <c r="T37" s="1482">
        <f t="shared" si="16"/>
        <v>0</v>
      </c>
      <c r="V37" s="749" t="s">
        <v>359</v>
      </c>
      <c r="W37" s="1522">
        <f ca="1">Budget!J293</f>
        <v>0</v>
      </c>
      <c r="X37" s="1523">
        <f>SUM(H20,H40,H60,H80,H100,H120,H140,H160,H180,H200)</f>
        <v>0</v>
      </c>
      <c r="Y37" s="1524">
        <f t="shared" ca="1" si="17"/>
        <v>0</v>
      </c>
    </row>
    <row r="38" spans="1:25" ht="15.75" thickBot="1" x14ac:dyDescent="0.3">
      <c r="A38" s="1585" t="s">
        <v>131</v>
      </c>
      <c r="B38" s="1501">
        <f t="shared" ref="B38:G38" si="20">SUM(B30,B32,B34,B36)*-1</f>
        <v>0</v>
      </c>
      <c r="C38" s="1501">
        <f t="shared" si="20"/>
        <v>0</v>
      </c>
      <c r="D38" s="1501">
        <f t="shared" si="20"/>
        <v>0</v>
      </c>
      <c r="E38" s="1501">
        <f t="shared" si="20"/>
        <v>0</v>
      </c>
      <c r="F38" s="1501">
        <f t="shared" si="20"/>
        <v>0</v>
      </c>
      <c r="G38" s="1501">
        <f t="shared" si="20"/>
        <v>0</v>
      </c>
      <c r="H38" s="1502">
        <f t="shared" si="13"/>
        <v>0</v>
      </c>
      <c r="J38" s="753" t="s">
        <v>131</v>
      </c>
      <c r="K38" s="1521">
        <f t="shared" ref="K38:P38" si="21">SUM(K30,K32,K34,K36)*-1</f>
        <v>0</v>
      </c>
      <c r="L38" s="1503">
        <f t="shared" si="21"/>
        <v>0</v>
      </c>
      <c r="M38" s="1503">
        <f t="shared" si="21"/>
        <v>0</v>
      </c>
      <c r="N38" s="1503">
        <f t="shared" si="21"/>
        <v>0</v>
      </c>
      <c r="O38" s="1503">
        <f t="shared" si="21"/>
        <v>0</v>
      </c>
      <c r="P38" s="1503">
        <f t="shared" si="21"/>
        <v>0</v>
      </c>
      <c r="Q38" s="1502">
        <f t="shared" si="14"/>
        <v>0</v>
      </c>
      <c r="S38" s="1501">
        <f t="shared" si="15"/>
        <v>0</v>
      </c>
      <c r="T38" s="1502">
        <f t="shared" si="16"/>
        <v>0</v>
      </c>
      <c r="V38" s="751" t="s">
        <v>259</v>
      </c>
      <c r="W38" s="1525">
        <f ca="1">Budget!J295</f>
        <v>50000.337972000001</v>
      </c>
      <c r="X38" s="1526">
        <f>SUM(H21,H41,H61,H81,H101,H121,H141,H161,H181,H201)</f>
        <v>0</v>
      </c>
      <c r="Y38" s="1527">
        <f t="shared" ca="1" si="17"/>
        <v>50000.337972000001</v>
      </c>
    </row>
    <row r="39" spans="1:25" ht="15.75" thickBot="1" x14ac:dyDescent="0.3">
      <c r="A39" s="1586" t="s">
        <v>358</v>
      </c>
      <c r="B39" s="1504">
        <f>IF(Budget!$C$292='Reference Sheet'!$A$26,SUM(B37:B38),(B37-B34))</f>
        <v>0</v>
      </c>
      <c r="C39" s="1504">
        <f>IF(Budget!$C$292='Reference Sheet'!$A$26,SUM(C37:C38),(C37-C34))</f>
        <v>0</v>
      </c>
      <c r="D39" s="1504">
        <f>IF(Budget!$C$292='Reference Sheet'!$A$26,SUM(D37:D38),(D37-D34))</f>
        <v>0</v>
      </c>
      <c r="E39" s="1504">
        <f>IF(Budget!$C$292='Reference Sheet'!$A$26,SUM(E37:E38),(E37-E34))</f>
        <v>0</v>
      </c>
      <c r="F39" s="1504">
        <f>IF(Budget!$C$292='Reference Sheet'!$A$26,SUM(F37:F38),(F37-F34))</f>
        <v>0</v>
      </c>
      <c r="G39" s="1504">
        <f>IF(Budget!$C$292='Reference Sheet'!$A$26,SUM(G37:G38),(G37-G34))</f>
        <v>0</v>
      </c>
      <c r="H39" s="1505">
        <f t="shared" si="13"/>
        <v>0</v>
      </c>
      <c r="J39" s="746" t="s">
        <v>358</v>
      </c>
      <c r="K39" s="1504">
        <f>IF(Budget!$C$292='Reference Sheet'!$A$26,SUM(K37:K38),(K37-K34))</f>
        <v>0</v>
      </c>
      <c r="L39" s="1504">
        <f>IF(Budget!$C$292='Reference Sheet'!$A$26,SUM(L37:L38),(L37-L34))</f>
        <v>0</v>
      </c>
      <c r="M39" s="1504">
        <f>IF(Budget!$C$292='Reference Sheet'!$A$26,SUM(M37:M38),(M37-M34))</f>
        <v>0</v>
      </c>
      <c r="N39" s="1504">
        <f>IF(Budget!$C$292='Reference Sheet'!$A$26,SUM(N37:N38),(N37-N34))</f>
        <v>0</v>
      </c>
      <c r="O39" s="1504">
        <f>IF(Budget!$C$292='Reference Sheet'!$A$26,SUM(O37:O38),(O37-O34))</f>
        <v>0</v>
      </c>
      <c r="P39" s="1504">
        <f>IF(Budget!$C$292='Reference Sheet'!$A$26,SUM(P37:P38),(P37-P34))</f>
        <v>0</v>
      </c>
      <c r="Q39" s="1505">
        <f t="shared" si="14"/>
        <v>0</v>
      </c>
      <c r="S39" s="1504">
        <f t="shared" si="15"/>
        <v>0</v>
      </c>
      <c r="T39" s="1505">
        <f t="shared" si="16"/>
        <v>0</v>
      </c>
    </row>
    <row r="40" spans="1:25" ht="15.75" thickBot="1" x14ac:dyDescent="0.3">
      <c r="A40" s="1587" t="s">
        <v>359</v>
      </c>
      <c r="B40" s="1506">
        <f>Budget!$C$294*B39</f>
        <v>0</v>
      </c>
      <c r="C40" s="1506">
        <f>Budget!$C$294*C39</f>
        <v>0</v>
      </c>
      <c r="D40" s="1506">
        <f>Budget!$C$294*D39</f>
        <v>0</v>
      </c>
      <c r="E40" s="1506">
        <f>Budget!$C$294*E39</f>
        <v>0</v>
      </c>
      <c r="F40" s="1506">
        <f>Budget!$C$294*F39</f>
        <v>0</v>
      </c>
      <c r="G40" s="1506">
        <f>Budget!$C$294*G39</f>
        <v>0</v>
      </c>
      <c r="H40" s="1506">
        <f t="shared" si="13"/>
        <v>0</v>
      </c>
      <c r="J40" s="747" t="s">
        <v>359</v>
      </c>
      <c r="K40" s="1506">
        <f>Budget!C$294*K39</f>
        <v>0</v>
      </c>
      <c r="L40" s="1506">
        <f>Budget!D$294*L39</f>
        <v>0</v>
      </c>
      <c r="M40" s="1506">
        <f>Budget!E$294*M39</f>
        <v>0</v>
      </c>
      <c r="N40" s="1506">
        <f>Budget!F$294*N39</f>
        <v>0</v>
      </c>
      <c r="O40" s="1506">
        <f>Budget!G$294*O39</f>
        <v>0</v>
      </c>
      <c r="P40" s="1506">
        <f>Budget!H$294*P39</f>
        <v>0</v>
      </c>
      <c r="Q40" s="1506">
        <f t="shared" si="14"/>
        <v>0</v>
      </c>
      <c r="S40" s="1506">
        <f t="shared" si="15"/>
        <v>0</v>
      </c>
      <c r="T40" s="1506">
        <f t="shared" si="16"/>
        <v>0</v>
      </c>
      <c r="V40" s="3442" t="s">
        <v>319</v>
      </c>
      <c r="W40" s="3443"/>
      <c r="X40" s="3443"/>
      <c r="Y40" s="3452"/>
    </row>
    <row r="41" spans="1:25" ht="15.75" thickBot="1" x14ac:dyDescent="0.3">
      <c r="A41" s="1588" t="s">
        <v>170</v>
      </c>
      <c r="B41" s="1507">
        <f t="shared" ref="B41:G41" si="22">SUM(B37,B40)</f>
        <v>0</v>
      </c>
      <c r="C41" s="1507">
        <f t="shared" si="22"/>
        <v>0</v>
      </c>
      <c r="D41" s="1507">
        <f t="shared" si="22"/>
        <v>0</v>
      </c>
      <c r="E41" s="1507">
        <f t="shared" si="22"/>
        <v>0</v>
      </c>
      <c r="F41" s="1507">
        <f t="shared" si="22"/>
        <v>0</v>
      </c>
      <c r="G41" s="1507">
        <f t="shared" si="22"/>
        <v>0</v>
      </c>
      <c r="H41" s="1508">
        <f t="shared" si="13"/>
        <v>0</v>
      </c>
      <c r="J41" s="624" t="s">
        <v>170</v>
      </c>
      <c r="K41" s="1509">
        <f t="shared" ref="K41:P41" si="23">SUM(K37,K40)</f>
        <v>0</v>
      </c>
      <c r="L41" s="1509">
        <f t="shared" si="23"/>
        <v>0</v>
      </c>
      <c r="M41" s="1509">
        <f t="shared" si="23"/>
        <v>0</v>
      </c>
      <c r="N41" s="1509">
        <f t="shared" si="23"/>
        <v>0</v>
      </c>
      <c r="O41" s="1509">
        <f t="shared" si="23"/>
        <v>0</v>
      </c>
      <c r="P41" s="1509">
        <f t="shared" si="23"/>
        <v>0</v>
      </c>
      <c r="Q41" s="1508">
        <f t="shared" si="14"/>
        <v>0</v>
      </c>
      <c r="S41" s="1507">
        <f t="shared" si="15"/>
        <v>0</v>
      </c>
      <c r="T41" s="1508">
        <f t="shared" si="16"/>
        <v>0</v>
      </c>
      <c r="V41" s="237" t="s">
        <v>315</v>
      </c>
      <c r="W41" s="566" t="s">
        <v>316</v>
      </c>
      <c r="X41" s="567" t="s">
        <v>317</v>
      </c>
      <c r="Y41" s="568" t="s">
        <v>318</v>
      </c>
    </row>
    <row r="42" spans="1:25" ht="15.75" thickBot="1" x14ac:dyDescent="0.3">
      <c r="R42" s="672" t="str">
        <f>$R$22</f>
        <v>Total Project Costs</v>
      </c>
      <c r="S42" s="3480">
        <f>SUM(S41:T41)</f>
        <v>0</v>
      </c>
      <c r="T42" s="3481"/>
      <c r="V42" s="749" t="s">
        <v>221</v>
      </c>
      <c r="W42" s="1510">
        <f ca="1">Budget!BX84</f>
        <v>0</v>
      </c>
      <c r="X42" s="1511">
        <f>SUM(Q7:Q8,Q27:Q28,Q47:Q48,Q67:Q68,Q87:Q88,Q107:Q108,Q127:Q128,Q147:Q148,Q167:Q168,Q187:Q188)</f>
        <v>0</v>
      </c>
      <c r="Y42" s="1512">
        <f t="shared" ref="Y42:Y51" ca="1" si="24">W42-X42</f>
        <v>0</v>
      </c>
    </row>
    <row r="43" spans="1:25" ht="15.75" thickBot="1" x14ac:dyDescent="0.3">
      <c r="R43" s="672" t="str">
        <f>$R$23</f>
        <v>Cost share as % of Total Project Costs</v>
      </c>
      <c r="S43" s="3488">
        <f>IFERROR(T41/S42,0%)</f>
        <v>0</v>
      </c>
      <c r="T43" s="3489"/>
      <c r="V43" s="749" t="s">
        <v>136</v>
      </c>
      <c r="W43" s="1510">
        <f ca="1">Budget!BX155</f>
        <v>0</v>
      </c>
      <c r="X43" s="1511">
        <f>SUM(Q9,Q29,Q49,Q69,Q89,Q109,Q129,Q149,Q169,Q189)</f>
        <v>0</v>
      </c>
      <c r="Y43" s="1512">
        <f t="shared" ca="1" si="24"/>
        <v>0</v>
      </c>
    </row>
    <row r="44" spans="1:25" ht="24" thickBot="1" x14ac:dyDescent="0.4">
      <c r="A44" s="327">
        <v>3</v>
      </c>
      <c r="B44" s="681" t="s">
        <v>305</v>
      </c>
      <c r="C44" s="681"/>
      <c r="D44" s="681"/>
      <c r="E44" s="681"/>
      <c r="F44" s="681"/>
      <c r="G44" s="681"/>
      <c r="H44" s="681"/>
      <c r="J44" s="681" t="s">
        <v>222</v>
      </c>
      <c r="K44" s="681"/>
      <c r="L44" s="681"/>
      <c r="M44" s="681"/>
      <c r="N44" s="681"/>
      <c r="O44" s="681"/>
      <c r="P44" s="681"/>
      <c r="Q44" s="681"/>
      <c r="V44" s="749" t="s">
        <v>146</v>
      </c>
      <c r="W44" s="1510">
        <f>Budget!BX165</f>
        <v>0</v>
      </c>
      <c r="X44" s="1511">
        <f>SUM(Q10,Q30,Q50,Q70,Q90,Q110,Q130,Q150,Q170,Q190)</f>
        <v>0</v>
      </c>
      <c r="Y44" s="1512">
        <f t="shared" si="24"/>
        <v>0</v>
      </c>
    </row>
    <row r="45" spans="1:25" ht="15.75" thickBot="1" x14ac:dyDescent="0.3">
      <c r="A45" s="647">
        <f ca="1">'Calc - SENIOR PERS'!B34</f>
        <v>0</v>
      </c>
      <c r="B45" s="647">
        <f ca="1">'Calc - SENIOR PERS'!B35</f>
        <v>0</v>
      </c>
      <c r="C45" s="683"/>
      <c r="D45" s="683"/>
      <c r="E45" s="684"/>
      <c r="F45" s="684"/>
      <c r="G45" s="684"/>
      <c r="H45" s="726"/>
      <c r="J45" s="692">
        <f ca="1">A45</f>
        <v>0</v>
      </c>
      <c r="K45" s="685">
        <f ca="1">B45</f>
        <v>0</v>
      </c>
      <c r="L45" s="685"/>
      <c r="M45" s="727"/>
      <c r="N45" s="569"/>
      <c r="O45" s="685"/>
      <c r="P45" s="685"/>
      <c r="Q45" s="728"/>
      <c r="S45" s="3486" t="s">
        <v>170</v>
      </c>
      <c r="T45" s="3487"/>
      <c r="V45" s="749" t="s">
        <v>12</v>
      </c>
      <c r="W45" s="1510">
        <f>Budget!BX170</f>
        <v>0</v>
      </c>
      <c r="X45" s="1511">
        <f>SUM(Q11,Q31,Q51,Q71,Q91,Q111,Q131,Q151,Q171,Q191)</f>
        <v>0</v>
      </c>
      <c r="Y45" s="1512">
        <f t="shared" si="24"/>
        <v>0</v>
      </c>
    </row>
    <row r="46" spans="1:25" ht="15.75" thickBot="1" x14ac:dyDescent="0.3">
      <c r="A46" s="1580"/>
      <c r="B46" s="517" t="s">
        <v>106</v>
      </c>
      <c r="C46" s="517" t="s">
        <v>0</v>
      </c>
      <c r="D46" s="517" t="s">
        <v>1</v>
      </c>
      <c r="E46" s="517" t="s">
        <v>2</v>
      </c>
      <c r="F46" s="517" t="s">
        <v>16</v>
      </c>
      <c r="G46" s="517" t="s">
        <v>105</v>
      </c>
      <c r="H46" s="518" t="s">
        <v>170</v>
      </c>
      <c r="J46" s="711"/>
      <c r="K46" s="519" t="s">
        <v>106</v>
      </c>
      <c r="L46" s="633" t="s">
        <v>0</v>
      </c>
      <c r="M46" s="633" t="s">
        <v>1</v>
      </c>
      <c r="N46" s="633" t="s">
        <v>2</v>
      </c>
      <c r="O46" s="633" t="s">
        <v>16</v>
      </c>
      <c r="P46" s="633" t="s">
        <v>105</v>
      </c>
      <c r="Q46" s="519" t="s">
        <v>170</v>
      </c>
      <c r="S46" s="633" t="s">
        <v>62</v>
      </c>
      <c r="T46" s="519" t="s">
        <v>311</v>
      </c>
      <c r="V46" s="749" t="s">
        <v>159</v>
      </c>
      <c r="W46" s="1510">
        <f>Budget!BX177</f>
        <v>0</v>
      </c>
      <c r="X46" s="1511">
        <f>SUM(Q12,Q32,Q52,Q72,Q92,Q112,Q132,Q152,Q172,Q192)</f>
        <v>0</v>
      </c>
      <c r="Y46" s="1512">
        <f t="shared" si="24"/>
        <v>0</v>
      </c>
    </row>
    <row r="47" spans="1:25" x14ac:dyDescent="0.25">
      <c r="A47" s="1581" t="s">
        <v>110</v>
      </c>
      <c r="B47" s="1481"/>
      <c r="C47" s="1481"/>
      <c r="D47" s="1481"/>
      <c r="E47" s="1481"/>
      <c r="F47" s="1481"/>
      <c r="G47" s="1481"/>
      <c r="H47" s="1482">
        <f t="shared" ref="H47:H61" si="25">SUM(B47:G47)</f>
        <v>0</v>
      </c>
      <c r="J47" s="712" t="s">
        <v>110</v>
      </c>
      <c r="K47" s="1483"/>
      <c r="L47" s="1484"/>
      <c r="M47" s="1484"/>
      <c r="N47" s="1484"/>
      <c r="O47" s="1484"/>
      <c r="P47" s="1484"/>
      <c r="Q47" s="1482">
        <f t="shared" ref="Q47:Q61" si="26">SUM(K47:P47)</f>
        <v>0</v>
      </c>
      <c r="S47" s="1485">
        <f t="shared" ref="S47:S61" si="27">H47</f>
        <v>0</v>
      </c>
      <c r="T47" s="1486">
        <f t="shared" ref="T47:T61" si="28">Q47</f>
        <v>0</v>
      </c>
      <c r="V47" s="749" t="s">
        <v>39</v>
      </c>
      <c r="W47" s="1510">
        <f>Budget!BX288</f>
        <v>0</v>
      </c>
      <c r="X47" s="1511">
        <f>SUM(Q13:Q16,Q33:Q36,Q53:Q56,Q73:Q76,Q93:Q96,Q113:Q116,Q133:Q136,Q153:Q156,Q173:Q176,Q193:Q196)</f>
        <v>0</v>
      </c>
      <c r="Y47" s="1512">
        <f t="shared" si="24"/>
        <v>0</v>
      </c>
    </row>
    <row r="48" spans="1:25" x14ac:dyDescent="0.25">
      <c r="A48" s="1582" t="s">
        <v>133</v>
      </c>
      <c r="B48" s="1487"/>
      <c r="C48" s="1487"/>
      <c r="D48" s="1487"/>
      <c r="E48" s="1487"/>
      <c r="F48" s="1487"/>
      <c r="G48" s="1487"/>
      <c r="H48" s="1488">
        <f t="shared" si="25"/>
        <v>0</v>
      </c>
      <c r="J48" s="712" t="s">
        <v>133</v>
      </c>
      <c r="K48" s="1489"/>
      <c r="L48" s="1490"/>
      <c r="M48" s="1490"/>
      <c r="N48" s="1490"/>
      <c r="O48" s="1490"/>
      <c r="P48" s="1490"/>
      <c r="Q48" s="1488">
        <f t="shared" si="26"/>
        <v>0</v>
      </c>
      <c r="S48" s="1491">
        <f t="shared" si="27"/>
        <v>0</v>
      </c>
      <c r="T48" s="1488">
        <f t="shared" si="28"/>
        <v>0</v>
      </c>
      <c r="V48" s="750" t="s">
        <v>226</v>
      </c>
      <c r="W48" s="1514">
        <f ca="1">Budget!BX290</f>
        <v>0</v>
      </c>
      <c r="X48" s="1515">
        <f>SUM(Q17,Q37,Q57,Q77,Q97,Q117,Q137,Q157,Q177,Q197)</f>
        <v>0</v>
      </c>
      <c r="Y48" s="1516">
        <f t="shared" ca="1" si="24"/>
        <v>0</v>
      </c>
    </row>
    <row r="49" spans="1:25" x14ac:dyDescent="0.25">
      <c r="A49" s="1582" t="s">
        <v>136</v>
      </c>
      <c r="B49" s="1487"/>
      <c r="C49" s="1487"/>
      <c r="D49" s="1487"/>
      <c r="E49" s="1487"/>
      <c r="F49" s="1487"/>
      <c r="G49" s="1487"/>
      <c r="H49" s="1488">
        <f t="shared" si="25"/>
        <v>0</v>
      </c>
      <c r="J49" s="712" t="s">
        <v>136</v>
      </c>
      <c r="K49" s="1489"/>
      <c r="L49" s="1490"/>
      <c r="M49" s="1490"/>
      <c r="N49" s="1490"/>
      <c r="O49" s="1490"/>
      <c r="P49" s="1490"/>
      <c r="Q49" s="1488">
        <f t="shared" si="26"/>
        <v>0</v>
      </c>
      <c r="S49" s="1491">
        <f t="shared" si="27"/>
        <v>0</v>
      </c>
      <c r="T49" s="1488">
        <f t="shared" si="28"/>
        <v>0</v>
      </c>
      <c r="V49" s="749" t="s">
        <v>354</v>
      </c>
      <c r="W49" s="1518">
        <f ca="1">Budget!BX292</f>
        <v>0</v>
      </c>
      <c r="X49" s="1519">
        <f>SUM(Q19,Q39,Q59,Q79,Q99,Q119,Q139,Q159,Q179,Q199)</f>
        <v>0</v>
      </c>
      <c r="Y49" s="1520">
        <f t="shared" ca="1" si="24"/>
        <v>0</v>
      </c>
    </row>
    <row r="50" spans="1:25" x14ac:dyDescent="0.25">
      <c r="A50" s="1582" t="s">
        <v>146</v>
      </c>
      <c r="B50" s="1487"/>
      <c r="C50" s="1487"/>
      <c r="D50" s="1487"/>
      <c r="E50" s="1487"/>
      <c r="F50" s="1487"/>
      <c r="G50" s="1487"/>
      <c r="H50" s="1488">
        <f t="shared" si="25"/>
        <v>0</v>
      </c>
      <c r="J50" s="712" t="s">
        <v>146</v>
      </c>
      <c r="K50" s="1489"/>
      <c r="L50" s="1490"/>
      <c r="M50" s="1490"/>
      <c r="N50" s="1490"/>
      <c r="O50" s="1490"/>
      <c r="P50" s="1490"/>
      <c r="Q50" s="1488">
        <f t="shared" si="26"/>
        <v>0</v>
      </c>
      <c r="S50" s="1491">
        <f t="shared" si="27"/>
        <v>0</v>
      </c>
      <c r="T50" s="1488">
        <f t="shared" si="28"/>
        <v>0</v>
      </c>
      <c r="V50" s="749" t="s">
        <v>359</v>
      </c>
      <c r="W50" s="1522">
        <f ca="1">Budget!BX293</f>
        <v>0</v>
      </c>
      <c r="X50" s="1523">
        <f>SUM(Q20,Q40,Q60,Q80,Q100,Q120,Q140,Q160,Q180,Q200)</f>
        <v>0</v>
      </c>
      <c r="Y50" s="1524">
        <f t="shared" ca="1" si="24"/>
        <v>0</v>
      </c>
    </row>
    <row r="51" spans="1:25" ht="15.75" thickBot="1" x14ac:dyDescent="0.3">
      <c r="A51" s="1582" t="s">
        <v>12</v>
      </c>
      <c r="B51" s="1487"/>
      <c r="C51" s="1487"/>
      <c r="D51" s="1487"/>
      <c r="E51" s="1487"/>
      <c r="F51" s="1487"/>
      <c r="G51" s="1487"/>
      <c r="H51" s="1488">
        <f t="shared" si="25"/>
        <v>0</v>
      </c>
      <c r="J51" s="712" t="s">
        <v>12</v>
      </c>
      <c r="K51" s="1489"/>
      <c r="L51" s="1490"/>
      <c r="M51" s="1490"/>
      <c r="N51" s="1490"/>
      <c r="O51" s="1490"/>
      <c r="P51" s="1490"/>
      <c r="Q51" s="1488">
        <f t="shared" si="26"/>
        <v>0</v>
      </c>
      <c r="S51" s="1491">
        <f t="shared" si="27"/>
        <v>0</v>
      </c>
      <c r="T51" s="1488">
        <f t="shared" si="28"/>
        <v>0</v>
      </c>
      <c r="V51" s="751" t="s">
        <v>259</v>
      </c>
      <c r="W51" s="1525">
        <f ca="1">Budget!BX295</f>
        <v>0</v>
      </c>
      <c r="X51" s="1526">
        <f>SUM(Q21,Q41,Q61,Q81,Q101,Q121,Q141,Q161,Q181,Q201)</f>
        <v>0</v>
      </c>
      <c r="Y51" s="1527">
        <f t="shared" ca="1" si="24"/>
        <v>0</v>
      </c>
    </row>
    <row r="52" spans="1:25" x14ac:dyDescent="0.25">
      <c r="A52" s="1582" t="s">
        <v>159</v>
      </c>
      <c r="B52" s="1487"/>
      <c r="C52" s="1487"/>
      <c r="D52" s="1487"/>
      <c r="E52" s="1487"/>
      <c r="F52" s="1487"/>
      <c r="G52" s="1487"/>
      <c r="H52" s="1488">
        <f t="shared" si="25"/>
        <v>0</v>
      </c>
      <c r="J52" s="712" t="s">
        <v>159</v>
      </c>
      <c r="K52" s="1489"/>
      <c r="L52" s="1490"/>
      <c r="M52" s="1490"/>
      <c r="N52" s="1490"/>
      <c r="O52" s="1490"/>
      <c r="P52" s="1490"/>
      <c r="Q52" s="1488">
        <f t="shared" si="26"/>
        <v>0</v>
      </c>
      <c r="S52" s="1491">
        <f t="shared" si="27"/>
        <v>0</v>
      </c>
      <c r="T52" s="1488">
        <f t="shared" si="28"/>
        <v>0</v>
      </c>
    </row>
    <row r="53" spans="1:25" x14ac:dyDescent="0.25">
      <c r="A53" s="1582" t="s">
        <v>1037</v>
      </c>
      <c r="B53" s="1487"/>
      <c r="C53" s="1487"/>
      <c r="D53" s="1487"/>
      <c r="E53" s="1487"/>
      <c r="F53" s="1487"/>
      <c r="G53" s="1487"/>
      <c r="H53" s="1488">
        <f t="shared" si="25"/>
        <v>0</v>
      </c>
      <c r="J53" s="712" t="s">
        <v>1037</v>
      </c>
      <c r="K53" s="1489"/>
      <c r="L53" s="1490"/>
      <c r="M53" s="1490"/>
      <c r="N53" s="1490"/>
      <c r="O53" s="1490"/>
      <c r="P53" s="1490"/>
      <c r="Q53" s="1488">
        <f t="shared" si="26"/>
        <v>0</v>
      </c>
      <c r="S53" s="1491">
        <f t="shared" si="27"/>
        <v>0</v>
      </c>
      <c r="T53" s="1488">
        <f t="shared" si="28"/>
        <v>0</v>
      </c>
    </row>
    <row r="54" spans="1:25" x14ac:dyDescent="0.25">
      <c r="A54" s="1582" t="s">
        <v>1038</v>
      </c>
      <c r="B54" s="1487"/>
      <c r="C54" s="1487"/>
      <c r="D54" s="1487"/>
      <c r="E54" s="1487"/>
      <c r="F54" s="1487"/>
      <c r="G54" s="1487"/>
      <c r="H54" s="1488">
        <f t="shared" si="25"/>
        <v>0</v>
      </c>
      <c r="J54" s="712" t="s">
        <v>1038</v>
      </c>
      <c r="K54" s="1489"/>
      <c r="L54" s="1490"/>
      <c r="M54" s="1490"/>
      <c r="N54" s="1490"/>
      <c r="O54" s="1490"/>
      <c r="P54" s="1490"/>
      <c r="Q54" s="1488">
        <f t="shared" si="26"/>
        <v>0</v>
      </c>
      <c r="S54" s="1491">
        <f t="shared" si="27"/>
        <v>0</v>
      </c>
      <c r="T54" s="1488">
        <f t="shared" si="28"/>
        <v>0</v>
      </c>
    </row>
    <row r="55" spans="1:25" x14ac:dyDescent="0.25">
      <c r="A55" s="1582" t="s">
        <v>39</v>
      </c>
      <c r="B55" s="1487"/>
      <c r="C55" s="1487"/>
      <c r="D55" s="1487"/>
      <c r="E55" s="1487"/>
      <c r="F55" s="1487"/>
      <c r="G55" s="1487"/>
      <c r="H55" s="1488">
        <f t="shared" si="25"/>
        <v>0</v>
      </c>
      <c r="J55" s="712" t="s">
        <v>39</v>
      </c>
      <c r="K55" s="1489"/>
      <c r="L55" s="1490"/>
      <c r="M55" s="1490"/>
      <c r="N55" s="1490"/>
      <c r="O55" s="1490"/>
      <c r="P55" s="1490"/>
      <c r="Q55" s="1488">
        <f t="shared" si="26"/>
        <v>0</v>
      </c>
      <c r="S55" s="1491">
        <f t="shared" si="27"/>
        <v>0</v>
      </c>
      <c r="T55" s="1488">
        <f t="shared" si="28"/>
        <v>0</v>
      </c>
    </row>
    <row r="56" spans="1:25" ht="15.75" thickBot="1" x14ac:dyDescent="0.3">
      <c r="A56" s="1583" t="s">
        <v>225</v>
      </c>
      <c r="B56" s="1494"/>
      <c r="C56" s="1494"/>
      <c r="D56" s="1494"/>
      <c r="E56" s="1494"/>
      <c r="F56" s="1494"/>
      <c r="G56" s="1494"/>
      <c r="H56" s="1495">
        <f t="shared" si="25"/>
        <v>0</v>
      </c>
      <c r="J56" s="743" t="s">
        <v>225</v>
      </c>
      <c r="K56" s="1496"/>
      <c r="L56" s="1497"/>
      <c r="M56" s="1497"/>
      <c r="N56" s="1497"/>
      <c r="O56" s="1497"/>
      <c r="P56" s="1497"/>
      <c r="Q56" s="1495">
        <f t="shared" si="26"/>
        <v>0</v>
      </c>
      <c r="S56" s="1498">
        <f t="shared" si="27"/>
        <v>0</v>
      </c>
      <c r="T56" s="1495">
        <f t="shared" si="28"/>
        <v>0</v>
      </c>
    </row>
    <row r="57" spans="1:25" x14ac:dyDescent="0.25">
      <c r="A57" s="1584" t="s">
        <v>226</v>
      </c>
      <c r="B57" s="1499">
        <f t="shared" ref="B57:G57" si="29">SUM(B47:B56)</f>
        <v>0</v>
      </c>
      <c r="C57" s="1499">
        <f t="shared" si="29"/>
        <v>0</v>
      </c>
      <c r="D57" s="1499">
        <f t="shared" si="29"/>
        <v>0</v>
      </c>
      <c r="E57" s="1499">
        <f t="shared" si="29"/>
        <v>0</v>
      </c>
      <c r="F57" s="1499">
        <f t="shared" si="29"/>
        <v>0</v>
      </c>
      <c r="G57" s="1499">
        <f t="shared" si="29"/>
        <v>0</v>
      </c>
      <c r="H57" s="1482">
        <f t="shared" si="25"/>
        <v>0</v>
      </c>
      <c r="J57" s="744" t="s">
        <v>226</v>
      </c>
      <c r="K57" s="1482">
        <f t="shared" ref="K57:P57" si="30">SUM(K47:K56)</f>
        <v>0</v>
      </c>
      <c r="L57" s="1500">
        <f t="shared" si="30"/>
        <v>0</v>
      </c>
      <c r="M57" s="1500">
        <f t="shared" si="30"/>
        <v>0</v>
      </c>
      <c r="N57" s="1500">
        <f t="shared" si="30"/>
        <v>0</v>
      </c>
      <c r="O57" s="1500">
        <f t="shared" si="30"/>
        <v>0</v>
      </c>
      <c r="P57" s="1500">
        <f t="shared" si="30"/>
        <v>0</v>
      </c>
      <c r="Q57" s="1482">
        <f t="shared" si="26"/>
        <v>0</v>
      </c>
      <c r="S57" s="1499">
        <f t="shared" si="27"/>
        <v>0</v>
      </c>
      <c r="T57" s="1482">
        <f t="shared" si="28"/>
        <v>0</v>
      </c>
    </row>
    <row r="58" spans="1:25" x14ac:dyDescent="0.25">
      <c r="A58" s="1585" t="s">
        <v>131</v>
      </c>
      <c r="B58" s="1501">
        <f t="shared" ref="B58:G58" si="31">SUM(B50,B52,B54,B56)*-1</f>
        <v>0</v>
      </c>
      <c r="C58" s="1501">
        <f t="shared" si="31"/>
        <v>0</v>
      </c>
      <c r="D58" s="1501">
        <f t="shared" si="31"/>
        <v>0</v>
      </c>
      <c r="E58" s="1501">
        <f t="shared" si="31"/>
        <v>0</v>
      </c>
      <c r="F58" s="1501">
        <f t="shared" si="31"/>
        <v>0</v>
      </c>
      <c r="G58" s="1501">
        <f t="shared" si="31"/>
        <v>0</v>
      </c>
      <c r="H58" s="1502">
        <f t="shared" si="25"/>
        <v>0</v>
      </c>
      <c r="J58" s="745" t="s">
        <v>131</v>
      </c>
      <c r="K58" s="1502">
        <f t="shared" ref="K58:P58" si="32">SUM(K50,K52,K54,K56)*-1</f>
        <v>0</v>
      </c>
      <c r="L58" s="1503">
        <f t="shared" si="32"/>
        <v>0</v>
      </c>
      <c r="M58" s="1503">
        <f t="shared" si="32"/>
        <v>0</v>
      </c>
      <c r="N58" s="1503">
        <f t="shared" si="32"/>
        <v>0</v>
      </c>
      <c r="O58" s="1503">
        <f t="shared" si="32"/>
        <v>0</v>
      </c>
      <c r="P58" s="1503">
        <f t="shared" si="32"/>
        <v>0</v>
      </c>
      <c r="Q58" s="1502">
        <f t="shared" si="26"/>
        <v>0</v>
      </c>
      <c r="S58" s="1501">
        <f t="shared" si="27"/>
        <v>0</v>
      </c>
      <c r="T58" s="1502">
        <f t="shared" si="28"/>
        <v>0</v>
      </c>
    </row>
    <row r="59" spans="1:25" x14ac:dyDescent="0.25">
      <c r="A59" s="1586" t="s">
        <v>358</v>
      </c>
      <c r="B59" s="1504">
        <f>IF(Budget!$C$292='Reference Sheet'!$A$26,SUM(B57:B58),(B57-B54))</f>
        <v>0</v>
      </c>
      <c r="C59" s="1504">
        <f>IF(Budget!$C$292='Reference Sheet'!$A$26,SUM(C57:C58),(C57-C54))</f>
        <v>0</v>
      </c>
      <c r="D59" s="1504">
        <f>IF(Budget!$C$292='Reference Sheet'!$A$26,SUM(D57:D58),(D57-D54))</f>
        <v>0</v>
      </c>
      <c r="E59" s="1504">
        <f>IF(Budget!$C$292='Reference Sheet'!$A$26,SUM(E57:E58),(E57-E54))</f>
        <v>0</v>
      </c>
      <c r="F59" s="1504">
        <f>IF(Budget!$C$292='Reference Sheet'!$A$26,SUM(F57:F58),(F57-F54))</f>
        <v>0</v>
      </c>
      <c r="G59" s="1504">
        <f>IF(Budget!$C$292='Reference Sheet'!$A$26,SUM(G57:G58),(G57-G54))</f>
        <v>0</v>
      </c>
      <c r="H59" s="1505">
        <f t="shared" si="25"/>
        <v>0</v>
      </c>
      <c r="J59" s="746" t="s">
        <v>358</v>
      </c>
      <c r="K59" s="1504">
        <f>IF(Budget!$C$292='Reference Sheet'!$A$26,SUM(K57:K58),(K57-K54))</f>
        <v>0</v>
      </c>
      <c r="L59" s="1504">
        <f>IF(Budget!$C$292='Reference Sheet'!$A$26,SUM(L57:L58),(L57-L54))</f>
        <v>0</v>
      </c>
      <c r="M59" s="1504">
        <f>IF(Budget!$C$292='Reference Sheet'!$A$26,SUM(M57:M58),(M57-M54))</f>
        <v>0</v>
      </c>
      <c r="N59" s="1504">
        <f>IF(Budget!$C$292='Reference Sheet'!$A$26,SUM(N57:N58),(N57-N54))</f>
        <v>0</v>
      </c>
      <c r="O59" s="1504">
        <f>IF(Budget!$C$292='Reference Sheet'!$A$26,SUM(O57:O58),(O57-O54))</f>
        <v>0</v>
      </c>
      <c r="P59" s="1504">
        <f>IF(Budget!$C$292='Reference Sheet'!$A$26,SUM(P57:P58),(P57-P54))</f>
        <v>0</v>
      </c>
      <c r="Q59" s="1505">
        <f t="shared" si="26"/>
        <v>0</v>
      </c>
      <c r="S59" s="1504">
        <f t="shared" si="27"/>
        <v>0</v>
      </c>
      <c r="T59" s="1505">
        <f t="shared" si="28"/>
        <v>0</v>
      </c>
    </row>
    <row r="60" spans="1:25" ht="15.75" thickBot="1" x14ac:dyDescent="0.3">
      <c r="A60" s="1587" t="s">
        <v>359</v>
      </c>
      <c r="B60" s="1506">
        <f>Budget!$C$294*B59</f>
        <v>0</v>
      </c>
      <c r="C60" s="1506">
        <f>Budget!$C$294*C59</f>
        <v>0</v>
      </c>
      <c r="D60" s="1506">
        <f>Budget!$C$294*D59</f>
        <v>0</v>
      </c>
      <c r="E60" s="1506">
        <f>Budget!$C$294*E59</f>
        <v>0</v>
      </c>
      <c r="F60" s="1506">
        <f>Budget!$C$294*F59</f>
        <v>0</v>
      </c>
      <c r="G60" s="1506">
        <f>Budget!$C$294*G59</f>
        <v>0</v>
      </c>
      <c r="H60" s="1506">
        <f t="shared" si="25"/>
        <v>0</v>
      </c>
      <c r="J60" s="747" t="s">
        <v>359</v>
      </c>
      <c r="K60" s="1506">
        <f>Budget!C$294*K59</f>
        <v>0</v>
      </c>
      <c r="L60" s="1506">
        <f>Budget!D$294*L59</f>
        <v>0</v>
      </c>
      <c r="M60" s="1506">
        <f>Budget!E$294*M59</f>
        <v>0</v>
      </c>
      <c r="N60" s="1506">
        <f>Budget!F$294*N59</f>
        <v>0</v>
      </c>
      <c r="O60" s="1506">
        <f>Budget!G$294*O59</f>
        <v>0</v>
      </c>
      <c r="P60" s="1506">
        <f>Budget!H$294*P59</f>
        <v>0</v>
      </c>
      <c r="Q60" s="1506">
        <f t="shared" si="26"/>
        <v>0</v>
      </c>
      <c r="S60" s="1506">
        <f t="shared" si="27"/>
        <v>0</v>
      </c>
      <c r="T60" s="1506">
        <f t="shared" si="28"/>
        <v>0</v>
      </c>
    </row>
    <row r="61" spans="1:25" ht="15.75" thickBot="1" x14ac:dyDescent="0.3">
      <c r="A61" s="1588" t="s">
        <v>170</v>
      </c>
      <c r="B61" s="1507">
        <f t="shared" ref="B61:G61" si="33">SUM(B57,B60)</f>
        <v>0</v>
      </c>
      <c r="C61" s="1507">
        <f t="shared" si="33"/>
        <v>0</v>
      </c>
      <c r="D61" s="1507">
        <f t="shared" si="33"/>
        <v>0</v>
      </c>
      <c r="E61" s="1507">
        <f t="shared" si="33"/>
        <v>0</v>
      </c>
      <c r="F61" s="1507">
        <f t="shared" si="33"/>
        <v>0</v>
      </c>
      <c r="G61" s="1507">
        <f t="shared" si="33"/>
        <v>0</v>
      </c>
      <c r="H61" s="1508">
        <f t="shared" si="25"/>
        <v>0</v>
      </c>
      <c r="J61" s="748" t="s">
        <v>170</v>
      </c>
      <c r="K61" s="1508">
        <f t="shared" ref="K61:P61" si="34">SUM(K57,K60)</f>
        <v>0</v>
      </c>
      <c r="L61" s="1509">
        <f t="shared" si="34"/>
        <v>0</v>
      </c>
      <c r="M61" s="1509">
        <f t="shared" si="34"/>
        <v>0</v>
      </c>
      <c r="N61" s="1509">
        <f t="shared" si="34"/>
        <v>0</v>
      </c>
      <c r="O61" s="1509">
        <f t="shared" si="34"/>
        <v>0</v>
      </c>
      <c r="P61" s="1509">
        <f t="shared" si="34"/>
        <v>0</v>
      </c>
      <c r="Q61" s="1508">
        <f t="shared" si="26"/>
        <v>0</v>
      </c>
      <c r="S61" s="1507">
        <f t="shared" si="27"/>
        <v>0</v>
      </c>
      <c r="T61" s="1508">
        <f t="shared" si="28"/>
        <v>0</v>
      </c>
    </row>
    <row r="62" spans="1:25" ht="15.75" thickBot="1" x14ac:dyDescent="0.3">
      <c r="R62" s="672" t="str">
        <f>$R$22</f>
        <v>Total Project Costs</v>
      </c>
      <c r="S62" s="3480">
        <f>SUM(S61:T61)</f>
        <v>0</v>
      </c>
      <c r="T62" s="3481"/>
    </row>
    <row r="63" spans="1:25" ht="15.75" thickBot="1" x14ac:dyDescent="0.3">
      <c r="R63" s="672" t="str">
        <f>$R$23</f>
        <v>Cost share as % of Total Project Costs</v>
      </c>
      <c r="S63" s="3494">
        <f>IFERROR(T61/S62,0%)</f>
        <v>0</v>
      </c>
      <c r="T63" s="3495"/>
    </row>
    <row r="64" spans="1:25" ht="24" thickBot="1" x14ac:dyDescent="0.4">
      <c r="A64" s="327">
        <v>4</v>
      </c>
      <c r="B64" s="681" t="s">
        <v>305</v>
      </c>
      <c r="C64" s="681"/>
      <c r="D64" s="681"/>
      <c r="E64" s="681"/>
      <c r="F64" s="681"/>
      <c r="G64" s="681"/>
      <c r="H64" s="681"/>
      <c r="J64" s="681" t="s">
        <v>222</v>
      </c>
      <c r="K64" s="681"/>
      <c r="L64" s="681"/>
      <c r="M64" s="681"/>
      <c r="N64" s="681"/>
      <c r="O64" s="681"/>
      <c r="P64" s="681"/>
      <c r="Q64" s="681"/>
    </row>
    <row r="65" spans="1:20" ht="15.75" thickBot="1" x14ac:dyDescent="0.3">
      <c r="A65" s="646">
        <f ca="1">'Calc - SENIOR PERS'!B48</f>
        <v>0</v>
      </c>
      <c r="B65" s="646">
        <f ca="1">'Calc - SENIOR PERS'!B49</f>
        <v>0</v>
      </c>
      <c r="C65" s="686"/>
      <c r="D65" s="686"/>
      <c r="E65" s="686"/>
      <c r="F65" s="686"/>
      <c r="G65" s="686"/>
      <c r="H65" s="686"/>
      <c r="J65" s="691">
        <f ca="1">A65</f>
        <v>0</v>
      </c>
      <c r="K65" s="687">
        <f ca="1">B65</f>
        <v>0</v>
      </c>
      <c r="L65" s="687"/>
      <c r="M65" s="729"/>
      <c r="N65" s="570"/>
      <c r="O65" s="687"/>
      <c r="P65" s="687"/>
      <c r="Q65" s="730"/>
      <c r="S65" s="3496" t="s">
        <v>170</v>
      </c>
      <c r="T65" s="3497"/>
    </row>
    <row r="66" spans="1:20" ht="15.75" thickBot="1" x14ac:dyDescent="0.3">
      <c r="A66" s="1580"/>
      <c r="B66" s="517" t="s">
        <v>106</v>
      </c>
      <c r="C66" s="517" t="s">
        <v>0</v>
      </c>
      <c r="D66" s="517" t="s">
        <v>1</v>
      </c>
      <c r="E66" s="517" t="s">
        <v>2</v>
      </c>
      <c r="F66" s="517" t="s">
        <v>16</v>
      </c>
      <c r="G66" s="517" t="s">
        <v>105</v>
      </c>
      <c r="H66" s="518" t="s">
        <v>170</v>
      </c>
      <c r="J66" s="711"/>
      <c r="K66" s="519" t="s">
        <v>106</v>
      </c>
      <c r="L66" s="633" t="s">
        <v>0</v>
      </c>
      <c r="M66" s="633" t="s">
        <v>1</v>
      </c>
      <c r="N66" s="633" t="s">
        <v>2</v>
      </c>
      <c r="O66" s="633" t="s">
        <v>16</v>
      </c>
      <c r="P66" s="633" t="s">
        <v>105</v>
      </c>
      <c r="Q66" s="519" t="s">
        <v>170</v>
      </c>
      <c r="S66" s="633" t="s">
        <v>62</v>
      </c>
      <c r="T66" s="519" t="s">
        <v>311</v>
      </c>
    </row>
    <row r="67" spans="1:20" x14ac:dyDescent="0.25">
      <c r="A67" s="1581" t="s">
        <v>110</v>
      </c>
      <c r="B67" s="1481"/>
      <c r="C67" s="1481"/>
      <c r="D67" s="1481"/>
      <c r="E67" s="1481"/>
      <c r="F67" s="1481"/>
      <c r="G67" s="1481"/>
      <c r="H67" s="1482">
        <f t="shared" ref="H67:H81" si="35">SUM(B67:G67)</f>
        <v>0</v>
      </c>
      <c r="J67" s="712" t="s">
        <v>110</v>
      </c>
      <c r="K67" s="1483"/>
      <c r="L67" s="1484"/>
      <c r="M67" s="1484"/>
      <c r="N67" s="1484"/>
      <c r="O67" s="1484"/>
      <c r="P67" s="1484"/>
      <c r="Q67" s="1482">
        <f t="shared" ref="Q67:Q81" si="36">SUM(K67:P67)</f>
        <v>0</v>
      </c>
      <c r="S67" s="1485">
        <f t="shared" ref="S67:S81" si="37">H67</f>
        <v>0</v>
      </c>
      <c r="T67" s="1486">
        <f t="shared" ref="T67:T81" si="38">Q67</f>
        <v>0</v>
      </c>
    </row>
    <row r="68" spans="1:20" x14ac:dyDescent="0.25">
      <c r="A68" s="1582" t="s">
        <v>133</v>
      </c>
      <c r="B68" s="1487"/>
      <c r="C68" s="1487"/>
      <c r="D68" s="1487"/>
      <c r="E68" s="1487"/>
      <c r="F68" s="1487"/>
      <c r="G68" s="1487"/>
      <c r="H68" s="1488">
        <f t="shared" si="35"/>
        <v>0</v>
      </c>
      <c r="J68" s="712" t="s">
        <v>133</v>
      </c>
      <c r="K68" s="1489"/>
      <c r="L68" s="1490"/>
      <c r="M68" s="1490"/>
      <c r="N68" s="1490"/>
      <c r="O68" s="1490"/>
      <c r="P68" s="1490"/>
      <c r="Q68" s="1488">
        <f t="shared" si="36"/>
        <v>0</v>
      </c>
      <c r="S68" s="1491">
        <f t="shared" si="37"/>
        <v>0</v>
      </c>
      <c r="T68" s="1488">
        <f t="shared" si="38"/>
        <v>0</v>
      </c>
    </row>
    <row r="69" spans="1:20" x14ac:dyDescent="0.25">
      <c r="A69" s="1582" t="s">
        <v>136</v>
      </c>
      <c r="B69" s="1487"/>
      <c r="C69" s="1487"/>
      <c r="D69" s="1487"/>
      <c r="E69" s="1487"/>
      <c r="F69" s="1487"/>
      <c r="G69" s="1487"/>
      <c r="H69" s="1488">
        <f t="shared" si="35"/>
        <v>0</v>
      </c>
      <c r="J69" s="712" t="s">
        <v>136</v>
      </c>
      <c r="K69" s="1489"/>
      <c r="L69" s="1490"/>
      <c r="M69" s="1490"/>
      <c r="N69" s="1490"/>
      <c r="O69" s="1490"/>
      <c r="P69" s="1490"/>
      <c r="Q69" s="1488">
        <f t="shared" si="36"/>
        <v>0</v>
      </c>
      <c r="S69" s="1491">
        <f t="shared" si="37"/>
        <v>0</v>
      </c>
      <c r="T69" s="1488">
        <f t="shared" si="38"/>
        <v>0</v>
      </c>
    </row>
    <row r="70" spans="1:20" x14ac:dyDescent="0.25">
      <c r="A70" s="1582" t="s">
        <v>146</v>
      </c>
      <c r="B70" s="1487"/>
      <c r="C70" s="1487"/>
      <c r="D70" s="1487"/>
      <c r="E70" s="1487"/>
      <c r="F70" s="1487"/>
      <c r="G70" s="1487"/>
      <c r="H70" s="1488">
        <f t="shared" si="35"/>
        <v>0</v>
      </c>
      <c r="J70" s="712" t="s">
        <v>146</v>
      </c>
      <c r="K70" s="1489"/>
      <c r="L70" s="1490"/>
      <c r="M70" s="1490"/>
      <c r="N70" s="1490"/>
      <c r="O70" s="1490"/>
      <c r="P70" s="1490"/>
      <c r="Q70" s="1488">
        <f t="shared" si="36"/>
        <v>0</v>
      </c>
      <c r="S70" s="1491">
        <f t="shared" si="37"/>
        <v>0</v>
      </c>
      <c r="T70" s="1488">
        <f t="shared" si="38"/>
        <v>0</v>
      </c>
    </row>
    <row r="71" spans="1:20" x14ac:dyDescent="0.25">
      <c r="A71" s="1582" t="s">
        <v>12</v>
      </c>
      <c r="B71" s="1487"/>
      <c r="C71" s="1487"/>
      <c r="D71" s="1487"/>
      <c r="E71" s="1487"/>
      <c r="F71" s="1487"/>
      <c r="G71" s="1487"/>
      <c r="H71" s="1488">
        <f t="shared" si="35"/>
        <v>0</v>
      </c>
      <c r="J71" s="712" t="s">
        <v>12</v>
      </c>
      <c r="K71" s="1489"/>
      <c r="L71" s="1490"/>
      <c r="M71" s="1490"/>
      <c r="N71" s="1490"/>
      <c r="O71" s="1490"/>
      <c r="P71" s="1490"/>
      <c r="Q71" s="1488">
        <f t="shared" si="36"/>
        <v>0</v>
      </c>
      <c r="S71" s="1491">
        <f t="shared" si="37"/>
        <v>0</v>
      </c>
      <c r="T71" s="1488">
        <f t="shared" si="38"/>
        <v>0</v>
      </c>
    </row>
    <row r="72" spans="1:20" x14ac:dyDescent="0.25">
      <c r="A72" s="1582" t="s">
        <v>159</v>
      </c>
      <c r="B72" s="1487"/>
      <c r="C72" s="1487"/>
      <c r="D72" s="1487"/>
      <c r="E72" s="1487"/>
      <c r="F72" s="1487"/>
      <c r="G72" s="1487"/>
      <c r="H72" s="1488">
        <f t="shared" si="35"/>
        <v>0</v>
      </c>
      <c r="J72" s="712" t="s">
        <v>159</v>
      </c>
      <c r="K72" s="1489"/>
      <c r="L72" s="1490"/>
      <c r="M72" s="1490"/>
      <c r="N72" s="1490"/>
      <c r="O72" s="1490"/>
      <c r="P72" s="1490"/>
      <c r="Q72" s="1488">
        <f t="shared" si="36"/>
        <v>0</v>
      </c>
      <c r="S72" s="1491">
        <f t="shared" si="37"/>
        <v>0</v>
      </c>
      <c r="T72" s="1488">
        <f t="shared" si="38"/>
        <v>0</v>
      </c>
    </row>
    <row r="73" spans="1:20" x14ac:dyDescent="0.25">
      <c r="A73" s="1582" t="s">
        <v>1037</v>
      </c>
      <c r="B73" s="1487"/>
      <c r="C73" s="1487"/>
      <c r="D73" s="1487"/>
      <c r="E73" s="1487"/>
      <c r="F73" s="1487"/>
      <c r="G73" s="1487"/>
      <c r="H73" s="1488">
        <f t="shared" si="35"/>
        <v>0</v>
      </c>
      <c r="J73" s="712" t="s">
        <v>1037</v>
      </c>
      <c r="K73" s="1489"/>
      <c r="L73" s="1490"/>
      <c r="M73" s="1490"/>
      <c r="N73" s="1490"/>
      <c r="O73" s="1490"/>
      <c r="P73" s="1490"/>
      <c r="Q73" s="1488">
        <f t="shared" si="36"/>
        <v>0</v>
      </c>
      <c r="S73" s="1491">
        <f t="shared" si="37"/>
        <v>0</v>
      </c>
      <c r="T73" s="1488">
        <f t="shared" si="38"/>
        <v>0</v>
      </c>
    </row>
    <row r="74" spans="1:20" x14ac:dyDescent="0.25">
      <c r="A74" s="1582" t="s">
        <v>1038</v>
      </c>
      <c r="B74" s="1487"/>
      <c r="C74" s="1487"/>
      <c r="D74" s="1487"/>
      <c r="E74" s="1487"/>
      <c r="F74" s="1487"/>
      <c r="G74" s="1487"/>
      <c r="H74" s="1488">
        <f t="shared" si="35"/>
        <v>0</v>
      </c>
      <c r="J74" s="712" t="s">
        <v>1038</v>
      </c>
      <c r="K74" s="1489"/>
      <c r="L74" s="1490"/>
      <c r="M74" s="1490"/>
      <c r="N74" s="1490"/>
      <c r="O74" s="1490"/>
      <c r="P74" s="1490"/>
      <c r="Q74" s="1488">
        <f t="shared" si="36"/>
        <v>0</v>
      </c>
      <c r="S74" s="1491">
        <f t="shared" si="37"/>
        <v>0</v>
      </c>
      <c r="T74" s="1488">
        <f t="shared" si="38"/>
        <v>0</v>
      </c>
    </row>
    <row r="75" spans="1:20" x14ac:dyDescent="0.25">
      <c r="A75" s="1582" t="s">
        <v>39</v>
      </c>
      <c r="B75" s="1487"/>
      <c r="C75" s="1487"/>
      <c r="D75" s="1487"/>
      <c r="E75" s="1487"/>
      <c r="F75" s="1487"/>
      <c r="G75" s="1487"/>
      <c r="H75" s="1488">
        <f t="shared" si="35"/>
        <v>0</v>
      </c>
      <c r="J75" s="712" t="s">
        <v>39</v>
      </c>
      <c r="K75" s="1489"/>
      <c r="L75" s="1490"/>
      <c r="M75" s="1490"/>
      <c r="N75" s="1490"/>
      <c r="O75" s="1490"/>
      <c r="P75" s="1490"/>
      <c r="Q75" s="1488">
        <f t="shared" si="36"/>
        <v>0</v>
      </c>
      <c r="S75" s="1491">
        <f t="shared" si="37"/>
        <v>0</v>
      </c>
      <c r="T75" s="1488">
        <f t="shared" si="38"/>
        <v>0</v>
      </c>
    </row>
    <row r="76" spans="1:20" ht="15.75" thickBot="1" x14ac:dyDescent="0.3">
      <c r="A76" s="1583" t="s">
        <v>225</v>
      </c>
      <c r="B76" s="1494"/>
      <c r="C76" s="1494"/>
      <c r="D76" s="1494"/>
      <c r="E76" s="1494"/>
      <c r="F76" s="1494"/>
      <c r="G76" s="1494"/>
      <c r="H76" s="1495">
        <f t="shared" si="35"/>
        <v>0</v>
      </c>
      <c r="J76" s="743" t="s">
        <v>225</v>
      </c>
      <c r="K76" s="1496"/>
      <c r="L76" s="1497"/>
      <c r="M76" s="1497"/>
      <c r="N76" s="1497"/>
      <c r="O76" s="1497"/>
      <c r="P76" s="1497"/>
      <c r="Q76" s="1495">
        <f t="shared" si="36"/>
        <v>0</v>
      </c>
      <c r="S76" s="1498">
        <f t="shared" si="37"/>
        <v>0</v>
      </c>
      <c r="T76" s="1495">
        <f t="shared" si="38"/>
        <v>0</v>
      </c>
    </row>
    <row r="77" spans="1:20" x14ac:dyDescent="0.25">
      <c r="A77" s="1584" t="s">
        <v>226</v>
      </c>
      <c r="B77" s="1499">
        <f t="shared" ref="B77:G77" si="39">SUM(B67:B76)</f>
        <v>0</v>
      </c>
      <c r="C77" s="1499">
        <f t="shared" si="39"/>
        <v>0</v>
      </c>
      <c r="D77" s="1499">
        <f t="shared" si="39"/>
        <v>0</v>
      </c>
      <c r="E77" s="1499">
        <f t="shared" si="39"/>
        <v>0</v>
      </c>
      <c r="F77" s="1499">
        <f t="shared" si="39"/>
        <v>0</v>
      </c>
      <c r="G77" s="1499">
        <f t="shared" si="39"/>
        <v>0</v>
      </c>
      <c r="H77" s="1482">
        <f t="shared" si="35"/>
        <v>0</v>
      </c>
      <c r="J77" s="744" t="s">
        <v>226</v>
      </c>
      <c r="K77" s="1482">
        <f t="shared" ref="K77:P77" si="40">SUM(K67:K76)</f>
        <v>0</v>
      </c>
      <c r="L77" s="1500">
        <f t="shared" si="40"/>
        <v>0</v>
      </c>
      <c r="M77" s="1500">
        <f t="shared" si="40"/>
        <v>0</v>
      </c>
      <c r="N77" s="1500">
        <f t="shared" si="40"/>
        <v>0</v>
      </c>
      <c r="O77" s="1500">
        <f t="shared" si="40"/>
        <v>0</v>
      </c>
      <c r="P77" s="1500">
        <f t="shared" si="40"/>
        <v>0</v>
      </c>
      <c r="Q77" s="1482">
        <f t="shared" si="36"/>
        <v>0</v>
      </c>
      <c r="S77" s="1499">
        <f t="shared" si="37"/>
        <v>0</v>
      </c>
      <c r="T77" s="1482">
        <f t="shared" si="38"/>
        <v>0</v>
      </c>
    </row>
    <row r="78" spans="1:20" x14ac:dyDescent="0.25">
      <c r="A78" s="1585" t="s">
        <v>131</v>
      </c>
      <c r="B78" s="1501">
        <f t="shared" ref="B78:G78" si="41">SUM(B70,B72,B74,B76)*-1</f>
        <v>0</v>
      </c>
      <c r="C78" s="1501">
        <f t="shared" si="41"/>
        <v>0</v>
      </c>
      <c r="D78" s="1501">
        <f t="shared" si="41"/>
        <v>0</v>
      </c>
      <c r="E78" s="1501">
        <f t="shared" si="41"/>
        <v>0</v>
      </c>
      <c r="F78" s="1501">
        <f t="shared" si="41"/>
        <v>0</v>
      </c>
      <c r="G78" s="1501">
        <f t="shared" si="41"/>
        <v>0</v>
      </c>
      <c r="H78" s="1502">
        <f t="shared" si="35"/>
        <v>0</v>
      </c>
      <c r="J78" s="745" t="s">
        <v>131</v>
      </c>
      <c r="K78" s="1502">
        <f t="shared" ref="K78:P78" si="42">SUM(K70,K72,K74,K76)*-1</f>
        <v>0</v>
      </c>
      <c r="L78" s="1503">
        <f t="shared" si="42"/>
        <v>0</v>
      </c>
      <c r="M78" s="1503">
        <f t="shared" si="42"/>
        <v>0</v>
      </c>
      <c r="N78" s="1503">
        <f t="shared" si="42"/>
        <v>0</v>
      </c>
      <c r="O78" s="1503">
        <f t="shared" si="42"/>
        <v>0</v>
      </c>
      <c r="P78" s="1503">
        <f t="shared" si="42"/>
        <v>0</v>
      </c>
      <c r="Q78" s="1502">
        <f t="shared" si="36"/>
        <v>0</v>
      </c>
      <c r="S78" s="1501">
        <f t="shared" si="37"/>
        <v>0</v>
      </c>
      <c r="T78" s="1502">
        <f t="shared" si="38"/>
        <v>0</v>
      </c>
    </row>
    <row r="79" spans="1:20" x14ac:dyDescent="0.25">
      <c r="A79" s="1586" t="s">
        <v>358</v>
      </c>
      <c r="B79" s="1504">
        <f>IF(Budget!$C$292='Reference Sheet'!$A$26,SUM(B77:B78),(B77-B74))</f>
        <v>0</v>
      </c>
      <c r="C79" s="1504">
        <f>IF(Budget!$C$292='Reference Sheet'!$A$26,SUM(C77:C78),(C77-C74))</f>
        <v>0</v>
      </c>
      <c r="D79" s="1504">
        <f>IF(Budget!$C$292='Reference Sheet'!$A$26,SUM(D77:D78),(D77-D74))</f>
        <v>0</v>
      </c>
      <c r="E79" s="1504">
        <f>IF(Budget!$C$292='Reference Sheet'!$A$26,SUM(E77:E78),(E77-E74))</f>
        <v>0</v>
      </c>
      <c r="F79" s="1504">
        <f>IF(Budget!$C$292='Reference Sheet'!$A$26,SUM(F77:F78),(F77-F74))</f>
        <v>0</v>
      </c>
      <c r="G79" s="1504">
        <f>IF(Budget!$C$292='Reference Sheet'!$A$26,SUM(G77:G78),(G77-G74))</f>
        <v>0</v>
      </c>
      <c r="H79" s="1505">
        <f t="shared" si="35"/>
        <v>0</v>
      </c>
      <c r="J79" s="746" t="s">
        <v>358</v>
      </c>
      <c r="K79" s="1504">
        <f>IF(Budget!$C$292='Reference Sheet'!$A$26,SUM(K77:K78),(K77-K74))</f>
        <v>0</v>
      </c>
      <c r="L79" s="1504">
        <f>IF(Budget!$C$292='Reference Sheet'!$A$26,SUM(L77:L78),(L77-L74))</f>
        <v>0</v>
      </c>
      <c r="M79" s="1504">
        <f>IF(Budget!$C$292='Reference Sheet'!$A$26,SUM(M77:M78),(M77-M74))</f>
        <v>0</v>
      </c>
      <c r="N79" s="1504">
        <f>IF(Budget!$C$292='Reference Sheet'!$A$26,SUM(N77:N78),(N77-N74))</f>
        <v>0</v>
      </c>
      <c r="O79" s="1504">
        <f>IF(Budget!$C$292='Reference Sheet'!$A$26,SUM(O77:O78),(O77-O74))</f>
        <v>0</v>
      </c>
      <c r="P79" s="1504">
        <f>IF(Budget!$C$292='Reference Sheet'!$A$26,SUM(P77:P78),(P77-P74))</f>
        <v>0</v>
      </c>
      <c r="Q79" s="1505">
        <f t="shared" si="36"/>
        <v>0</v>
      </c>
      <c r="S79" s="1504">
        <f t="shared" si="37"/>
        <v>0</v>
      </c>
      <c r="T79" s="1505">
        <f t="shared" si="38"/>
        <v>0</v>
      </c>
    </row>
    <row r="80" spans="1:20" ht="15.75" thickBot="1" x14ac:dyDescent="0.3">
      <c r="A80" s="1587" t="s">
        <v>359</v>
      </c>
      <c r="B80" s="1506">
        <f>Budget!$C$294*B79</f>
        <v>0</v>
      </c>
      <c r="C80" s="1506">
        <f>Budget!$C$294*C79</f>
        <v>0</v>
      </c>
      <c r="D80" s="1506">
        <f>Budget!$C$294*D79</f>
        <v>0</v>
      </c>
      <c r="E80" s="1506">
        <f>Budget!$C$294*E79</f>
        <v>0</v>
      </c>
      <c r="F80" s="1506">
        <f>Budget!$C$294*F79</f>
        <v>0</v>
      </c>
      <c r="G80" s="1506">
        <f>Budget!$C$294*G79</f>
        <v>0</v>
      </c>
      <c r="H80" s="1506">
        <f t="shared" si="35"/>
        <v>0</v>
      </c>
      <c r="J80" s="747" t="s">
        <v>359</v>
      </c>
      <c r="K80" s="1506">
        <f>Budget!C$294*K79</f>
        <v>0</v>
      </c>
      <c r="L80" s="1506">
        <f>Budget!D$294*L79</f>
        <v>0</v>
      </c>
      <c r="M80" s="1506">
        <f>Budget!E$294*M79</f>
        <v>0</v>
      </c>
      <c r="N80" s="1506">
        <f>Budget!F$294*N79</f>
        <v>0</v>
      </c>
      <c r="O80" s="1506">
        <f>Budget!G$294*O79</f>
        <v>0</v>
      </c>
      <c r="P80" s="1506">
        <f>Budget!H$294*P79</f>
        <v>0</v>
      </c>
      <c r="Q80" s="1506">
        <f t="shared" si="36"/>
        <v>0</v>
      </c>
      <c r="S80" s="1506">
        <f t="shared" si="37"/>
        <v>0</v>
      </c>
      <c r="T80" s="1506">
        <f t="shared" si="38"/>
        <v>0</v>
      </c>
    </row>
    <row r="81" spans="1:20" ht="15.75" thickBot="1" x14ac:dyDescent="0.3">
      <c r="A81" s="1588" t="s">
        <v>170</v>
      </c>
      <c r="B81" s="1507">
        <f t="shared" ref="B81:G81" si="43">SUM(B77,B80)</f>
        <v>0</v>
      </c>
      <c r="C81" s="1507">
        <f t="shared" si="43"/>
        <v>0</v>
      </c>
      <c r="D81" s="1507">
        <f t="shared" si="43"/>
        <v>0</v>
      </c>
      <c r="E81" s="1507">
        <f t="shared" si="43"/>
        <v>0</v>
      </c>
      <c r="F81" s="1507">
        <f t="shared" si="43"/>
        <v>0</v>
      </c>
      <c r="G81" s="1507">
        <f t="shared" si="43"/>
        <v>0</v>
      </c>
      <c r="H81" s="1508">
        <f t="shared" si="35"/>
        <v>0</v>
      </c>
      <c r="J81" s="748" t="s">
        <v>170</v>
      </c>
      <c r="K81" s="1508">
        <f t="shared" ref="K81:P81" si="44">SUM(K77,K80)</f>
        <v>0</v>
      </c>
      <c r="L81" s="1509">
        <f t="shared" si="44"/>
        <v>0</v>
      </c>
      <c r="M81" s="1509">
        <f t="shared" si="44"/>
        <v>0</v>
      </c>
      <c r="N81" s="1509">
        <f t="shared" si="44"/>
        <v>0</v>
      </c>
      <c r="O81" s="1509">
        <f t="shared" si="44"/>
        <v>0</v>
      </c>
      <c r="P81" s="1509">
        <f t="shared" si="44"/>
        <v>0</v>
      </c>
      <c r="Q81" s="1508">
        <f t="shared" si="36"/>
        <v>0</v>
      </c>
      <c r="S81" s="1507">
        <f t="shared" si="37"/>
        <v>0</v>
      </c>
      <c r="T81" s="1508">
        <f t="shared" si="38"/>
        <v>0</v>
      </c>
    </row>
    <row r="82" spans="1:20" ht="15.75" thickBot="1" x14ac:dyDescent="0.3">
      <c r="R82" s="672" t="str">
        <f>$R$22</f>
        <v>Total Project Costs</v>
      </c>
      <c r="S82" s="3480">
        <f>SUM(S81:T81)</f>
        <v>0</v>
      </c>
      <c r="T82" s="3481"/>
    </row>
    <row r="83" spans="1:20" ht="15.75" thickBot="1" x14ac:dyDescent="0.3">
      <c r="R83" s="672" t="str">
        <f>$R$23</f>
        <v>Cost share as % of Total Project Costs</v>
      </c>
      <c r="S83" s="3490">
        <f>IFERROR(T81/S82,0%)</f>
        <v>0</v>
      </c>
      <c r="T83" s="3491"/>
    </row>
    <row r="84" spans="1:20" ht="24" thickBot="1" x14ac:dyDescent="0.4">
      <c r="A84" s="327">
        <v>5</v>
      </c>
      <c r="B84" s="681" t="s">
        <v>305</v>
      </c>
      <c r="C84" s="681"/>
      <c r="D84" s="681"/>
      <c r="E84" s="681"/>
      <c r="F84" s="681"/>
      <c r="G84" s="681"/>
      <c r="H84" s="681"/>
      <c r="J84" s="681" t="s">
        <v>222</v>
      </c>
      <c r="K84" s="681"/>
      <c r="L84" s="681"/>
      <c r="M84" s="681"/>
      <c r="N84" s="681"/>
      <c r="O84" s="681"/>
      <c r="P84" s="681"/>
      <c r="Q84" s="681"/>
    </row>
    <row r="85" spans="1:20" ht="15.75" thickBot="1" x14ac:dyDescent="0.3">
      <c r="A85" s="644">
        <f ca="1">'Calc - SENIOR PERS'!B62</f>
        <v>0</v>
      </c>
      <c r="B85" s="644">
        <f ca="1">'Calc - SENIOR PERS'!B63</f>
        <v>0</v>
      </c>
      <c r="C85" s="688"/>
      <c r="D85" s="688"/>
      <c r="E85" s="688"/>
      <c r="F85" s="688"/>
      <c r="G85" s="688"/>
      <c r="H85" s="731"/>
      <c r="J85" s="690">
        <f ca="1">A85</f>
        <v>0</v>
      </c>
      <c r="K85" s="645">
        <f ca="1">B85</f>
        <v>0</v>
      </c>
      <c r="L85" s="689"/>
      <c r="M85" s="732"/>
      <c r="N85" s="571"/>
      <c r="O85" s="689"/>
      <c r="P85" s="689"/>
      <c r="Q85" s="733"/>
      <c r="S85" s="3492" t="s">
        <v>170</v>
      </c>
      <c r="T85" s="3493"/>
    </row>
    <row r="86" spans="1:20" ht="15.75" thickBot="1" x14ac:dyDescent="0.3">
      <c r="A86" s="1580"/>
      <c r="B86" s="517" t="s">
        <v>106</v>
      </c>
      <c r="C86" s="517" t="s">
        <v>0</v>
      </c>
      <c r="D86" s="517" t="s">
        <v>1</v>
      </c>
      <c r="E86" s="517" t="s">
        <v>2</v>
      </c>
      <c r="F86" s="517" t="s">
        <v>16</v>
      </c>
      <c r="G86" s="517" t="s">
        <v>105</v>
      </c>
      <c r="H86" s="518" t="s">
        <v>170</v>
      </c>
      <c r="J86" s="711"/>
      <c r="K86" s="519" t="s">
        <v>106</v>
      </c>
      <c r="L86" s="633" t="s">
        <v>0</v>
      </c>
      <c r="M86" s="633" t="s">
        <v>1</v>
      </c>
      <c r="N86" s="633" t="s">
        <v>2</v>
      </c>
      <c r="O86" s="633" t="s">
        <v>16</v>
      </c>
      <c r="P86" s="633" t="s">
        <v>105</v>
      </c>
      <c r="Q86" s="519" t="s">
        <v>170</v>
      </c>
      <c r="S86" s="633" t="s">
        <v>62</v>
      </c>
      <c r="T86" s="519" t="s">
        <v>311</v>
      </c>
    </row>
    <row r="87" spans="1:20" x14ac:dyDescent="0.25">
      <c r="A87" s="1581" t="s">
        <v>110</v>
      </c>
      <c r="B87" s="1481"/>
      <c r="C87" s="1481"/>
      <c r="D87" s="1481"/>
      <c r="E87" s="1481"/>
      <c r="F87" s="1481"/>
      <c r="G87" s="1481"/>
      <c r="H87" s="1482">
        <f t="shared" ref="H87:H101" si="45">SUM(B87:G87)</f>
        <v>0</v>
      </c>
      <c r="J87" s="712" t="s">
        <v>110</v>
      </c>
      <c r="K87" s="1483"/>
      <c r="L87" s="1484"/>
      <c r="M87" s="1484"/>
      <c r="N87" s="1484"/>
      <c r="O87" s="1484"/>
      <c r="P87" s="1484"/>
      <c r="Q87" s="1482">
        <f t="shared" ref="Q87:Q101" si="46">SUM(K87:P87)</f>
        <v>0</v>
      </c>
      <c r="S87" s="1485">
        <f t="shared" ref="S87:S101" si="47">H87</f>
        <v>0</v>
      </c>
      <c r="T87" s="1486">
        <f t="shared" ref="T87:T101" si="48">Q87</f>
        <v>0</v>
      </c>
    </row>
    <row r="88" spans="1:20" x14ac:dyDescent="0.25">
      <c r="A88" s="1582" t="s">
        <v>133</v>
      </c>
      <c r="B88" s="1487"/>
      <c r="C88" s="1487"/>
      <c r="D88" s="1487"/>
      <c r="E88" s="1487"/>
      <c r="F88" s="1487"/>
      <c r="G88" s="1487"/>
      <c r="H88" s="1488">
        <f t="shared" si="45"/>
        <v>0</v>
      </c>
      <c r="J88" s="712" t="s">
        <v>133</v>
      </c>
      <c r="K88" s="1489"/>
      <c r="L88" s="1490"/>
      <c r="M88" s="1490"/>
      <c r="N88" s="1490"/>
      <c r="O88" s="1490"/>
      <c r="P88" s="1490"/>
      <c r="Q88" s="1488">
        <f t="shared" si="46"/>
        <v>0</v>
      </c>
      <c r="S88" s="1491">
        <f t="shared" si="47"/>
        <v>0</v>
      </c>
      <c r="T88" s="1488">
        <f t="shared" si="48"/>
        <v>0</v>
      </c>
    </row>
    <row r="89" spans="1:20" x14ac:dyDescent="0.25">
      <c r="A89" s="1582" t="s">
        <v>136</v>
      </c>
      <c r="B89" s="1487"/>
      <c r="C89" s="1487"/>
      <c r="D89" s="1487"/>
      <c r="E89" s="1487"/>
      <c r="F89" s="1487"/>
      <c r="G89" s="1487"/>
      <c r="H89" s="1488">
        <f t="shared" si="45"/>
        <v>0</v>
      </c>
      <c r="J89" s="712" t="s">
        <v>136</v>
      </c>
      <c r="K89" s="1489"/>
      <c r="L89" s="1490"/>
      <c r="M89" s="1490"/>
      <c r="N89" s="1490"/>
      <c r="O89" s="1490"/>
      <c r="P89" s="1490"/>
      <c r="Q89" s="1488">
        <f t="shared" si="46"/>
        <v>0</v>
      </c>
      <c r="S89" s="1491">
        <f t="shared" si="47"/>
        <v>0</v>
      </c>
      <c r="T89" s="1488">
        <f t="shared" si="48"/>
        <v>0</v>
      </c>
    </row>
    <row r="90" spans="1:20" x14ac:dyDescent="0.25">
      <c r="A90" s="1582" t="s">
        <v>146</v>
      </c>
      <c r="B90" s="1487"/>
      <c r="C90" s="1487"/>
      <c r="D90" s="1487"/>
      <c r="E90" s="1487"/>
      <c r="F90" s="1487"/>
      <c r="G90" s="1487"/>
      <c r="H90" s="1488">
        <f t="shared" si="45"/>
        <v>0</v>
      </c>
      <c r="J90" s="712" t="s">
        <v>146</v>
      </c>
      <c r="K90" s="1489"/>
      <c r="L90" s="1490"/>
      <c r="M90" s="1490"/>
      <c r="N90" s="1490"/>
      <c r="O90" s="1490"/>
      <c r="P90" s="1490"/>
      <c r="Q90" s="1488">
        <f t="shared" si="46"/>
        <v>0</v>
      </c>
      <c r="S90" s="1491">
        <f t="shared" si="47"/>
        <v>0</v>
      </c>
      <c r="T90" s="1488">
        <f t="shared" si="48"/>
        <v>0</v>
      </c>
    </row>
    <row r="91" spans="1:20" x14ac:dyDescent="0.25">
      <c r="A91" s="1582" t="s">
        <v>12</v>
      </c>
      <c r="B91" s="1487"/>
      <c r="C91" s="1487"/>
      <c r="D91" s="1487"/>
      <c r="E91" s="1487"/>
      <c r="F91" s="1487"/>
      <c r="G91" s="1487"/>
      <c r="H91" s="1488">
        <f t="shared" si="45"/>
        <v>0</v>
      </c>
      <c r="J91" s="712" t="s">
        <v>12</v>
      </c>
      <c r="K91" s="1489"/>
      <c r="L91" s="1490"/>
      <c r="M91" s="1490"/>
      <c r="N91" s="1490"/>
      <c r="O91" s="1490"/>
      <c r="P91" s="1490"/>
      <c r="Q91" s="1488">
        <f t="shared" si="46"/>
        <v>0</v>
      </c>
      <c r="S91" s="1491">
        <f t="shared" si="47"/>
        <v>0</v>
      </c>
      <c r="T91" s="1488">
        <f t="shared" si="48"/>
        <v>0</v>
      </c>
    </row>
    <row r="92" spans="1:20" x14ac:dyDescent="0.25">
      <c r="A92" s="1582" t="s">
        <v>159</v>
      </c>
      <c r="B92" s="1487"/>
      <c r="C92" s="1487"/>
      <c r="D92" s="1487"/>
      <c r="E92" s="1487"/>
      <c r="F92" s="1487"/>
      <c r="G92" s="1487"/>
      <c r="H92" s="1488">
        <f t="shared" si="45"/>
        <v>0</v>
      </c>
      <c r="J92" s="712" t="s">
        <v>159</v>
      </c>
      <c r="K92" s="1489"/>
      <c r="L92" s="1490"/>
      <c r="M92" s="1490"/>
      <c r="N92" s="1490"/>
      <c r="O92" s="1490"/>
      <c r="P92" s="1490"/>
      <c r="Q92" s="1488">
        <f t="shared" si="46"/>
        <v>0</v>
      </c>
      <c r="S92" s="1491">
        <f t="shared" si="47"/>
        <v>0</v>
      </c>
      <c r="T92" s="1488">
        <f t="shared" si="48"/>
        <v>0</v>
      </c>
    </row>
    <row r="93" spans="1:20" x14ac:dyDescent="0.25">
      <c r="A93" s="1582" t="s">
        <v>1037</v>
      </c>
      <c r="B93" s="1487"/>
      <c r="C93" s="1487"/>
      <c r="D93" s="1487"/>
      <c r="E93" s="1487"/>
      <c r="F93" s="1487"/>
      <c r="G93" s="1487"/>
      <c r="H93" s="1488">
        <f t="shared" si="45"/>
        <v>0</v>
      </c>
      <c r="J93" s="712" t="s">
        <v>1037</v>
      </c>
      <c r="K93" s="1489"/>
      <c r="L93" s="1490"/>
      <c r="M93" s="1490"/>
      <c r="N93" s="1490"/>
      <c r="O93" s="1490"/>
      <c r="P93" s="1490"/>
      <c r="Q93" s="1488">
        <f t="shared" si="46"/>
        <v>0</v>
      </c>
      <c r="S93" s="1491">
        <f t="shared" si="47"/>
        <v>0</v>
      </c>
      <c r="T93" s="1488">
        <f t="shared" si="48"/>
        <v>0</v>
      </c>
    </row>
    <row r="94" spans="1:20" x14ac:dyDescent="0.25">
      <c r="A94" s="1582" t="s">
        <v>1038</v>
      </c>
      <c r="B94" s="1487"/>
      <c r="C94" s="1487"/>
      <c r="D94" s="1487"/>
      <c r="E94" s="1487"/>
      <c r="F94" s="1487"/>
      <c r="G94" s="1487"/>
      <c r="H94" s="1488">
        <f t="shared" si="45"/>
        <v>0</v>
      </c>
      <c r="J94" s="712" t="s">
        <v>1038</v>
      </c>
      <c r="K94" s="1489"/>
      <c r="L94" s="1490"/>
      <c r="M94" s="1490"/>
      <c r="N94" s="1490"/>
      <c r="O94" s="1490"/>
      <c r="P94" s="1490"/>
      <c r="Q94" s="1488">
        <f t="shared" si="46"/>
        <v>0</v>
      </c>
      <c r="S94" s="1491">
        <f t="shared" si="47"/>
        <v>0</v>
      </c>
      <c r="T94" s="1488">
        <f t="shared" si="48"/>
        <v>0</v>
      </c>
    </row>
    <row r="95" spans="1:20" x14ac:dyDescent="0.25">
      <c r="A95" s="1582" t="s">
        <v>39</v>
      </c>
      <c r="B95" s="1487"/>
      <c r="C95" s="1487"/>
      <c r="D95" s="1487"/>
      <c r="E95" s="1487"/>
      <c r="F95" s="1487"/>
      <c r="G95" s="1487"/>
      <c r="H95" s="1488">
        <f t="shared" si="45"/>
        <v>0</v>
      </c>
      <c r="J95" s="712" t="s">
        <v>39</v>
      </c>
      <c r="K95" s="1489"/>
      <c r="L95" s="1490"/>
      <c r="M95" s="1490"/>
      <c r="N95" s="1490"/>
      <c r="O95" s="1490"/>
      <c r="P95" s="1490"/>
      <c r="Q95" s="1488">
        <f t="shared" si="46"/>
        <v>0</v>
      </c>
      <c r="S95" s="1491">
        <f t="shared" si="47"/>
        <v>0</v>
      </c>
      <c r="T95" s="1488">
        <f t="shared" si="48"/>
        <v>0</v>
      </c>
    </row>
    <row r="96" spans="1:20" ht="15.75" thickBot="1" x14ac:dyDescent="0.3">
      <c r="A96" s="1583" t="s">
        <v>225</v>
      </c>
      <c r="B96" s="1494"/>
      <c r="C96" s="1494"/>
      <c r="D96" s="1494"/>
      <c r="E96" s="1494"/>
      <c r="F96" s="1494"/>
      <c r="G96" s="1494"/>
      <c r="H96" s="1495">
        <f t="shared" si="45"/>
        <v>0</v>
      </c>
      <c r="J96" s="743" t="s">
        <v>225</v>
      </c>
      <c r="K96" s="1496"/>
      <c r="L96" s="1497"/>
      <c r="M96" s="1497"/>
      <c r="N96" s="1497"/>
      <c r="O96" s="1497"/>
      <c r="P96" s="1497"/>
      <c r="Q96" s="1495">
        <f t="shared" si="46"/>
        <v>0</v>
      </c>
      <c r="S96" s="1498">
        <f t="shared" si="47"/>
        <v>0</v>
      </c>
      <c r="T96" s="1495">
        <f t="shared" si="48"/>
        <v>0</v>
      </c>
    </row>
    <row r="97" spans="1:20" x14ac:dyDescent="0.25">
      <c r="A97" s="1584" t="s">
        <v>226</v>
      </c>
      <c r="B97" s="1499">
        <f t="shared" ref="B97:G97" si="49">SUM(B87:B96)</f>
        <v>0</v>
      </c>
      <c r="C97" s="1499">
        <f t="shared" si="49"/>
        <v>0</v>
      </c>
      <c r="D97" s="1499">
        <f t="shared" si="49"/>
        <v>0</v>
      </c>
      <c r="E97" s="1499">
        <f t="shared" si="49"/>
        <v>0</v>
      </c>
      <c r="F97" s="1499">
        <f t="shared" si="49"/>
        <v>0</v>
      </c>
      <c r="G97" s="1499">
        <f t="shared" si="49"/>
        <v>0</v>
      </c>
      <c r="H97" s="1482">
        <f t="shared" si="45"/>
        <v>0</v>
      </c>
      <c r="J97" s="744" t="s">
        <v>226</v>
      </c>
      <c r="K97" s="1482">
        <f t="shared" ref="K97:P97" si="50">SUM(K87:K96)</f>
        <v>0</v>
      </c>
      <c r="L97" s="1500">
        <f t="shared" si="50"/>
        <v>0</v>
      </c>
      <c r="M97" s="1500">
        <f t="shared" si="50"/>
        <v>0</v>
      </c>
      <c r="N97" s="1500">
        <f t="shared" si="50"/>
        <v>0</v>
      </c>
      <c r="O97" s="1500">
        <f t="shared" si="50"/>
        <v>0</v>
      </c>
      <c r="P97" s="1500">
        <f t="shared" si="50"/>
        <v>0</v>
      </c>
      <c r="Q97" s="1482">
        <f t="shared" si="46"/>
        <v>0</v>
      </c>
      <c r="S97" s="1499">
        <f t="shared" si="47"/>
        <v>0</v>
      </c>
      <c r="T97" s="1482">
        <f t="shared" si="48"/>
        <v>0</v>
      </c>
    </row>
    <row r="98" spans="1:20" x14ac:dyDescent="0.25">
      <c r="A98" s="1585" t="s">
        <v>131</v>
      </c>
      <c r="B98" s="1501">
        <f t="shared" ref="B98:G98" si="51">SUM(B90,B92,B94,B96)*-1</f>
        <v>0</v>
      </c>
      <c r="C98" s="1501">
        <f t="shared" si="51"/>
        <v>0</v>
      </c>
      <c r="D98" s="1501">
        <f t="shared" si="51"/>
        <v>0</v>
      </c>
      <c r="E98" s="1501">
        <f t="shared" si="51"/>
        <v>0</v>
      </c>
      <c r="F98" s="1501">
        <f t="shared" si="51"/>
        <v>0</v>
      </c>
      <c r="G98" s="1501">
        <f t="shared" si="51"/>
        <v>0</v>
      </c>
      <c r="H98" s="1502">
        <f t="shared" si="45"/>
        <v>0</v>
      </c>
      <c r="J98" s="745" t="s">
        <v>131</v>
      </c>
      <c r="K98" s="1502">
        <f t="shared" ref="K98:P98" si="52">SUM(K90,K92,K94,K96)*-1</f>
        <v>0</v>
      </c>
      <c r="L98" s="1503">
        <f t="shared" si="52"/>
        <v>0</v>
      </c>
      <c r="M98" s="1503">
        <f t="shared" si="52"/>
        <v>0</v>
      </c>
      <c r="N98" s="1503">
        <f t="shared" si="52"/>
        <v>0</v>
      </c>
      <c r="O98" s="1503">
        <f t="shared" si="52"/>
        <v>0</v>
      </c>
      <c r="P98" s="1503">
        <f t="shared" si="52"/>
        <v>0</v>
      </c>
      <c r="Q98" s="1502">
        <f t="shared" si="46"/>
        <v>0</v>
      </c>
      <c r="S98" s="1501">
        <f t="shared" si="47"/>
        <v>0</v>
      </c>
      <c r="T98" s="1502">
        <f t="shared" si="48"/>
        <v>0</v>
      </c>
    </row>
    <row r="99" spans="1:20" x14ac:dyDescent="0.25">
      <c r="A99" s="1586" t="s">
        <v>358</v>
      </c>
      <c r="B99" s="1504">
        <f>IF(Budget!$C$292='Reference Sheet'!$A$26,SUM(B97:B98),(B97-B94))</f>
        <v>0</v>
      </c>
      <c r="C99" s="1504">
        <f>IF(Budget!$C$292='Reference Sheet'!$A$26,SUM(C97:C98),(C97-C94))</f>
        <v>0</v>
      </c>
      <c r="D99" s="1504">
        <f>IF(Budget!$C$292='Reference Sheet'!$A$26,SUM(D97:D98),(D97-D94))</f>
        <v>0</v>
      </c>
      <c r="E99" s="1504">
        <f>IF(Budget!$C$292='Reference Sheet'!$A$26,SUM(E97:E98),(E97-E94))</f>
        <v>0</v>
      </c>
      <c r="F99" s="1504">
        <f>IF(Budget!$C$292='Reference Sheet'!$A$26,SUM(F97:F98),(F97-F94))</f>
        <v>0</v>
      </c>
      <c r="G99" s="1504">
        <f>IF(Budget!$C$292='Reference Sheet'!$A$26,SUM(G97:G98),(G97-G94))</f>
        <v>0</v>
      </c>
      <c r="H99" s="1505">
        <f t="shared" si="45"/>
        <v>0</v>
      </c>
      <c r="J99" s="746" t="s">
        <v>358</v>
      </c>
      <c r="K99" s="1504">
        <f>IF(Budget!$C$292='Reference Sheet'!$A$26,SUM(K97:K98),(K97-K94))</f>
        <v>0</v>
      </c>
      <c r="L99" s="1504">
        <f>IF(Budget!$C$292='Reference Sheet'!$A$26,SUM(L97:L98),(L97-L94))</f>
        <v>0</v>
      </c>
      <c r="M99" s="1504">
        <f>IF(Budget!$C$292='Reference Sheet'!$A$26,SUM(M97:M98),(M97-M94))</f>
        <v>0</v>
      </c>
      <c r="N99" s="1504">
        <f>IF(Budget!$C$292='Reference Sheet'!$A$26,SUM(N97:N98),(N97-N94))</f>
        <v>0</v>
      </c>
      <c r="O99" s="1504">
        <f>IF(Budget!$C$292='Reference Sheet'!$A$26,SUM(O97:O98),(O97-O94))</f>
        <v>0</v>
      </c>
      <c r="P99" s="1504">
        <f>IF(Budget!$C$292='Reference Sheet'!$A$26,SUM(P97:P98),(P97-P94))</f>
        <v>0</v>
      </c>
      <c r="Q99" s="1505">
        <f t="shared" si="46"/>
        <v>0</v>
      </c>
      <c r="S99" s="1504">
        <f t="shared" si="47"/>
        <v>0</v>
      </c>
      <c r="T99" s="1505">
        <f t="shared" si="48"/>
        <v>0</v>
      </c>
    </row>
    <row r="100" spans="1:20" ht="15.75" thickBot="1" x14ac:dyDescent="0.3">
      <c r="A100" s="1587" t="s">
        <v>359</v>
      </c>
      <c r="B100" s="1506">
        <f>Budget!$C$294*B99</f>
        <v>0</v>
      </c>
      <c r="C100" s="1506">
        <f>Budget!$C$294*C99</f>
        <v>0</v>
      </c>
      <c r="D100" s="1506">
        <f>Budget!$C$294*D99</f>
        <v>0</v>
      </c>
      <c r="E100" s="1506">
        <f>Budget!$C$294*E99</f>
        <v>0</v>
      </c>
      <c r="F100" s="1506">
        <f>Budget!$C$294*F99</f>
        <v>0</v>
      </c>
      <c r="G100" s="1506">
        <f>Budget!$C$294*G99</f>
        <v>0</v>
      </c>
      <c r="H100" s="1506">
        <f t="shared" si="45"/>
        <v>0</v>
      </c>
      <c r="J100" s="747" t="s">
        <v>359</v>
      </c>
      <c r="K100" s="1506">
        <f>Budget!C$294*K99</f>
        <v>0</v>
      </c>
      <c r="L100" s="1506">
        <f>Budget!D$294*L99</f>
        <v>0</v>
      </c>
      <c r="M100" s="1506">
        <f>Budget!E$294*M99</f>
        <v>0</v>
      </c>
      <c r="N100" s="1506">
        <f>Budget!F$294*N99</f>
        <v>0</v>
      </c>
      <c r="O100" s="1506">
        <f>Budget!G$294*O99</f>
        <v>0</v>
      </c>
      <c r="P100" s="1506">
        <f>Budget!H$294*P99</f>
        <v>0</v>
      </c>
      <c r="Q100" s="1506">
        <f t="shared" si="46"/>
        <v>0</v>
      </c>
      <c r="S100" s="1506">
        <f t="shared" si="47"/>
        <v>0</v>
      </c>
      <c r="T100" s="1506">
        <f t="shared" si="48"/>
        <v>0</v>
      </c>
    </row>
    <row r="101" spans="1:20" ht="15.75" thickBot="1" x14ac:dyDescent="0.3">
      <c r="A101" s="1588" t="s">
        <v>170</v>
      </c>
      <c r="B101" s="1507">
        <f t="shared" ref="B101:G101" si="53">SUM(B97,B100)</f>
        <v>0</v>
      </c>
      <c r="C101" s="1507">
        <f t="shared" si="53"/>
        <v>0</v>
      </c>
      <c r="D101" s="1507">
        <f t="shared" si="53"/>
        <v>0</v>
      </c>
      <c r="E101" s="1507">
        <f t="shared" si="53"/>
        <v>0</v>
      </c>
      <c r="F101" s="1507">
        <f t="shared" si="53"/>
        <v>0</v>
      </c>
      <c r="G101" s="1507">
        <f t="shared" si="53"/>
        <v>0</v>
      </c>
      <c r="H101" s="1508">
        <f t="shared" si="45"/>
        <v>0</v>
      </c>
      <c r="J101" s="748" t="s">
        <v>170</v>
      </c>
      <c r="K101" s="1508">
        <f t="shared" ref="K101:P101" si="54">SUM(K97,K100)</f>
        <v>0</v>
      </c>
      <c r="L101" s="1509">
        <f t="shared" si="54"/>
        <v>0</v>
      </c>
      <c r="M101" s="1509">
        <f t="shared" si="54"/>
        <v>0</v>
      </c>
      <c r="N101" s="1509">
        <f t="shared" si="54"/>
        <v>0</v>
      </c>
      <c r="O101" s="1509">
        <f t="shared" si="54"/>
        <v>0</v>
      </c>
      <c r="P101" s="1509">
        <f t="shared" si="54"/>
        <v>0</v>
      </c>
      <c r="Q101" s="1508">
        <f t="shared" si="46"/>
        <v>0</v>
      </c>
      <c r="S101" s="1507">
        <f t="shared" si="47"/>
        <v>0</v>
      </c>
      <c r="T101" s="1508">
        <f t="shared" si="48"/>
        <v>0</v>
      </c>
    </row>
    <row r="102" spans="1:20" ht="15.75" thickBot="1" x14ac:dyDescent="0.3">
      <c r="R102" s="672" t="str">
        <f>$R$22</f>
        <v>Total Project Costs</v>
      </c>
      <c r="S102" s="3480">
        <f>SUM(S101:T101)</f>
        <v>0</v>
      </c>
      <c r="T102" s="3481"/>
    </row>
    <row r="103" spans="1:20" ht="15.75" thickBot="1" x14ac:dyDescent="0.3">
      <c r="R103" s="672" t="str">
        <f>$R$23</f>
        <v>Cost share as % of Total Project Costs</v>
      </c>
      <c r="S103" s="3500">
        <f>IFERROR(T101/S102,0%)</f>
        <v>0</v>
      </c>
      <c r="T103" s="3501"/>
    </row>
    <row r="104" spans="1:20" ht="24" thickBot="1" x14ac:dyDescent="0.4">
      <c r="A104" s="327">
        <v>6</v>
      </c>
      <c r="B104" s="681" t="s">
        <v>305</v>
      </c>
      <c r="C104" s="681"/>
      <c r="D104" s="681"/>
      <c r="E104" s="681"/>
      <c r="F104" s="681"/>
      <c r="G104" s="681"/>
      <c r="H104" s="681"/>
      <c r="J104" s="681" t="s">
        <v>222</v>
      </c>
      <c r="K104" s="681"/>
      <c r="L104" s="681"/>
      <c r="M104" s="681"/>
      <c r="N104" s="681"/>
      <c r="O104" s="681"/>
      <c r="P104" s="681"/>
      <c r="Q104" s="681"/>
    </row>
    <row r="105" spans="1:20" ht="15.75" thickBot="1" x14ac:dyDescent="0.3">
      <c r="A105" s="642">
        <f ca="1">'Calc - SENIOR PERS'!B76</f>
        <v>0</v>
      </c>
      <c r="B105" s="642">
        <f ca="1">'Calc - SENIOR PERS'!B77</f>
        <v>0</v>
      </c>
      <c r="C105" s="693"/>
      <c r="D105" s="693"/>
      <c r="E105" s="693"/>
      <c r="F105" s="693"/>
      <c r="G105" s="693"/>
      <c r="H105" s="734"/>
      <c r="J105" s="703">
        <f ca="1">A105</f>
        <v>0</v>
      </c>
      <c r="K105" s="643">
        <f ca="1">B105</f>
        <v>0</v>
      </c>
      <c r="L105" s="694"/>
      <c r="M105" s="694"/>
      <c r="N105" s="694"/>
      <c r="O105" s="694"/>
      <c r="P105" s="694"/>
      <c r="Q105" s="735"/>
      <c r="S105" s="3502" t="s">
        <v>170</v>
      </c>
      <c r="T105" s="3503"/>
    </row>
    <row r="106" spans="1:20" ht="15.75" thickBot="1" x14ac:dyDescent="0.3">
      <c r="A106" s="1580"/>
      <c r="B106" s="517" t="s">
        <v>106</v>
      </c>
      <c r="C106" s="517" t="s">
        <v>0</v>
      </c>
      <c r="D106" s="517" t="s">
        <v>1</v>
      </c>
      <c r="E106" s="517" t="s">
        <v>2</v>
      </c>
      <c r="F106" s="517" t="s">
        <v>16</v>
      </c>
      <c r="G106" s="517" t="s">
        <v>105</v>
      </c>
      <c r="H106" s="518" t="s">
        <v>170</v>
      </c>
      <c r="J106" s="711"/>
      <c r="K106" s="519" t="s">
        <v>106</v>
      </c>
      <c r="L106" s="633" t="s">
        <v>0</v>
      </c>
      <c r="M106" s="633" t="s">
        <v>1</v>
      </c>
      <c r="N106" s="633" t="s">
        <v>2</v>
      </c>
      <c r="O106" s="633" t="s">
        <v>16</v>
      </c>
      <c r="P106" s="633" t="s">
        <v>105</v>
      </c>
      <c r="Q106" s="519" t="s">
        <v>170</v>
      </c>
      <c r="S106" s="633" t="s">
        <v>62</v>
      </c>
      <c r="T106" s="519" t="s">
        <v>311</v>
      </c>
    </row>
    <row r="107" spans="1:20" x14ac:dyDescent="0.25">
      <c r="A107" s="1581" t="s">
        <v>110</v>
      </c>
      <c r="B107" s="1481"/>
      <c r="C107" s="1481"/>
      <c r="D107" s="1481"/>
      <c r="E107" s="1481"/>
      <c r="F107" s="1481"/>
      <c r="G107" s="1481"/>
      <c r="H107" s="1482">
        <f t="shared" ref="H107:H121" si="55">SUM(B107:G107)</f>
        <v>0</v>
      </c>
      <c r="J107" s="712" t="s">
        <v>110</v>
      </c>
      <c r="K107" s="1483"/>
      <c r="L107" s="1484"/>
      <c r="M107" s="1484"/>
      <c r="N107" s="1484"/>
      <c r="O107" s="1484"/>
      <c r="P107" s="1484"/>
      <c r="Q107" s="1482">
        <f t="shared" ref="Q107:Q121" si="56">SUM(K107:P107)</f>
        <v>0</v>
      </c>
      <c r="S107" s="1485">
        <f t="shared" ref="S107:S121" si="57">H107</f>
        <v>0</v>
      </c>
      <c r="T107" s="1486">
        <f t="shared" ref="T107:T121" si="58">Q107</f>
        <v>0</v>
      </c>
    </row>
    <row r="108" spans="1:20" x14ac:dyDescent="0.25">
      <c r="A108" s="1582" t="s">
        <v>133</v>
      </c>
      <c r="B108" s="1487"/>
      <c r="C108" s="1487"/>
      <c r="D108" s="1487"/>
      <c r="E108" s="1487"/>
      <c r="F108" s="1487"/>
      <c r="G108" s="1487"/>
      <c r="H108" s="1488">
        <f t="shared" si="55"/>
        <v>0</v>
      </c>
      <c r="J108" s="712" t="s">
        <v>133</v>
      </c>
      <c r="K108" s="1489"/>
      <c r="L108" s="1490"/>
      <c r="M108" s="1490"/>
      <c r="N108" s="1490"/>
      <c r="O108" s="1490"/>
      <c r="P108" s="1490"/>
      <c r="Q108" s="1488">
        <f t="shared" si="56"/>
        <v>0</v>
      </c>
      <c r="S108" s="1491">
        <f t="shared" si="57"/>
        <v>0</v>
      </c>
      <c r="T108" s="1488">
        <f t="shared" si="58"/>
        <v>0</v>
      </c>
    </row>
    <row r="109" spans="1:20" x14ac:dyDescent="0.25">
      <c r="A109" s="1582" t="s">
        <v>136</v>
      </c>
      <c r="B109" s="1487"/>
      <c r="C109" s="1487"/>
      <c r="D109" s="1487"/>
      <c r="E109" s="1487"/>
      <c r="F109" s="1487"/>
      <c r="G109" s="1487"/>
      <c r="H109" s="1488">
        <f t="shared" si="55"/>
        <v>0</v>
      </c>
      <c r="J109" s="712" t="s">
        <v>136</v>
      </c>
      <c r="K109" s="1489"/>
      <c r="L109" s="1490"/>
      <c r="M109" s="1490"/>
      <c r="N109" s="1490"/>
      <c r="O109" s="1490"/>
      <c r="P109" s="1490"/>
      <c r="Q109" s="1488">
        <f t="shared" si="56"/>
        <v>0</v>
      </c>
      <c r="S109" s="1491">
        <f t="shared" si="57"/>
        <v>0</v>
      </c>
      <c r="T109" s="1488">
        <f t="shared" si="58"/>
        <v>0</v>
      </c>
    </row>
    <row r="110" spans="1:20" x14ac:dyDescent="0.25">
      <c r="A110" s="1582" t="s">
        <v>146</v>
      </c>
      <c r="B110" s="1487"/>
      <c r="C110" s="1487"/>
      <c r="D110" s="1487"/>
      <c r="E110" s="1487"/>
      <c r="F110" s="1487"/>
      <c r="G110" s="1487"/>
      <c r="H110" s="1488">
        <f t="shared" si="55"/>
        <v>0</v>
      </c>
      <c r="J110" s="712" t="s">
        <v>146</v>
      </c>
      <c r="K110" s="1489"/>
      <c r="L110" s="1490"/>
      <c r="M110" s="1490"/>
      <c r="N110" s="1490"/>
      <c r="O110" s="1490"/>
      <c r="P110" s="1490"/>
      <c r="Q110" s="1488">
        <f t="shared" si="56"/>
        <v>0</v>
      </c>
      <c r="S110" s="1491">
        <f t="shared" si="57"/>
        <v>0</v>
      </c>
      <c r="T110" s="1488">
        <f t="shared" si="58"/>
        <v>0</v>
      </c>
    </row>
    <row r="111" spans="1:20" x14ac:dyDescent="0.25">
      <c r="A111" s="1582" t="s">
        <v>12</v>
      </c>
      <c r="B111" s="1487"/>
      <c r="C111" s="1487"/>
      <c r="D111" s="1487"/>
      <c r="E111" s="1487"/>
      <c r="F111" s="1487"/>
      <c r="G111" s="1487"/>
      <c r="H111" s="1488">
        <f t="shared" si="55"/>
        <v>0</v>
      </c>
      <c r="J111" s="712" t="s">
        <v>12</v>
      </c>
      <c r="K111" s="1489"/>
      <c r="L111" s="1490"/>
      <c r="M111" s="1490"/>
      <c r="N111" s="1490"/>
      <c r="O111" s="1490"/>
      <c r="P111" s="1490"/>
      <c r="Q111" s="1488">
        <f t="shared" si="56"/>
        <v>0</v>
      </c>
      <c r="S111" s="1491">
        <f t="shared" si="57"/>
        <v>0</v>
      </c>
      <c r="T111" s="1488">
        <f t="shared" si="58"/>
        <v>0</v>
      </c>
    </row>
    <row r="112" spans="1:20" x14ac:dyDescent="0.25">
      <c r="A112" s="1582" t="s">
        <v>159</v>
      </c>
      <c r="B112" s="1487"/>
      <c r="C112" s="1487"/>
      <c r="D112" s="1487"/>
      <c r="E112" s="1487"/>
      <c r="F112" s="1487"/>
      <c r="G112" s="1487"/>
      <c r="H112" s="1488">
        <f t="shared" si="55"/>
        <v>0</v>
      </c>
      <c r="J112" s="712" t="s">
        <v>159</v>
      </c>
      <c r="K112" s="1489"/>
      <c r="L112" s="1490"/>
      <c r="M112" s="1490"/>
      <c r="N112" s="1490"/>
      <c r="O112" s="1490"/>
      <c r="P112" s="1490"/>
      <c r="Q112" s="1488">
        <f t="shared" si="56"/>
        <v>0</v>
      </c>
      <c r="S112" s="1491">
        <f t="shared" si="57"/>
        <v>0</v>
      </c>
      <c r="T112" s="1488">
        <f t="shared" si="58"/>
        <v>0</v>
      </c>
    </row>
    <row r="113" spans="1:20" x14ac:dyDescent="0.25">
      <c r="A113" s="1582" t="s">
        <v>1037</v>
      </c>
      <c r="B113" s="1487"/>
      <c r="C113" s="1487"/>
      <c r="D113" s="1487"/>
      <c r="E113" s="1487"/>
      <c r="F113" s="1487"/>
      <c r="G113" s="1487"/>
      <c r="H113" s="1488">
        <f t="shared" si="55"/>
        <v>0</v>
      </c>
      <c r="J113" s="712" t="s">
        <v>1037</v>
      </c>
      <c r="K113" s="1489"/>
      <c r="L113" s="1490"/>
      <c r="M113" s="1490"/>
      <c r="N113" s="1490"/>
      <c r="O113" s="1490"/>
      <c r="P113" s="1490"/>
      <c r="Q113" s="1488">
        <f t="shared" si="56"/>
        <v>0</v>
      </c>
      <c r="S113" s="1491">
        <f t="shared" si="57"/>
        <v>0</v>
      </c>
      <c r="T113" s="1488">
        <f t="shared" si="58"/>
        <v>0</v>
      </c>
    </row>
    <row r="114" spans="1:20" x14ac:dyDescent="0.25">
      <c r="A114" s="1582" t="s">
        <v>1038</v>
      </c>
      <c r="B114" s="1487"/>
      <c r="C114" s="1487"/>
      <c r="D114" s="1487"/>
      <c r="E114" s="1487"/>
      <c r="F114" s="1487"/>
      <c r="G114" s="1487"/>
      <c r="H114" s="1488">
        <f t="shared" si="55"/>
        <v>0</v>
      </c>
      <c r="J114" s="712" t="s">
        <v>1038</v>
      </c>
      <c r="K114" s="1489"/>
      <c r="L114" s="1490"/>
      <c r="M114" s="1490"/>
      <c r="N114" s="1490"/>
      <c r="O114" s="1490"/>
      <c r="P114" s="1490"/>
      <c r="Q114" s="1488">
        <f t="shared" si="56"/>
        <v>0</v>
      </c>
      <c r="S114" s="1491">
        <f t="shared" si="57"/>
        <v>0</v>
      </c>
      <c r="T114" s="1488">
        <f t="shared" si="58"/>
        <v>0</v>
      </c>
    </row>
    <row r="115" spans="1:20" x14ac:dyDescent="0.25">
      <c r="A115" s="1582" t="s">
        <v>39</v>
      </c>
      <c r="B115" s="1487"/>
      <c r="C115" s="1487"/>
      <c r="D115" s="1487"/>
      <c r="E115" s="1487"/>
      <c r="F115" s="1487"/>
      <c r="G115" s="1487"/>
      <c r="H115" s="1488">
        <f t="shared" si="55"/>
        <v>0</v>
      </c>
      <c r="J115" s="712" t="s">
        <v>39</v>
      </c>
      <c r="K115" s="1489"/>
      <c r="L115" s="1490"/>
      <c r="M115" s="1490"/>
      <c r="N115" s="1490"/>
      <c r="O115" s="1490"/>
      <c r="P115" s="1490"/>
      <c r="Q115" s="1488">
        <f t="shared" si="56"/>
        <v>0</v>
      </c>
      <c r="S115" s="1491">
        <f t="shared" si="57"/>
        <v>0</v>
      </c>
      <c r="T115" s="1488">
        <f t="shared" si="58"/>
        <v>0</v>
      </c>
    </row>
    <row r="116" spans="1:20" ht="15.75" thickBot="1" x14ac:dyDescent="0.3">
      <c r="A116" s="1583" t="s">
        <v>225</v>
      </c>
      <c r="B116" s="1494"/>
      <c r="C116" s="1494"/>
      <c r="D116" s="1494"/>
      <c r="E116" s="1494"/>
      <c r="F116" s="1494"/>
      <c r="G116" s="1494"/>
      <c r="H116" s="1495">
        <f t="shared" si="55"/>
        <v>0</v>
      </c>
      <c r="J116" s="743" t="s">
        <v>225</v>
      </c>
      <c r="K116" s="1496"/>
      <c r="L116" s="1497"/>
      <c r="M116" s="1497"/>
      <c r="N116" s="1497"/>
      <c r="O116" s="1497"/>
      <c r="P116" s="1497"/>
      <c r="Q116" s="1495">
        <f t="shared" si="56"/>
        <v>0</v>
      </c>
      <c r="S116" s="1498">
        <f t="shared" si="57"/>
        <v>0</v>
      </c>
      <c r="T116" s="1495">
        <f t="shared" si="58"/>
        <v>0</v>
      </c>
    </row>
    <row r="117" spans="1:20" x14ac:dyDescent="0.25">
      <c r="A117" s="1584" t="s">
        <v>226</v>
      </c>
      <c r="B117" s="1499">
        <f t="shared" ref="B117:G117" si="59">SUM(B107:B116)</f>
        <v>0</v>
      </c>
      <c r="C117" s="1499">
        <f t="shared" si="59"/>
        <v>0</v>
      </c>
      <c r="D117" s="1499">
        <f t="shared" si="59"/>
        <v>0</v>
      </c>
      <c r="E117" s="1499">
        <f t="shared" si="59"/>
        <v>0</v>
      </c>
      <c r="F117" s="1499">
        <f t="shared" si="59"/>
        <v>0</v>
      </c>
      <c r="G117" s="1499">
        <f t="shared" si="59"/>
        <v>0</v>
      </c>
      <c r="H117" s="1482">
        <f t="shared" si="55"/>
        <v>0</v>
      </c>
      <c r="J117" s="744" t="s">
        <v>226</v>
      </c>
      <c r="K117" s="1482">
        <f t="shared" ref="K117:P117" si="60">SUM(K107:K116)</f>
        <v>0</v>
      </c>
      <c r="L117" s="1500">
        <f t="shared" si="60"/>
        <v>0</v>
      </c>
      <c r="M117" s="1500">
        <f t="shared" si="60"/>
        <v>0</v>
      </c>
      <c r="N117" s="1500">
        <f t="shared" si="60"/>
        <v>0</v>
      </c>
      <c r="O117" s="1500">
        <f t="shared" si="60"/>
        <v>0</v>
      </c>
      <c r="P117" s="1500">
        <f t="shared" si="60"/>
        <v>0</v>
      </c>
      <c r="Q117" s="1482">
        <f t="shared" si="56"/>
        <v>0</v>
      </c>
      <c r="S117" s="1499">
        <f t="shared" si="57"/>
        <v>0</v>
      </c>
      <c r="T117" s="1482">
        <f t="shared" si="58"/>
        <v>0</v>
      </c>
    </row>
    <row r="118" spans="1:20" x14ac:dyDescent="0.25">
      <c r="A118" s="1585" t="s">
        <v>131</v>
      </c>
      <c r="B118" s="1501">
        <f t="shared" ref="B118:G118" si="61">SUM(B110,B112,B114,B116)*-1</f>
        <v>0</v>
      </c>
      <c r="C118" s="1501">
        <f t="shared" si="61"/>
        <v>0</v>
      </c>
      <c r="D118" s="1501">
        <f t="shared" si="61"/>
        <v>0</v>
      </c>
      <c r="E118" s="1501">
        <f t="shared" si="61"/>
        <v>0</v>
      </c>
      <c r="F118" s="1501">
        <f t="shared" si="61"/>
        <v>0</v>
      </c>
      <c r="G118" s="1501">
        <f t="shared" si="61"/>
        <v>0</v>
      </c>
      <c r="H118" s="1502">
        <f t="shared" si="55"/>
        <v>0</v>
      </c>
      <c r="J118" s="745" t="s">
        <v>131</v>
      </c>
      <c r="K118" s="1502">
        <f t="shared" ref="K118:P118" si="62">SUM(K110,K112,K114,K116)*-1</f>
        <v>0</v>
      </c>
      <c r="L118" s="1503">
        <f t="shared" si="62"/>
        <v>0</v>
      </c>
      <c r="M118" s="1503">
        <f t="shared" si="62"/>
        <v>0</v>
      </c>
      <c r="N118" s="1503">
        <f t="shared" si="62"/>
        <v>0</v>
      </c>
      <c r="O118" s="1503">
        <f t="shared" si="62"/>
        <v>0</v>
      </c>
      <c r="P118" s="1503">
        <f t="shared" si="62"/>
        <v>0</v>
      </c>
      <c r="Q118" s="1502">
        <f t="shared" si="56"/>
        <v>0</v>
      </c>
      <c r="S118" s="1501">
        <f t="shared" si="57"/>
        <v>0</v>
      </c>
      <c r="T118" s="1502">
        <f t="shared" si="58"/>
        <v>0</v>
      </c>
    </row>
    <row r="119" spans="1:20" x14ac:dyDescent="0.25">
      <c r="A119" s="1586" t="s">
        <v>358</v>
      </c>
      <c r="B119" s="1504">
        <f>IF(Budget!$C$292='Reference Sheet'!$A$26,SUM(B117:B118),(B117-B114))</f>
        <v>0</v>
      </c>
      <c r="C119" s="1504">
        <f>IF(Budget!$C$292='Reference Sheet'!$A$26,SUM(C117:C118),(C117-C114))</f>
        <v>0</v>
      </c>
      <c r="D119" s="1504">
        <f>IF(Budget!$C$292='Reference Sheet'!$A$26,SUM(D117:D118),(D117-D114))</f>
        <v>0</v>
      </c>
      <c r="E119" s="1504">
        <f>IF(Budget!$C$292='Reference Sheet'!$A$26,SUM(E117:E118),(E117-E114))</f>
        <v>0</v>
      </c>
      <c r="F119" s="1504">
        <f>IF(Budget!$C$292='Reference Sheet'!$A$26,SUM(F117:F118),(F117-F114))</f>
        <v>0</v>
      </c>
      <c r="G119" s="1504">
        <f>IF(Budget!$C$292='Reference Sheet'!$A$26,SUM(G117:G118),(G117-G114))</f>
        <v>0</v>
      </c>
      <c r="H119" s="1505">
        <f t="shared" si="55"/>
        <v>0</v>
      </c>
      <c r="J119" s="746" t="s">
        <v>358</v>
      </c>
      <c r="K119" s="1504">
        <f>IF(Budget!$C$292='Reference Sheet'!$A$26,SUM(K117:K118),(K117-K114))</f>
        <v>0</v>
      </c>
      <c r="L119" s="1504">
        <f>IF(Budget!$C$292='Reference Sheet'!$A$26,SUM(L117:L118),(L117-L114))</f>
        <v>0</v>
      </c>
      <c r="M119" s="1504">
        <f>IF(Budget!$C$292='Reference Sheet'!$A$26,SUM(M117:M118),(M117-M114))</f>
        <v>0</v>
      </c>
      <c r="N119" s="1504">
        <f>IF(Budget!$C$292='Reference Sheet'!$A$26,SUM(N117:N118),(N117-N114))</f>
        <v>0</v>
      </c>
      <c r="O119" s="1504">
        <f>IF(Budget!$C$292='Reference Sheet'!$A$26,SUM(O117:O118),(O117-O114))</f>
        <v>0</v>
      </c>
      <c r="P119" s="1504">
        <f>IF(Budget!$C$292='Reference Sheet'!$A$26,SUM(P117:P118),(P117-P114))</f>
        <v>0</v>
      </c>
      <c r="Q119" s="1505">
        <f t="shared" si="56"/>
        <v>0</v>
      </c>
      <c r="S119" s="1504">
        <f t="shared" si="57"/>
        <v>0</v>
      </c>
      <c r="T119" s="1505">
        <f t="shared" si="58"/>
        <v>0</v>
      </c>
    </row>
    <row r="120" spans="1:20" ht="15.75" thickBot="1" x14ac:dyDescent="0.3">
      <c r="A120" s="1587" t="s">
        <v>359</v>
      </c>
      <c r="B120" s="1506">
        <f>Budget!$C$294*B119</f>
        <v>0</v>
      </c>
      <c r="C120" s="1506">
        <f>Budget!$C$294*C119</f>
        <v>0</v>
      </c>
      <c r="D120" s="1506">
        <f>Budget!$C$294*D119</f>
        <v>0</v>
      </c>
      <c r="E120" s="1506">
        <f>Budget!$C$294*E119</f>
        <v>0</v>
      </c>
      <c r="F120" s="1506">
        <f>Budget!$C$294*F119</f>
        <v>0</v>
      </c>
      <c r="G120" s="1506">
        <f>Budget!$C$294*G119</f>
        <v>0</v>
      </c>
      <c r="H120" s="1506">
        <f t="shared" si="55"/>
        <v>0</v>
      </c>
      <c r="J120" s="747" t="s">
        <v>359</v>
      </c>
      <c r="K120" s="1506">
        <f>Budget!C$294*K119</f>
        <v>0</v>
      </c>
      <c r="L120" s="1506">
        <f>Budget!D$294*L119</f>
        <v>0</v>
      </c>
      <c r="M120" s="1506">
        <f>Budget!E$294*M119</f>
        <v>0</v>
      </c>
      <c r="N120" s="1506">
        <f>Budget!F$294*N119</f>
        <v>0</v>
      </c>
      <c r="O120" s="1506">
        <f>Budget!G$294*O119</f>
        <v>0</v>
      </c>
      <c r="P120" s="1506">
        <f>Budget!H$294*P119</f>
        <v>0</v>
      </c>
      <c r="Q120" s="1506">
        <f t="shared" si="56"/>
        <v>0</v>
      </c>
      <c r="S120" s="1506">
        <f t="shared" si="57"/>
        <v>0</v>
      </c>
      <c r="T120" s="1506">
        <f t="shared" si="58"/>
        <v>0</v>
      </c>
    </row>
    <row r="121" spans="1:20" ht="15.75" thickBot="1" x14ac:dyDescent="0.3">
      <c r="A121" s="1588" t="s">
        <v>170</v>
      </c>
      <c r="B121" s="1507">
        <f t="shared" ref="B121:G121" si="63">SUM(B117,B120)</f>
        <v>0</v>
      </c>
      <c r="C121" s="1507">
        <f t="shared" si="63"/>
        <v>0</v>
      </c>
      <c r="D121" s="1507">
        <f t="shared" si="63"/>
        <v>0</v>
      </c>
      <c r="E121" s="1507">
        <f t="shared" si="63"/>
        <v>0</v>
      </c>
      <c r="F121" s="1507">
        <f t="shared" si="63"/>
        <v>0</v>
      </c>
      <c r="G121" s="1507">
        <f t="shared" si="63"/>
        <v>0</v>
      </c>
      <c r="H121" s="1508">
        <f t="shared" si="55"/>
        <v>0</v>
      </c>
      <c r="J121" s="748" t="s">
        <v>170</v>
      </c>
      <c r="K121" s="1508">
        <f t="shared" ref="K121:P121" si="64">SUM(K117,K120)</f>
        <v>0</v>
      </c>
      <c r="L121" s="1509">
        <f t="shared" si="64"/>
        <v>0</v>
      </c>
      <c r="M121" s="1509">
        <f t="shared" si="64"/>
        <v>0</v>
      </c>
      <c r="N121" s="1509">
        <f t="shared" si="64"/>
        <v>0</v>
      </c>
      <c r="O121" s="1509">
        <f t="shared" si="64"/>
        <v>0</v>
      </c>
      <c r="P121" s="1509">
        <f t="shared" si="64"/>
        <v>0</v>
      </c>
      <c r="Q121" s="1508">
        <f t="shared" si="56"/>
        <v>0</v>
      </c>
      <c r="S121" s="1507">
        <f t="shared" si="57"/>
        <v>0</v>
      </c>
      <c r="T121" s="1508">
        <f t="shared" si="58"/>
        <v>0</v>
      </c>
    </row>
    <row r="122" spans="1:20" ht="15.75" thickBot="1" x14ac:dyDescent="0.3">
      <c r="R122" s="672" t="str">
        <f>$R$22</f>
        <v>Total Project Costs</v>
      </c>
      <c r="S122" s="3480">
        <f>SUM(S121:T121)</f>
        <v>0</v>
      </c>
      <c r="T122" s="3481"/>
    </row>
    <row r="123" spans="1:20" ht="15.75" thickBot="1" x14ac:dyDescent="0.3">
      <c r="R123" s="672" t="str">
        <f>$R$23</f>
        <v>Cost share as % of Total Project Costs</v>
      </c>
      <c r="S123" s="3498">
        <f>IFERROR(T121/S122,0%)</f>
        <v>0</v>
      </c>
      <c r="T123" s="3499"/>
    </row>
    <row r="124" spans="1:20" ht="24" thickBot="1" x14ac:dyDescent="0.4">
      <c r="A124" s="327">
        <v>7</v>
      </c>
      <c r="B124" s="681" t="s">
        <v>305</v>
      </c>
      <c r="C124" s="681"/>
      <c r="D124" s="681"/>
      <c r="E124" s="681"/>
      <c r="F124" s="681"/>
      <c r="G124" s="681"/>
      <c r="H124" s="681"/>
      <c r="J124" s="681" t="s">
        <v>222</v>
      </c>
      <c r="K124" s="681"/>
      <c r="L124" s="681"/>
      <c r="M124" s="681"/>
      <c r="N124" s="681"/>
      <c r="O124" s="681"/>
      <c r="P124" s="681"/>
      <c r="Q124" s="681"/>
    </row>
    <row r="125" spans="1:20" ht="15.75" thickBot="1" x14ac:dyDescent="0.3">
      <c r="A125" s="640">
        <f ca="1">'Calc - SENIOR PERS'!B90</f>
        <v>0</v>
      </c>
      <c r="B125" s="640">
        <f ca="1">'Calc - SENIOR PERS'!B91</f>
        <v>0</v>
      </c>
      <c r="C125" s="695"/>
      <c r="D125" s="695"/>
      <c r="E125" s="695"/>
      <c r="F125" s="695"/>
      <c r="G125" s="695"/>
      <c r="H125" s="736"/>
      <c r="J125" s="704">
        <f ca="1">A125</f>
        <v>0</v>
      </c>
      <c r="K125" s="641">
        <f ca="1">B125</f>
        <v>0</v>
      </c>
      <c r="L125" s="696"/>
      <c r="M125" s="696"/>
      <c r="N125" s="696"/>
      <c r="O125" s="696"/>
      <c r="P125" s="696"/>
      <c r="Q125" s="737"/>
      <c r="S125" s="3387" t="s">
        <v>170</v>
      </c>
      <c r="T125" s="3389"/>
    </row>
    <row r="126" spans="1:20" ht="15.75" thickBot="1" x14ac:dyDescent="0.3">
      <c r="A126" s="1580"/>
      <c r="B126" s="517" t="s">
        <v>106</v>
      </c>
      <c r="C126" s="517" t="s">
        <v>0</v>
      </c>
      <c r="D126" s="517" t="s">
        <v>1</v>
      </c>
      <c r="E126" s="517" t="s">
        <v>2</v>
      </c>
      <c r="F126" s="517" t="s">
        <v>16</v>
      </c>
      <c r="G126" s="517" t="s">
        <v>105</v>
      </c>
      <c r="H126" s="518" t="s">
        <v>170</v>
      </c>
      <c r="J126" s="711"/>
      <c r="K126" s="519" t="s">
        <v>106</v>
      </c>
      <c r="L126" s="633" t="s">
        <v>0</v>
      </c>
      <c r="M126" s="633" t="s">
        <v>1</v>
      </c>
      <c r="N126" s="633" t="s">
        <v>2</v>
      </c>
      <c r="O126" s="633" t="s">
        <v>16</v>
      </c>
      <c r="P126" s="633" t="s">
        <v>105</v>
      </c>
      <c r="Q126" s="519" t="s">
        <v>170</v>
      </c>
      <c r="S126" s="633" t="s">
        <v>62</v>
      </c>
      <c r="T126" s="519" t="s">
        <v>311</v>
      </c>
    </row>
    <row r="127" spans="1:20" x14ac:dyDescent="0.25">
      <c r="A127" s="1581" t="s">
        <v>110</v>
      </c>
      <c r="B127" s="1481"/>
      <c r="C127" s="1481"/>
      <c r="D127" s="1481"/>
      <c r="E127" s="1481"/>
      <c r="F127" s="1481"/>
      <c r="G127" s="1481"/>
      <c r="H127" s="1482">
        <f t="shared" ref="H127:H141" si="65">SUM(B127:G127)</f>
        <v>0</v>
      </c>
      <c r="J127" s="712" t="s">
        <v>110</v>
      </c>
      <c r="K127" s="1483"/>
      <c r="L127" s="1484"/>
      <c r="M127" s="1484"/>
      <c r="N127" s="1484"/>
      <c r="O127" s="1484"/>
      <c r="P127" s="1484"/>
      <c r="Q127" s="1482">
        <f t="shared" ref="Q127:Q141" si="66">SUM(K127:P127)</f>
        <v>0</v>
      </c>
      <c r="S127" s="1485">
        <f t="shared" ref="S127:S141" si="67">H127</f>
        <v>0</v>
      </c>
      <c r="T127" s="1486">
        <f t="shared" ref="T127:T141" si="68">Q127</f>
        <v>0</v>
      </c>
    </row>
    <row r="128" spans="1:20" x14ac:dyDescent="0.25">
      <c r="A128" s="1582" t="s">
        <v>133</v>
      </c>
      <c r="B128" s="1487"/>
      <c r="C128" s="1487"/>
      <c r="D128" s="1487"/>
      <c r="E128" s="1487"/>
      <c r="F128" s="1487"/>
      <c r="G128" s="1487"/>
      <c r="H128" s="1488">
        <f t="shared" si="65"/>
        <v>0</v>
      </c>
      <c r="J128" s="712" t="s">
        <v>133</v>
      </c>
      <c r="K128" s="1489"/>
      <c r="L128" s="1490"/>
      <c r="M128" s="1490"/>
      <c r="N128" s="1490"/>
      <c r="O128" s="1490"/>
      <c r="P128" s="1490"/>
      <c r="Q128" s="1488">
        <f t="shared" si="66"/>
        <v>0</v>
      </c>
      <c r="S128" s="1491">
        <f t="shared" si="67"/>
        <v>0</v>
      </c>
      <c r="T128" s="1488">
        <f t="shared" si="68"/>
        <v>0</v>
      </c>
    </row>
    <row r="129" spans="1:20" x14ac:dyDescent="0.25">
      <c r="A129" s="1582" t="s">
        <v>136</v>
      </c>
      <c r="B129" s="1487"/>
      <c r="C129" s="1487"/>
      <c r="D129" s="1487"/>
      <c r="E129" s="1487"/>
      <c r="F129" s="1487"/>
      <c r="G129" s="1487"/>
      <c r="H129" s="1488">
        <f t="shared" si="65"/>
        <v>0</v>
      </c>
      <c r="J129" s="712" t="s">
        <v>136</v>
      </c>
      <c r="K129" s="1489"/>
      <c r="L129" s="1490"/>
      <c r="M129" s="1490"/>
      <c r="N129" s="1490"/>
      <c r="O129" s="1490"/>
      <c r="P129" s="1490"/>
      <c r="Q129" s="1488">
        <f t="shared" si="66"/>
        <v>0</v>
      </c>
      <c r="S129" s="1491">
        <f t="shared" si="67"/>
        <v>0</v>
      </c>
      <c r="T129" s="1488">
        <f t="shared" si="68"/>
        <v>0</v>
      </c>
    </row>
    <row r="130" spans="1:20" x14ac:dyDescent="0.25">
      <c r="A130" s="1582" t="s">
        <v>146</v>
      </c>
      <c r="B130" s="1487"/>
      <c r="C130" s="1487"/>
      <c r="D130" s="1487"/>
      <c r="E130" s="1487"/>
      <c r="F130" s="1487"/>
      <c r="G130" s="1487"/>
      <c r="H130" s="1488">
        <f t="shared" si="65"/>
        <v>0</v>
      </c>
      <c r="J130" s="712" t="s">
        <v>146</v>
      </c>
      <c r="K130" s="1489"/>
      <c r="L130" s="1490"/>
      <c r="M130" s="1490"/>
      <c r="N130" s="1490"/>
      <c r="O130" s="1490"/>
      <c r="P130" s="1490"/>
      <c r="Q130" s="1488">
        <f t="shared" si="66"/>
        <v>0</v>
      </c>
      <c r="S130" s="1491">
        <f t="shared" si="67"/>
        <v>0</v>
      </c>
      <c r="T130" s="1488">
        <f t="shared" si="68"/>
        <v>0</v>
      </c>
    </row>
    <row r="131" spans="1:20" x14ac:dyDescent="0.25">
      <c r="A131" s="1582" t="s">
        <v>12</v>
      </c>
      <c r="B131" s="1487"/>
      <c r="C131" s="1487"/>
      <c r="D131" s="1487"/>
      <c r="E131" s="1487"/>
      <c r="F131" s="1487"/>
      <c r="G131" s="1487"/>
      <c r="H131" s="1488">
        <f t="shared" si="65"/>
        <v>0</v>
      </c>
      <c r="J131" s="712" t="s">
        <v>12</v>
      </c>
      <c r="K131" s="1489"/>
      <c r="L131" s="1490"/>
      <c r="M131" s="1490"/>
      <c r="N131" s="1490"/>
      <c r="O131" s="1490"/>
      <c r="P131" s="1490"/>
      <c r="Q131" s="1488">
        <f t="shared" si="66"/>
        <v>0</v>
      </c>
      <c r="S131" s="1491">
        <f t="shared" si="67"/>
        <v>0</v>
      </c>
      <c r="T131" s="1488">
        <f t="shared" si="68"/>
        <v>0</v>
      </c>
    </row>
    <row r="132" spans="1:20" x14ac:dyDescent="0.25">
      <c r="A132" s="1582" t="s">
        <v>159</v>
      </c>
      <c r="B132" s="1487"/>
      <c r="C132" s="1487"/>
      <c r="D132" s="1487"/>
      <c r="E132" s="1487"/>
      <c r="F132" s="1487"/>
      <c r="G132" s="1487"/>
      <c r="H132" s="1488">
        <f t="shared" si="65"/>
        <v>0</v>
      </c>
      <c r="J132" s="712" t="s">
        <v>159</v>
      </c>
      <c r="K132" s="1489"/>
      <c r="L132" s="1490"/>
      <c r="M132" s="1490"/>
      <c r="N132" s="1490"/>
      <c r="O132" s="1490"/>
      <c r="P132" s="1490"/>
      <c r="Q132" s="1488">
        <f t="shared" si="66"/>
        <v>0</v>
      </c>
      <c r="S132" s="1491">
        <f t="shared" si="67"/>
        <v>0</v>
      </c>
      <c r="T132" s="1488">
        <f t="shared" si="68"/>
        <v>0</v>
      </c>
    </row>
    <row r="133" spans="1:20" x14ac:dyDescent="0.25">
      <c r="A133" s="1582" t="s">
        <v>1037</v>
      </c>
      <c r="B133" s="1487"/>
      <c r="C133" s="1487"/>
      <c r="D133" s="1487"/>
      <c r="E133" s="1487"/>
      <c r="F133" s="1487"/>
      <c r="G133" s="1487"/>
      <c r="H133" s="1488">
        <f t="shared" si="65"/>
        <v>0</v>
      </c>
      <c r="J133" s="712" t="s">
        <v>1037</v>
      </c>
      <c r="K133" s="1489"/>
      <c r="L133" s="1490"/>
      <c r="M133" s="1490"/>
      <c r="N133" s="1490"/>
      <c r="O133" s="1490"/>
      <c r="P133" s="1490"/>
      <c r="Q133" s="1488">
        <f t="shared" si="66"/>
        <v>0</v>
      </c>
      <c r="S133" s="1491">
        <f t="shared" si="67"/>
        <v>0</v>
      </c>
      <c r="T133" s="1488">
        <f t="shared" si="68"/>
        <v>0</v>
      </c>
    </row>
    <row r="134" spans="1:20" x14ac:dyDescent="0.25">
      <c r="A134" s="1582" t="s">
        <v>1038</v>
      </c>
      <c r="B134" s="1487"/>
      <c r="C134" s="1487"/>
      <c r="D134" s="1487"/>
      <c r="E134" s="1487"/>
      <c r="F134" s="1487"/>
      <c r="G134" s="1487"/>
      <c r="H134" s="1488">
        <f t="shared" si="65"/>
        <v>0</v>
      </c>
      <c r="J134" s="712" t="s">
        <v>1038</v>
      </c>
      <c r="K134" s="1489"/>
      <c r="L134" s="1490"/>
      <c r="M134" s="1490"/>
      <c r="N134" s="1490"/>
      <c r="O134" s="1490"/>
      <c r="P134" s="1490"/>
      <c r="Q134" s="1488">
        <f t="shared" si="66"/>
        <v>0</v>
      </c>
      <c r="S134" s="1491">
        <f t="shared" si="67"/>
        <v>0</v>
      </c>
      <c r="T134" s="1488">
        <f t="shared" si="68"/>
        <v>0</v>
      </c>
    </row>
    <row r="135" spans="1:20" x14ac:dyDescent="0.25">
      <c r="A135" s="1582" t="s">
        <v>39</v>
      </c>
      <c r="B135" s="1487"/>
      <c r="C135" s="1487"/>
      <c r="D135" s="1487"/>
      <c r="E135" s="1487"/>
      <c r="F135" s="1487"/>
      <c r="G135" s="1487"/>
      <c r="H135" s="1488">
        <f t="shared" si="65"/>
        <v>0</v>
      </c>
      <c r="J135" s="712" t="s">
        <v>39</v>
      </c>
      <c r="K135" s="1489"/>
      <c r="L135" s="1490"/>
      <c r="M135" s="1490"/>
      <c r="N135" s="1490"/>
      <c r="O135" s="1490"/>
      <c r="P135" s="1490"/>
      <c r="Q135" s="1488">
        <f t="shared" si="66"/>
        <v>0</v>
      </c>
      <c r="S135" s="1491">
        <f t="shared" si="67"/>
        <v>0</v>
      </c>
      <c r="T135" s="1488">
        <f t="shared" si="68"/>
        <v>0</v>
      </c>
    </row>
    <row r="136" spans="1:20" ht="15.75" thickBot="1" x14ac:dyDescent="0.3">
      <c r="A136" s="1583" t="s">
        <v>225</v>
      </c>
      <c r="B136" s="1494"/>
      <c r="C136" s="1494"/>
      <c r="D136" s="1494"/>
      <c r="E136" s="1494"/>
      <c r="F136" s="1494"/>
      <c r="G136" s="1494"/>
      <c r="H136" s="1495">
        <f t="shared" si="65"/>
        <v>0</v>
      </c>
      <c r="J136" s="743" t="s">
        <v>225</v>
      </c>
      <c r="K136" s="1496"/>
      <c r="L136" s="1497"/>
      <c r="M136" s="1497"/>
      <c r="N136" s="1497"/>
      <c r="O136" s="1497"/>
      <c r="P136" s="1497"/>
      <c r="Q136" s="1495">
        <f t="shared" si="66"/>
        <v>0</v>
      </c>
      <c r="S136" s="1498">
        <f t="shared" si="67"/>
        <v>0</v>
      </c>
      <c r="T136" s="1495">
        <f t="shared" si="68"/>
        <v>0</v>
      </c>
    </row>
    <row r="137" spans="1:20" x14ac:dyDescent="0.25">
      <c r="A137" s="1584" t="s">
        <v>226</v>
      </c>
      <c r="B137" s="1499">
        <f t="shared" ref="B137:G137" si="69">SUM(B127:B136)</f>
        <v>0</v>
      </c>
      <c r="C137" s="1499">
        <f t="shared" si="69"/>
        <v>0</v>
      </c>
      <c r="D137" s="1499">
        <f t="shared" si="69"/>
        <v>0</v>
      </c>
      <c r="E137" s="1499">
        <f t="shared" si="69"/>
        <v>0</v>
      </c>
      <c r="F137" s="1499">
        <f t="shared" si="69"/>
        <v>0</v>
      </c>
      <c r="G137" s="1499">
        <f t="shared" si="69"/>
        <v>0</v>
      </c>
      <c r="H137" s="1482">
        <f t="shared" si="65"/>
        <v>0</v>
      </c>
      <c r="J137" s="744" t="s">
        <v>226</v>
      </c>
      <c r="K137" s="1482">
        <f t="shared" ref="K137:P137" si="70">SUM(K127:K136)</f>
        <v>0</v>
      </c>
      <c r="L137" s="1500">
        <f t="shared" si="70"/>
        <v>0</v>
      </c>
      <c r="M137" s="1500">
        <f t="shared" si="70"/>
        <v>0</v>
      </c>
      <c r="N137" s="1500">
        <f t="shared" si="70"/>
        <v>0</v>
      </c>
      <c r="O137" s="1500">
        <f t="shared" si="70"/>
        <v>0</v>
      </c>
      <c r="P137" s="1500">
        <f t="shared" si="70"/>
        <v>0</v>
      </c>
      <c r="Q137" s="1482">
        <f t="shared" si="66"/>
        <v>0</v>
      </c>
      <c r="S137" s="1499">
        <f t="shared" si="67"/>
        <v>0</v>
      </c>
      <c r="T137" s="1482">
        <f t="shared" si="68"/>
        <v>0</v>
      </c>
    </row>
    <row r="138" spans="1:20" x14ac:dyDescent="0.25">
      <c r="A138" s="1585" t="s">
        <v>131</v>
      </c>
      <c r="B138" s="1501">
        <f t="shared" ref="B138:G138" si="71">SUM(B130,B132,B134,B136)*-1</f>
        <v>0</v>
      </c>
      <c r="C138" s="1501">
        <f t="shared" si="71"/>
        <v>0</v>
      </c>
      <c r="D138" s="1501">
        <f t="shared" si="71"/>
        <v>0</v>
      </c>
      <c r="E138" s="1501">
        <f t="shared" si="71"/>
        <v>0</v>
      </c>
      <c r="F138" s="1501">
        <f t="shared" si="71"/>
        <v>0</v>
      </c>
      <c r="G138" s="1501">
        <f t="shared" si="71"/>
        <v>0</v>
      </c>
      <c r="H138" s="1502">
        <f t="shared" si="65"/>
        <v>0</v>
      </c>
      <c r="J138" s="745" t="s">
        <v>131</v>
      </c>
      <c r="K138" s="1502">
        <f t="shared" ref="K138:P138" si="72">SUM(K130,K132,K134,K136)*-1</f>
        <v>0</v>
      </c>
      <c r="L138" s="1503">
        <f t="shared" si="72"/>
        <v>0</v>
      </c>
      <c r="M138" s="1503">
        <f t="shared" si="72"/>
        <v>0</v>
      </c>
      <c r="N138" s="1503">
        <f t="shared" si="72"/>
        <v>0</v>
      </c>
      <c r="O138" s="1503">
        <f t="shared" si="72"/>
        <v>0</v>
      </c>
      <c r="P138" s="1503">
        <f t="shared" si="72"/>
        <v>0</v>
      </c>
      <c r="Q138" s="1502">
        <f t="shared" si="66"/>
        <v>0</v>
      </c>
      <c r="S138" s="1501">
        <f t="shared" si="67"/>
        <v>0</v>
      </c>
      <c r="T138" s="1502">
        <f t="shared" si="68"/>
        <v>0</v>
      </c>
    </row>
    <row r="139" spans="1:20" x14ac:dyDescent="0.25">
      <c r="A139" s="1586" t="s">
        <v>358</v>
      </c>
      <c r="B139" s="1504">
        <f>IF(Budget!$C$292='Reference Sheet'!$A$26,SUM(B137:B138),(B137-B134))</f>
        <v>0</v>
      </c>
      <c r="C139" s="1504">
        <f>IF(Budget!$C$292='Reference Sheet'!$A$26,SUM(C137:C138),(C137-C134))</f>
        <v>0</v>
      </c>
      <c r="D139" s="1504">
        <f>IF(Budget!$C$292='Reference Sheet'!$A$26,SUM(D137:D138),(D137-D134))</f>
        <v>0</v>
      </c>
      <c r="E139" s="1504">
        <f>IF(Budget!$C$292='Reference Sheet'!$A$26,SUM(E137:E138),(E137-E134))</f>
        <v>0</v>
      </c>
      <c r="F139" s="1504">
        <f>IF(Budget!$C$292='Reference Sheet'!$A$26,SUM(F137:F138),(F137-F134))</f>
        <v>0</v>
      </c>
      <c r="G139" s="1504">
        <f>IF(Budget!$C$292='Reference Sheet'!$A$26,SUM(G137:G138),(G137-G134))</f>
        <v>0</v>
      </c>
      <c r="H139" s="1505">
        <f t="shared" si="65"/>
        <v>0</v>
      </c>
      <c r="J139" s="746" t="s">
        <v>358</v>
      </c>
      <c r="K139" s="1504">
        <f>IF(Budget!$C$292='Reference Sheet'!$A$26,SUM(K137:K138),(K137-K134))</f>
        <v>0</v>
      </c>
      <c r="L139" s="1504">
        <f>IF(Budget!$C$292='Reference Sheet'!$A$26,SUM(L137:L138),(L137-L134))</f>
        <v>0</v>
      </c>
      <c r="M139" s="1504">
        <f>IF(Budget!$C$292='Reference Sheet'!$A$26,SUM(M137:M138),(M137-M134))</f>
        <v>0</v>
      </c>
      <c r="N139" s="1504">
        <f>IF(Budget!$C$292='Reference Sheet'!$A$26,SUM(N137:N138),(N137-N134))</f>
        <v>0</v>
      </c>
      <c r="O139" s="1504">
        <f>IF(Budget!$C$292='Reference Sheet'!$A$26,SUM(O137:O138),(O137-O134))</f>
        <v>0</v>
      </c>
      <c r="P139" s="1504">
        <f>IF(Budget!$C$292='Reference Sheet'!$A$26,SUM(P137:P138),(P137-P134))</f>
        <v>0</v>
      </c>
      <c r="Q139" s="1505">
        <f t="shared" si="66"/>
        <v>0</v>
      </c>
      <c r="S139" s="1504">
        <f t="shared" si="67"/>
        <v>0</v>
      </c>
      <c r="T139" s="1505">
        <f t="shared" si="68"/>
        <v>0</v>
      </c>
    </row>
    <row r="140" spans="1:20" ht="15.75" thickBot="1" x14ac:dyDescent="0.3">
      <c r="A140" s="1587" t="s">
        <v>359</v>
      </c>
      <c r="B140" s="1506">
        <f>Budget!$C$294*B139</f>
        <v>0</v>
      </c>
      <c r="C140" s="1506">
        <f>Budget!$C$294*C139</f>
        <v>0</v>
      </c>
      <c r="D140" s="1506">
        <f>Budget!$C$294*D139</f>
        <v>0</v>
      </c>
      <c r="E140" s="1506">
        <f>Budget!$C$294*E139</f>
        <v>0</v>
      </c>
      <c r="F140" s="1506">
        <f>Budget!$C$294*F139</f>
        <v>0</v>
      </c>
      <c r="G140" s="1506">
        <f>Budget!$C$294*G139</f>
        <v>0</v>
      </c>
      <c r="H140" s="1506">
        <f t="shared" si="65"/>
        <v>0</v>
      </c>
      <c r="J140" s="747" t="s">
        <v>359</v>
      </c>
      <c r="K140" s="1506">
        <f>Budget!C$294*K139</f>
        <v>0</v>
      </c>
      <c r="L140" s="1506">
        <f>Budget!D$294*L139</f>
        <v>0</v>
      </c>
      <c r="M140" s="1506">
        <f>Budget!E$294*M139</f>
        <v>0</v>
      </c>
      <c r="N140" s="1506">
        <f>Budget!F$294*N139</f>
        <v>0</v>
      </c>
      <c r="O140" s="1506">
        <f>Budget!G$294*O139</f>
        <v>0</v>
      </c>
      <c r="P140" s="1506">
        <f>Budget!H$294*P139</f>
        <v>0</v>
      </c>
      <c r="Q140" s="1506">
        <f t="shared" si="66"/>
        <v>0</v>
      </c>
      <c r="S140" s="1506">
        <f t="shared" si="67"/>
        <v>0</v>
      </c>
      <c r="T140" s="1506">
        <f t="shared" si="68"/>
        <v>0</v>
      </c>
    </row>
    <row r="141" spans="1:20" ht="15.75" thickBot="1" x14ac:dyDescent="0.3">
      <c r="A141" s="1588" t="s">
        <v>170</v>
      </c>
      <c r="B141" s="1507">
        <f t="shared" ref="B141:G141" si="73">SUM(B137,B140)</f>
        <v>0</v>
      </c>
      <c r="C141" s="1507">
        <f t="shared" si="73"/>
        <v>0</v>
      </c>
      <c r="D141" s="1507">
        <f t="shared" si="73"/>
        <v>0</v>
      </c>
      <c r="E141" s="1507">
        <f t="shared" si="73"/>
        <v>0</v>
      </c>
      <c r="F141" s="1507">
        <f t="shared" si="73"/>
        <v>0</v>
      </c>
      <c r="G141" s="1507">
        <f t="shared" si="73"/>
        <v>0</v>
      </c>
      <c r="H141" s="1508">
        <f t="shared" si="65"/>
        <v>0</v>
      </c>
      <c r="J141" s="748" t="s">
        <v>170</v>
      </c>
      <c r="K141" s="1508">
        <f t="shared" ref="K141:P141" si="74">SUM(K137,K140)</f>
        <v>0</v>
      </c>
      <c r="L141" s="1509">
        <f t="shared" si="74"/>
        <v>0</v>
      </c>
      <c r="M141" s="1509">
        <f t="shared" si="74"/>
        <v>0</v>
      </c>
      <c r="N141" s="1509">
        <f t="shared" si="74"/>
        <v>0</v>
      </c>
      <c r="O141" s="1509">
        <f t="shared" si="74"/>
        <v>0</v>
      </c>
      <c r="P141" s="1509">
        <f t="shared" si="74"/>
        <v>0</v>
      </c>
      <c r="Q141" s="1508">
        <f t="shared" si="66"/>
        <v>0</v>
      </c>
      <c r="S141" s="1507">
        <f t="shared" si="67"/>
        <v>0</v>
      </c>
      <c r="T141" s="1508">
        <f t="shared" si="68"/>
        <v>0</v>
      </c>
    </row>
    <row r="142" spans="1:20" ht="15.75" thickBot="1" x14ac:dyDescent="0.3">
      <c r="R142" s="672" t="str">
        <f>$R$22</f>
        <v>Total Project Costs</v>
      </c>
      <c r="S142" s="3480">
        <f>SUM(S141:T141)</f>
        <v>0</v>
      </c>
      <c r="T142" s="3481"/>
    </row>
    <row r="143" spans="1:20" ht="15.75" thickBot="1" x14ac:dyDescent="0.3">
      <c r="R143" s="672" t="str">
        <f>$R$23</f>
        <v>Cost share as % of Total Project Costs</v>
      </c>
      <c r="S143" s="3508">
        <f>IFERROR(T141/S142,0%)</f>
        <v>0</v>
      </c>
      <c r="T143" s="3509"/>
    </row>
    <row r="144" spans="1:20" ht="24" thickBot="1" x14ac:dyDescent="0.4">
      <c r="A144" s="327">
        <v>8</v>
      </c>
      <c r="B144" s="681" t="s">
        <v>305</v>
      </c>
      <c r="C144" s="681"/>
      <c r="D144" s="681"/>
      <c r="E144" s="681"/>
      <c r="F144" s="681"/>
      <c r="G144" s="681"/>
      <c r="H144" s="681"/>
      <c r="J144" s="681" t="s">
        <v>222</v>
      </c>
      <c r="K144" s="681"/>
      <c r="L144" s="681"/>
      <c r="M144" s="681"/>
      <c r="N144" s="681"/>
      <c r="O144" s="681"/>
      <c r="P144" s="681"/>
      <c r="Q144" s="681"/>
    </row>
    <row r="145" spans="1:20" ht="15.75" thickBot="1" x14ac:dyDescent="0.3">
      <c r="A145" s="638">
        <f ca="1">'Calc - SENIOR PERS'!B104</f>
        <v>0</v>
      </c>
      <c r="B145" s="638">
        <f ca="1">'Calc - SENIOR PERS'!B105</f>
        <v>0</v>
      </c>
      <c r="C145" s="697"/>
      <c r="D145" s="697"/>
      <c r="E145" s="697"/>
      <c r="F145" s="697"/>
      <c r="G145" s="697"/>
      <c r="H145" s="738"/>
      <c r="J145" s="705">
        <f ca="1">A145</f>
        <v>0</v>
      </c>
      <c r="K145" s="639">
        <f ca="1">B145</f>
        <v>0</v>
      </c>
      <c r="L145" s="698"/>
      <c r="M145" s="698"/>
      <c r="N145" s="698"/>
      <c r="O145" s="698"/>
      <c r="P145" s="698"/>
      <c r="Q145" s="739"/>
      <c r="S145" s="3510" t="s">
        <v>170</v>
      </c>
      <c r="T145" s="3511"/>
    </row>
    <row r="146" spans="1:20" ht="15.75" thickBot="1" x14ac:dyDescent="0.3">
      <c r="A146" s="1580"/>
      <c r="B146" s="517" t="s">
        <v>106</v>
      </c>
      <c r="C146" s="517" t="s">
        <v>0</v>
      </c>
      <c r="D146" s="517" t="s">
        <v>1</v>
      </c>
      <c r="E146" s="517" t="s">
        <v>2</v>
      </c>
      <c r="F146" s="517" t="s">
        <v>16</v>
      </c>
      <c r="G146" s="517" t="s">
        <v>105</v>
      </c>
      <c r="H146" s="518" t="s">
        <v>170</v>
      </c>
      <c r="J146" s="711"/>
      <c r="K146" s="519" t="s">
        <v>106</v>
      </c>
      <c r="L146" s="633" t="s">
        <v>0</v>
      </c>
      <c r="M146" s="633" t="s">
        <v>1</v>
      </c>
      <c r="N146" s="633" t="s">
        <v>2</v>
      </c>
      <c r="O146" s="633" t="s">
        <v>16</v>
      </c>
      <c r="P146" s="633" t="s">
        <v>105</v>
      </c>
      <c r="Q146" s="519" t="s">
        <v>170</v>
      </c>
      <c r="S146" s="633" t="s">
        <v>62</v>
      </c>
      <c r="T146" s="519" t="s">
        <v>311</v>
      </c>
    </row>
    <row r="147" spans="1:20" x14ac:dyDescent="0.25">
      <c r="A147" s="1581" t="s">
        <v>110</v>
      </c>
      <c r="B147" s="1481"/>
      <c r="C147" s="1481"/>
      <c r="D147" s="1481"/>
      <c r="E147" s="1481"/>
      <c r="F147" s="1481"/>
      <c r="G147" s="1481"/>
      <c r="H147" s="1482">
        <f t="shared" ref="H147:H161" si="75">SUM(B147:G147)</f>
        <v>0</v>
      </c>
      <c r="J147" s="712" t="s">
        <v>110</v>
      </c>
      <c r="K147" s="1483"/>
      <c r="L147" s="1484"/>
      <c r="M147" s="1484"/>
      <c r="N147" s="1484"/>
      <c r="O147" s="1484"/>
      <c r="P147" s="1484"/>
      <c r="Q147" s="1482">
        <f t="shared" ref="Q147:Q161" si="76">SUM(K147:P147)</f>
        <v>0</v>
      </c>
      <c r="S147" s="1485">
        <f t="shared" ref="S147:S161" si="77">H147</f>
        <v>0</v>
      </c>
      <c r="T147" s="1486">
        <f t="shared" ref="T147:T161" si="78">Q147</f>
        <v>0</v>
      </c>
    </row>
    <row r="148" spans="1:20" x14ac:dyDescent="0.25">
      <c r="A148" s="1582" t="s">
        <v>133</v>
      </c>
      <c r="B148" s="1487"/>
      <c r="C148" s="1487"/>
      <c r="D148" s="1487"/>
      <c r="E148" s="1487"/>
      <c r="F148" s="1487"/>
      <c r="G148" s="1487"/>
      <c r="H148" s="1488">
        <f t="shared" si="75"/>
        <v>0</v>
      </c>
      <c r="J148" s="712" t="s">
        <v>133</v>
      </c>
      <c r="K148" s="1489"/>
      <c r="L148" s="1490"/>
      <c r="M148" s="1490"/>
      <c r="N148" s="1490"/>
      <c r="O148" s="1490"/>
      <c r="P148" s="1490"/>
      <c r="Q148" s="1488">
        <f t="shared" si="76"/>
        <v>0</v>
      </c>
      <c r="S148" s="1491">
        <f t="shared" si="77"/>
        <v>0</v>
      </c>
      <c r="T148" s="1488">
        <f t="shared" si="78"/>
        <v>0</v>
      </c>
    </row>
    <row r="149" spans="1:20" x14ac:dyDescent="0.25">
      <c r="A149" s="1582" t="s">
        <v>136</v>
      </c>
      <c r="B149" s="1487"/>
      <c r="C149" s="1487"/>
      <c r="D149" s="1487"/>
      <c r="E149" s="1487"/>
      <c r="F149" s="1487"/>
      <c r="G149" s="1487"/>
      <c r="H149" s="1488">
        <f t="shared" si="75"/>
        <v>0</v>
      </c>
      <c r="J149" s="712" t="s">
        <v>136</v>
      </c>
      <c r="K149" s="1489"/>
      <c r="L149" s="1490"/>
      <c r="M149" s="1490"/>
      <c r="N149" s="1490"/>
      <c r="O149" s="1490"/>
      <c r="P149" s="1490"/>
      <c r="Q149" s="1488">
        <f t="shared" si="76"/>
        <v>0</v>
      </c>
      <c r="S149" s="1491">
        <f t="shared" si="77"/>
        <v>0</v>
      </c>
      <c r="T149" s="1488">
        <f t="shared" si="78"/>
        <v>0</v>
      </c>
    </row>
    <row r="150" spans="1:20" x14ac:dyDescent="0.25">
      <c r="A150" s="1582" t="s">
        <v>146</v>
      </c>
      <c r="B150" s="1487"/>
      <c r="C150" s="1487"/>
      <c r="D150" s="1487"/>
      <c r="E150" s="1487"/>
      <c r="F150" s="1487"/>
      <c r="G150" s="1487"/>
      <c r="H150" s="1488">
        <f t="shared" si="75"/>
        <v>0</v>
      </c>
      <c r="J150" s="712" t="s">
        <v>146</v>
      </c>
      <c r="K150" s="1489"/>
      <c r="L150" s="1490"/>
      <c r="M150" s="1490"/>
      <c r="N150" s="1490"/>
      <c r="O150" s="1490"/>
      <c r="P150" s="1490"/>
      <c r="Q150" s="1488">
        <f t="shared" si="76"/>
        <v>0</v>
      </c>
      <c r="S150" s="1491">
        <f t="shared" si="77"/>
        <v>0</v>
      </c>
      <c r="T150" s="1488">
        <f t="shared" si="78"/>
        <v>0</v>
      </c>
    </row>
    <row r="151" spans="1:20" x14ac:dyDescent="0.25">
      <c r="A151" s="1582" t="s">
        <v>12</v>
      </c>
      <c r="B151" s="1487"/>
      <c r="C151" s="1487"/>
      <c r="D151" s="1487"/>
      <c r="E151" s="1487"/>
      <c r="F151" s="1487"/>
      <c r="G151" s="1487"/>
      <c r="H151" s="1488">
        <f t="shared" si="75"/>
        <v>0</v>
      </c>
      <c r="J151" s="712" t="s">
        <v>12</v>
      </c>
      <c r="K151" s="1489"/>
      <c r="L151" s="1490"/>
      <c r="M151" s="1490"/>
      <c r="N151" s="1490"/>
      <c r="O151" s="1490"/>
      <c r="P151" s="1490"/>
      <c r="Q151" s="1488">
        <f t="shared" si="76"/>
        <v>0</v>
      </c>
      <c r="S151" s="1491">
        <f t="shared" si="77"/>
        <v>0</v>
      </c>
      <c r="T151" s="1488">
        <f t="shared" si="78"/>
        <v>0</v>
      </c>
    </row>
    <row r="152" spans="1:20" x14ac:dyDescent="0.25">
      <c r="A152" s="1582" t="s">
        <v>159</v>
      </c>
      <c r="B152" s="1487"/>
      <c r="C152" s="1487"/>
      <c r="D152" s="1487"/>
      <c r="E152" s="1487"/>
      <c r="F152" s="1487"/>
      <c r="G152" s="1487"/>
      <c r="H152" s="1488">
        <f t="shared" si="75"/>
        <v>0</v>
      </c>
      <c r="J152" s="712" t="s">
        <v>159</v>
      </c>
      <c r="K152" s="1489"/>
      <c r="L152" s="1490"/>
      <c r="M152" s="1490"/>
      <c r="N152" s="1490"/>
      <c r="O152" s="1490"/>
      <c r="P152" s="1490"/>
      <c r="Q152" s="1488">
        <f t="shared" si="76"/>
        <v>0</v>
      </c>
      <c r="S152" s="1491">
        <f t="shared" si="77"/>
        <v>0</v>
      </c>
      <c r="T152" s="1488">
        <f t="shared" si="78"/>
        <v>0</v>
      </c>
    </row>
    <row r="153" spans="1:20" x14ac:dyDescent="0.25">
      <c r="A153" s="1582" t="s">
        <v>1037</v>
      </c>
      <c r="B153" s="1487"/>
      <c r="C153" s="1487"/>
      <c r="D153" s="1487"/>
      <c r="E153" s="1487"/>
      <c r="F153" s="1487"/>
      <c r="G153" s="1487"/>
      <c r="H153" s="1488">
        <f t="shared" si="75"/>
        <v>0</v>
      </c>
      <c r="J153" s="712" t="s">
        <v>1037</v>
      </c>
      <c r="K153" s="1489"/>
      <c r="L153" s="1490"/>
      <c r="M153" s="1490"/>
      <c r="N153" s="1490"/>
      <c r="O153" s="1490"/>
      <c r="P153" s="1490"/>
      <c r="Q153" s="1488">
        <f t="shared" si="76"/>
        <v>0</v>
      </c>
      <c r="S153" s="1491">
        <f t="shared" si="77"/>
        <v>0</v>
      </c>
      <c r="T153" s="1488">
        <f t="shared" si="78"/>
        <v>0</v>
      </c>
    </row>
    <row r="154" spans="1:20" x14ac:dyDescent="0.25">
      <c r="A154" s="1582" t="s">
        <v>1038</v>
      </c>
      <c r="B154" s="1487"/>
      <c r="C154" s="1487"/>
      <c r="D154" s="1487"/>
      <c r="E154" s="1487"/>
      <c r="F154" s="1487"/>
      <c r="G154" s="1487"/>
      <c r="H154" s="1488">
        <f t="shared" si="75"/>
        <v>0</v>
      </c>
      <c r="J154" s="712" t="s">
        <v>1038</v>
      </c>
      <c r="K154" s="1489"/>
      <c r="L154" s="1490"/>
      <c r="M154" s="1490"/>
      <c r="N154" s="1490"/>
      <c r="O154" s="1490"/>
      <c r="P154" s="1490"/>
      <c r="Q154" s="1488">
        <f t="shared" si="76"/>
        <v>0</v>
      </c>
      <c r="S154" s="1491">
        <f t="shared" si="77"/>
        <v>0</v>
      </c>
      <c r="T154" s="1488">
        <f t="shared" si="78"/>
        <v>0</v>
      </c>
    </row>
    <row r="155" spans="1:20" x14ac:dyDescent="0.25">
      <c r="A155" s="1582" t="s">
        <v>39</v>
      </c>
      <c r="B155" s="1487"/>
      <c r="C155" s="1487"/>
      <c r="D155" s="1487"/>
      <c r="E155" s="1487"/>
      <c r="F155" s="1487"/>
      <c r="G155" s="1487"/>
      <c r="H155" s="1488">
        <f t="shared" si="75"/>
        <v>0</v>
      </c>
      <c r="J155" s="712" t="s">
        <v>39</v>
      </c>
      <c r="K155" s="1489"/>
      <c r="L155" s="1490"/>
      <c r="M155" s="1490"/>
      <c r="N155" s="1490"/>
      <c r="O155" s="1490"/>
      <c r="P155" s="1490"/>
      <c r="Q155" s="1488">
        <f t="shared" si="76"/>
        <v>0</v>
      </c>
      <c r="S155" s="1491">
        <f t="shared" si="77"/>
        <v>0</v>
      </c>
      <c r="T155" s="1488">
        <f t="shared" si="78"/>
        <v>0</v>
      </c>
    </row>
    <row r="156" spans="1:20" ht="15.75" thickBot="1" x14ac:dyDescent="0.3">
      <c r="A156" s="1583" t="s">
        <v>225</v>
      </c>
      <c r="B156" s="1494"/>
      <c r="C156" s="1494"/>
      <c r="D156" s="1494"/>
      <c r="E156" s="1494"/>
      <c r="F156" s="1494"/>
      <c r="G156" s="1494"/>
      <c r="H156" s="1495">
        <f t="shared" si="75"/>
        <v>0</v>
      </c>
      <c r="J156" s="743" t="s">
        <v>225</v>
      </c>
      <c r="K156" s="1496"/>
      <c r="L156" s="1497"/>
      <c r="M156" s="1497"/>
      <c r="N156" s="1497"/>
      <c r="O156" s="1497"/>
      <c r="P156" s="1497"/>
      <c r="Q156" s="1495">
        <f t="shared" si="76"/>
        <v>0</v>
      </c>
      <c r="S156" s="1498">
        <f t="shared" si="77"/>
        <v>0</v>
      </c>
      <c r="T156" s="1495">
        <f t="shared" si="78"/>
        <v>0</v>
      </c>
    </row>
    <row r="157" spans="1:20" x14ac:dyDescent="0.25">
      <c r="A157" s="1584" t="s">
        <v>226</v>
      </c>
      <c r="B157" s="1499">
        <f t="shared" ref="B157:G157" si="79">SUM(B147:B156)</f>
        <v>0</v>
      </c>
      <c r="C157" s="1499">
        <f t="shared" si="79"/>
        <v>0</v>
      </c>
      <c r="D157" s="1499">
        <f t="shared" si="79"/>
        <v>0</v>
      </c>
      <c r="E157" s="1499">
        <f t="shared" si="79"/>
        <v>0</v>
      </c>
      <c r="F157" s="1499">
        <f t="shared" si="79"/>
        <v>0</v>
      </c>
      <c r="G157" s="1499">
        <f t="shared" si="79"/>
        <v>0</v>
      </c>
      <c r="H157" s="1482">
        <f t="shared" si="75"/>
        <v>0</v>
      </c>
      <c r="J157" s="744" t="s">
        <v>226</v>
      </c>
      <c r="K157" s="1482">
        <f t="shared" ref="K157:P157" si="80">SUM(K147:K156)</f>
        <v>0</v>
      </c>
      <c r="L157" s="1500">
        <f t="shared" si="80"/>
        <v>0</v>
      </c>
      <c r="M157" s="1500">
        <f t="shared" si="80"/>
        <v>0</v>
      </c>
      <c r="N157" s="1500">
        <f t="shared" si="80"/>
        <v>0</v>
      </c>
      <c r="O157" s="1500">
        <f t="shared" si="80"/>
        <v>0</v>
      </c>
      <c r="P157" s="1500">
        <f t="shared" si="80"/>
        <v>0</v>
      </c>
      <c r="Q157" s="1482">
        <f t="shared" si="76"/>
        <v>0</v>
      </c>
      <c r="S157" s="1499">
        <f t="shared" si="77"/>
        <v>0</v>
      </c>
      <c r="T157" s="1482">
        <f t="shared" si="78"/>
        <v>0</v>
      </c>
    </row>
    <row r="158" spans="1:20" x14ac:dyDescent="0.25">
      <c r="A158" s="1585" t="s">
        <v>131</v>
      </c>
      <c r="B158" s="1501">
        <f t="shared" ref="B158:G158" si="81">SUM(B150,B152,B154,B156)*-1</f>
        <v>0</v>
      </c>
      <c r="C158" s="1501">
        <f t="shared" si="81"/>
        <v>0</v>
      </c>
      <c r="D158" s="1501">
        <f t="shared" si="81"/>
        <v>0</v>
      </c>
      <c r="E158" s="1501">
        <f t="shared" si="81"/>
        <v>0</v>
      </c>
      <c r="F158" s="1501">
        <f t="shared" si="81"/>
        <v>0</v>
      </c>
      <c r="G158" s="1501">
        <f t="shared" si="81"/>
        <v>0</v>
      </c>
      <c r="H158" s="1502">
        <f t="shared" si="75"/>
        <v>0</v>
      </c>
      <c r="J158" s="745" t="s">
        <v>131</v>
      </c>
      <c r="K158" s="1502">
        <f t="shared" ref="K158:P158" si="82">SUM(K150,K152,K154,K156)*-1</f>
        <v>0</v>
      </c>
      <c r="L158" s="1503">
        <f t="shared" si="82"/>
        <v>0</v>
      </c>
      <c r="M158" s="1503">
        <f t="shared" si="82"/>
        <v>0</v>
      </c>
      <c r="N158" s="1503">
        <f t="shared" si="82"/>
        <v>0</v>
      </c>
      <c r="O158" s="1503">
        <f t="shared" si="82"/>
        <v>0</v>
      </c>
      <c r="P158" s="1503">
        <f t="shared" si="82"/>
        <v>0</v>
      </c>
      <c r="Q158" s="1502">
        <f t="shared" si="76"/>
        <v>0</v>
      </c>
      <c r="S158" s="1501">
        <f t="shared" si="77"/>
        <v>0</v>
      </c>
      <c r="T158" s="1502">
        <f t="shared" si="78"/>
        <v>0</v>
      </c>
    </row>
    <row r="159" spans="1:20" x14ac:dyDescent="0.25">
      <c r="A159" s="1586" t="s">
        <v>358</v>
      </c>
      <c r="B159" s="1504">
        <f>IF(Budget!$C$292='Reference Sheet'!$A$26,SUM(B157:B158),(B157-B154))</f>
        <v>0</v>
      </c>
      <c r="C159" s="1504">
        <f>IF(Budget!$C$292='Reference Sheet'!$A$26,SUM(C157:C158),(C157-C154))</f>
        <v>0</v>
      </c>
      <c r="D159" s="1504">
        <f>IF(Budget!$C$292='Reference Sheet'!$A$26,SUM(D157:D158),(D157-D154))</f>
        <v>0</v>
      </c>
      <c r="E159" s="1504">
        <f>IF(Budget!$C$292='Reference Sheet'!$A$26,SUM(E157:E158),(E157-E154))</f>
        <v>0</v>
      </c>
      <c r="F159" s="1504">
        <f>IF(Budget!$C$292='Reference Sheet'!$A$26,SUM(F157:F158),(F157-F154))</f>
        <v>0</v>
      </c>
      <c r="G159" s="1504">
        <f>IF(Budget!$C$292='Reference Sheet'!$A$26,SUM(G157:G158),(G157-G154))</f>
        <v>0</v>
      </c>
      <c r="H159" s="1505">
        <f t="shared" si="75"/>
        <v>0</v>
      </c>
      <c r="J159" s="746" t="s">
        <v>358</v>
      </c>
      <c r="K159" s="1504">
        <f>IF(Budget!$C$292='Reference Sheet'!$A$26,SUM(K157:K158),(K157-K154))</f>
        <v>0</v>
      </c>
      <c r="L159" s="1504">
        <f>IF(Budget!$C$292='Reference Sheet'!$A$26,SUM(L157:L158),(L157-L154))</f>
        <v>0</v>
      </c>
      <c r="M159" s="1504">
        <f>IF(Budget!$C$292='Reference Sheet'!$A$26,SUM(M157:M158),(M157-M154))</f>
        <v>0</v>
      </c>
      <c r="N159" s="1504">
        <f>IF(Budget!$C$292='Reference Sheet'!$A$26,SUM(N157:N158),(N157-N154))</f>
        <v>0</v>
      </c>
      <c r="O159" s="1504">
        <f>IF(Budget!$C$292='Reference Sheet'!$A$26,SUM(O157:O158),(O157-O154))</f>
        <v>0</v>
      </c>
      <c r="P159" s="1504">
        <f>IF(Budget!$C$292='Reference Sheet'!$A$26,SUM(P157:P158),(P157-P154))</f>
        <v>0</v>
      </c>
      <c r="Q159" s="1505">
        <f t="shared" si="76"/>
        <v>0</v>
      </c>
      <c r="S159" s="1504">
        <f t="shared" si="77"/>
        <v>0</v>
      </c>
      <c r="T159" s="1505">
        <f t="shared" si="78"/>
        <v>0</v>
      </c>
    </row>
    <row r="160" spans="1:20" ht="15.75" thickBot="1" x14ac:dyDescent="0.3">
      <c r="A160" s="1587" t="s">
        <v>359</v>
      </c>
      <c r="B160" s="1506">
        <f>Budget!$C$294*B159</f>
        <v>0</v>
      </c>
      <c r="C160" s="1506">
        <f>Budget!$C$294*C159</f>
        <v>0</v>
      </c>
      <c r="D160" s="1506">
        <f>Budget!$C$294*D159</f>
        <v>0</v>
      </c>
      <c r="E160" s="1506">
        <f>Budget!$C$294*E159</f>
        <v>0</v>
      </c>
      <c r="F160" s="1506">
        <f>Budget!$C$294*F159</f>
        <v>0</v>
      </c>
      <c r="G160" s="1506">
        <f>Budget!$C$294*G159</f>
        <v>0</v>
      </c>
      <c r="H160" s="1506">
        <f t="shared" si="75"/>
        <v>0</v>
      </c>
      <c r="J160" s="747" t="s">
        <v>359</v>
      </c>
      <c r="K160" s="1506">
        <f>Budget!C$294*K159</f>
        <v>0</v>
      </c>
      <c r="L160" s="1506">
        <f>Budget!D$294*L159</f>
        <v>0</v>
      </c>
      <c r="M160" s="1506">
        <f>Budget!E$294*M159</f>
        <v>0</v>
      </c>
      <c r="N160" s="1506">
        <f>Budget!F$294*N159</f>
        <v>0</v>
      </c>
      <c r="O160" s="1506">
        <f>Budget!G$294*O159</f>
        <v>0</v>
      </c>
      <c r="P160" s="1506">
        <f>Budget!H$294*P159</f>
        <v>0</v>
      </c>
      <c r="Q160" s="1506">
        <f t="shared" si="76"/>
        <v>0</v>
      </c>
      <c r="S160" s="1506">
        <f t="shared" si="77"/>
        <v>0</v>
      </c>
      <c r="T160" s="1506">
        <f t="shared" si="78"/>
        <v>0</v>
      </c>
    </row>
    <row r="161" spans="1:20" ht="15.75" thickBot="1" x14ac:dyDescent="0.3">
      <c r="A161" s="1588" t="s">
        <v>170</v>
      </c>
      <c r="B161" s="1507">
        <f t="shared" ref="B161:G161" si="83">SUM(B157,B160)</f>
        <v>0</v>
      </c>
      <c r="C161" s="1507">
        <f t="shared" si="83"/>
        <v>0</v>
      </c>
      <c r="D161" s="1507">
        <f t="shared" si="83"/>
        <v>0</v>
      </c>
      <c r="E161" s="1507">
        <f t="shared" si="83"/>
        <v>0</v>
      </c>
      <c r="F161" s="1507">
        <f t="shared" si="83"/>
        <v>0</v>
      </c>
      <c r="G161" s="1507">
        <f t="shared" si="83"/>
        <v>0</v>
      </c>
      <c r="H161" s="1508">
        <f t="shared" si="75"/>
        <v>0</v>
      </c>
      <c r="J161" s="748" t="s">
        <v>170</v>
      </c>
      <c r="K161" s="1508">
        <f t="shared" ref="K161:P161" si="84">SUM(K157,K160)</f>
        <v>0</v>
      </c>
      <c r="L161" s="1509">
        <f t="shared" si="84"/>
        <v>0</v>
      </c>
      <c r="M161" s="1509">
        <f t="shared" si="84"/>
        <v>0</v>
      </c>
      <c r="N161" s="1509">
        <f t="shared" si="84"/>
        <v>0</v>
      </c>
      <c r="O161" s="1509">
        <f t="shared" si="84"/>
        <v>0</v>
      </c>
      <c r="P161" s="1509">
        <f t="shared" si="84"/>
        <v>0</v>
      </c>
      <c r="Q161" s="1508">
        <f t="shared" si="76"/>
        <v>0</v>
      </c>
      <c r="S161" s="1507">
        <f t="shared" si="77"/>
        <v>0</v>
      </c>
      <c r="T161" s="1508">
        <f t="shared" si="78"/>
        <v>0</v>
      </c>
    </row>
    <row r="162" spans="1:20" ht="15.75" thickBot="1" x14ac:dyDescent="0.3">
      <c r="R162" s="672" t="str">
        <f>$R$22</f>
        <v>Total Project Costs</v>
      </c>
      <c r="S162" s="3480">
        <f>SUM(S161:T161)</f>
        <v>0</v>
      </c>
      <c r="T162" s="3481"/>
    </row>
    <row r="163" spans="1:20" ht="15.75" thickBot="1" x14ac:dyDescent="0.3">
      <c r="R163" s="672" t="str">
        <f>$R$23</f>
        <v>Cost share as % of Total Project Costs</v>
      </c>
      <c r="S163" s="3504">
        <f>IFERROR(T161/S162,0%)</f>
        <v>0</v>
      </c>
      <c r="T163" s="3505"/>
    </row>
    <row r="164" spans="1:20" ht="24" thickBot="1" x14ac:dyDescent="0.4">
      <c r="A164" s="327">
        <v>9</v>
      </c>
      <c r="B164" s="681" t="s">
        <v>305</v>
      </c>
      <c r="C164" s="681"/>
      <c r="D164" s="681"/>
      <c r="E164" s="681"/>
      <c r="F164" s="681"/>
      <c r="G164" s="681"/>
      <c r="H164" s="681"/>
      <c r="J164" s="681" t="s">
        <v>222</v>
      </c>
      <c r="K164" s="681"/>
      <c r="L164" s="681"/>
      <c r="M164" s="681"/>
      <c r="N164" s="681"/>
      <c r="O164" s="681"/>
      <c r="P164" s="681"/>
      <c r="Q164" s="681"/>
    </row>
    <row r="165" spans="1:20" ht="15.75" thickBot="1" x14ac:dyDescent="0.3">
      <c r="A165" s="636">
        <f ca="1">'Calc - SENIOR PERS'!B118</f>
        <v>0</v>
      </c>
      <c r="B165" s="636">
        <f ca="1">'Calc - SENIOR PERS'!B119</f>
        <v>0</v>
      </c>
      <c r="C165" s="699"/>
      <c r="D165" s="699"/>
      <c r="E165" s="699"/>
      <c r="F165" s="699"/>
      <c r="G165" s="699"/>
      <c r="H165" s="740"/>
      <c r="J165" s="707">
        <f ca="1">A165</f>
        <v>0</v>
      </c>
      <c r="K165" s="637">
        <f ca="1">B165</f>
        <v>0</v>
      </c>
      <c r="L165" s="700"/>
      <c r="M165" s="700"/>
      <c r="N165" s="700"/>
      <c r="O165" s="700"/>
      <c r="P165" s="700"/>
      <c r="Q165" s="741"/>
      <c r="S165" s="3506" t="s">
        <v>170</v>
      </c>
      <c r="T165" s="3507"/>
    </row>
    <row r="166" spans="1:20" ht="15.75" thickBot="1" x14ac:dyDescent="0.3">
      <c r="A166" s="1580"/>
      <c r="B166" s="517" t="s">
        <v>106</v>
      </c>
      <c r="C166" s="517" t="s">
        <v>0</v>
      </c>
      <c r="D166" s="517" t="s">
        <v>1</v>
      </c>
      <c r="E166" s="517" t="s">
        <v>2</v>
      </c>
      <c r="F166" s="517" t="s">
        <v>16</v>
      </c>
      <c r="G166" s="517" t="s">
        <v>105</v>
      </c>
      <c r="H166" s="518" t="s">
        <v>170</v>
      </c>
      <c r="J166" s="711"/>
      <c r="K166" s="519" t="s">
        <v>106</v>
      </c>
      <c r="L166" s="633" t="s">
        <v>0</v>
      </c>
      <c r="M166" s="633" t="s">
        <v>1</v>
      </c>
      <c r="N166" s="633" t="s">
        <v>2</v>
      </c>
      <c r="O166" s="633" t="s">
        <v>16</v>
      </c>
      <c r="P166" s="633" t="s">
        <v>105</v>
      </c>
      <c r="Q166" s="519" t="s">
        <v>170</v>
      </c>
      <c r="S166" s="633" t="s">
        <v>62</v>
      </c>
      <c r="T166" s="519" t="s">
        <v>311</v>
      </c>
    </row>
    <row r="167" spans="1:20" x14ac:dyDescent="0.25">
      <c r="A167" s="1581" t="s">
        <v>110</v>
      </c>
      <c r="B167" s="1481"/>
      <c r="C167" s="1481"/>
      <c r="D167" s="1481"/>
      <c r="E167" s="1481"/>
      <c r="F167" s="1481"/>
      <c r="G167" s="1481"/>
      <c r="H167" s="1482">
        <f t="shared" ref="H167:H181" si="85">SUM(B167:G167)</f>
        <v>0</v>
      </c>
      <c r="J167" s="712" t="s">
        <v>110</v>
      </c>
      <c r="K167" s="1483"/>
      <c r="L167" s="1484"/>
      <c r="M167" s="1484"/>
      <c r="N167" s="1484"/>
      <c r="O167" s="1484"/>
      <c r="P167" s="1484"/>
      <c r="Q167" s="1482">
        <f t="shared" ref="Q167:Q181" si="86">SUM(K167:P167)</f>
        <v>0</v>
      </c>
      <c r="S167" s="1485">
        <f t="shared" ref="S167:S181" si="87">H167</f>
        <v>0</v>
      </c>
      <c r="T167" s="1486">
        <f t="shared" ref="T167:T181" si="88">Q167</f>
        <v>0</v>
      </c>
    </row>
    <row r="168" spans="1:20" x14ac:dyDescent="0.25">
      <c r="A168" s="1582" t="s">
        <v>133</v>
      </c>
      <c r="B168" s="1487"/>
      <c r="C168" s="1487"/>
      <c r="D168" s="1487"/>
      <c r="E168" s="1487"/>
      <c r="F168" s="1487"/>
      <c r="G168" s="1487"/>
      <c r="H168" s="1488">
        <f t="shared" si="85"/>
        <v>0</v>
      </c>
      <c r="J168" s="712" t="s">
        <v>133</v>
      </c>
      <c r="K168" s="1489"/>
      <c r="L168" s="1490"/>
      <c r="M168" s="1490"/>
      <c r="N168" s="1490"/>
      <c r="O168" s="1490"/>
      <c r="P168" s="1490"/>
      <c r="Q168" s="1488">
        <f t="shared" si="86"/>
        <v>0</v>
      </c>
      <c r="S168" s="1491">
        <f t="shared" si="87"/>
        <v>0</v>
      </c>
      <c r="T168" s="1488">
        <f t="shared" si="88"/>
        <v>0</v>
      </c>
    </row>
    <row r="169" spans="1:20" x14ac:dyDescent="0.25">
      <c r="A169" s="1582" t="s">
        <v>136</v>
      </c>
      <c r="B169" s="1487"/>
      <c r="C169" s="1487"/>
      <c r="D169" s="1487"/>
      <c r="E169" s="1487"/>
      <c r="F169" s="1487"/>
      <c r="G169" s="1487"/>
      <c r="H169" s="1488">
        <f t="shared" si="85"/>
        <v>0</v>
      </c>
      <c r="J169" s="712" t="s">
        <v>136</v>
      </c>
      <c r="K169" s="1489"/>
      <c r="L169" s="1490"/>
      <c r="M169" s="1490"/>
      <c r="N169" s="1490"/>
      <c r="O169" s="1490"/>
      <c r="P169" s="1490"/>
      <c r="Q169" s="1488">
        <f t="shared" si="86"/>
        <v>0</v>
      </c>
      <c r="S169" s="1491">
        <f t="shared" si="87"/>
        <v>0</v>
      </c>
      <c r="T169" s="1488">
        <f t="shared" si="88"/>
        <v>0</v>
      </c>
    </row>
    <row r="170" spans="1:20" x14ac:dyDescent="0.25">
      <c r="A170" s="1582" t="s">
        <v>146</v>
      </c>
      <c r="B170" s="1487"/>
      <c r="C170" s="1487"/>
      <c r="D170" s="1487"/>
      <c r="E170" s="1487"/>
      <c r="F170" s="1487"/>
      <c r="G170" s="1487"/>
      <c r="H170" s="1488">
        <f t="shared" si="85"/>
        <v>0</v>
      </c>
      <c r="J170" s="712" t="s">
        <v>146</v>
      </c>
      <c r="K170" s="1489"/>
      <c r="L170" s="1490"/>
      <c r="M170" s="1490"/>
      <c r="N170" s="1490"/>
      <c r="O170" s="1490"/>
      <c r="P170" s="1490"/>
      <c r="Q170" s="1488">
        <f t="shared" si="86"/>
        <v>0</v>
      </c>
      <c r="S170" s="1491">
        <f t="shared" si="87"/>
        <v>0</v>
      </c>
      <c r="T170" s="1488">
        <f t="shared" si="88"/>
        <v>0</v>
      </c>
    </row>
    <row r="171" spans="1:20" x14ac:dyDescent="0.25">
      <c r="A171" s="1582" t="s">
        <v>12</v>
      </c>
      <c r="B171" s="1487"/>
      <c r="C171" s="1487"/>
      <c r="D171" s="1487"/>
      <c r="E171" s="1487"/>
      <c r="F171" s="1487"/>
      <c r="G171" s="1487"/>
      <c r="H171" s="1488">
        <f t="shared" si="85"/>
        <v>0</v>
      </c>
      <c r="J171" s="712" t="s">
        <v>12</v>
      </c>
      <c r="K171" s="1489"/>
      <c r="L171" s="1490"/>
      <c r="M171" s="1490"/>
      <c r="N171" s="1490"/>
      <c r="O171" s="1490"/>
      <c r="P171" s="1490"/>
      <c r="Q171" s="1488">
        <f t="shared" si="86"/>
        <v>0</v>
      </c>
      <c r="S171" s="1491">
        <f t="shared" si="87"/>
        <v>0</v>
      </c>
      <c r="T171" s="1488">
        <f t="shared" si="88"/>
        <v>0</v>
      </c>
    </row>
    <row r="172" spans="1:20" x14ac:dyDescent="0.25">
      <c r="A172" s="1582" t="s">
        <v>159</v>
      </c>
      <c r="B172" s="1487"/>
      <c r="C172" s="1487"/>
      <c r="D172" s="1487"/>
      <c r="E172" s="1487"/>
      <c r="F172" s="1487"/>
      <c r="G172" s="1487"/>
      <c r="H172" s="1488">
        <f t="shared" si="85"/>
        <v>0</v>
      </c>
      <c r="J172" s="712" t="s">
        <v>159</v>
      </c>
      <c r="K172" s="1489"/>
      <c r="L172" s="1490"/>
      <c r="M172" s="1490"/>
      <c r="N172" s="1490"/>
      <c r="O172" s="1490"/>
      <c r="P172" s="1490"/>
      <c r="Q172" s="1488">
        <f t="shared" si="86"/>
        <v>0</v>
      </c>
      <c r="S172" s="1491">
        <f t="shared" si="87"/>
        <v>0</v>
      </c>
      <c r="T172" s="1488">
        <f t="shared" si="88"/>
        <v>0</v>
      </c>
    </row>
    <row r="173" spans="1:20" x14ac:dyDescent="0.25">
      <c r="A173" s="1582" t="s">
        <v>1037</v>
      </c>
      <c r="B173" s="1487"/>
      <c r="C173" s="1487"/>
      <c r="D173" s="1487"/>
      <c r="E173" s="1487"/>
      <c r="F173" s="1487"/>
      <c r="G173" s="1487"/>
      <c r="H173" s="1488">
        <f t="shared" si="85"/>
        <v>0</v>
      </c>
      <c r="J173" s="712" t="s">
        <v>1037</v>
      </c>
      <c r="K173" s="1489"/>
      <c r="L173" s="1490"/>
      <c r="M173" s="1490"/>
      <c r="N173" s="1490"/>
      <c r="O173" s="1490"/>
      <c r="P173" s="1490"/>
      <c r="Q173" s="1488">
        <f t="shared" si="86"/>
        <v>0</v>
      </c>
      <c r="S173" s="1491">
        <f t="shared" si="87"/>
        <v>0</v>
      </c>
      <c r="T173" s="1488">
        <f t="shared" si="88"/>
        <v>0</v>
      </c>
    </row>
    <row r="174" spans="1:20" x14ac:dyDescent="0.25">
      <c r="A174" s="1582" t="s">
        <v>1038</v>
      </c>
      <c r="B174" s="1487"/>
      <c r="C174" s="1487"/>
      <c r="D174" s="1487"/>
      <c r="E174" s="1487"/>
      <c r="F174" s="1487"/>
      <c r="G174" s="1487"/>
      <c r="H174" s="1488">
        <f t="shared" si="85"/>
        <v>0</v>
      </c>
      <c r="J174" s="712" t="s">
        <v>1038</v>
      </c>
      <c r="K174" s="1489"/>
      <c r="L174" s="1490"/>
      <c r="M174" s="1490"/>
      <c r="N174" s="1490"/>
      <c r="O174" s="1490"/>
      <c r="P174" s="1490"/>
      <c r="Q174" s="1488">
        <f t="shared" si="86"/>
        <v>0</v>
      </c>
      <c r="S174" s="1491">
        <f t="shared" si="87"/>
        <v>0</v>
      </c>
      <c r="T174" s="1488">
        <f t="shared" si="88"/>
        <v>0</v>
      </c>
    </row>
    <row r="175" spans="1:20" x14ac:dyDescent="0.25">
      <c r="A175" s="1582" t="s">
        <v>39</v>
      </c>
      <c r="B175" s="1487"/>
      <c r="C175" s="1487"/>
      <c r="D175" s="1487"/>
      <c r="E175" s="1487"/>
      <c r="F175" s="1487"/>
      <c r="G175" s="1487"/>
      <c r="H175" s="1488">
        <f t="shared" si="85"/>
        <v>0</v>
      </c>
      <c r="J175" s="712" t="s">
        <v>39</v>
      </c>
      <c r="K175" s="1489"/>
      <c r="L175" s="1490"/>
      <c r="M175" s="1490"/>
      <c r="N175" s="1490"/>
      <c r="O175" s="1490"/>
      <c r="P175" s="1490"/>
      <c r="Q175" s="1488">
        <f t="shared" si="86"/>
        <v>0</v>
      </c>
      <c r="S175" s="1491">
        <f t="shared" si="87"/>
        <v>0</v>
      </c>
      <c r="T175" s="1488">
        <f t="shared" si="88"/>
        <v>0</v>
      </c>
    </row>
    <row r="176" spans="1:20" ht="15.75" thickBot="1" x14ac:dyDescent="0.3">
      <c r="A176" s="1583" t="s">
        <v>225</v>
      </c>
      <c r="B176" s="1494"/>
      <c r="C176" s="1494"/>
      <c r="D176" s="1494"/>
      <c r="E176" s="1494"/>
      <c r="F176" s="1494"/>
      <c r="G176" s="1494"/>
      <c r="H176" s="1495">
        <f t="shared" si="85"/>
        <v>0</v>
      </c>
      <c r="J176" s="743" t="s">
        <v>225</v>
      </c>
      <c r="K176" s="1496"/>
      <c r="L176" s="1497"/>
      <c r="M176" s="1497"/>
      <c r="N176" s="1497"/>
      <c r="O176" s="1497"/>
      <c r="P176" s="1497"/>
      <c r="Q176" s="1495">
        <f t="shared" si="86"/>
        <v>0</v>
      </c>
      <c r="S176" s="1498">
        <f t="shared" si="87"/>
        <v>0</v>
      </c>
      <c r="T176" s="1495">
        <f t="shared" si="88"/>
        <v>0</v>
      </c>
    </row>
    <row r="177" spans="1:20" x14ac:dyDescent="0.25">
      <c r="A177" s="1584" t="s">
        <v>226</v>
      </c>
      <c r="B177" s="1499">
        <f t="shared" ref="B177:G177" si="89">SUM(B167:B176)</f>
        <v>0</v>
      </c>
      <c r="C177" s="1499">
        <f t="shared" si="89"/>
        <v>0</v>
      </c>
      <c r="D177" s="1499">
        <f t="shared" si="89"/>
        <v>0</v>
      </c>
      <c r="E177" s="1499">
        <f t="shared" si="89"/>
        <v>0</v>
      </c>
      <c r="F177" s="1499">
        <f t="shared" si="89"/>
        <v>0</v>
      </c>
      <c r="G177" s="1499">
        <f t="shared" si="89"/>
        <v>0</v>
      </c>
      <c r="H177" s="1482">
        <f t="shared" si="85"/>
        <v>0</v>
      </c>
      <c r="J177" s="744" t="s">
        <v>226</v>
      </c>
      <c r="K177" s="1482">
        <f t="shared" ref="K177:P177" si="90">SUM(K167:K176)</f>
        <v>0</v>
      </c>
      <c r="L177" s="1500">
        <f t="shared" si="90"/>
        <v>0</v>
      </c>
      <c r="M177" s="1500">
        <f t="shared" si="90"/>
        <v>0</v>
      </c>
      <c r="N177" s="1500">
        <f t="shared" si="90"/>
        <v>0</v>
      </c>
      <c r="O177" s="1500">
        <f t="shared" si="90"/>
        <v>0</v>
      </c>
      <c r="P177" s="1500">
        <f t="shared" si="90"/>
        <v>0</v>
      </c>
      <c r="Q177" s="1482">
        <f t="shared" si="86"/>
        <v>0</v>
      </c>
      <c r="S177" s="1499">
        <f t="shared" si="87"/>
        <v>0</v>
      </c>
      <c r="T177" s="1482">
        <f t="shared" si="88"/>
        <v>0</v>
      </c>
    </row>
    <row r="178" spans="1:20" x14ac:dyDescent="0.25">
      <c r="A178" s="1585" t="s">
        <v>131</v>
      </c>
      <c r="B178" s="1501">
        <f t="shared" ref="B178:G178" si="91">SUM(B170,B172,B174,B176)*-1</f>
        <v>0</v>
      </c>
      <c r="C178" s="1501">
        <f t="shared" si="91"/>
        <v>0</v>
      </c>
      <c r="D178" s="1501">
        <f t="shared" si="91"/>
        <v>0</v>
      </c>
      <c r="E178" s="1501">
        <f t="shared" si="91"/>
        <v>0</v>
      </c>
      <c r="F178" s="1501">
        <f t="shared" si="91"/>
        <v>0</v>
      </c>
      <c r="G178" s="1501">
        <f t="shared" si="91"/>
        <v>0</v>
      </c>
      <c r="H178" s="1502">
        <f t="shared" si="85"/>
        <v>0</v>
      </c>
      <c r="J178" s="745" t="s">
        <v>131</v>
      </c>
      <c r="K178" s="1502">
        <f t="shared" ref="K178:P178" si="92">SUM(K170,K172,K174,K176)*-1</f>
        <v>0</v>
      </c>
      <c r="L178" s="1503">
        <f t="shared" si="92"/>
        <v>0</v>
      </c>
      <c r="M178" s="1503">
        <f t="shared" si="92"/>
        <v>0</v>
      </c>
      <c r="N178" s="1503">
        <f t="shared" si="92"/>
        <v>0</v>
      </c>
      <c r="O178" s="1503">
        <f t="shared" si="92"/>
        <v>0</v>
      </c>
      <c r="P178" s="1503">
        <f t="shared" si="92"/>
        <v>0</v>
      </c>
      <c r="Q178" s="1502">
        <f t="shared" si="86"/>
        <v>0</v>
      </c>
      <c r="S178" s="1501">
        <f t="shared" si="87"/>
        <v>0</v>
      </c>
      <c r="T178" s="1502">
        <f t="shared" si="88"/>
        <v>0</v>
      </c>
    </row>
    <row r="179" spans="1:20" x14ac:dyDescent="0.25">
      <c r="A179" s="1586" t="s">
        <v>358</v>
      </c>
      <c r="B179" s="1504">
        <f>IF(Budget!$C$292='Reference Sheet'!$A$26,SUM(B177:B178),(B177-B174))</f>
        <v>0</v>
      </c>
      <c r="C179" s="1504">
        <f>IF(Budget!$C$292='Reference Sheet'!$A$26,SUM(C177:C178),(C177-C174))</f>
        <v>0</v>
      </c>
      <c r="D179" s="1504">
        <f>IF(Budget!$C$292='Reference Sheet'!$A$26,SUM(D177:D178),(D177-D174))</f>
        <v>0</v>
      </c>
      <c r="E179" s="1504">
        <f>IF(Budget!$C$292='Reference Sheet'!$A$26,SUM(E177:E178),(E177-E174))</f>
        <v>0</v>
      </c>
      <c r="F179" s="1504">
        <f>IF(Budget!$C$292='Reference Sheet'!$A$26,SUM(F177:F178),(F177-F174))</f>
        <v>0</v>
      </c>
      <c r="G179" s="1504">
        <f>IF(Budget!$C$292='Reference Sheet'!$A$26,SUM(G177:G178),(G177-G174))</f>
        <v>0</v>
      </c>
      <c r="H179" s="1505">
        <f t="shared" si="85"/>
        <v>0</v>
      </c>
      <c r="J179" s="746" t="s">
        <v>358</v>
      </c>
      <c r="K179" s="1504">
        <f>IF(Budget!$C$292='Reference Sheet'!$A$26,SUM(K177:K178),(K177-K174))</f>
        <v>0</v>
      </c>
      <c r="L179" s="1504">
        <f>IF(Budget!$C$292='Reference Sheet'!$A$26,SUM(L177:L178),(L177-L174))</f>
        <v>0</v>
      </c>
      <c r="M179" s="1504">
        <f>IF(Budget!$C$292='Reference Sheet'!$A$26,SUM(M177:M178),(M177-M174))</f>
        <v>0</v>
      </c>
      <c r="N179" s="1504">
        <f>IF(Budget!$C$292='Reference Sheet'!$A$26,SUM(N177:N178),(N177-N174))</f>
        <v>0</v>
      </c>
      <c r="O179" s="1504">
        <f>IF(Budget!$C$292='Reference Sheet'!$A$26,SUM(O177:O178),(O177-O174))</f>
        <v>0</v>
      </c>
      <c r="P179" s="1504">
        <f>IF(Budget!$C$292='Reference Sheet'!$A$26,SUM(P177:P178),(P177-P174))</f>
        <v>0</v>
      </c>
      <c r="Q179" s="1505">
        <f t="shared" si="86"/>
        <v>0</v>
      </c>
      <c r="S179" s="1504">
        <f t="shared" si="87"/>
        <v>0</v>
      </c>
      <c r="T179" s="1505">
        <f t="shared" si="88"/>
        <v>0</v>
      </c>
    </row>
    <row r="180" spans="1:20" ht="15.75" thickBot="1" x14ac:dyDescent="0.3">
      <c r="A180" s="1587" t="s">
        <v>359</v>
      </c>
      <c r="B180" s="1506">
        <f>Budget!$C$294*B179</f>
        <v>0</v>
      </c>
      <c r="C180" s="1506">
        <f>Budget!$C$294*C179</f>
        <v>0</v>
      </c>
      <c r="D180" s="1506">
        <f>Budget!$C$294*D179</f>
        <v>0</v>
      </c>
      <c r="E180" s="1506">
        <f>Budget!$C$294*E179</f>
        <v>0</v>
      </c>
      <c r="F180" s="1506">
        <f>Budget!$C$294*F179</f>
        <v>0</v>
      </c>
      <c r="G180" s="1506">
        <f>Budget!$C$294*G179</f>
        <v>0</v>
      </c>
      <c r="H180" s="1506">
        <f t="shared" si="85"/>
        <v>0</v>
      </c>
      <c r="J180" s="747" t="s">
        <v>359</v>
      </c>
      <c r="K180" s="1506">
        <f>Budget!C$294*K179</f>
        <v>0</v>
      </c>
      <c r="L180" s="1506">
        <f>Budget!D$294*L179</f>
        <v>0</v>
      </c>
      <c r="M180" s="1506">
        <f>Budget!E$294*M179</f>
        <v>0</v>
      </c>
      <c r="N180" s="1506">
        <f>Budget!F$294*N179</f>
        <v>0</v>
      </c>
      <c r="O180" s="1506">
        <f>Budget!G$294*O179</f>
        <v>0</v>
      </c>
      <c r="P180" s="1506">
        <f>Budget!H$294*P179</f>
        <v>0</v>
      </c>
      <c r="Q180" s="1506">
        <f t="shared" si="86"/>
        <v>0</v>
      </c>
      <c r="S180" s="1506">
        <f t="shared" si="87"/>
        <v>0</v>
      </c>
      <c r="T180" s="1506">
        <f t="shared" si="88"/>
        <v>0</v>
      </c>
    </row>
    <row r="181" spans="1:20" ht="15.75" thickBot="1" x14ac:dyDescent="0.3">
      <c r="A181" s="1588" t="s">
        <v>170</v>
      </c>
      <c r="B181" s="1507">
        <f t="shared" ref="B181:G181" si="93">SUM(B177,B180)</f>
        <v>0</v>
      </c>
      <c r="C181" s="1507">
        <f t="shared" si="93"/>
        <v>0</v>
      </c>
      <c r="D181" s="1507">
        <f t="shared" si="93"/>
        <v>0</v>
      </c>
      <c r="E181" s="1507">
        <f t="shared" si="93"/>
        <v>0</v>
      </c>
      <c r="F181" s="1507">
        <f t="shared" si="93"/>
        <v>0</v>
      </c>
      <c r="G181" s="1507">
        <f t="shared" si="93"/>
        <v>0</v>
      </c>
      <c r="H181" s="1508">
        <f t="shared" si="85"/>
        <v>0</v>
      </c>
      <c r="J181" s="748" t="s">
        <v>170</v>
      </c>
      <c r="K181" s="1508">
        <f t="shared" ref="K181:P181" si="94">SUM(K177,K180)</f>
        <v>0</v>
      </c>
      <c r="L181" s="1509">
        <f t="shared" si="94"/>
        <v>0</v>
      </c>
      <c r="M181" s="1509">
        <f t="shared" si="94"/>
        <v>0</v>
      </c>
      <c r="N181" s="1509">
        <f t="shared" si="94"/>
        <v>0</v>
      </c>
      <c r="O181" s="1509">
        <f t="shared" si="94"/>
        <v>0</v>
      </c>
      <c r="P181" s="1509">
        <f t="shared" si="94"/>
        <v>0</v>
      </c>
      <c r="Q181" s="1508">
        <f t="shared" si="86"/>
        <v>0</v>
      </c>
      <c r="S181" s="1507">
        <f t="shared" si="87"/>
        <v>0</v>
      </c>
      <c r="T181" s="1508">
        <f t="shared" si="88"/>
        <v>0</v>
      </c>
    </row>
    <row r="182" spans="1:20" ht="15.75" thickBot="1" x14ac:dyDescent="0.3">
      <c r="R182" s="672" t="str">
        <f>$R$22</f>
        <v>Total Project Costs</v>
      </c>
      <c r="S182" s="3480">
        <f>SUM(S181:T181)</f>
        <v>0</v>
      </c>
      <c r="T182" s="3481"/>
    </row>
    <row r="183" spans="1:20" ht="15.75" thickBot="1" x14ac:dyDescent="0.3">
      <c r="R183" s="672" t="str">
        <f>$R$23</f>
        <v>Cost share as % of Total Project Costs</v>
      </c>
      <c r="S183" s="3514">
        <f>IFERROR(T181/S182,0%)</f>
        <v>0</v>
      </c>
      <c r="T183" s="3515"/>
    </row>
    <row r="184" spans="1:20" ht="24" thickBot="1" x14ac:dyDescent="0.4">
      <c r="A184" s="327">
        <v>10</v>
      </c>
      <c r="B184" s="681" t="s">
        <v>305</v>
      </c>
      <c r="C184" s="681"/>
      <c r="D184" s="681"/>
      <c r="E184" s="681"/>
      <c r="F184" s="681"/>
      <c r="G184" s="681"/>
      <c r="H184" s="681"/>
      <c r="J184" s="681" t="s">
        <v>222</v>
      </c>
      <c r="K184" s="681"/>
      <c r="L184" s="681"/>
      <c r="M184" s="681"/>
      <c r="N184" s="681"/>
      <c r="O184" s="681"/>
      <c r="P184" s="681"/>
      <c r="Q184" s="681"/>
    </row>
    <row r="185" spans="1:20" ht="15.75" thickBot="1" x14ac:dyDescent="0.3">
      <c r="A185" s="634">
        <f ca="1">'Calc - SENIOR PERS'!B132</f>
        <v>0</v>
      </c>
      <c r="B185" s="634">
        <f ca="1">'Calc - SENIOR PERS'!B133</f>
        <v>0</v>
      </c>
      <c r="C185" s="701"/>
      <c r="D185" s="701"/>
      <c r="E185" s="701"/>
      <c r="F185" s="701"/>
      <c r="G185" s="701"/>
      <c r="H185" s="701"/>
      <c r="J185" s="706">
        <f ca="1">A185</f>
        <v>0</v>
      </c>
      <c r="K185" s="635">
        <f ca="1">B185</f>
        <v>0</v>
      </c>
      <c r="L185" s="702"/>
      <c r="M185" s="702"/>
      <c r="N185" s="702"/>
      <c r="O185" s="702"/>
      <c r="P185" s="702"/>
      <c r="Q185" s="742"/>
      <c r="S185" s="3516" t="s">
        <v>170</v>
      </c>
      <c r="T185" s="3517"/>
    </row>
    <row r="186" spans="1:20" ht="15.75" thickBot="1" x14ac:dyDescent="0.3">
      <c r="A186" s="1580"/>
      <c r="B186" s="517" t="s">
        <v>106</v>
      </c>
      <c r="C186" s="517" t="s">
        <v>0</v>
      </c>
      <c r="D186" s="517" t="s">
        <v>1</v>
      </c>
      <c r="E186" s="517" t="s">
        <v>2</v>
      </c>
      <c r="F186" s="517" t="s">
        <v>16</v>
      </c>
      <c r="G186" s="517" t="s">
        <v>105</v>
      </c>
      <c r="H186" s="518" t="s">
        <v>170</v>
      </c>
      <c r="J186" s="711"/>
      <c r="K186" s="519" t="s">
        <v>106</v>
      </c>
      <c r="L186" s="633" t="s">
        <v>0</v>
      </c>
      <c r="M186" s="633" t="s">
        <v>1</v>
      </c>
      <c r="N186" s="633" t="s">
        <v>2</v>
      </c>
      <c r="O186" s="633" t="s">
        <v>16</v>
      </c>
      <c r="P186" s="633" t="s">
        <v>105</v>
      </c>
      <c r="Q186" s="519" t="s">
        <v>170</v>
      </c>
      <c r="S186" s="633" t="s">
        <v>62</v>
      </c>
      <c r="T186" s="519" t="s">
        <v>311</v>
      </c>
    </row>
    <row r="187" spans="1:20" x14ac:dyDescent="0.25">
      <c r="A187" s="1581" t="s">
        <v>110</v>
      </c>
      <c r="B187" s="1481"/>
      <c r="C187" s="1481"/>
      <c r="D187" s="1481"/>
      <c r="E187" s="1481"/>
      <c r="F187" s="1481"/>
      <c r="G187" s="1481"/>
      <c r="H187" s="1482">
        <f t="shared" ref="H187:H201" si="95">SUM(B187:G187)</f>
        <v>0</v>
      </c>
      <c r="J187" s="712" t="s">
        <v>110</v>
      </c>
      <c r="K187" s="1483"/>
      <c r="L187" s="1484"/>
      <c r="M187" s="1484"/>
      <c r="N187" s="1484"/>
      <c r="O187" s="1484"/>
      <c r="P187" s="1484"/>
      <c r="Q187" s="1482">
        <f t="shared" ref="Q187:Q201" si="96">SUM(K187:P187)</f>
        <v>0</v>
      </c>
      <c r="S187" s="1485">
        <f t="shared" ref="S187:S201" si="97">H187</f>
        <v>0</v>
      </c>
      <c r="T187" s="1486">
        <f t="shared" ref="T187:T201" si="98">Q187</f>
        <v>0</v>
      </c>
    </row>
    <row r="188" spans="1:20" x14ac:dyDescent="0.25">
      <c r="A188" s="1582" t="s">
        <v>133</v>
      </c>
      <c r="B188" s="1487"/>
      <c r="C188" s="1487"/>
      <c r="D188" s="1487"/>
      <c r="E188" s="1487"/>
      <c r="F188" s="1487"/>
      <c r="G188" s="1487"/>
      <c r="H188" s="1488">
        <f t="shared" si="95"/>
        <v>0</v>
      </c>
      <c r="J188" s="712" t="s">
        <v>133</v>
      </c>
      <c r="K188" s="1489"/>
      <c r="L188" s="1490"/>
      <c r="M188" s="1490"/>
      <c r="N188" s="1490"/>
      <c r="O188" s="1490"/>
      <c r="P188" s="1490"/>
      <c r="Q188" s="1488">
        <f t="shared" si="96"/>
        <v>0</v>
      </c>
      <c r="S188" s="1491">
        <f t="shared" si="97"/>
        <v>0</v>
      </c>
      <c r="T188" s="1488">
        <f t="shared" si="98"/>
        <v>0</v>
      </c>
    </row>
    <row r="189" spans="1:20" x14ac:dyDescent="0.25">
      <c r="A189" s="1582" t="s">
        <v>136</v>
      </c>
      <c r="B189" s="1487"/>
      <c r="C189" s="1487"/>
      <c r="D189" s="1487"/>
      <c r="E189" s="1487"/>
      <c r="F189" s="1487"/>
      <c r="G189" s="1487"/>
      <c r="H189" s="1488">
        <f t="shared" si="95"/>
        <v>0</v>
      </c>
      <c r="J189" s="712" t="s">
        <v>136</v>
      </c>
      <c r="K189" s="1489"/>
      <c r="L189" s="1490"/>
      <c r="M189" s="1490"/>
      <c r="N189" s="1490"/>
      <c r="O189" s="1490"/>
      <c r="P189" s="1490"/>
      <c r="Q189" s="1488">
        <f t="shared" si="96"/>
        <v>0</v>
      </c>
      <c r="S189" s="1491">
        <f t="shared" si="97"/>
        <v>0</v>
      </c>
      <c r="T189" s="1488">
        <f t="shared" si="98"/>
        <v>0</v>
      </c>
    </row>
    <row r="190" spans="1:20" x14ac:dyDescent="0.25">
      <c r="A190" s="1582" t="s">
        <v>146</v>
      </c>
      <c r="B190" s="1487"/>
      <c r="C190" s="1487"/>
      <c r="D190" s="1487"/>
      <c r="E190" s="1487"/>
      <c r="F190" s="1487"/>
      <c r="G190" s="1487"/>
      <c r="H190" s="1488">
        <f t="shared" si="95"/>
        <v>0</v>
      </c>
      <c r="J190" s="712" t="s">
        <v>146</v>
      </c>
      <c r="K190" s="1489"/>
      <c r="L190" s="1490"/>
      <c r="M190" s="1490"/>
      <c r="N190" s="1490"/>
      <c r="O190" s="1490"/>
      <c r="P190" s="1490"/>
      <c r="Q190" s="1488">
        <f t="shared" si="96"/>
        <v>0</v>
      </c>
      <c r="S190" s="1491">
        <f t="shared" si="97"/>
        <v>0</v>
      </c>
      <c r="T190" s="1488">
        <f t="shared" si="98"/>
        <v>0</v>
      </c>
    </row>
    <row r="191" spans="1:20" x14ac:dyDescent="0.25">
      <c r="A191" s="1582" t="s">
        <v>12</v>
      </c>
      <c r="B191" s="1487"/>
      <c r="C191" s="1487"/>
      <c r="D191" s="1487"/>
      <c r="E191" s="1487"/>
      <c r="F191" s="1487"/>
      <c r="G191" s="1487"/>
      <c r="H191" s="1488">
        <f t="shared" si="95"/>
        <v>0</v>
      </c>
      <c r="J191" s="712" t="s">
        <v>12</v>
      </c>
      <c r="K191" s="1489"/>
      <c r="L191" s="1490"/>
      <c r="M191" s="1490"/>
      <c r="N191" s="1490"/>
      <c r="O191" s="1490"/>
      <c r="P191" s="1490"/>
      <c r="Q191" s="1488">
        <f t="shared" si="96"/>
        <v>0</v>
      </c>
      <c r="S191" s="1491">
        <f t="shared" si="97"/>
        <v>0</v>
      </c>
      <c r="T191" s="1488">
        <f t="shared" si="98"/>
        <v>0</v>
      </c>
    </row>
    <row r="192" spans="1:20" x14ac:dyDescent="0.25">
      <c r="A192" s="1582" t="s">
        <v>159</v>
      </c>
      <c r="B192" s="1487"/>
      <c r="C192" s="1487"/>
      <c r="D192" s="1487"/>
      <c r="E192" s="1487"/>
      <c r="F192" s="1487"/>
      <c r="G192" s="1487"/>
      <c r="H192" s="1488">
        <f t="shared" si="95"/>
        <v>0</v>
      </c>
      <c r="J192" s="712" t="s">
        <v>159</v>
      </c>
      <c r="K192" s="1489"/>
      <c r="L192" s="1490"/>
      <c r="M192" s="1490"/>
      <c r="N192" s="1490"/>
      <c r="O192" s="1490"/>
      <c r="P192" s="1490"/>
      <c r="Q192" s="1488">
        <f t="shared" si="96"/>
        <v>0</v>
      </c>
      <c r="S192" s="1491">
        <f t="shared" si="97"/>
        <v>0</v>
      </c>
      <c r="T192" s="1488">
        <f t="shared" si="98"/>
        <v>0</v>
      </c>
    </row>
    <row r="193" spans="1:20" x14ac:dyDescent="0.25">
      <c r="A193" s="1582" t="s">
        <v>1037</v>
      </c>
      <c r="B193" s="1487"/>
      <c r="C193" s="1487"/>
      <c r="D193" s="1487"/>
      <c r="E193" s="1487"/>
      <c r="F193" s="1487"/>
      <c r="G193" s="1487"/>
      <c r="H193" s="1488">
        <f t="shared" si="95"/>
        <v>0</v>
      </c>
      <c r="J193" s="712" t="s">
        <v>1037</v>
      </c>
      <c r="K193" s="1489"/>
      <c r="L193" s="1490"/>
      <c r="M193" s="1490"/>
      <c r="N193" s="1490"/>
      <c r="O193" s="1490"/>
      <c r="P193" s="1490"/>
      <c r="Q193" s="1488">
        <f t="shared" si="96"/>
        <v>0</v>
      </c>
      <c r="S193" s="1491">
        <f t="shared" si="97"/>
        <v>0</v>
      </c>
      <c r="T193" s="1488">
        <f t="shared" si="98"/>
        <v>0</v>
      </c>
    </row>
    <row r="194" spans="1:20" x14ac:dyDescent="0.25">
      <c r="A194" s="1582" t="s">
        <v>1038</v>
      </c>
      <c r="B194" s="1487"/>
      <c r="C194" s="1487"/>
      <c r="D194" s="1487"/>
      <c r="E194" s="1487"/>
      <c r="F194" s="1487"/>
      <c r="G194" s="1487"/>
      <c r="H194" s="1488">
        <f t="shared" si="95"/>
        <v>0</v>
      </c>
      <c r="J194" s="712" t="s">
        <v>1038</v>
      </c>
      <c r="K194" s="1489"/>
      <c r="L194" s="1490"/>
      <c r="M194" s="1490"/>
      <c r="N194" s="1490"/>
      <c r="O194" s="1490"/>
      <c r="P194" s="1490"/>
      <c r="Q194" s="1488">
        <f t="shared" si="96"/>
        <v>0</v>
      </c>
      <c r="S194" s="1491">
        <f t="shared" si="97"/>
        <v>0</v>
      </c>
      <c r="T194" s="1488">
        <f t="shared" si="98"/>
        <v>0</v>
      </c>
    </row>
    <row r="195" spans="1:20" x14ac:dyDescent="0.25">
      <c r="A195" s="1582" t="s">
        <v>39</v>
      </c>
      <c r="B195" s="1487"/>
      <c r="C195" s="1487"/>
      <c r="D195" s="1487"/>
      <c r="E195" s="1487"/>
      <c r="F195" s="1487"/>
      <c r="G195" s="1487"/>
      <c r="H195" s="1488">
        <f t="shared" si="95"/>
        <v>0</v>
      </c>
      <c r="J195" s="712" t="s">
        <v>39</v>
      </c>
      <c r="K195" s="1489"/>
      <c r="L195" s="1490"/>
      <c r="M195" s="1490"/>
      <c r="N195" s="1490"/>
      <c r="O195" s="1490"/>
      <c r="P195" s="1490"/>
      <c r="Q195" s="1488">
        <f t="shared" si="96"/>
        <v>0</v>
      </c>
      <c r="S195" s="1491">
        <f t="shared" si="97"/>
        <v>0</v>
      </c>
      <c r="T195" s="1488">
        <f t="shared" si="98"/>
        <v>0</v>
      </c>
    </row>
    <row r="196" spans="1:20" ht="15.75" thickBot="1" x14ac:dyDescent="0.3">
      <c r="A196" s="1583" t="s">
        <v>225</v>
      </c>
      <c r="B196" s="1494"/>
      <c r="C196" s="1494"/>
      <c r="D196" s="1494"/>
      <c r="E196" s="1494"/>
      <c r="F196" s="1494"/>
      <c r="G196" s="1494"/>
      <c r="H196" s="1495">
        <f t="shared" si="95"/>
        <v>0</v>
      </c>
      <c r="J196" s="743" t="s">
        <v>225</v>
      </c>
      <c r="K196" s="1496"/>
      <c r="L196" s="1497"/>
      <c r="M196" s="1497"/>
      <c r="N196" s="1497"/>
      <c r="O196" s="1497"/>
      <c r="P196" s="1497"/>
      <c r="Q196" s="1495">
        <f t="shared" si="96"/>
        <v>0</v>
      </c>
      <c r="S196" s="1498">
        <f t="shared" si="97"/>
        <v>0</v>
      </c>
      <c r="T196" s="1495">
        <f t="shared" si="98"/>
        <v>0</v>
      </c>
    </row>
    <row r="197" spans="1:20" x14ac:dyDescent="0.25">
      <c r="A197" s="1584" t="s">
        <v>226</v>
      </c>
      <c r="B197" s="1499">
        <f t="shared" ref="B197:G197" si="99">SUM(B187:B196)</f>
        <v>0</v>
      </c>
      <c r="C197" s="1499">
        <f t="shared" si="99"/>
        <v>0</v>
      </c>
      <c r="D197" s="1499">
        <f t="shared" si="99"/>
        <v>0</v>
      </c>
      <c r="E197" s="1499">
        <f t="shared" si="99"/>
        <v>0</v>
      </c>
      <c r="F197" s="1499">
        <f t="shared" si="99"/>
        <v>0</v>
      </c>
      <c r="G197" s="1499">
        <f t="shared" si="99"/>
        <v>0</v>
      </c>
      <c r="H197" s="1482">
        <f t="shared" si="95"/>
        <v>0</v>
      </c>
      <c r="J197" s="744" t="s">
        <v>226</v>
      </c>
      <c r="K197" s="1482">
        <f t="shared" ref="K197:P197" si="100">SUM(K187:K196)</f>
        <v>0</v>
      </c>
      <c r="L197" s="1500">
        <f t="shared" si="100"/>
        <v>0</v>
      </c>
      <c r="M197" s="1500">
        <f t="shared" si="100"/>
        <v>0</v>
      </c>
      <c r="N197" s="1500">
        <f t="shared" si="100"/>
        <v>0</v>
      </c>
      <c r="O197" s="1500">
        <f t="shared" si="100"/>
        <v>0</v>
      </c>
      <c r="P197" s="1500">
        <f t="shared" si="100"/>
        <v>0</v>
      </c>
      <c r="Q197" s="1482">
        <f t="shared" si="96"/>
        <v>0</v>
      </c>
      <c r="S197" s="1499">
        <f t="shared" si="97"/>
        <v>0</v>
      </c>
      <c r="T197" s="1482">
        <f t="shared" si="98"/>
        <v>0</v>
      </c>
    </row>
    <row r="198" spans="1:20" x14ac:dyDescent="0.25">
      <c r="A198" s="1585" t="s">
        <v>131</v>
      </c>
      <c r="B198" s="1501">
        <f t="shared" ref="B198:G198" si="101">SUM(B190,B192,B194,B196)*-1</f>
        <v>0</v>
      </c>
      <c r="C198" s="1501">
        <f t="shared" si="101"/>
        <v>0</v>
      </c>
      <c r="D198" s="1501">
        <f t="shared" si="101"/>
        <v>0</v>
      </c>
      <c r="E198" s="1501">
        <f t="shared" si="101"/>
        <v>0</v>
      </c>
      <c r="F198" s="1501">
        <f t="shared" si="101"/>
        <v>0</v>
      </c>
      <c r="G198" s="1501">
        <f t="shared" si="101"/>
        <v>0</v>
      </c>
      <c r="H198" s="1502">
        <f t="shared" si="95"/>
        <v>0</v>
      </c>
      <c r="J198" s="745" t="s">
        <v>131</v>
      </c>
      <c r="K198" s="1502">
        <f t="shared" ref="K198:P198" si="102">SUM(K190,K192,K194,K196)*-1</f>
        <v>0</v>
      </c>
      <c r="L198" s="1503">
        <f t="shared" si="102"/>
        <v>0</v>
      </c>
      <c r="M198" s="1503">
        <f t="shared" si="102"/>
        <v>0</v>
      </c>
      <c r="N198" s="1503">
        <f t="shared" si="102"/>
        <v>0</v>
      </c>
      <c r="O198" s="1503">
        <f t="shared" si="102"/>
        <v>0</v>
      </c>
      <c r="P198" s="1503">
        <f t="shared" si="102"/>
        <v>0</v>
      </c>
      <c r="Q198" s="1502">
        <f t="shared" si="96"/>
        <v>0</v>
      </c>
      <c r="S198" s="1501">
        <f t="shared" si="97"/>
        <v>0</v>
      </c>
      <c r="T198" s="1502">
        <f t="shared" si="98"/>
        <v>0</v>
      </c>
    </row>
    <row r="199" spans="1:20" x14ac:dyDescent="0.25">
      <c r="A199" s="1586" t="s">
        <v>358</v>
      </c>
      <c r="B199" s="1504">
        <f>IF(Budget!$C$292='Reference Sheet'!$A$26,SUM(B197:B198),(B197-B194))</f>
        <v>0</v>
      </c>
      <c r="C199" s="1504">
        <f>IF(Budget!$C$292='Reference Sheet'!$A$26,SUM(C197:C198),(C197-C194))</f>
        <v>0</v>
      </c>
      <c r="D199" s="1504">
        <f>IF(Budget!$C$292='Reference Sheet'!$A$26,SUM(D197:D198),(D197-D194))</f>
        <v>0</v>
      </c>
      <c r="E199" s="1504">
        <f>IF(Budget!$C$292='Reference Sheet'!$A$26,SUM(E197:E198),(E197-E194))</f>
        <v>0</v>
      </c>
      <c r="F199" s="1504">
        <f>IF(Budget!$C$292='Reference Sheet'!$A$26,SUM(F197:F198),(F197-F194))</f>
        <v>0</v>
      </c>
      <c r="G199" s="1504">
        <f>IF(Budget!$C$292='Reference Sheet'!$A$26,SUM(G197:G198),(G197-G194))</f>
        <v>0</v>
      </c>
      <c r="H199" s="1505">
        <f t="shared" si="95"/>
        <v>0</v>
      </c>
      <c r="J199" s="746" t="s">
        <v>358</v>
      </c>
      <c r="K199" s="1504">
        <f>IF(Budget!$C$292='Reference Sheet'!$A$26,SUM(K197:K198),(K197-K194))</f>
        <v>0</v>
      </c>
      <c r="L199" s="1504">
        <f>IF(Budget!$C$292='Reference Sheet'!$A$26,SUM(L197:L198),(L197-L194))</f>
        <v>0</v>
      </c>
      <c r="M199" s="1504">
        <f>IF(Budget!$C$292='Reference Sheet'!$A$26,SUM(M197:M198),(M197-M194))</f>
        <v>0</v>
      </c>
      <c r="N199" s="1504">
        <f>IF(Budget!$C$292='Reference Sheet'!$A$26,SUM(N197:N198),(N197-N194))</f>
        <v>0</v>
      </c>
      <c r="O199" s="1504">
        <f>IF(Budget!$C$292='Reference Sheet'!$A$26,SUM(O197:O198),(O197-O194))</f>
        <v>0</v>
      </c>
      <c r="P199" s="1504">
        <f>IF(Budget!$C$292='Reference Sheet'!$A$26,SUM(P197:P198),(P197-P194))</f>
        <v>0</v>
      </c>
      <c r="Q199" s="1505">
        <f t="shared" si="96"/>
        <v>0</v>
      </c>
      <c r="S199" s="1504">
        <f t="shared" si="97"/>
        <v>0</v>
      </c>
      <c r="T199" s="1505">
        <f t="shared" si="98"/>
        <v>0</v>
      </c>
    </row>
    <row r="200" spans="1:20" ht="15.75" thickBot="1" x14ac:dyDescent="0.3">
      <c r="A200" s="1587" t="s">
        <v>359</v>
      </c>
      <c r="B200" s="1506">
        <f>Budget!$C$294*B199</f>
        <v>0</v>
      </c>
      <c r="C200" s="1506">
        <f>Budget!$C$294*C199</f>
        <v>0</v>
      </c>
      <c r="D200" s="1506">
        <f>Budget!$C$294*D199</f>
        <v>0</v>
      </c>
      <c r="E200" s="1506">
        <f>Budget!$C$294*E199</f>
        <v>0</v>
      </c>
      <c r="F200" s="1506">
        <f>Budget!$C$294*F199</f>
        <v>0</v>
      </c>
      <c r="G200" s="1506">
        <f>Budget!$C$294*G199</f>
        <v>0</v>
      </c>
      <c r="H200" s="1506">
        <f t="shared" si="95"/>
        <v>0</v>
      </c>
      <c r="J200" s="747" t="s">
        <v>359</v>
      </c>
      <c r="K200" s="1506">
        <f>Budget!C$294*K199</f>
        <v>0</v>
      </c>
      <c r="L200" s="1506">
        <f>Budget!D$294*L199</f>
        <v>0</v>
      </c>
      <c r="M200" s="1506">
        <f>Budget!E$294*M199</f>
        <v>0</v>
      </c>
      <c r="N200" s="1506">
        <f>Budget!F$294*N199</f>
        <v>0</v>
      </c>
      <c r="O200" s="1506">
        <f>Budget!G$294*O199</f>
        <v>0</v>
      </c>
      <c r="P200" s="1506">
        <f>Budget!H$294*P199</f>
        <v>0</v>
      </c>
      <c r="Q200" s="1506">
        <f t="shared" si="96"/>
        <v>0</v>
      </c>
      <c r="S200" s="1506">
        <f t="shared" si="97"/>
        <v>0</v>
      </c>
      <c r="T200" s="1506">
        <f t="shared" si="98"/>
        <v>0</v>
      </c>
    </row>
    <row r="201" spans="1:20" ht="15.75" thickBot="1" x14ac:dyDescent="0.3">
      <c r="A201" s="1588" t="s">
        <v>170</v>
      </c>
      <c r="B201" s="1507">
        <f t="shared" ref="B201:G201" si="103">SUM(B197,B200)</f>
        <v>0</v>
      </c>
      <c r="C201" s="1507">
        <f t="shared" si="103"/>
        <v>0</v>
      </c>
      <c r="D201" s="1507">
        <f t="shared" si="103"/>
        <v>0</v>
      </c>
      <c r="E201" s="1507">
        <f t="shared" si="103"/>
        <v>0</v>
      </c>
      <c r="F201" s="1507">
        <f t="shared" si="103"/>
        <v>0</v>
      </c>
      <c r="G201" s="1507">
        <f t="shared" si="103"/>
        <v>0</v>
      </c>
      <c r="H201" s="1508">
        <f t="shared" si="95"/>
        <v>0</v>
      </c>
      <c r="J201" s="748" t="s">
        <v>170</v>
      </c>
      <c r="K201" s="1508">
        <f t="shared" ref="K201:P201" si="104">SUM(K197,K200)</f>
        <v>0</v>
      </c>
      <c r="L201" s="1509">
        <f t="shared" si="104"/>
        <v>0</v>
      </c>
      <c r="M201" s="1509">
        <f t="shared" si="104"/>
        <v>0</v>
      </c>
      <c r="N201" s="1509">
        <f t="shared" si="104"/>
        <v>0</v>
      </c>
      <c r="O201" s="1509">
        <f t="shared" si="104"/>
        <v>0</v>
      </c>
      <c r="P201" s="1509">
        <f t="shared" si="104"/>
        <v>0</v>
      </c>
      <c r="Q201" s="1508">
        <f t="shared" si="96"/>
        <v>0</v>
      </c>
      <c r="S201" s="1507">
        <f t="shared" si="97"/>
        <v>0</v>
      </c>
      <c r="T201" s="1508">
        <f t="shared" si="98"/>
        <v>0</v>
      </c>
    </row>
    <row r="202" spans="1:20" ht="15.75" thickBot="1" x14ac:dyDescent="0.3">
      <c r="R202" s="672" t="str">
        <f>$R$22</f>
        <v>Total Project Costs</v>
      </c>
      <c r="S202" s="3480">
        <f>SUM(S201:T201)</f>
        <v>0</v>
      </c>
      <c r="T202" s="3481"/>
    </row>
    <row r="203" spans="1:20" ht="15.75" thickBot="1" x14ac:dyDescent="0.3">
      <c r="R203" s="672" t="str">
        <f>$R$23</f>
        <v>Cost share as % of Total Project Costs</v>
      </c>
      <c r="S203" s="3512">
        <f>IFERROR(T201/S202,0%)</f>
        <v>0</v>
      </c>
      <c r="T203" s="3513"/>
    </row>
  </sheetData>
  <mergeCells count="33">
    <mergeCell ref="S202:T202"/>
    <mergeCell ref="S203:T203"/>
    <mergeCell ref="S182:T182"/>
    <mergeCell ref="S183:T183"/>
    <mergeCell ref="S185:T185"/>
    <mergeCell ref="S162:T162"/>
    <mergeCell ref="S163:T163"/>
    <mergeCell ref="S165:T165"/>
    <mergeCell ref="S142:T142"/>
    <mergeCell ref="S143:T143"/>
    <mergeCell ref="S145:T145"/>
    <mergeCell ref="S122:T122"/>
    <mergeCell ref="S123:T123"/>
    <mergeCell ref="S125:T125"/>
    <mergeCell ref="S102:T102"/>
    <mergeCell ref="S103:T103"/>
    <mergeCell ref="S105:T105"/>
    <mergeCell ref="S82:T82"/>
    <mergeCell ref="S83:T83"/>
    <mergeCell ref="S85:T85"/>
    <mergeCell ref="S63:T63"/>
    <mergeCell ref="S65:T65"/>
    <mergeCell ref="S45:T45"/>
    <mergeCell ref="S62:T62"/>
    <mergeCell ref="V27:Y27"/>
    <mergeCell ref="V40:Y40"/>
    <mergeCell ref="S42:T42"/>
    <mergeCell ref="S43:T43"/>
    <mergeCell ref="V13:AA13"/>
    <mergeCell ref="S22:T22"/>
    <mergeCell ref="S23:T23"/>
    <mergeCell ref="S25:T25"/>
    <mergeCell ref="S5:T5"/>
  </mergeCells>
  <pageMargins left="0.7" right="0.7" top="0.75" bottom="0.75" header="0.3" footer="0.3"/>
  <pageSetup orientation="portrait" horizontalDpi="1200" verticalDpi="120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9" tint="0.59999389629810485"/>
  </sheetPr>
  <dimension ref="A1:AC214"/>
  <sheetViews>
    <sheetView showGridLines="0" zoomScaleNormal="100" workbookViewId="0">
      <selection activeCell="H12" sqref="H12"/>
    </sheetView>
  </sheetViews>
  <sheetFormatPr defaultRowHeight="15" x14ac:dyDescent="0.25"/>
  <cols>
    <col min="1" max="1" width="9.85546875" customWidth="1"/>
    <col min="2" max="2" width="12.140625" style="226" customWidth="1"/>
    <col min="3" max="3" width="10.7109375" customWidth="1"/>
    <col min="4" max="4" width="11" customWidth="1"/>
    <col min="5" max="5" width="10.140625" customWidth="1"/>
    <col min="6" max="6" width="8.7109375" customWidth="1"/>
    <col min="7" max="7" width="8.7109375" style="51" customWidth="1"/>
    <col min="8" max="8" width="8.42578125" style="51" customWidth="1"/>
    <col min="9" max="9" width="8.85546875" style="51" customWidth="1"/>
    <col min="10" max="10" width="13.7109375" customWidth="1"/>
    <col min="11" max="11" width="10.5703125" customWidth="1"/>
    <col min="12" max="12" width="11.28515625" style="60" customWidth="1"/>
    <col min="13" max="13" width="8.7109375" style="1791" customWidth="1"/>
    <col min="14" max="14" width="12.42578125" customWidth="1"/>
    <col min="15" max="15" width="12.7109375" customWidth="1"/>
    <col min="16" max="16" width="11.85546875" customWidth="1"/>
    <col min="17" max="17" width="11.140625" customWidth="1"/>
    <col min="18" max="18" width="12.85546875" customWidth="1"/>
    <col min="19" max="19" width="9.7109375" customWidth="1"/>
    <col min="20" max="20" width="9.42578125" customWidth="1"/>
    <col min="21" max="21" width="9.85546875" customWidth="1"/>
    <col min="22" max="22" width="10.28515625" customWidth="1"/>
    <col min="23" max="23" width="8.85546875" style="1141" customWidth="1"/>
    <col min="24" max="24" width="10.140625" style="1141" customWidth="1"/>
    <col min="25" max="25" width="14" customWidth="1"/>
    <col min="26" max="26" width="9" customWidth="1"/>
    <col min="27" max="27" width="10.85546875" customWidth="1"/>
    <col min="28" max="28" width="14.85546875" customWidth="1"/>
    <col min="29" max="29" width="11.85546875" customWidth="1"/>
  </cols>
  <sheetData>
    <row r="1" spans="1:29" s="448" customFormat="1" ht="15.75" thickBot="1" x14ac:dyDescent="0.3">
      <c r="A1" s="656"/>
      <c r="B1" s="657"/>
      <c r="C1" s="658"/>
      <c r="D1" s="658"/>
      <c r="E1" s="657"/>
      <c r="F1" s="658"/>
      <c r="G1" s="659"/>
      <c r="H1" s="456"/>
      <c r="I1" s="456"/>
      <c r="J1" s="331"/>
      <c r="K1" s="331"/>
      <c r="L1" s="453" t="str">
        <f>Budget!D$12</f>
        <v>Period 1</v>
      </c>
      <c r="M1" s="2396" t="str">
        <f>Budget!E$12</f>
        <v>Period 2</v>
      </c>
      <c r="N1" s="450" t="str">
        <f>Budget!F$12</f>
        <v>Period 3</v>
      </c>
      <c r="O1" s="450" t="str">
        <f>Budget!G$12</f>
        <v>Period 4</v>
      </c>
      <c r="P1" s="450" t="str">
        <f>Budget!H$12</f>
        <v>Period 5</v>
      </c>
      <c r="Q1" s="450" t="str">
        <f>Budget!I$12</f>
        <v>Period 6</v>
      </c>
      <c r="R1" s="331" t="str">
        <f>Budget!J$12</f>
        <v>Total</v>
      </c>
      <c r="S1" s="331"/>
      <c r="T1" s="331"/>
      <c r="U1" s="331"/>
      <c r="V1" s="331"/>
      <c r="W1" s="1141"/>
      <c r="X1" s="1141"/>
    </row>
    <row r="2" spans="1:29" ht="27.4" customHeight="1" thickBot="1" x14ac:dyDescent="0.3">
      <c r="A2" s="2747" t="s">
        <v>94</v>
      </c>
      <c r="B2" s="2748"/>
      <c r="C2" s="3532">
        <f>Budget!C4</f>
        <v>46478</v>
      </c>
      <c r="D2" s="3532"/>
      <c r="E2" s="70" t="s">
        <v>95</v>
      </c>
      <c r="F2" s="3532">
        <f>Budget!C5</f>
        <v>46843</v>
      </c>
      <c r="G2" s="3533"/>
      <c r="H2" s="455"/>
      <c r="I2" s="455"/>
      <c r="J2" s="1128" t="s">
        <v>467</v>
      </c>
      <c r="K2" s="755"/>
      <c r="L2" s="449">
        <f ca="1">Budget!EL$295</f>
        <v>50000</v>
      </c>
      <c r="M2" s="449">
        <f ca="1">Budget!EM$295</f>
        <v>0</v>
      </c>
      <c r="N2" s="449">
        <f ca="1">Budget!EN$295</f>
        <v>0</v>
      </c>
      <c r="O2" s="449">
        <f ca="1">Budget!EO$295</f>
        <v>0</v>
      </c>
      <c r="P2" s="449">
        <f ca="1">Budget!EP$295</f>
        <v>0</v>
      </c>
      <c r="Q2" s="449">
        <f ca="1">Budget!EQ$295</f>
        <v>0</v>
      </c>
      <c r="R2" s="513">
        <f ca="1">SUM(L2:Q2)</f>
        <v>50000</v>
      </c>
      <c r="S2" s="331"/>
      <c r="T2" s="3536" t="s">
        <v>291</v>
      </c>
      <c r="U2" s="3536"/>
      <c r="V2" s="508" t="s">
        <v>286</v>
      </c>
      <c r="W2"/>
      <c r="X2" s="1749" t="s">
        <v>290</v>
      </c>
      <c r="Y2" s="51"/>
      <c r="Z2" s="2625" t="s">
        <v>839</v>
      </c>
      <c r="AA2" s="2624"/>
      <c r="AB2" s="51"/>
    </row>
    <row r="3" spans="1:29" ht="15.75" thickBot="1" x14ac:dyDescent="0.3">
      <c r="A3" s="660"/>
      <c r="B3" s="660"/>
      <c r="C3" s="661"/>
      <c r="D3" s="661"/>
      <c r="E3" s="660"/>
      <c r="F3" s="661"/>
      <c r="G3" s="661"/>
      <c r="H3" s="455"/>
      <c r="I3" s="455"/>
      <c r="J3" s="1129" t="s">
        <v>414</v>
      </c>
      <c r="K3" s="1130"/>
      <c r="L3" s="1131">
        <f ca="1">Budget!BR$295</f>
        <v>0</v>
      </c>
      <c r="M3" s="1131">
        <f ca="1">Budget!BS$295</f>
        <v>0</v>
      </c>
      <c r="N3" s="1131">
        <f ca="1">Budget!BT$295</f>
        <v>0</v>
      </c>
      <c r="O3" s="1131">
        <f ca="1">Budget!BU$295</f>
        <v>0</v>
      </c>
      <c r="P3" s="1131">
        <f ca="1">Budget!BV$295</f>
        <v>0</v>
      </c>
      <c r="Q3" s="1131">
        <f ca="1">Budget!BW$295</f>
        <v>0</v>
      </c>
      <c r="R3" s="1132">
        <f ca="1">SUM(L3:Q3)</f>
        <v>0</v>
      </c>
      <c r="S3" s="331"/>
      <c r="T3" s="1747" t="s">
        <v>288</v>
      </c>
      <c r="U3" s="506">
        <f>'Reference Sheet'!$D$20</f>
        <v>46204</v>
      </c>
      <c r="V3" s="507" t="s">
        <v>287</v>
      </c>
      <c r="W3" s="3551" t="s">
        <v>285</v>
      </c>
      <c r="X3" s="1750" t="s">
        <v>475</v>
      </c>
      <c r="Y3" s="3546"/>
      <c r="Z3" s="1714" t="s">
        <v>604</v>
      </c>
      <c r="AA3" s="1891">
        <f>'Reference Sheet'!E25</f>
        <v>0.02</v>
      </c>
      <c r="AB3" s="261"/>
    </row>
    <row r="4" spans="1:29" ht="19.5" thickBot="1" x14ac:dyDescent="0.35">
      <c r="A4" s="451" t="s">
        <v>245</v>
      </c>
      <c r="B4" s="452"/>
      <c r="C4" s="452"/>
      <c r="D4" s="452"/>
      <c r="E4" s="667"/>
      <c r="F4" s="665"/>
      <c r="G4" s="666"/>
      <c r="H4" s="666"/>
      <c r="I4" s="666"/>
      <c r="J4" s="1133" t="s">
        <v>302</v>
      </c>
      <c r="K4" s="1134"/>
      <c r="L4" s="654">
        <f>Budget!$D$11</f>
        <v>12</v>
      </c>
      <c r="M4" s="654">
        <f>Budget!$E$11</f>
        <v>0</v>
      </c>
      <c r="N4" s="654">
        <f>Budget!$F$11</f>
        <v>0</v>
      </c>
      <c r="O4" s="654">
        <f>Budget!$G$11</f>
        <v>0</v>
      </c>
      <c r="P4" s="654">
        <f>Budget!$H$11</f>
        <v>0</v>
      </c>
      <c r="Q4" s="654">
        <f>Budget!$I$11</f>
        <v>0</v>
      </c>
      <c r="R4" s="655">
        <f>SUM(L4:Q4)</f>
        <v>12</v>
      </c>
      <c r="S4" s="665"/>
      <c r="T4" s="1747" t="s">
        <v>289</v>
      </c>
      <c r="U4" s="506">
        <f>'Reference Sheet'!$D$21</f>
        <v>46568</v>
      </c>
      <c r="V4" s="506">
        <f>'DATA INPUT'!$C$4</f>
        <v>46478</v>
      </c>
      <c r="W4" s="3551"/>
      <c r="X4" s="1751">
        <f>DATE(YEAR($U$4)+1, MONTH($U$4),DAY($U$4))</f>
        <v>46934</v>
      </c>
      <c r="Y4" s="3546"/>
      <c r="Z4" s="748" t="s">
        <v>17</v>
      </c>
      <c r="AA4" s="1891">
        <v>0.02</v>
      </c>
      <c r="AB4" s="261"/>
    </row>
    <row r="5" spans="1:29" ht="24" thickBot="1" x14ac:dyDescent="0.4">
      <c r="A5" s="2749">
        <v>1</v>
      </c>
      <c r="B5" s="2749"/>
      <c r="D5" s="58"/>
      <c r="J5" s="58"/>
      <c r="K5" s="1782" t="str">
        <f>Budget!BY296</f>
        <v/>
      </c>
      <c r="L5" s="1561" t="str">
        <f>Budget!BR296</f>
        <v/>
      </c>
      <c r="M5" s="1561" t="str">
        <f>Budget!BS296</f>
        <v/>
      </c>
      <c r="N5" s="1561" t="str">
        <f>Budget!BT296</f>
        <v/>
      </c>
      <c r="O5" s="1561" t="str">
        <f>Budget!BU296</f>
        <v/>
      </c>
      <c r="P5" s="1561" t="str">
        <f>Budget!BV296</f>
        <v/>
      </c>
      <c r="Q5" s="1561" t="str">
        <f>Budget!BW296</f>
        <v/>
      </c>
      <c r="R5" s="1562" t="str">
        <f>Budget!BX296</f>
        <v/>
      </c>
      <c r="S5" s="1561"/>
    </row>
    <row r="6" spans="1:29" ht="15.75" thickBot="1" x14ac:dyDescent="0.3">
      <c r="A6" s="1738" t="s">
        <v>79</v>
      </c>
      <c r="B6" s="2741" t="str">
        <f ca="1">OFFSET('DATA INPUT'!$B$11,($A5-1),0)</f>
        <v>Virag Mishra</v>
      </c>
      <c r="C6" s="2746"/>
      <c r="E6" s="2049" t="s">
        <v>81</v>
      </c>
      <c r="F6" s="2743">
        <f ca="1">OFFSET('DATA INPUT'!$G$11,($A5-1),0)</f>
        <v>12</v>
      </c>
      <c r="G6" s="2744"/>
      <c r="H6"/>
      <c r="I6"/>
      <c r="J6" s="1717" t="s">
        <v>257</v>
      </c>
      <c r="K6" s="1739"/>
      <c r="L6" s="1740">
        <f>'DATA INPUT'!E11</f>
        <v>87558.24</v>
      </c>
      <c r="N6" s="1596" t="s">
        <v>525</v>
      </c>
      <c r="O6" s="1755" t="str">
        <f ca="1">OFFSET('DATA INPUT'!$D$11,($A5-1),0)</f>
        <v>Professional &amp; Academic Faculty</v>
      </c>
      <c r="Q6" s="1738" t="str">
        <f>'DATA INPUT'!S11</f>
        <v>Not eligible for tenure</v>
      </c>
      <c r="R6" s="1718"/>
      <c r="S6" s="1719"/>
      <c r="T6" s="1598"/>
      <c r="AC6" s="1757"/>
    </row>
    <row r="7" spans="1:29" ht="15.75" thickBot="1" x14ac:dyDescent="0.3">
      <c r="A7" s="1737" t="s">
        <v>80</v>
      </c>
      <c r="B7" s="2753" t="str">
        <f ca="1">OFFSET('DATA INPUT'!$C$11,($A5-1),0)</f>
        <v>COE</v>
      </c>
      <c r="C7" s="2754"/>
      <c r="E7" s="1737" t="s">
        <v>82</v>
      </c>
      <c r="F7" s="2745">
        <f ca="1">OFFSET('DATA INPUT'!$F$11,($A5-1),0)</f>
        <v>1</v>
      </c>
      <c r="G7" s="2742"/>
      <c r="H7"/>
      <c r="I7"/>
      <c r="J7" s="66" t="s">
        <v>529</v>
      </c>
      <c r="K7" s="1741"/>
      <c r="L7" s="334">
        <f ca="1">IFERROR(L6/F6,0)</f>
        <v>7296.52</v>
      </c>
      <c r="N7" s="1743" t="s">
        <v>530</v>
      </c>
      <c r="O7" s="1754">
        <f>'DATA INPUT'!T11</f>
        <v>0</v>
      </c>
      <c r="P7" s="514"/>
      <c r="Q7" s="1743"/>
      <c r="R7" s="2020"/>
      <c r="S7" s="2013"/>
      <c r="T7" s="2017"/>
      <c r="V7" s="64" t="s">
        <v>79</v>
      </c>
      <c r="W7" s="401" t="str">
        <f>'DATA INPUT'!$B$11</f>
        <v>Virag Mishra</v>
      </c>
      <c r="X7" s="1719"/>
      <c r="Y7" s="1719"/>
      <c r="Z7" s="1719"/>
      <c r="AA7" s="1719"/>
      <c r="AB7" s="1598"/>
      <c r="AC7" s="1757"/>
    </row>
    <row r="8" spans="1:29" s="770" customFormat="1" ht="15.75" thickBot="1" x14ac:dyDescent="0.3">
      <c r="A8" s="3520" t="s">
        <v>253</v>
      </c>
      <c r="B8" s="3520" t="s">
        <v>254</v>
      </c>
      <c r="C8" s="3529" t="s">
        <v>258</v>
      </c>
      <c r="D8" s="3530"/>
      <c r="E8" s="3531"/>
      <c r="F8" s="3529" t="s">
        <v>83</v>
      </c>
      <c r="G8" s="3531"/>
      <c r="H8" s="3529" t="s">
        <v>65</v>
      </c>
      <c r="I8" s="3544"/>
      <c r="J8" s="3544"/>
      <c r="K8" s="3544"/>
      <c r="L8" s="3544"/>
      <c r="M8" s="3545"/>
      <c r="N8" s="3529" t="s">
        <v>84</v>
      </c>
      <c r="O8" s="3531"/>
      <c r="P8" s="3529" t="s">
        <v>78</v>
      </c>
      <c r="Q8" s="3530"/>
      <c r="R8" s="3530"/>
      <c r="S8" s="3531"/>
      <c r="T8" s="3529" t="s">
        <v>87</v>
      </c>
      <c r="U8" s="3531"/>
      <c r="V8" s="3529" t="s">
        <v>623</v>
      </c>
      <c r="W8" s="3530"/>
      <c r="X8" s="3530"/>
      <c r="Y8" s="3530"/>
      <c r="Z8" s="3530"/>
      <c r="AA8" s="3530"/>
      <c r="AB8" s="3531"/>
      <c r="AC8" s="2620"/>
    </row>
    <row r="9" spans="1:29" ht="15.75" customHeight="1" x14ac:dyDescent="0.25">
      <c r="A9" s="3521"/>
      <c r="B9" s="3521"/>
      <c r="C9" s="3527" t="s">
        <v>252</v>
      </c>
      <c r="D9" s="2187" t="str">
        <f ca="1">IF($F$6=12,"CY","AY")</f>
        <v>CY</v>
      </c>
      <c r="E9" s="3444" t="s">
        <v>231</v>
      </c>
      <c r="F9" s="3525" t="s">
        <v>232</v>
      </c>
      <c r="G9" s="2185" t="str">
        <f ca="1">IF($F$6=12,"CY","AY")</f>
        <v>CY</v>
      </c>
      <c r="H9" s="3523" t="s">
        <v>86</v>
      </c>
      <c r="I9" s="3518" t="s">
        <v>922</v>
      </c>
      <c r="J9" s="2918" t="str">
        <f ca="1">IF(F6=12,"CY","AY")</f>
        <v>CY</v>
      </c>
      <c r="K9" s="3542" t="s">
        <v>485</v>
      </c>
      <c r="L9" s="3542" t="s">
        <v>255</v>
      </c>
      <c r="M9" s="3547" t="s">
        <v>66</v>
      </c>
      <c r="N9" s="3549" t="s">
        <v>64</v>
      </c>
      <c r="O9" s="3537" t="str">
        <f ca="1">IF($F$6=12,"CY","AY")</f>
        <v>CY</v>
      </c>
      <c r="P9" s="2014" t="s">
        <v>617</v>
      </c>
      <c r="Q9" s="2015">
        <f ca="1">IFERROR(VLOOKUP(O6,TableFringePool[],2,0),0)</f>
        <v>0.50700000000000001</v>
      </c>
      <c r="R9" s="2018" t="str">
        <f ca="1">IF($F$6=12,"CY Base % ","AY Base %")</f>
        <v xml:space="preserve">CY Base % </v>
      </c>
      <c r="S9" s="2016">
        <f ca="1">Q9</f>
        <v>0.50700000000000001</v>
      </c>
      <c r="T9" s="3539" t="s">
        <v>64</v>
      </c>
      <c r="U9" s="3537" t="str">
        <f ca="1">IF($F$6=12,"CY","AY")</f>
        <v>CY</v>
      </c>
      <c r="V9" s="3477" t="s">
        <v>618</v>
      </c>
      <c r="W9" s="3554" t="s">
        <v>619</v>
      </c>
      <c r="X9" s="3552" t="s">
        <v>620</v>
      </c>
      <c r="Y9" s="3560" t="s">
        <v>624</v>
      </c>
      <c r="Z9" s="2052" t="s">
        <v>621</v>
      </c>
      <c r="AA9" s="2053"/>
      <c r="AB9" s="3558" t="s">
        <v>625</v>
      </c>
      <c r="AC9" s="514"/>
    </row>
    <row r="10" spans="1:29" ht="15" customHeight="1" thickBot="1" x14ac:dyDescent="0.3">
      <c r="A10" s="3522"/>
      <c r="B10" s="3522"/>
      <c r="C10" s="3528"/>
      <c r="D10" s="2188" t="s">
        <v>636</v>
      </c>
      <c r="E10" s="3446"/>
      <c r="F10" s="3526"/>
      <c r="G10" s="2186" t="s">
        <v>637</v>
      </c>
      <c r="H10" s="3524"/>
      <c r="I10" s="3519"/>
      <c r="J10" s="2919" t="s">
        <v>1015</v>
      </c>
      <c r="K10" s="3543"/>
      <c r="L10" s="3543"/>
      <c r="M10" s="3548"/>
      <c r="N10" s="3550"/>
      <c r="O10" s="3538"/>
      <c r="P10" s="2010" t="s">
        <v>67</v>
      </c>
      <c r="Q10" s="1781" t="s">
        <v>68</v>
      </c>
      <c r="R10" s="2011" t="s">
        <v>67</v>
      </c>
      <c r="S10" s="2012" t="s">
        <v>68</v>
      </c>
      <c r="T10" s="3540"/>
      <c r="U10" s="3538"/>
      <c r="V10" s="3541"/>
      <c r="W10" s="3555"/>
      <c r="X10" s="3553"/>
      <c r="Y10" s="3561"/>
      <c r="Z10" s="2124" t="s">
        <v>622</v>
      </c>
      <c r="AA10" s="540" t="s">
        <v>68</v>
      </c>
      <c r="AB10" s="3559"/>
      <c r="AC10" s="514"/>
    </row>
    <row r="11" spans="1:29" ht="15" customHeight="1" x14ac:dyDescent="0.25">
      <c r="A11" s="622">
        <v>1</v>
      </c>
      <c r="B11" s="782">
        <f>'DATA INPUT'!$I$8</f>
        <v>12</v>
      </c>
      <c r="C11" s="2021">
        <f ca="1">MAX(IF($F$6=12,0),
IF($F$6&lt;12,IF('DATA INPUT'!$H$11=1,'DATA INPUT'!$I$11)))</f>
        <v>0</v>
      </c>
      <c r="D11" s="2022">
        <f>MAX(IF(OR('DATA INPUT'!$H$11=2),'DATA INPUT'!$I$11,0),
IF(OR('DATA INPUT'!$V$11=2),'DATA INPUT'!$W$11,0),
IF(OR('DATA INPUT'!$AD$11=2,),'DATA INPUT'!$AE$11,0))</f>
        <v>2.2999999999999998</v>
      </c>
      <c r="E11" s="491">
        <f t="shared" ref="E11:E16" ca="1" si="0">IFERROR(SUM(C11+D11)/B11,0)*$F$7</f>
        <v>0.19166666666666665</v>
      </c>
      <c r="F11" s="2023">
        <f t="shared" ref="F11:G16" ca="1" si="1">C11*(2080/12)*$F$7</f>
        <v>0</v>
      </c>
      <c r="G11" s="2024">
        <f t="shared" ca="1" si="1"/>
        <v>398.66666666666669</v>
      </c>
      <c r="H11" s="2019">
        <v>0</v>
      </c>
      <c r="I11" s="2914">
        <f ca="1">IF(F6&lt;12,K11*(12-F6),0)</f>
        <v>0</v>
      </c>
      <c r="J11" s="2916">
        <f>(L6*H11)+L6</f>
        <v>87558.24</v>
      </c>
      <c r="K11" s="501">
        <f t="shared" ref="K11:K16" ca="1" si="2">IFERROR(J11/$F$6,0)</f>
        <v>7296.52</v>
      </c>
      <c r="L11" s="501">
        <f t="shared" ref="L11:L16" ca="1" si="3">IFERROR(J11/$F$6*$F$7,0)</f>
        <v>7296.52</v>
      </c>
      <c r="M11" s="2397">
        <f t="shared" ref="M11:M16" ca="1" si="4">K11/(2080/12)</f>
        <v>42.095307692307692</v>
      </c>
      <c r="N11" s="2025">
        <f t="shared" ref="N11:N16" ca="1" si="5">MAX(IF($F$6=12,0),
IF($F$6&lt;12,C11*L11))</f>
        <v>0</v>
      </c>
      <c r="O11" s="2026">
        <f t="shared" ref="O11:O16" ca="1" si="6">(D11*L11)</f>
        <v>16781.995999999999</v>
      </c>
      <c r="P11" s="2027">
        <f ca="1">IF($V$4&lt;$U$4, $Q9, IF($V$4&gt;$X$4, $Q9+2*$AA$3, $Q9+$AA$3))</f>
        <v>0.50700000000000001</v>
      </c>
      <c r="Q11" s="2028">
        <f t="shared" ref="Q11:Q16" ca="1" si="7">IFERROR(P11*N11,0)</f>
        <v>0</v>
      </c>
      <c r="R11" s="2009">
        <f ca="1">IF($V$4&lt;$U$4, $Q9, IF($V$4&gt;$X$4, $Q9+2*$AA$3, $Q9+$AA$3))</f>
        <v>0.50700000000000001</v>
      </c>
      <c r="S11" s="2029">
        <f t="shared" ref="S11:S16" ca="1" si="8">R11*O11</f>
        <v>8508.4719719999994</v>
      </c>
      <c r="T11" s="2401">
        <f t="shared" ref="T11:T16" ca="1" si="9">IFERROR((K11/(2080/12))+((K11*P11)/(2080/12)),"")</f>
        <v>63.437628692307698</v>
      </c>
      <c r="U11" s="2402">
        <f t="shared" ref="U11:U16" ca="1" si="10">(K11/(2080/12))+((K11*R11)/(2080/12))</f>
        <v>63.437628692307698</v>
      </c>
      <c r="V11" s="2054">
        <f>MAX(IF(OR('DATA INPUT'!$H$11=3),'DATA INPUT'!$I$11,0),
IF(OR('DATA INPUT'!$V$11=3),'DATA INPUT'!$W$11,0),
IF(OR('DATA INPUT'!$AD$11=3),'DATA INPUT'!$AE$11,0))</f>
        <v>0</v>
      </c>
      <c r="W11" s="1604">
        <f t="shared" ref="W11:W16" ca="1" si="11">V11*(2080/12)*$F$7</f>
        <v>0</v>
      </c>
      <c r="X11" s="2055">
        <f t="shared" ref="X11:X17" ca="1" si="12">IFERROR(V11/B11,0)*$F$7</f>
        <v>0</v>
      </c>
      <c r="Y11" s="1489">
        <f t="shared" ref="Y11:Y16" ca="1" si="13">V11*L11</f>
        <v>0</v>
      </c>
      <c r="Z11" s="2056">
        <f t="shared" ref="Z11:Z16" ca="1" si="14">R11</f>
        <v>0.50700000000000001</v>
      </c>
      <c r="AA11" s="1490">
        <f t="shared" ref="AA11:AA16" ca="1" si="15">Y11*Z11</f>
        <v>0</v>
      </c>
      <c r="AB11" s="2057">
        <f t="shared" ref="AB11:AB16" ca="1" si="16">SUM(Y11,AA11)</f>
        <v>0</v>
      </c>
      <c r="AC11" s="514"/>
    </row>
    <row r="12" spans="1:29" ht="15" customHeight="1" x14ac:dyDescent="0.25">
      <c r="A12" s="50">
        <v>2</v>
      </c>
      <c r="B12" s="540">
        <f>'DATA INPUT'!$J$8</f>
        <v>0</v>
      </c>
      <c r="C12" s="2030">
        <f ca="1">MAX(IF($F$6=12,0),
IF($F$6&lt;12,IF('DATA INPUT'!$H$11=1,'DATA INPUT'!$J$11)))</f>
        <v>0</v>
      </c>
      <c r="D12" s="2031">
        <f>MAX(IF(OR('DATA INPUT'!$H$11=2),'DATA INPUT'!$J$11,0),
IF(OR('DATA INPUT'!$V$11=2),'DATA INPUT'!$X$11,0),
IF(OR('DATA INPUT'!$AD$11=2),'DATA INPUT'!$AF$11,0))</f>
        <v>0</v>
      </c>
      <c r="E12" s="493">
        <f t="shared" ca="1" si="0"/>
        <v>0</v>
      </c>
      <c r="F12" s="2032">
        <f t="shared" ca="1" si="1"/>
        <v>0</v>
      </c>
      <c r="G12" s="2033">
        <f t="shared" ca="1" si="1"/>
        <v>0</v>
      </c>
      <c r="H12" s="461">
        <v>0.03</v>
      </c>
      <c r="I12" s="714">
        <f ca="1">IF($F$6&lt;12,K12*(12-$F$6),0)</f>
        <v>0</v>
      </c>
      <c r="J12" s="713">
        <f>(J11*H12)+J11</f>
        <v>90184.987200000003</v>
      </c>
      <c r="K12" s="457">
        <f t="shared" ca="1" si="2"/>
        <v>7515.4156000000003</v>
      </c>
      <c r="L12" s="457">
        <f t="shared" ca="1" si="3"/>
        <v>7515.4156000000003</v>
      </c>
      <c r="M12" s="2398">
        <f t="shared" ca="1" si="4"/>
        <v>43.358166923076922</v>
      </c>
      <c r="N12" s="2034">
        <f t="shared" ca="1" si="5"/>
        <v>0</v>
      </c>
      <c r="O12" s="2035">
        <f t="shared" ca="1" si="6"/>
        <v>0</v>
      </c>
      <c r="P12" s="2036">
        <f ca="1">P11+$AA$4</f>
        <v>0.52700000000000002</v>
      </c>
      <c r="Q12" s="2037">
        <f t="shared" ca="1" si="7"/>
        <v>0</v>
      </c>
      <c r="R12" s="1758">
        <f ca="1">R11+$AA$4</f>
        <v>0.52700000000000002</v>
      </c>
      <c r="S12" s="2038">
        <f t="shared" ca="1" si="8"/>
        <v>0</v>
      </c>
      <c r="T12" s="2403">
        <f t="shared" ca="1" si="9"/>
        <v>66.207920891538464</v>
      </c>
      <c r="U12" s="2404">
        <f t="shared" ca="1" si="10"/>
        <v>66.207920891538464</v>
      </c>
      <c r="V12" s="2054">
        <f>MAX(IF(OR('DATA INPUT'!$H$11=3),'DATA INPUT'!$J$11,0),
IF(OR('DATA INPUT'!$V$11=3),'DATA INPUT'!$X$11,0),
IF(OR('DATA INPUT'!$AD$11=3),'DATA INPUT'!$AF$11,0))</f>
        <v>0</v>
      </c>
      <c r="W12" s="1604">
        <f t="shared" ca="1" si="11"/>
        <v>0</v>
      </c>
      <c r="X12" s="2058">
        <f t="shared" ca="1" si="12"/>
        <v>0</v>
      </c>
      <c r="Y12" s="1489">
        <f t="shared" ca="1" si="13"/>
        <v>0</v>
      </c>
      <c r="Z12" s="2056">
        <f t="shared" ca="1" si="14"/>
        <v>0.52700000000000002</v>
      </c>
      <c r="AA12" s="1490">
        <f t="shared" ca="1" si="15"/>
        <v>0</v>
      </c>
      <c r="AB12" s="2057">
        <f t="shared" ca="1" si="16"/>
        <v>0</v>
      </c>
      <c r="AC12" s="514"/>
    </row>
    <row r="13" spans="1:29" ht="15" customHeight="1" x14ac:dyDescent="0.25">
      <c r="A13" s="50">
        <v>3</v>
      </c>
      <c r="B13" s="540">
        <f>'DATA INPUT'!$K$8</f>
        <v>0</v>
      </c>
      <c r="C13" s="2030">
        <f ca="1">MAX(IF($F$6=12,0),
IF($F$6&lt;12,IF('DATA INPUT'!$H$11=1,'DATA INPUT'!$K$11)))</f>
        <v>0</v>
      </c>
      <c r="D13" s="2031">
        <f>MAX(IF(OR('DATA INPUT'!$H$11=2),'DATA INPUT'!$K$11,0),
IF(OR('DATA INPUT'!$V$11=2),'DATA INPUT'!$Y$11,0),
IF(OR('DATA INPUT'!$AD$11=2),'DATA INPUT'!$AG$11,0))</f>
        <v>0</v>
      </c>
      <c r="E13" s="493">
        <f t="shared" ca="1" si="0"/>
        <v>0</v>
      </c>
      <c r="F13" s="2032">
        <f t="shared" ca="1" si="1"/>
        <v>0</v>
      </c>
      <c r="G13" s="2033">
        <f t="shared" ca="1" si="1"/>
        <v>0</v>
      </c>
      <c r="H13" s="461">
        <v>0.03</v>
      </c>
      <c r="I13" s="714">
        <f ca="1">IF($F$6&lt;12,K13*(12-$F$6),0)</f>
        <v>0</v>
      </c>
      <c r="J13" s="713">
        <f>(J12*H13)+J12</f>
        <v>92890.536816000007</v>
      </c>
      <c r="K13" s="457">
        <f t="shared" ca="1" si="2"/>
        <v>7740.8780680000009</v>
      </c>
      <c r="L13" s="457">
        <f t="shared" ca="1" si="3"/>
        <v>7740.8780680000009</v>
      </c>
      <c r="M13" s="2398">
        <f t="shared" ca="1" si="4"/>
        <v>44.658911930769236</v>
      </c>
      <c r="N13" s="2034">
        <f t="shared" ca="1" si="5"/>
        <v>0</v>
      </c>
      <c r="O13" s="2035">
        <f t="shared" ca="1" si="6"/>
        <v>0</v>
      </c>
      <c r="P13" s="2036">
        <f ca="1">P12+$AA$4</f>
        <v>0.54700000000000004</v>
      </c>
      <c r="Q13" s="2037">
        <f t="shared" ca="1" si="7"/>
        <v>0</v>
      </c>
      <c r="R13" s="1758">
        <f ca="1">R12+$AA$4</f>
        <v>0.54700000000000004</v>
      </c>
      <c r="S13" s="2038">
        <f t="shared" ca="1" si="8"/>
        <v>0</v>
      </c>
      <c r="T13" s="2403">
        <f t="shared" ca="1" si="9"/>
        <v>69.087336756900015</v>
      </c>
      <c r="U13" s="2404">
        <f t="shared" ca="1" si="10"/>
        <v>69.087336756900015</v>
      </c>
      <c r="V13" s="2054">
        <f>MAX(IF(OR('DATA INPUT'!$H$11=3),'DATA INPUT'!$K$11,0),
IF(OR('DATA INPUT'!$V$11=3),'DATA INPUT'!$Y$11,0),
IF(OR('DATA INPUT'!$AD$11=3),'DATA INPUT'!$AG$11,0))</f>
        <v>0</v>
      </c>
      <c r="W13" s="1604">
        <f t="shared" ca="1" si="11"/>
        <v>0</v>
      </c>
      <c r="X13" s="2058">
        <f t="shared" ca="1" si="12"/>
        <v>0</v>
      </c>
      <c r="Y13" s="1489">
        <f t="shared" ca="1" si="13"/>
        <v>0</v>
      </c>
      <c r="Z13" s="2056">
        <f t="shared" ca="1" si="14"/>
        <v>0.54700000000000004</v>
      </c>
      <c r="AA13" s="1490">
        <f t="shared" ca="1" si="15"/>
        <v>0</v>
      </c>
      <c r="AB13" s="2057">
        <f t="shared" ca="1" si="16"/>
        <v>0</v>
      </c>
      <c r="AC13" s="514"/>
    </row>
    <row r="14" spans="1:29" ht="15" customHeight="1" x14ac:dyDescent="0.25">
      <c r="A14" s="50">
        <v>4</v>
      </c>
      <c r="B14" s="540">
        <f>'DATA INPUT'!$L$8</f>
        <v>0</v>
      </c>
      <c r="C14" s="2030">
        <f ca="1">MAX(IF($F$6=12,0),
IF($F$6&lt;12,IF('DATA INPUT'!$H$11=1,'DATA INPUT'!$L$11)))</f>
        <v>0</v>
      </c>
      <c r="D14" s="2031">
        <f>MAX(IF(OR('DATA INPUT'!$H$11=2),'DATA INPUT'!$L$11,0),
IF(OR('DATA INPUT'!$V$11=2),'DATA INPUT'!$Z$11,0),
IF(OR('DATA INPUT'!$AD$11=2),'DATA INPUT'!$AH$11,0))</f>
        <v>0</v>
      </c>
      <c r="E14" s="493">
        <f t="shared" ca="1" si="0"/>
        <v>0</v>
      </c>
      <c r="F14" s="2032">
        <f t="shared" ca="1" si="1"/>
        <v>0</v>
      </c>
      <c r="G14" s="2033">
        <f t="shared" ca="1" si="1"/>
        <v>0</v>
      </c>
      <c r="H14" s="461">
        <v>0.03</v>
      </c>
      <c r="I14" s="714">
        <f ca="1">IF($F$6&lt;12,K14*(12-$F$6),0)</f>
        <v>0</v>
      </c>
      <c r="J14" s="713">
        <f>(J13*H14)+J13</f>
        <v>95677.252920480008</v>
      </c>
      <c r="K14" s="457">
        <f t="shared" ca="1" si="2"/>
        <v>7973.1044100400004</v>
      </c>
      <c r="L14" s="457">
        <f t="shared" ca="1" si="3"/>
        <v>7973.1044100400004</v>
      </c>
      <c r="M14" s="2398">
        <f t="shared" ca="1" si="4"/>
        <v>45.998679288692308</v>
      </c>
      <c r="N14" s="2034">
        <f t="shared" ca="1" si="5"/>
        <v>0</v>
      </c>
      <c r="O14" s="2035">
        <f t="shared" ca="1" si="6"/>
        <v>0</v>
      </c>
      <c r="P14" s="2036">
        <f ca="1">P13+$AA$4</f>
        <v>0.56700000000000006</v>
      </c>
      <c r="Q14" s="2037">
        <f t="shared" ca="1" si="7"/>
        <v>0</v>
      </c>
      <c r="R14" s="1758">
        <f ca="1">R13+$AA$4</f>
        <v>0.56700000000000006</v>
      </c>
      <c r="S14" s="2038">
        <f t="shared" ca="1" si="8"/>
        <v>0</v>
      </c>
      <c r="T14" s="2403">
        <f t="shared" ca="1" si="9"/>
        <v>72.079930445380853</v>
      </c>
      <c r="U14" s="2404">
        <f t="shared" ca="1" si="10"/>
        <v>72.079930445380853</v>
      </c>
      <c r="V14" s="2054">
        <f>MAX(IF(OR('DATA INPUT'!$H$11=3),'DATA INPUT'!$L$11,0),
IF(OR('DATA INPUT'!$V$11=3),'DATA INPUT'!$Z$11,0),
IF(OR('DATA INPUT'!$AD$11=3),'DATA INPUT'!$AH$11,0))</f>
        <v>0</v>
      </c>
      <c r="W14" s="1604">
        <f t="shared" ca="1" si="11"/>
        <v>0</v>
      </c>
      <c r="X14" s="2058">
        <f t="shared" ca="1" si="12"/>
        <v>0</v>
      </c>
      <c r="Y14" s="1489">
        <f t="shared" ca="1" si="13"/>
        <v>0</v>
      </c>
      <c r="Z14" s="2059">
        <f t="shared" ca="1" si="14"/>
        <v>0.56700000000000006</v>
      </c>
      <c r="AA14" s="1490">
        <f t="shared" ca="1" si="15"/>
        <v>0</v>
      </c>
      <c r="AB14" s="2063">
        <f t="shared" ca="1" si="16"/>
        <v>0</v>
      </c>
      <c r="AC14" s="1700"/>
    </row>
    <row r="15" spans="1:29" ht="15" customHeight="1" x14ac:dyDescent="0.25">
      <c r="A15" s="50">
        <v>5</v>
      </c>
      <c r="B15" s="540">
        <f>'DATA INPUT'!$M$8</f>
        <v>0</v>
      </c>
      <c r="C15" s="2030">
        <f ca="1">MAX(IF($F$6=12,0),
IF($F$6&lt;12,IF('DATA INPUT'!$H$11=1,'DATA INPUT'!$M$11)))</f>
        <v>0</v>
      </c>
      <c r="D15" s="2031">
        <f>MAX(IF(OR('DATA INPUT'!$H$11=2),'DATA INPUT'!$M$11,0),
IF(OR('DATA INPUT'!$V$11=2),'DATA INPUT'!$AA$11,0),
IF(OR('DATA INPUT'!$AD$11=2),'DATA INPUT'!$AI$11,0))</f>
        <v>0</v>
      </c>
      <c r="E15" s="493">
        <f t="shared" ca="1" si="0"/>
        <v>0</v>
      </c>
      <c r="F15" s="2032">
        <f t="shared" ca="1" si="1"/>
        <v>0</v>
      </c>
      <c r="G15" s="2033">
        <f t="shared" ca="1" si="1"/>
        <v>0</v>
      </c>
      <c r="H15" s="461">
        <v>0.03</v>
      </c>
      <c r="I15" s="714">
        <f ca="1">IF($F$6&lt;12,K15*(12-$F$6),0)</f>
        <v>0</v>
      </c>
      <c r="J15" s="713">
        <f>(J14*H15)+J14</f>
        <v>98547.570508094403</v>
      </c>
      <c r="K15" s="457">
        <f t="shared" ca="1" si="2"/>
        <v>8212.2975423412008</v>
      </c>
      <c r="L15" s="457">
        <f t="shared" ca="1" si="3"/>
        <v>8212.2975423412008</v>
      </c>
      <c r="M15" s="2398">
        <f t="shared" ca="1" si="4"/>
        <v>47.378639667353077</v>
      </c>
      <c r="N15" s="2034">
        <f t="shared" ca="1" si="5"/>
        <v>0</v>
      </c>
      <c r="O15" s="2035">
        <f t="shared" ca="1" si="6"/>
        <v>0</v>
      </c>
      <c r="P15" s="2036">
        <f ca="1">P14+$AA$4</f>
        <v>0.58700000000000008</v>
      </c>
      <c r="Q15" s="2037">
        <f t="shared" ca="1" si="7"/>
        <v>0</v>
      </c>
      <c r="R15" s="1758">
        <f ca="1">R14+$AA$4</f>
        <v>0.58700000000000008</v>
      </c>
      <c r="S15" s="2038">
        <f t="shared" ca="1" si="8"/>
        <v>0</v>
      </c>
      <c r="T15" s="2403">
        <f t="shared" ca="1" si="9"/>
        <v>75.189901152089334</v>
      </c>
      <c r="U15" s="2404">
        <f t="shared" ca="1" si="10"/>
        <v>75.189901152089334</v>
      </c>
      <c r="V15" s="2054">
        <f>MAX(IF(OR('DATA INPUT'!$H$11=3),'DATA INPUT'!$M$11,0),
IF(OR('DATA INPUT'!$V$11=3),'DATA INPUT'!$AA$11,0),
IF(OR('DATA INPUT'!$AD$11=3),'DATA INPUT'!$AI$11,0))</f>
        <v>0</v>
      </c>
      <c r="W15" s="1604">
        <f t="shared" ca="1" si="11"/>
        <v>0</v>
      </c>
      <c r="X15" s="2058">
        <f t="shared" ca="1" si="12"/>
        <v>0</v>
      </c>
      <c r="Y15" s="1489">
        <f t="shared" ca="1" si="13"/>
        <v>0</v>
      </c>
      <c r="Z15" s="2056">
        <f t="shared" ca="1" si="14"/>
        <v>0.58700000000000008</v>
      </c>
      <c r="AA15" s="1490">
        <f t="shared" ca="1" si="15"/>
        <v>0</v>
      </c>
      <c r="AB15" s="2057">
        <f t="shared" ca="1" si="16"/>
        <v>0</v>
      </c>
      <c r="AC15" s="1700"/>
    </row>
    <row r="16" spans="1:29" ht="15" customHeight="1" thickBot="1" x14ac:dyDescent="0.3">
      <c r="A16" s="623">
        <v>6</v>
      </c>
      <c r="B16" s="1591">
        <f>'DATA INPUT'!$N$8</f>
        <v>0</v>
      </c>
      <c r="C16" s="2039">
        <f ca="1">MAX(IF($F$6=12,0),
IF($F$6&lt;12,IF('DATA INPUT'!$H$11=1,'DATA INPUT'!$N$11)))</f>
        <v>0</v>
      </c>
      <c r="D16" s="2040">
        <f>MAX(IF(OR('DATA INPUT'!$H$11=2),'DATA INPUT'!$N$11,0),
IF(OR('DATA INPUT'!$V$11=2),'DATA INPUT'!$AB$11,0),
IF(OR('DATA INPUT'!$AD$11=2),'DATA INPUT'!$AJ$11,0))</f>
        <v>0</v>
      </c>
      <c r="E16" s="628">
        <f t="shared" ca="1" si="0"/>
        <v>0</v>
      </c>
      <c r="F16" s="2041">
        <f t="shared" ca="1" si="1"/>
        <v>0</v>
      </c>
      <c r="G16" s="2042">
        <f t="shared" ca="1" si="1"/>
        <v>0</v>
      </c>
      <c r="H16" s="494">
        <v>0.03</v>
      </c>
      <c r="I16" s="2915">
        <f ca="1">IF($F$6&lt;12,K16*(12-$F$6),0)</f>
        <v>0</v>
      </c>
      <c r="J16" s="2917">
        <f>(J15*H16)+J15</f>
        <v>101503.99762333723</v>
      </c>
      <c r="K16" s="495">
        <f t="shared" ca="1" si="2"/>
        <v>8458.6664686114364</v>
      </c>
      <c r="L16" s="495">
        <f t="shared" ca="1" si="3"/>
        <v>8458.6664686114364</v>
      </c>
      <c r="M16" s="2399">
        <f t="shared" ca="1" si="4"/>
        <v>48.799998857373666</v>
      </c>
      <c r="N16" s="2044">
        <f t="shared" ca="1" si="5"/>
        <v>0</v>
      </c>
      <c r="O16" s="2045">
        <f t="shared" ca="1" si="6"/>
        <v>0</v>
      </c>
      <c r="P16" s="2036">
        <f ca="1">P15+$AA$4</f>
        <v>0.6070000000000001</v>
      </c>
      <c r="Q16" s="2047">
        <f t="shared" ca="1" si="7"/>
        <v>0</v>
      </c>
      <c r="R16" s="1759">
        <f ca="1">R15+$AA$4</f>
        <v>0.6070000000000001</v>
      </c>
      <c r="S16" s="2048">
        <f t="shared" ca="1" si="8"/>
        <v>0</v>
      </c>
      <c r="T16" s="2405">
        <f t="shared" ca="1" si="9"/>
        <v>78.421598163799487</v>
      </c>
      <c r="U16" s="2406">
        <f t="shared" ca="1" si="10"/>
        <v>78.421598163799487</v>
      </c>
      <c r="V16" s="2060">
        <f>MAX(IF(OR('DATA INPUT'!$H$11=3),'DATA INPUT'!$N$11,0),
IF(OR('DATA INPUT'!$V$11=3),'DATA INPUT'!$AB$11,0),
IF(OR('DATA INPUT'!$AD$11=3),'DATA INPUT'!$AJ$11,0))</f>
        <v>0</v>
      </c>
      <c r="W16" s="1906">
        <f t="shared" ca="1" si="11"/>
        <v>0</v>
      </c>
      <c r="X16" s="2061">
        <f t="shared" ca="1" si="12"/>
        <v>0</v>
      </c>
      <c r="Y16" s="1513">
        <f t="shared" ca="1" si="13"/>
        <v>0</v>
      </c>
      <c r="Z16" s="2062">
        <f t="shared" ca="1" si="14"/>
        <v>0.6070000000000001</v>
      </c>
      <c r="AA16" s="2043">
        <f t="shared" ca="1" si="15"/>
        <v>0</v>
      </c>
      <c r="AB16" s="2064">
        <f t="shared" ca="1" si="16"/>
        <v>0</v>
      </c>
      <c r="AC16" s="400"/>
    </row>
    <row r="17" spans="1:29" ht="15.75" thickBot="1" x14ac:dyDescent="0.3">
      <c r="A17" s="614" t="s">
        <v>85</v>
      </c>
      <c r="B17" s="1674">
        <f>SUM(B11:B16)</f>
        <v>12</v>
      </c>
      <c r="C17" s="2736">
        <f ca="1">SUM(C11:C16)</f>
        <v>0</v>
      </c>
      <c r="D17" s="2737">
        <f>SUM(D11:D16)</f>
        <v>2.2999999999999998</v>
      </c>
      <c r="E17" s="2738">
        <f ca="1">IFERROR(SUM(C17+D17)/B17,0)*$F7</f>
        <v>0.19166666666666665</v>
      </c>
      <c r="F17" s="2739">
        <f ca="1">SUM(F11:F16)</f>
        <v>0</v>
      </c>
      <c r="G17" s="2740">
        <f ca="1">SUM(G11:G16)</f>
        <v>398.66666666666669</v>
      </c>
      <c r="H17"/>
      <c r="I17"/>
      <c r="K17" s="60"/>
      <c r="N17" s="2734">
        <f ca="1">SUM(N11:N16)</f>
        <v>0</v>
      </c>
      <c r="O17" s="2735">
        <f ca="1">SUM(O11:O16)</f>
        <v>16781.995999999999</v>
      </c>
      <c r="Q17" s="1592">
        <f ca="1">SUM(Q11:Q16)</f>
        <v>0</v>
      </c>
      <c r="S17" s="1593">
        <f ca="1">SUM(S11:S16)</f>
        <v>8508.4719719999994</v>
      </c>
      <c r="T17" s="60"/>
      <c r="U17" s="60"/>
      <c r="V17" s="1692">
        <f>SUM(V11:V16)</f>
        <v>0</v>
      </c>
      <c r="W17" s="1692">
        <f ca="1">SUM(W11:W16)</f>
        <v>0</v>
      </c>
      <c r="X17" s="2050">
        <f t="shared" ca="1" si="12"/>
        <v>0</v>
      </c>
      <c r="Y17" s="2051">
        <f ca="1">SUM(Y11:Y16)</f>
        <v>0</v>
      </c>
      <c r="AA17" s="2051">
        <f ca="1">SUM(AA11:AA16)</f>
        <v>0</v>
      </c>
      <c r="AB17" s="2051">
        <f ca="1">SUM(AB11:AB16)</f>
        <v>0</v>
      </c>
    </row>
    <row r="18" spans="1:29" x14ac:dyDescent="0.25">
      <c r="B18" s="3073" t="s">
        <v>1074</v>
      </c>
      <c r="C18" s="2065">
        <f ca="1">(C17+D17+V17)*F7</f>
        <v>2.2999999999999998</v>
      </c>
      <c r="D18" s="496" t="s">
        <v>256</v>
      </c>
      <c r="E18" s="497"/>
      <c r="F18" s="498">
        <f ca="1">E17</f>
        <v>0.19166666666666665</v>
      </c>
      <c r="G18" s="499" t="s">
        <v>701</v>
      </c>
      <c r="H18" s="500"/>
      <c r="I18" s="500"/>
      <c r="J18" s="498">
        <f ca="1">X17</f>
        <v>0</v>
      </c>
      <c r="K18" s="499" t="s">
        <v>702</v>
      </c>
      <c r="L18" s="500"/>
      <c r="W18"/>
      <c r="X18"/>
    </row>
    <row r="19" spans="1:29" ht="24" thickBot="1" x14ac:dyDescent="0.4">
      <c r="A19" s="2749">
        <f>A5+1</f>
        <v>2</v>
      </c>
      <c r="B19" s="2749"/>
      <c r="P19" s="1791"/>
    </row>
    <row r="20" spans="1:29" ht="15.75" thickBot="1" x14ac:dyDescent="0.3">
      <c r="A20" s="401" t="s">
        <v>104</v>
      </c>
      <c r="B20" s="2741">
        <f ca="1">OFFSET('DATA INPUT'!$B$11,($A19-1),0)</f>
        <v>0</v>
      </c>
      <c r="C20" s="2746"/>
      <c r="E20" s="1736" t="s">
        <v>81</v>
      </c>
      <c r="F20" s="2743">
        <f ca="1">OFFSET('DATA INPUT'!$G$11,($A19-1),0)</f>
        <v>9</v>
      </c>
      <c r="G20" s="2744"/>
      <c r="H20"/>
      <c r="I20"/>
      <c r="J20" s="1596" t="s">
        <v>257</v>
      </c>
      <c r="K20" s="2755"/>
      <c r="L20" s="1742">
        <f>'DATA INPUT'!E12</f>
        <v>0</v>
      </c>
      <c r="N20" s="1596" t="s">
        <v>525</v>
      </c>
      <c r="O20" s="1755" t="str">
        <f ca="1">OFFSET('DATA INPUT'!$D$11,($A19-1),0)</f>
        <v>Professional &amp; Academic Faculty</v>
      </c>
      <c r="P20" s="1735"/>
      <c r="Q20" s="64">
        <f>'DATA INPUT'!S12</f>
        <v>0</v>
      </c>
      <c r="R20" s="1718"/>
      <c r="S20" s="1719"/>
      <c r="T20" s="1598"/>
      <c r="U20" s="333"/>
      <c r="Y20" s="1"/>
      <c r="Z20" s="1"/>
      <c r="AA20" s="1"/>
      <c r="AB20" s="1"/>
      <c r="AC20" s="1"/>
    </row>
    <row r="21" spans="1:29" ht="15.75" thickBot="1" x14ac:dyDescent="0.3">
      <c r="A21" s="1737" t="s">
        <v>80</v>
      </c>
      <c r="B21" s="2753">
        <f ca="1">OFFSET('DATA INPUT'!$C$11,($A19-1),0)</f>
        <v>0</v>
      </c>
      <c r="C21" s="2754"/>
      <c r="E21" s="2617" t="s">
        <v>82</v>
      </c>
      <c r="F21" s="2745">
        <f ca="1">OFFSET('DATA INPUT'!$F$11,($A19-1),0)</f>
        <v>1</v>
      </c>
      <c r="G21" s="2742"/>
      <c r="J21" s="1743" t="s">
        <v>529</v>
      </c>
      <c r="K21" s="1744"/>
      <c r="L21" s="1745">
        <f ca="1">IFERROR(L20/F20,0)</f>
        <v>0</v>
      </c>
      <c r="N21" s="1743" t="s">
        <v>530</v>
      </c>
      <c r="O21" s="1754">
        <f>'DATA INPUT'!T12</f>
        <v>0</v>
      </c>
      <c r="Q21" s="66"/>
      <c r="R21" s="1715"/>
      <c r="S21" s="1713"/>
      <c r="T21" s="1746"/>
      <c r="U21" s="61"/>
      <c r="V21" s="401" t="s">
        <v>104</v>
      </c>
      <c r="W21" s="401">
        <f>'DATA INPUT'!$B$12</f>
        <v>0</v>
      </c>
      <c r="X21" s="1719"/>
      <c r="Y21" s="2235"/>
      <c r="Z21" s="2235"/>
      <c r="AA21" s="2235"/>
      <c r="AB21" s="2236"/>
      <c r="AC21" s="1"/>
    </row>
    <row r="22" spans="1:29" s="770" customFormat="1" ht="30" customHeight="1" thickBot="1" x14ac:dyDescent="0.3">
      <c r="A22" s="2751" t="s">
        <v>253</v>
      </c>
      <c r="B22" s="2751" t="s">
        <v>254</v>
      </c>
      <c r="C22" s="3529" t="s">
        <v>258</v>
      </c>
      <c r="D22" s="3530"/>
      <c r="E22" s="3531"/>
      <c r="F22" s="3529" t="s">
        <v>83</v>
      </c>
      <c r="G22" s="3531"/>
      <c r="H22" s="3529" t="s">
        <v>65</v>
      </c>
      <c r="I22" s="3544"/>
      <c r="J22" s="3544"/>
      <c r="K22" s="3544"/>
      <c r="L22" s="3544"/>
      <c r="M22" s="3545"/>
      <c r="N22" s="3529" t="s">
        <v>84</v>
      </c>
      <c r="O22" s="3531"/>
      <c r="P22" s="3529" t="s">
        <v>78</v>
      </c>
      <c r="Q22" s="3530"/>
      <c r="R22" s="3530"/>
      <c r="S22" s="3531"/>
      <c r="T22" s="3529" t="s">
        <v>87</v>
      </c>
      <c r="U22" s="3531"/>
      <c r="V22" s="3529" t="s">
        <v>623</v>
      </c>
      <c r="W22" s="3530"/>
      <c r="X22" s="3530"/>
      <c r="Y22" s="3530"/>
      <c r="Z22" s="3530"/>
      <c r="AA22" s="3530"/>
      <c r="AB22" s="3531"/>
      <c r="AC22" s="2618"/>
    </row>
    <row r="23" spans="1:29" ht="15.6" customHeight="1" x14ac:dyDescent="0.25">
      <c r="A23" s="2752"/>
      <c r="B23" s="2750"/>
      <c r="C23" s="3525" t="s">
        <v>252</v>
      </c>
      <c r="D23" s="2187" t="str">
        <f ca="1">IF($F$20=12,"CY","AY")</f>
        <v>AY</v>
      </c>
      <c r="E23" s="3444" t="s">
        <v>231</v>
      </c>
      <c r="F23" s="3525" t="s">
        <v>232</v>
      </c>
      <c r="G23" s="2185" t="str">
        <f ca="1">IF($F$20=12,"CY","AY")</f>
        <v>AY</v>
      </c>
      <c r="H23" s="3523" t="s">
        <v>86</v>
      </c>
      <c r="I23" s="3518" t="s">
        <v>922</v>
      </c>
      <c r="J23" s="2918" t="str">
        <f ca="1">IF(F20=12,"CY","AY")</f>
        <v>AY</v>
      </c>
      <c r="K23" s="3542" t="s">
        <v>485</v>
      </c>
      <c r="L23" s="3542" t="s">
        <v>255</v>
      </c>
      <c r="M23" s="3547" t="s">
        <v>66</v>
      </c>
      <c r="N23" s="3539" t="s">
        <v>64</v>
      </c>
      <c r="O23" s="3537" t="str">
        <f ca="1">IF($F$20=12,"CY","AY")</f>
        <v>AY</v>
      </c>
      <c r="P23" s="2014" t="s">
        <v>617</v>
      </c>
      <c r="Q23" s="2015">
        <f ca="1">IFERROR(VLOOKUP(O20,TableFringePool[],2,0),0)</f>
        <v>0.50700000000000001</v>
      </c>
      <c r="R23" s="2018" t="str">
        <f ca="1">IF($F$6=12,"CY Base % ","AY Base %")</f>
        <v xml:space="preserve">CY Base % </v>
      </c>
      <c r="S23" s="2016">
        <f ca="1">Q23</f>
        <v>0.50700000000000001</v>
      </c>
      <c r="T23" s="3539" t="s">
        <v>64</v>
      </c>
      <c r="U23" s="3537" t="str">
        <f ca="1">IF($F$20=12,"CY","AY")</f>
        <v>AY</v>
      </c>
      <c r="V23" s="3562" t="s">
        <v>618</v>
      </c>
      <c r="W23" s="3534" t="s">
        <v>619</v>
      </c>
      <c r="X23" s="3567" t="s">
        <v>620</v>
      </c>
      <c r="Y23" s="3444" t="s">
        <v>624</v>
      </c>
      <c r="Z23" s="2333" t="s">
        <v>621</v>
      </c>
      <c r="AA23" s="2336"/>
      <c r="AB23" s="3444" t="s">
        <v>625</v>
      </c>
      <c r="AC23" s="1"/>
    </row>
    <row r="24" spans="1:29" ht="15.6" customHeight="1" thickBot="1" x14ac:dyDescent="0.3">
      <c r="A24" s="2715"/>
      <c r="B24" s="1699"/>
      <c r="C24" s="3526"/>
      <c r="D24" s="2188" t="s">
        <v>636</v>
      </c>
      <c r="E24" s="3446"/>
      <c r="F24" s="3526"/>
      <c r="G24" s="2186" t="s">
        <v>637</v>
      </c>
      <c r="H24" s="3524"/>
      <c r="I24" s="3519"/>
      <c r="J24" s="2919" t="s">
        <v>1015</v>
      </c>
      <c r="K24" s="3543"/>
      <c r="L24" s="3543"/>
      <c r="M24" s="3548"/>
      <c r="N24" s="3540"/>
      <c r="O24" s="3538"/>
      <c r="P24" s="2010" t="s">
        <v>67</v>
      </c>
      <c r="Q24" s="1781" t="s">
        <v>68</v>
      </c>
      <c r="R24" s="2011" t="s">
        <v>67</v>
      </c>
      <c r="S24" s="2012" t="s">
        <v>68</v>
      </c>
      <c r="T24" s="3540"/>
      <c r="U24" s="3538"/>
      <c r="V24" s="3563"/>
      <c r="W24" s="3535"/>
      <c r="X24" s="3568"/>
      <c r="Y24" s="3446"/>
      <c r="Z24" s="2125" t="s">
        <v>622</v>
      </c>
      <c r="AA24" s="2126" t="s">
        <v>68</v>
      </c>
      <c r="AB24" s="3446"/>
      <c r="AC24" s="1"/>
    </row>
    <row r="25" spans="1:29" x14ac:dyDescent="0.25">
      <c r="A25" s="622">
        <v>1</v>
      </c>
      <c r="B25" s="782">
        <f>'DATA INPUT'!$I$8</f>
        <v>12</v>
      </c>
      <c r="C25" s="2021">
        <f ca="1">MAX(IF($F$20=12,0),
IF($F$20&lt;12,IF('DATA INPUT'!$H$12=1,'DATA INPUT'!$I$12)))</f>
        <v>0</v>
      </c>
      <c r="D25" s="2022">
        <f>MAX(IF(OR('DATA INPUT'!$H$12=2),'DATA INPUT'!$I$12,0),
IF(OR('DATA INPUT'!$V$12=2),'DATA INPUT'!$W$12,0),
IF(OR('DATA INPUT'!$AD$12=2,),'DATA INPUT'!$AE$12,0))</f>
        <v>0</v>
      </c>
      <c r="E25" s="491">
        <f t="shared" ref="E25:E30" ca="1" si="17">IFERROR(SUM(C25+D25)/B25,0)*$F$21</f>
        <v>0</v>
      </c>
      <c r="F25" s="2023">
        <f t="shared" ref="F25:G30" ca="1" si="18">C25*(2080/12)*$F$21</f>
        <v>0</v>
      </c>
      <c r="G25" s="2024">
        <f t="shared" ca="1" si="18"/>
        <v>0</v>
      </c>
      <c r="H25" s="2019">
        <v>0.03</v>
      </c>
      <c r="I25" s="2914">
        <f t="shared" ref="I25:I30" ca="1" si="19">IF($F$20&lt;12,K25*(12-$F$20),0)</f>
        <v>0</v>
      </c>
      <c r="J25" s="501">
        <f>(L20*H25)+L20</f>
        <v>0</v>
      </c>
      <c r="K25" s="501">
        <f t="shared" ref="K25:K30" ca="1" si="20">IFERROR(J25/$F$20,0)</f>
        <v>0</v>
      </c>
      <c r="L25" s="501">
        <f t="shared" ref="L25:L30" ca="1" si="21">IFERROR(J25/$F$20*$F$21,0)</f>
        <v>0</v>
      </c>
      <c r="M25" s="2397">
        <f t="shared" ref="M25:M30" ca="1" si="22">K25/(2080/12)</f>
        <v>0</v>
      </c>
      <c r="N25" s="2025">
        <f t="shared" ref="N25:N30" ca="1" si="23">MAX(IF($F$20=12,0),
IF($F$20&lt;12,C25*L25))</f>
        <v>0</v>
      </c>
      <c r="O25" s="2026">
        <f t="shared" ref="O25:O30" ca="1" si="24">(D25*L25)</f>
        <v>0</v>
      </c>
      <c r="P25" s="2027">
        <f ca="1">IF($V$4&lt;$U$4, $Q23, IF($V$4&gt;$X$4, $Q23+2*$AA$3, $Q23+$AA$3))</f>
        <v>0.50700000000000001</v>
      </c>
      <c r="Q25" s="2028">
        <f t="shared" ref="Q25:Q30" ca="1" si="25">IFERROR(P25*N25,0)</f>
        <v>0</v>
      </c>
      <c r="R25" s="2009">
        <f ca="1">IF($V$4&lt;$U$4, $Q23, IF($V$4&gt;$X$4, $Q23+2*$AA$3, $Q23+$AA$3))</f>
        <v>0.50700000000000001</v>
      </c>
      <c r="S25" s="2029">
        <f t="shared" ref="S25:S30" ca="1" si="26">R25*O25</f>
        <v>0</v>
      </c>
      <c r="T25" s="2401">
        <f t="shared" ref="T25:T30" ca="1" si="27">IFERROR((K25/(2080/12))+((K25*P25)/(2080/12)),"")</f>
        <v>0</v>
      </c>
      <c r="U25" s="2402">
        <f t="shared" ref="U25:U30" ca="1" si="28">(K25/(2080/12))+((K25*R25)/(2080/12))</f>
        <v>0</v>
      </c>
      <c r="V25" s="2130">
        <f>MAX(IF(OR('DATA INPUT'!$H$12=3),'DATA INPUT'!$I$12,0),
IF(OR('DATA INPUT'!$V$12=3),'DATA INPUT'!$W$12,0),
IF(OR('DATA INPUT'!$AD$12=3),'DATA INPUT'!$AE$12,0))</f>
        <v>0</v>
      </c>
      <c r="W25" s="1904">
        <f t="shared" ref="W25:W30" ca="1" si="29">V25*(2080/12)*$F$21</f>
        <v>0</v>
      </c>
      <c r="X25" s="2131">
        <f t="shared" ref="X25:X31" ca="1" si="30">IFERROR(V25/B25,0)*$F$21</f>
        <v>0</v>
      </c>
      <c r="Y25" s="1657">
        <f t="shared" ref="Y25:Y30" ca="1" si="31">V25*L25</f>
        <v>0</v>
      </c>
      <c r="Z25" s="2132">
        <f t="shared" ref="Z25:Z30" ca="1" si="32">R25</f>
        <v>0.50700000000000001</v>
      </c>
      <c r="AA25" s="2133">
        <f t="shared" ref="AA25:AA30" ca="1" si="33">Y25*Z25</f>
        <v>0</v>
      </c>
      <c r="AB25" s="2134">
        <f t="shared" ref="AB25:AB30" ca="1" si="34">SUM(Y25,AA25)</f>
        <v>0</v>
      </c>
      <c r="AC25" s="1"/>
    </row>
    <row r="26" spans="1:29" x14ac:dyDescent="0.25">
      <c r="A26" s="50">
        <v>2</v>
      </c>
      <c r="B26" s="540">
        <f>'DATA INPUT'!$J$8</f>
        <v>0</v>
      </c>
      <c r="C26" s="2030">
        <f ca="1">MAX(IF($F$20=12,0),
IF($F$20&lt;12,IF('DATA INPUT'!$H$12=1,'DATA INPUT'!$J$12)))</f>
        <v>0</v>
      </c>
      <c r="D26" s="2031">
        <f>MAX(IF(OR('DATA INPUT'!$H$12=2),'DATA INPUT'!$J$12,0),
IF(OR('DATA INPUT'!$V$12=2),'DATA INPUT'!$X$12,0),
IF(OR('DATA INPUT'!$AD$12=2),'DATA INPUT'!$AF$12,0))</f>
        <v>0</v>
      </c>
      <c r="E26" s="493">
        <f t="shared" ca="1" si="17"/>
        <v>0</v>
      </c>
      <c r="F26" s="2032">
        <f t="shared" ca="1" si="18"/>
        <v>0</v>
      </c>
      <c r="G26" s="2033">
        <f t="shared" ca="1" si="18"/>
        <v>0</v>
      </c>
      <c r="H26" s="461">
        <v>0.03</v>
      </c>
      <c r="I26" s="2914">
        <f t="shared" ca="1" si="19"/>
        <v>0</v>
      </c>
      <c r="J26" s="457">
        <f>(J25*H26)+J25</f>
        <v>0</v>
      </c>
      <c r="K26" s="457">
        <f t="shared" ca="1" si="20"/>
        <v>0</v>
      </c>
      <c r="L26" s="457">
        <f t="shared" ca="1" si="21"/>
        <v>0</v>
      </c>
      <c r="M26" s="2398">
        <f t="shared" ca="1" si="22"/>
        <v>0</v>
      </c>
      <c r="N26" s="2034">
        <f t="shared" ca="1" si="23"/>
        <v>0</v>
      </c>
      <c r="O26" s="2035">
        <f t="shared" ca="1" si="24"/>
        <v>0</v>
      </c>
      <c r="P26" s="2036">
        <f ca="1">P25+$AA$4</f>
        <v>0.52700000000000002</v>
      </c>
      <c r="Q26" s="2037">
        <f t="shared" ca="1" si="25"/>
        <v>0</v>
      </c>
      <c r="R26" s="1758">
        <f ca="1">R25+$AA$4</f>
        <v>0.52700000000000002</v>
      </c>
      <c r="S26" s="2038">
        <f t="shared" ca="1" si="26"/>
        <v>0</v>
      </c>
      <c r="T26" s="2403">
        <f t="shared" ca="1" si="27"/>
        <v>0</v>
      </c>
      <c r="U26" s="2404">
        <f t="shared" ca="1" si="28"/>
        <v>0</v>
      </c>
      <c r="V26" s="2054">
        <f>MAX(IF(OR('DATA INPUT'!$H$12=3),'DATA INPUT'!$J$12,0),
IF(OR('DATA INPUT'!$V$12=3),'DATA INPUT'!$X$12,0),
IF(OR('DATA INPUT'!$AD$12=3),'DATA INPUT'!$AF$12,0))</f>
        <v>0</v>
      </c>
      <c r="W26" s="1604">
        <f t="shared" ca="1" si="29"/>
        <v>0</v>
      </c>
      <c r="X26" s="2058">
        <f t="shared" ca="1" si="30"/>
        <v>0</v>
      </c>
      <c r="Y26" s="1489">
        <f t="shared" ca="1" si="31"/>
        <v>0</v>
      </c>
      <c r="Z26" s="2056">
        <f t="shared" ca="1" si="32"/>
        <v>0.52700000000000002</v>
      </c>
      <c r="AA26" s="1490">
        <f t="shared" ca="1" si="33"/>
        <v>0</v>
      </c>
      <c r="AB26" s="2057">
        <f t="shared" ca="1" si="34"/>
        <v>0</v>
      </c>
      <c r="AC26" s="1"/>
    </row>
    <row r="27" spans="1:29" x14ac:dyDescent="0.25">
      <c r="A27" s="50">
        <v>3</v>
      </c>
      <c r="B27" s="540">
        <f>'DATA INPUT'!$K$8</f>
        <v>0</v>
      </c>
      <c r="C27" s="2030">
        <f ca="1">MAX(IF($F$20=12,0),
IF($F$20&lt;12,IF('DATA INPUT'!$H$12=1,'DATA INPUT'!$K$12)))</f>
        <v>0</v>
      </c>
      <c r="D27" s="2031">
        <f>MAX(IF(OR('DATA INPUT'!$H$12=2),'DATA INPUT'!$K$12,0),
IF(OR('DATA INPUT'!$V$12=2),'DATA INPUT'!$Y$12,0),
IF(OR('DATA INPUT'!$AD$12=2),'DATA INPUT'!$AG$12,0))</f>
        <v>0</v>
      </c>
      <c r="E27" s="493">
        <f t="shared" ca="1" si="17"/>
        <v>0</v>
      </c>
      <c r="F27" s="2032">
        <f t="shared" ca="1" si="18"/>
        <v>0</v>
      </c>
      <c r="G27" s="2033">
        <f t="shared" ca="1" si="18"/>
        <v>0</v>
      </c>
      <c r="H27" s="461">
        <v>0.03</v>
      </c>
      <c r="I27" s="2914">
        <f t="shared" ca="1" si="19"/>
        <v>0</v>
      </c>
      <c r="J27" s="457">
        <f>(J26*H27)+J26</f>
        <v>0</v>
      </c>
      <c r="K27" s="457">
        <f t="shared" ca="1" si="20"/>
        <v>0</v>
      </c>
      <c r="L27" s="457">
        <f t="shared" ca="1" si="21"/>
        <v>0</v>
      </c>
      <c r="M27" s="2398">
        <f t="shared" ca="1" si="22"/>
        <v>0</v>
      </c>
      <c r="N27" s="2034">
        <f t="shared" ca="1" si="23"/>
        <v>0</v>
      </c>
      <c r="O27" s="2035">
        <f t="shared" ca="1" si="24"/>
        <v>0</v>
      </c>
      <c r="P27" s="2036">
        <f ca="1">P26+$AA$4</f>
        <v>0.54700000000000004</v>
      </c>
      <c r="Q27" s="2037">
        <f t="shared" ca="1" si="25"/>
        <v>0</v>
      </c>
      <c r="R27" s="1758">
        <f ca="1">R26+$AA$4</f>
        <v>0.54700000000000004</v>
      </c>
      <c r="S27" s="2038">
        <f t="shared" ca="1" si="26"/>
        <v>0</v>
      </c>
      <c r="T27" s="2403">
        <f t="shared" ca="1" si="27"/>
        <v>0</v>
      </c>
      <c r="U27" s="2404">
        <f t="shared" ca="1" si="28"/>
        <v>0</v>
      </c>
      <c r="V27" s="2054">
        <f>MAX(IF(OR('DATA INPUT'!$H$12=3),'DATA INPUT'!$K$12,0),
IF(OR('DATA INPUT'!$V$12=3),'DATA INPUT'!$Y$12,0),
IF(OR('DATA INPUT'!$AD$12=3),'DATA INPUT'!$AG$12,0))</f>
        <v>0</v>
      </c>
      <c r="W27" s="1604">
        <f t="shared" ca="1" si="29"/>
        <v>0</v>
      </c>
      <c r="X27" s="2058">
        <f t="shared" ca="1" si="30"/>
        <v>0</v>
      </c>
      <c r="Y27" s="1489">
        <f t="shared" ca="1" si="31"/>
        <v>0</v>
      </c>
      <c r="Z27" s="2056">
        <f t="shared" ca="1" si="32"/>
        <v>0.54700000000000004</v>
      </c>
      <c r="AA27" s="1490">
        <f t="shared" ca="1" si="33"/>
        <v>0</v>
      </c>
      <c r="AB27" s="2057">
        <f t="shared" ca="1" si="34"/>
        <v>0</v>
      </c>
      <c r="AC27" s="1"/>
    </row>
    <row r="28" spans="1:29" x14ac:dyDescent="0.25">
      <c r="A28" s="50">
        <v>4</v>
      </c>
      <c r="B28" s="540">
        <f>'DATA INPUT'!$L$8</f>
        <v>0</v>
      </c>
      <c r="C28" s="2030">
        <f ca="1">MAX(IF($F$20=12,0),
IF($F$20&lt;12,IF('DATA INPUT'!$H$12=1,'DATA INPUT'!$L$12)))</f>
        <v>0</v>
      </c>
      <c r="D28" s="2031">
        <f>MAX(IF(OR('DATA INPUT'!$H$12=2),'DATA INPUT'!$L$12,0),
IF(OR('DATA INPUT'!$V$12=2),'DATA INPUT'!$Z$12,0),
IF(OR('DATA INPUT'!$AD$12=2),'DATA INPUT'!$AH$12,0))</f>
        <v>0</v>
      </c>
      <c r="E28" s="493">
        <f t="shared" ca="1" si="17"/>
        <v>0</v>
      </c>
      <c r="F28" s="2032">
        <f t="shared" ca="1" si="18"/>
        <v>0</v>
      </c>
      <c r="G28" s="2033">
        <f t="shared" ca="1" si="18"/>
        <v>0</v>
      </c>
      <c r="H28" s="461">
        <v>0.03</v>
      </c>
      <c r="I28" s="2914">
        <f t="shared" ca="1" si="19"/>
        <v>0</v>
      </c>
      <c r="J28" s="457">
        <f>(J27*H28)+J27</f>
        <v>0</v>
      </c>
      <c r="K28" s="457">
        <f t="shared" ca="1" si="20"/>
        <v>0</v>
      </c>
      <c r="L28" s="457">
        <f t="shared" ca="1" si="21"/>
        <v>0</v>
      </c>
      <c r="M28" s="2398">
        <f t="shared" ca="1" si="22"/>
        <v>0</v>
      </c>
      <c r="N28" s="2034">
        <f t="shared" ca="1" si="23"/>
        <v>0</v>
      </c>
      <c r="O28" s="2035">
        <f t="shared" ca="1" si="24"/>
        <v>0</v>
      </c>
      <c r="P28" s="2036">
        <f ca="1">P27+$AA$4</f>
        <v>0.56700000000000006</v>
      </c>
      <c r="Q28" s="2037">
        <f t="shared" ca="1" si="25"/>
        <v>0</v>
      </c>
      <c r="R28" s="1758">
        <f ca="1">R27+$AA$4</f>
        <v>0.56700000000000006</v>
      </c>
      <c r="S28" s="2038">
        <f t="shared" ca="1" si="26"/>
        <v>0</v>
      </c>
      <c r="T28" s="2403">
        <f t="shared" ca="1" si="27"/>
        <v>0</v>
      </c>
      <c r="U28" s="2404">
        <f t="shared" ca="1" si="28"/>
        <v>0</v>
      </c>
      <c r="V28" s="2054">
        <f>MAX(IF(OR('DATA INPUT'!$H$12=3),'DATA INPUT'!$L$12,0),
IF(OR('DATA INPUT'!$V$12=3),'DATA INPUT'!$Z$12,0),
IF(OR('DATA INPUT'!$AD$12=3),'DATA INPUT'!$AH$12,0))</f>
        <v>0</v>
      </c>
      <c r="W28" s="1604">
        <f t="shared" ca="1" si="29"/>
        <v>0</v>
      </c>
      <c r="X28" s="2058">
        <f t="shared" ca="1" si="30"/>
        <v>0</v>
      </c>
      <c r="Y28" s="1489">
        <f t="shared" ca="1" si="31"/>
        <v>0</v>
      </c>
      <c r="Z28" s="2059">
        <f t="shared" ca="1" si="32"/>
        <v>0.56700000000000006</v>
      </c>
      <c r="AA28" s="1490">
        <f t="shared" ca="1" si="33"/>
        <v>0</v>
      </c>
      <c r="AB28" s="2063">
        <f t="shared" ca="1" si="34"/>
        <v>0</v>
      </c>
      <c r="AC28" s="335"/>
    </row>
    <row r="29" spans="1:29" x14ac:dyDescent="0.25">
      <c r="A29" s="50">
        <v>5</v>
      </c>
      <c r="B29" s="540">
        <f>'DATA INPUT'!$M$8</f>
        <v>0</v>
      </c>
      <c r="C29" s="2030">
        <f ca="1">MAX(IF($F$20=12,0),
IF($F$20&lt;12,IF('DATA INPUT'!$H$12=1,'DATA INPUT'!$M$12)))</f>
        <v>0</v>
      </c>
      <c r="D29" s="2031">
        <f>MAX(IF(OR('DATA INPUT'!$H$12=2),'DATA INPUT'!$M$12,0),
IF(OR('DATA INPUT'!$V$12=2),'DATA INPUT'!$AA$12,0),
IF(OR('DATA INPUT'!$AD$12=2),'DATA INPUT'!$AI$12,0))</f>
        <v>0</v>
      </c>
      <c r="E29" s="493">
        <f t="shared" ca="1" si="17"/>
        <v>0</v>
      </c>
      <c r="F29" s="2032">
        <f t="shared" ca="1" si="18"/>
        <v>0</v>
      </c>
      <c r="G29" s="2033">
        <f t="shared" ca="1" si="18"/>
        <v>0</v>
      </c>
      <c r="H29" s="461">
        <v>0.03</v>
      </c>
      <c r="I29" s="2914">
        <f t="shared" ca="1" si="19"/>
        <v>0</v>
      </c>
      <c r="J29" s="457">
        <f>(J28*H29)+J28</f>
        <v>0</v>
      </c>
      <c r="K29" s="457">
        <f t="shared" ca="1" si="20"/>
        <v>0</v>
      </c>
      <c r="L29" s="457">
        <f t="shared" ca="1" si="21"/>
        <v>0</v>
      </c>
      <c r="M29" s="2398">
        <f t="shared" ca="1" si="22"/>
        <v>0</v>
      </c>
      <c r="N29" s="2034">
        <f t="shared" ca="1" si="23"/>
        <v>0</v>
      </c>
      <c r="O29" s="2035">
        <f t="shared" ca="1" si="24"/>
        <v>0</v>
      </c>
      <c r="P29" s="2036">
        <f ca="1">P28+$AA$4</f>
        <v>0.58700000000000008</v>
      </c>
      <c r="Q29" s="2037">
        <f t="shared" ca="1" si="25"/>
        <v>0</v>
      </c>
      <c r="R29" s="1758">
        <f ca="1">R28+$AA$4</f>
        <v>0.58700000000000008</v>
      </c>
      <c r="S29" s="2038">
        <f t="shared" ca="1" si="26"/>
        <v>0</v>
      </c>
      <c r="T29" s="2403">
        <f t="shared" ca="1" si="27"/>
        <v>0</v>
      </c>
      <c r="U29" s="2404">
        <f t="shared" ca="1" si="28"/>
        <v>0</v>
      </c>
      <c r="V29" s="2054">
        <f>MAX(IF(OR('DATA INPUT'!$H$12=3),'DATA INPUT'!$M$12,0),
IF(OR('DATA INPUT'!$V$12=3),'DATA INPUT'!$AA$12,0),
IF(OR('DATA INPUT'!$AD$12=3),'DATA INPUT'!$AI$12,0))</f>
        <v>0</v>
      </c>
      <c r="W29" s="1604">
        <f t="shared" ca="1" si="29"/>
        <v>0</v>
      </c>
      <c r="X29" s="2058">
        <f t="shared" ca="1" si="30"/>
        <v>0</v>
      </c>
      <c r="Y29" s="1489">
        <f t="shared" ca="1" si="31"/>
        <v>0</v>
      </c>
      <c r="Z29" s="2056">
        <f t="shared" ca="1" si="32"/>
        <v>0.58700000000000008</v>
      </c>
      <c r="AA29" s="1490">
        <f t="shared" ca="1" si="33"/>
        <v>0</v>
      </c>
      <c r="AB29" s="2057">
        <f t="shared" ca="1" si="34"/>
        <v>0</v>
      </c>
    </row>
    <row r="30" spans="1:29" ht="15.75" thickBot="1" x14ac:dyDescent="0.3">
      <c r="A30" s="623">
        <v>6</v>
      </c>
      <c r="B30" s="1591">
        <f>'DATA INPUT'!$N$8</f>
        <v>0</v>
      </c>
      <c r="C30" s="2039">
        <f ca="1">MAX(IF($F$20=12,0),
IF($F$20&lt;12,IF('DATA INPUT'!$H$12=1,'DATA INPUT'!$N$12)))</f>
        <v>0</v>
      </c>
      <c r="D30" s="2040">
        <f>MAX(IF(OR('DATA INPUT'!$H$12=2),'DATA INPUT'!$N$12,0),
IF(OR('DATA INPUT'!$V$12=2),'DATA INPUT'!$AB$12,0),
IF(OR('DATA INPUT'!$AD$12=2),'DATA INPUT'!$AJ$12,0))</f>
        <v>0</v>
      </c>
      <c r="E30" s="628">
        <f t="shared" ca="1" si="17"/>
        <v>0</v>
      </c>
      <c r="F30" s="2041">
        <f t="shared" ca="1" si="18"/>
        <v>0</v>
      </c>
      <c r="G30" s="2042">
        <f t="shared" ca="1" si="18"/>
        <v>0</v>
      </c>
      <c r="H30" s="494">
        <v>0.03</v>
      </c>
      <c r="I30" s="2915">
        <f t="shared" ca="1" si="19"/>
        <v>0</v>
      </c>
      <c r="J30" s="495">
        <f>(J29*H30)+J29</f>
        <v>0</v>
      </c>
      <c r="K30" s="495">
        <f t="shared" ca="1" si="20"/>
        <v>0</v>
      </c>
      <c r="L30" s="495">
        <f t="shared" ca="1" si="21"/>
        <v>0</v>
      </c>
      <c r="M30" s="2399">
        <f t="shared" ca="1" si="22"/>
        <v>0</v>
      </c>
      <c r="N30" s="2044">
        <f t="shared" ca="1" si="23"/>
        <v>0</v>
      </c>
      <c r="O30" s="2045">
        <f t="shared" ca="1" si="24"/>
        <v>0</v>
      </c>
      <c r="P30" s="2046">
        <f ca="1">P29+$AA$4</f>
        <v>0.6070000000000001</v>
      </c>
      <c r="Q30" s="2047">
        <f t="shared" ca="1" si="25"/>
        <v>0</v>
      </c>
      <c r="R30" s="1759">
        <f ca="1">R29+$AA$4</f>
        <v>0.6070000000000001</v>
      </c>
      <c r="S30" s="2048">
        <f t="shared" ca="1" si="26"/>
        <v>0</v>
      </c>
      <c r="T30" s="2405">
        <f t="shared" ca="1" si="27"/>
        <v>0</v>
      </c>
      <c r="U30" s="2406">
        <f t="shared" ca="1" si="28"/>
        <v>0</v>
      </c>
      <c r="V30" s="2060">
        <f>MAX(IF(OR('DATA INPUT'!$H$12=3),'DATA INPUT'!$N$12,0),
IF(OR('DATA INPUT'!$V$12=3),'DATA INPUT'!$AB$12,0),
IF(OR('DATA INPUT'!$AD$12=3),'DATA INPUT'!$AJ$12,0))</f>
        <v>0</v>
      </c>
      <c r="W30" s="1906">
        <f t="shared" ca="1" si="29"/>
        <v>0</v>
      </c>
      <c r="X30" s="2061">
        <f t="shared" ca="1" si="30"/>
        <v>0</v>
      </c>
      <c r="Y30" s="1513">
        <f t="shared" ca="1" si="31"/>
        <v>0</v>
      </c>
      <c r="Z30" s="2062">
        <f t="shared" ca="1" si="32"/>
        <v>0.6070000000000001</v>
      </c>
      <c r="AA30" s="2043">
        <f t="shared" ca="1" si="33"/>
        <v>0</v>
      </c>
      <c r="AB30" s="2064">
        <f t="shared" ca="1" si="34"/>
        <v>0</v>
      </c>
    </row>
    <row r="31" spans="1:29" ht="15.75" thickBot="1" x14ac:dyDescent="0.3">
      <c r="A31" s="614" t="s">
        <v>85</v>
      </c>
      <c r="B31" s="1674">
        <f>SUM(B25:B30)</f>
        <v>12</v>
      </c>
      <c r="C31" s="2736">
        <f ca="1">SUM(C25:C30)</f>
        <v>0</v>
      </c>
      <c r="D31" s="2737">
        <f>SUM(D25:D30)</f>
        <v>0</v>
      </c>
      <c r="E31" s="2738">
        <f ca="1">IFERROR(SUM(C31+D31)/B31,0)*$F21</f>
        <v>0</v>
      </c>
      <c r="F31" s="2739">
        <f ca="1">SUM(F25:F30)</f>
        <v>0</v>
      </c>
      <c r="G31" s="2740">
        <f ca="1">SUM(G25:G30)</f>
        <v>0</v>
      </c>
      <c r="H31"/>
      <c r="I31"/>
      <c r="K31" s="60"/>
      <c r="N31" s="2734">
        <f ca="1">SUM(N25:N30)</f>
        <v>0</v>
      </c>
      <c r="O31" s="2735">
        <f ca="1">SUM(O25:O30)</f>
        <v>0</v>
      </c>
      <c r="Q31" s="1592">
        <f ca="1">SUM(Q25:Q30)</f>
        <v>0</v>
      </c>
      <c r="S31" s="1593">
        <f ca="1">SUM(S25:S30)</f>
        <v>0</v>
      </c>
      <c r="T31" s="60"/>
      <c r="U31" s="60"/>
      <c r="V31" s="1692">
        <f>SUM(V25:V30)</f>
        <v>0</v>
      </c>
      <c r="W31" s="1692">
        <f ca="1">SUM(W25:W30)</f>
        <v>0</v>
      </c>
      <c r="X31" s="2050">
        <f t="shared" ca="1" si="30"/>
        <v>0</v>
      </c>
      <c r="Y31" s="2051">
        <f ca="1">SUM(Y25:Y30)</f>
        <v>0</v>
      </c>
      <c r="AA31" s="2051">
        <f ca="1">SUM(AA25:AA30)</f>
        <v>0</v>
      </c>
      <c r="AB31" s="2051">
        <f ca="1">SUM(AB25:AB30)</f>
        <v>0</v>
      </c>
    </row>
    <row r="32" spans="1:29" x14ac:dyDescent="0.25">
      <c r="B32" s="3073" t="s">
        <v>1074</v>
      </c>
      <c r="C32" s="2065">
        <f ca="1">(C31+D31+V31)*F21</f>
        <v>0</v>
      </c>
      <c r="D32" s="496" t="s">
        <v>256</v>
      </c>
      <c r="E32" s="497"/>
      <c r="F32" s="498">
        <f ca="1">E31</f>
        <v>0</v>
      </c>
      <c r="G32" s="499" t="s">
        <v>701</v>
      </c>
      <c r="H32" s="500"/>
      <c r="I32" s="500"/>
      <c r="J32" s="498">
        <f ca="1">X31</f>
        <v>0</v>
      </c>
      <c r="K32" s="499" t="s">
        <v>702</v>
      </c>
      <c r="L32" s="500"/>
      <c r="W32"/>
      <c r="X32"/>
    </row>
    <row r="33" spans="1:29" ht="24" thickBot="1" x14ac:dyDescent="0.4">
      <c r="A33" s="2749">
        <f>A19+1</f>
        <v>3</v>
      </c>
      <c r="B33" s="2749"/>
    </row>
    <row r="34" spans="1:29" ht="15.75" thickBot="1" x14ac:dyDescent="0.3">
      <c r="A34" s="401" t="s">
        <v>104</v>
      </c>
      <c r="B34" s="2741">
        <f ca="1">OFFSET('DATA INPUT'!$B$11,($A33-1),0)</f>
        <v>0</v>
      </c>
      <c r="C34" s="2746"/>
      <c r="E34" s="1736" t="s">
        <v>81</v>
      </c>
      <c r="F34" s="2743">
        <f ca="1">OFFSET('DATA INPUT'!$G$11,($A33-1),0)</f>
        <v>9</v>
      </c>
      <c r="G34" s="2744"/>
      <c r="H34"/>
      <c r="I34"/>
      <c r="J34" s="1596" t="s">
        <v>257</v>
      </c>
      <c r="K34" s="2755"/>
      <c r="L34" s="1742">
        <f>'DATA INPUT'!E13</f>
        <v>0</v>
      </c>
      <c r="N34" s="1596" t="s">
        <v>525</v>
      </c>
      <c r="O34" s="1755" t="str">
        <f ca="1">OFFSET('DATA INPUT'!$D$11,($A33-1),0)</f>
        <v>Professional &amp; Academic Faculty</v>
      </c>
      <c r="P34" s="1735"/>
      <c r="Q34" s="64">
        <f>'DATA INPUT'!S13</f>
        <v>0</v>
      </c>
      <c r="R34" s="1718"/>
      <c r="S34" s="1719"/>
      <c r="T34" s="1598"/>
      <c r="U34" s="333"/>
      <c r="Y34" s="1"/>
      <c r="Z34" s="1"/>
      <c r="AA34" s="1"/>
      <c r="AB34" s="1"/>
      <c r="AC34" s="1"/>
    </row>
    <row r="35" spans="1:29" ht="15.75" thickBot="1" x14ac:dyDescent="0.3">
      <c r="A35" s="66" t="s">
        <v>80</v>
      </c>
      <c r="B35" s="2753">
        <f ca="1">OFFSET('DATA INPUT'!$C$11,($A33-1),0)</f>
        <v>0</v>
      </c>
      <c r="C35" s="2754"/>
      <c r="E35" s="1737" t="s">
        <v>82</v>
      </c>
      <c r="F35" s="2745">
        <f ca="1">OFFSET('DATA INPUT'!$F$11,($A33-1),0)</f>
        <v>1</v>
      </c>
      <c r="G35" s="2742"/>
      <c r="J35" s="66" t="s">
        <v>529</v>
      </c>
      <c r="K35" s="1741"/>
      <c r="L35" s="334">
        <f ca="1">IFERROR(L34/F34,0)</f>
        <v>0</v>
      </c>
      <c r="N35" s="1743" t="s">
        <v>530</v>
      </c>
      <c r="O35" s="1754">
        <f>'DATA INPUT'!T13</f>
        <v>0</v>
      </c>
      <c r="P35" s="514"/>
      <c r="Q35" s="66"/>
      <c r="R35" s="1715"/>
      <c r="S35" s="1713"/>
      <c r="T35" s="1746"/>
      <c r="U35" s="61"/>
      <c r="V35" s="401" t="s">
        <v>104</v>
      </c>
      <c r="W35" s="401">
        <f>'DATA INPUT'!$B$13</f>
        <v>0</v>
      </c>
      <c r="X35" s="1719"/>
      <c r="Y35" s="2235"/>
      <c r="Z35" s="2235"/>
      <c r="AA35" s="2235"/>
      <c r="AB35" s="2236"/>
      <c r="AC35" s="1"/>
    </row>
    <row r="36" spans="1:29" s="770" customFormat="1" ht="30" customHeight="1" thickBot="1" x14ac:dyDescent="0.3">
      <c r="A36" s="2751" t="s">
        <v>253</v>
      </c>
      <c r="B36" s="2750" t="s">
        <v>254</v>
      </c>
      <c r="C36" s="3529" t="s">
        <v>258</v>
      </c>
      <c r="D36" s="3530"/>
      <c r="E36" s="3531"/>
      <c r="F36" s="3529" t="s">
        <v>83</v>
      </c>
      <c r="G36" s="3531"/>
      <c r="H36" s="3529" t="s">
        <v>65</v>
      </c>
      <c r="I36" s="3544"/>
      <c r="J36" s="3544"/>
      <c r="K36" s="3544"/>
      <c r="L36" s="3544"/>
      <c r="M36" s="3545"/>
      <c r="N36" s="3529" t="s">
        <v>84</v>
      </c>
      <c r="O36" s="3531"/>
      <c r="P36" s="3529" t="s">
        <v>78</v>
      </c>
      <c r="Q36" s="3530"/>
      <c r="R36" s="3530"/>
      <c r="S36" s="3531"/>
      <c r="T36" s="3529" t="s">
        <v>87</v>
      </c>
      <c r="U36" s="3531"/>
      <c r="V36" s="3529" t="s">
        <v>623</v>
      </c>
      <c r="W36" s="3530"/>
      <c r="X36" s="3530"/>
      <c r="Y36" s="3530"/>
      <c r="Z36" s="3530"/>
      <c r="AA36" s="3530"/>
      <c r="AB36" s="3531"/>
      <c r="AC36" s="2618"/>
    </row>
    <row r="37" spans="1:29" ht="15.75" customHeight="1" x14ac:dyDescent="0.25">
      <c r="A37" s="2752"/>
      <c r="B37" s="2750"/>
      <c r="C37" s="3527" t="s">
        <v>252</v>
      </c>
      <c r="D37" s="2187" t="str">
        <f ca="1">IF($F$34=12,"CY","AY")</f>
        <v>AY</v>
      </c>
      <c r="E37" s="3444" t="s">
        <v>231</v>
      </c>
      <c r="F37" s="3525" t="s">
        <v>232</v>
      </c>
      <c r="G37" s="2185" t="str">
        <f ca="1">IF($F$34=12,"CY","AY")</f>
        <v>AY</v>
      </c>
      <c r="H37" s="3523" t="s">
        <v>86</v>
      </c>
      <c r="I37" s="3518" t="s">
        <v>922</v>
      </c>
      <c r="J37" s="2918" t="str">
        <f ca="1">IF(F34=12,"CY","AY")</f>
        <v>AY</v>
      </c>
      <c r="K37" s="3542" t="s">
        <v>485</v>
      </c>
      <c r="L37" s="3542" t="s">
        <v>255</v>
      </c>
      <c r="M37" s="3547" t="s">
        <v>66</v>
      </c>
      <c r="N37" s="3549" t="s">
        <v>64</v>
      </c>
      <c r="O37" s="3537" t="str">
        <f ca="1">IF($F$34=12,"CY","AY")</f>
        <v>AY</v>
      </c>
      <c r="P37" s="2014" t="s">
        <v>617</v>
      </c>
      <c r="Q37" s="2015">
        <f ca="1">IFERROR(VLOOKUP(O34,TableFringePool[],2,0),0)</f>
        <v>0.50700000000000001</v>
      </c>
      <c r="R37" s="2018" t="str">
        <f ca="1">IF($F$6=12,"CY Base % ","AY Base %")</f>
        <v xml:space="preserve">CY Base % </v>
      </c>
      <c r="S37" s="2016">
        <f ca="1">Q37</f>
        <v>0.50700000000000001</v>
      </c>
      <c r="T37" s="3539" t="s">
        <v>64</v>
      </c>
      <c r="U37" s="3537" t="str">
        <f ca="1">IF($F$34=12,"CY","AY")</f>
        <v>AY</v>
      </c>
      <c r="V37" s="3477" t="s">
        <v>618</v>
      </c>
      <c r="W37" s="3554" t="s">
        <v>619</v>
      </c>
      <c r="X37" s="3552" t="s">
        <v>620</v>
      </c>
      <c r="Y37" s="3560" t="s">
        <v>624</v>
      </c>
      <c r="Z37" s="2052" t="s">
        <v>621</v>
      </c>
      <c r="AA37" s="2053"/>
      <c r="AB37" s="3558" t="s">
        <v>625</v>
      </c>
      <c r="AC37" s="1"/>
    </row>
    <row r="38" spans="1:29" ht="15.6" customHeight="1" thickBot="1" x14ac:dyDescent="0.3">
      <c r="A38" s="2715"/>
      <c r="B38" s="2750"/>
      <c r="C38" s="3528"/>
      <c r="D38" s="2188" t="s">
        <v>636</v>
      </c>
      <c r="E38" s="3446"/>
      <c r="F38" s="3526"/>
      <c r="G38" s="2186" t="s">
        <v>637</v>
      </c>
      <c r="H38" s="3524"/>
      <c r="I38" s="3519"/>
      <c r="J38" s="2919" t="s">
        <v>1015</v>
      </c>
      <c r="K38" s="3543"/>
      <c r="L38" s="3543"/>
      <c r="M38" s="3548"/>
      <c r="N38" s="3550"/>
      <c r="O38" s="3538"/>
      <c r="P38" s="2010" t="s">
        <v>67</v>
      </c>
      <c r="Q38" s="1781" t="s">
        <v>68</v>
      </c>
      <c r="R38" s="2011" t="s">
        <v>67</v>
      </c>
      <c r="S38" s="2012" t="s">
        <v>68</v>
      </c>
      <c r="T38" s="3540"/>
      <c r="U38" s="3538"/>
      <c r="V38" s="3564"/>
      <c r="W38" s="3569"/>
      <c r="X38" s="3570"/>
      <c r="Y38" s="3565"/>
      <c r="Z38" s="2125" t="s">
        <v>622</v>
      </c>
      <c r="AA38" s="2126" t="s">
        <v>68</v>
      </c>
      <c r="AB38" s="3566"/>
      <c r="AC38" s="1"/>
    </row>
    <row r="39" spans="1:29" ht="15" customHeight="1" x14ac:dyDescent="0.25">
      <c r="A39" s="622">
        <v>1</v>
      </c>
      <c r="B39" s="782">
        <f>'DATA INPUT'!$I$8</f>
        <v>12</v>
      </c>
      <c r="C39" s="2021">
        <f ca="1">MAX(IF($F$34=12,0),
IF($F$34&lt;12,IF('DATA INPUT'!$H$13=1,'DATA INPUT'!$I$13)))</f>
        <v>0</v>
      </c>
      <c r="D39" s="2022">
        <f>MAX(IF(OR('DATA INPUT'!$H$13=2),'DATA INPUT'!$I$13,0),
IF(OR('DATA INPUT'!$V$13=2),'DATA INPUT'!$W$13,0),
IF(OR('DATA INPUT'!$AD$13=2,),'DATA INPUT'!$AE$13,0))</f>
        <v>0</v>
      </c>
      <c r="E39" s="491">
        <f t="shared" ref="E39:E44" ca="1" si="35">IFERROR(SUM(C39+D39)/B39,0)*$F$35</f>
        <v>0</v>
      </c>
      <c r="F39" s="2023">
        <f t="shared" ref="F39:G44" ca="1" si="36">C39*(2080/12)*$F$35</f>
        <v>0</v>
      </c>
      <c r="G39" s="2024">
        <f t="shared" ca="1" si="36"/>
        <v>0</v>
      </c>
      <c r="H39" s="2019">
        <v>0.03</v>
      </c>
      <c r="I39" s="2914">
        <f t="shared" ref="I39:I44" ca="1" si="37">IF($F$34&lt;12,K39*(12-$F$34),0)</f>
        <v>0</v>
      </c>
      <c r="J39" s="501">
        <f>(L34*H39)+L34</f>
        <v>0</v>
      </c>
      <c r="K39" s="501">
        <f t="shared" ref="K39:K44" ca="1" si="38">IFERROR(J39/$F$34,0)</f>
        <v>0</v>
      </c>
      <c r="L39" s="501">
        <f t="shared" ref="L39:L44" ca="1" si="39">IFERROR(J39/$F$34*$F$35,0)</f>
        <v>0</v>
      </c>
      <c r="M39" s="2397">
        <f t="shared" ref="M39:M44" ca="1" si="40">K39/(2080/12)</f>
        <v>0</v>
      </c>
      <c r="N39" s="2025">
        <f t="shared" ref="N39:N44" ca="1" si="41">MAX(IF($F$34=12,0),
IF($F$34&lt;12,C39*L39))</f>
        <v>0</v>
      </c>
      <c r="O39" s="2026">
        <f t="shared" ref="O39:O44" ca="1" si="42">(D39*L39)</f>
        <v>0</v>
      </c>
      <c r="P39" s="2027">
        <f ca="1">IF($V$4&lt;$U$4, $Q37, IF($V$4&gt;$X$4, $Q37+2*$AA$3, $Q37+$AA$3))</f>
        <v>0.50700000000000001</v>
      </c>
      <c r="Q39" s="2028">
        <f t="shared" ref="Q39:Q44" ca="1" si="43">IFERROR(P39*N39,0)</f>
        <v>0</v>
      </c>
      <c r="R39" s="2009">
        <f ca="1">IF($V$4&lt;$U$4, $Q37, IF($V$4&gt;$X$4, $Q37+2*$AA$3, $Q37+$AA$3))</f>
        <v>0.50700000000000001</v>
      </c>
      <c r="S39" s="2029">
        <f t="shared" ref="S39:S44" ca="1" si="44">R39*O39</f>
        <v>0</v>
      </c>
      <c r="T39" s="2401">
        <f t="shared" ref="T39:T44" ca="1" si="45">IFERROR((K39/(2080/12))+((K39*P39)/(2080/12)),"")</f>
        <v>0</v>
      </c>
      <c r="U39" s="2402">
        <f t="shared" ref="U39:U44" ca="1" si="46">(K39/(2080/12))+((K39*R39)/(2080/12))</f>
        <v>0</v>
      </c>
      <c r="V39" s="2130">
        <f>MAX(IF(OR('DATA INPUT'!$H$13=3),'DATA INPUT'!$I$13,0),
IF(OR('DATA INPUT'!$V$13=3),'DATA INPUT'!$W$13,0),
IF(OR('DATA INPUT'!$AD$13=3),'DATA INPUT'!$AE$13,0))</f>
        <v>0</v>
      </c>
      <c r="W39" s="1904">
        <f t="shared" ref="W39:W44" ca="1" si="47">V39*(2080/12)*$F$35</f>
        <v>0</v>
      </c>
      <c r="X39" s="2131">
        <f t="shared" ref="X39:X45" ca="1" si="48">IFERROR(V39/B39,0)*$F$35</f>
        <v>0</v>
      </c>
      <c r="Y39" s="1657">
        <f t="shared" ref="Y39:Y44" ca="1" si="49">V39*L39</f>
        <v>0</v>
      </c>
      <c r="Z39" s="2132">
        <f t="shared" ref="Z39:Z44" ca="1" si="50">R39</f>
        <v>0.50700000000000001</v>
      </c>
      <c r="AA39" s="2133">
        <f t="shared" ref="AA39:AA44" ca="1" si="51">Y39*Z39</f>
        <v>0</v>
      </c>
      <c r="AB39" s="2134">
        <f t="shared" ref="AB39:AB44" ca="1" si="52">SUM(Y39,AA39)</f>
        <v>0</v>
      </c>
      <c r="AC39" s="1"/>
    </row>
    <row r="40" spans="1:29" ht="15" customHeight="1" x14ac:dyDescent="0.25">
      <c r="A40" s="50">
        <v>2</v>
      </c>
      <c r="B40" s="540">
        <f>'DATA INPUT'!$J$8</f>
        <v>0</v>
      </c>
      <c r="C40" s="2030">
        <f ca="1">MAX(IF($F$34=12,0),
IF($F$34&lt;12,IF('DATA INPUT'!$H$13=1,'DATA INPUT'!$J$13)))</f>
        <v>0</v>
      </c>
      <c r="D40" s="2031">
        <f>MAX(IF(OR('DATA INPUT'!$H$13=2),'DATA INPUT'!$J$13,0),
IF(OR('DATA INPUT'!$V$13=2),'DATA INPUT'!$X$13,0),
IF(OR('DATA INPUT'!$AD$13=2),'DATA INPUT'!$AF$13,0))</f>
        <v>0</v>
      </c>
      <c r="E40" s="493">
        <f t="shared" ca="1" si="35"/>
        <v>0</v>
      </c>
      <c r="F40" s="2032">
        <f t="shared" ca="1" si="36"/>
        <v>0</v>
      </c>
      <c r="G40" s="2033">
        <f t="shared" ca="1" si="36"/>
        <v>0</v>
      </c>
      <c r="H40" s="461">
        <v>0.03</v>
      </c>
      <c r="I40" s="2914">
        <f t="shared" ca="1" si="37"/>
        <v>0</v>
      </c>
      <c r="J40" s="457">
        <f>(J39*H40)+J39</f>
        <v>0</v>
      </c>
      <c r="K40" s="457">
        <f t="shared" ca="1" si="38"/>
        <v>0</v>
      </c>
      <c r="L40" s="457">
        <f t="shared" ca="1" si="39"/>
        <v>0</v>
      </c>
      <c r="M40" s="2398">
        <f t="shared" ca="1" si="40"/>
        <v>0</v>
      </c>
      <c r="N40" s="2034">
        <f t="shared" ca="1" si="41"/>
        <v>0</v>
      </c>
      <c r="O40" s="2035">
        <f t="shared" ca="1" si="42"/>
        <v>0</v>
      </c>
      <c r="P40" s="2036">
        <f ca="1">P39+$AA$4</f>
        <v>0.52700000000000002</v>
      </c>
      <c r="Q40" s="2037">
        <f t="shared" ca="1" si="43"/>
        <v>0</v>
      </c>
      <c r="R40" s="1758">
        <f ca="1">R39+$AA$4</f>
        <v>0.52700000000000002</v>
      </c>
      <c r="S40" s="2038">
        <f t="shared" ca="1" si="44"/>
        <v>0</v>
      </c>
      <c r="T40" s="2403">
        <f t="shared" ca="1" si="45"/>
        <v>0</v>
      </c>
      <c r="U40" s="2404">
        <f t="shared" ca="1" si="46"/>
        <v>0</v>
      </c>
      <c r="V40" s="2054">
        <f>MAX(IF(OR('DATA INPUT'!$H$13=3),'DATA INPUT'!$J$13,0),
IF(OR('DATA INPUT'!$V$13=3),'DATA INPUT'!$X$13,0),
IF(OR('DATA INPUT'!$AD$13=3),'DATA INPUT'!$AF$13,0))</f>
        <v>0</v>
      </c>
      <c r="W40" s="1604">
        <f t="shared" ca="1" si="47"/>
        <v>0</v>
      </c>
      <c r="X40" s="2058">
        <f t="shared" ca="1" si="48"/>
        <v>0</v>
      </c>
      <c r="Y40" s="1489">
        <f t="shared" ca="1" si="49"/>
        <v>0</v>
      </c>
      <c r="Z40" s="2056">
        <f t="shared" ca="1" si="50"/>
        <v>0.52700000000000002</v>
      </c>
      <c r="AA40" s="1490">
        <f t="shared" ca="1" si="51"/>
        <v>0</v>
      </c>
      <c r="AB40" s="2057">
        <f t="shared" ca="1" si="52"/>
        <v>0</v>
      </c>
      <c r="AC40" s="1"/>
    </row>
    <row r="41" spans="1:29" ht="15" customHeight="1" x14ac:dyDescent="0.25">
      <c r="A41" s="50">
        <v>3</v>
      </c>
      <c r="B41" s="540">
        <f>'DATA INPUT'!$K$8</f>
        <v>0</v>
      </c>
      <c r="C41" s="2030">
        <f ca="1">MAX(IF($F$34=12,0),
IF($F$34&lt;12,IF('DATA INPUT'!$H$13=1,'DATA INPUT'!$K$13)))</f>
        <v>0</v>
      </c>
      <c r="D41" s="2031">
        <f>MAX(IF(OR('DATA INPUT'!$H$13=2),'DATA INPUT'!$K$13,0),
IF(OR('DATA INPUT'!$V$13=2),'DATA INPUT'!$Y$13,0),
IF(OR('DATA INPUT'!$AD$13=2),'DATA INPUT'!$AG$13,0))</f>
        <v>0</v>
      </c>
      <c r="E41" s="493">
        <f t="shared" ca="1" si="35"/>
        <v>0</v>
      </c>
      <c r="F41" s="2032">
        <f t="shared" ca="1" si="36"/>
        <v>0</v>
      </c>
      <c r="G41" s="2033">
        <f t="shared" ca="1" si="36"/>
        <v>0</v>
      </c>
      <c r="H41" s="461">
        <v>0.03</v>
      </c>
      <c r="I41" s="2914">
        <f t="shared" ca="1" si="37"/>
        <v>0</v>
      </c>
      <c r="J41" s="457">
        <f>(J40*H41)+J40</f>
        <v>0</v>
      </c>
      <c r="K41" s="457">
        <f t="shared" ca="1" si="38"/>
        <v>0</v>
      </c>
      <c r="L41" s="457">
        <f t="shared" ca="1" si="39"/>
        <v>0</v>
      </c>
      <c r="M41" s="2398">
        <f t="shared" ca="1" si="40"/>
        <v>0</v>
      </c>
      <c r="N41" s="2034">
        <f t="shared" ca="1" si="41"/>
        <v>0</v>
      </c>
      <c r="O41" s="2035">
        <f t="shared" ca="1" si="42"/>
        <v>0</v>
      </c>
      <c r="P41" s="2036">
        <f ca="1">P40+$AA$4</f>
        <v>0.54700000000000004</v>
      </c>
      <c r="Q41" s="2037">
        <f t="shared" ca="1" si="43"/>
        <v>0</v>
      </c>
      <c r="R41" s="1758">
        <f ca="1">R40+$AA$4</f>
        <v>0.54700000000000004</v>
      </c>
      <c r="S41" s="2038">
        <f t="shared" ca="1" si="44"/>
        <v>0</v>
      </c>
      <c r="T41" s="2403">
        <f t="shared" ca="1" si="45"/>
        <v>0</v>
      </c>
      <c r="U41" s="2404">
        <f t="shared" ca="1" si="46"/>
        <v>0</v>
      </c>
      <c r="V41" s="2054">
        <f>MAX(IF(OR('DATA INPUT'!$H$13=3),'DATA INPUT'!$K$13,0),
IF(OR('DATA INPUT'!$V$13=3),'DATA INPUT'!$Y$13,0),
IF(OR('DATA INPUT'!$AD$13=3),'DATA INPUT'!$AG$13,0))</f>
        <v>0</v>
      </c>
      <c r="W41" s="1604">
        <f t="shared" ca="1" si="47"/>
        <v>0</v>
      </c>
      <c r="X41" s="2058">
        <f t="shared" ca="1" si="48"/>
        <v>0</v>
      </c>
      <c r="Y41" s="1489">
        <f t="shared" ca="1" si="49"/>
        <v>0</v>
      </c>
      <c r="Z41" s="2056">
        <f t="shared" ca="1" si="50"/>
        <v>0.54700000000000004</v>
      </c>
      <c r="AA41" s="1490">
        <f t="shared" ca="1" si="51"/>
        <v>0</v>
      </c>
      <c r="AB41" s="2057">
        <f t="shared" ca="1" si="52"/>
        <v>0</v>
      </c>
      <c r="AC41" s="1"/>
    </row>
    <row r="42" spans="1:29" ht="15" customHeight="1" x14ac:dyDescent="0.25">
      <c r="A42" s="50">
        <v>4</v>
      </c>
      <c r="B42" s="540">
        <f>'DATA INPUT'!$L$8</f>
        <v>0</v>
      </c>
      <c r="C42" s="2030">
        <f ca="1">MAX(IF($F$34=12,0),
IF($F$34&lt;12,IF('DATA INPUT'!$H$13=1,'DATA INPUT'!$L$13)))</f>
        <v>0</v>
      </c>
      <c r="D42" s="2031">
        <f>MAX(IF(OR('DATA INPUT'!$H$13=2),'DATA INPUT'!$L$13,0),
IF(OR('DATA INPUT'!$V$13=2),'DATA INPUT'!$Z$13,0),
IF(OR('DATA INPUT'!$AD$13=2),'DATA INPUT'!$AH$13,0))</f>
        <v>0</v>
      </c>
      <c r="E42" s="493">
        <f t="shared" ca="1" si="35"/>
        <v>0</v>
      </c>
      <c r="F42" s="2032">
        <f t="shared" ca="1" si="36"/>
        <v>0</v>
      </c>
      <c r="G42" s="2033">
        <f t="shared" ca="1" si="36"/>
        <v>0</v>
      </c>
      <c r="H42" s="461">
        <v>0.03</v>
      </c>
      <c r="I42" s="2914">
        <f t="shared" ca="1" si="37"/>
        <v>0</v>
      </c>
      <c r="J42" s="457">
        <f>(J41*H42)+J41</f>
        <v>0</v>
      </c>
      <c r="K42" s="457">
        <f t="shared" ca="1" si="38"/>
        <v>0</v>
      </c>
      <c r="L42" s="457">
        <f t="shared" ca="1" si="39"/>
        <v>0</v>
      </c>
      <c r="M42" s="2398">
        <f t="shared" ca="1" si="40"/>
        <v>0</v>
      </c>
      <c r="N42" s="2034">
        <f t="shared" ca="1" si="41"/>
        <v>0</v>
      </c>
      <c r="O42" s="2035">
        <f t="shared" ca="1" si="42"/>
        <v>0</v>
      </c>
      <c r="P42" s="2036">
        <f ca="1">P41+$AA$4</f>
        <v>0.56700000000000006</v>
      </c>
      <c r="Q42" s="2037">
        <f t="shared" ca="1" si="43"/>
        <v>0</v>
      </c>
      <c r="R42" s="1758">
        <f ca="1">R41+$AA$4</f>
        <v>0.56700000000000006</v>
      </c>
      <c r="S42" s="2038">
        <f t="shared" ca="1" si="44"/>
        <v>0</v>
      </c>
      <c r="T42" s="2403">
        <f t="shared" ca="1" si="45"/>
        <v>0</v>
      </c>
      <c r="U42" s="2404">
        <f t="shared" ca="1" si="46"/>
        <v>0</v>
      </c>
      <c r="V42" s="2054">
        <f>MAX(IF(OR('DATA INPUT'!$H$13=3),'DATA INPUT'!$L$13,0),
IF(OR('DATA INPUT'!$V$13=3),'DATA INPUT'!$Z$13,0),
IF(OR('DATA INPUT'!$AD$13=3),'DATA INPUT'!$AH$13,0))</f>
        <v>0</v>
      </c>
      <c r="W42" s="1604">
        <f t="shared" ca="1" si="47"/>
        <v>0</v>
      </c>
      <c r="X42" s="2058">
        <f t="shared" ca="1" si="48"/>
        <v>0</v>
      </c>
      <c r="Y42" s="1489">
        <f t="shared" ca="1" si="49"/>
        <v>0</v>
      </c>
      <c r="Z42" s="2059">
        <f t="shared" ca="1" si="50"/>
        <v>0.56700000000000006</v>
      </c>
      <c r="AA42" s="1490">
        <f t="shared" ca="1" si="51"/>
        <v>0</v>
      </c>
      <c r="AB42" s="2063">
        <f t="shared" ca="1" si="52"/>
        <v>0</v>
      </c>
      <c r="AC42" s="335"/>
    </row>
    <row r="43" spans="1:29" ht="15" customHeight="1" x14ac:dyDescent="0.25">
      <c r="A43" s="50">
        <v>5</v>
      </c>
      <c r="B43" s="540">
        <f>'DATA INPUT'!$M$8</f>
        <v>0</v>
      </c>
      <c r="C43" s="2030">
        <f ca="1">MAX(IF($F$34=12,0),
IF($F$34&lt;12,IF('DATA INPUT'!$H$13=1,'DATA INPUT'!$M$13)))</f>
        <v>0</v>
      </c>
      <c r="D43" s="2031">
        <f>MAX(IF(OR('DATA INPUT'!$H$13=2),'DATA INPUT'!$M$13,0),
IF(OR('DATA INPUT'!$V$13=2),'DATA INPUT'!$AA$13,0),
IF(OR('DATA INPUT'!$AD$13=2),'DATA INPUT'!$AI$13,0))</f>
        <v>0</v>
      </c>
      <c r="E43" s="493">
        <f t="shared" ca="1" si="35"/>
        <v>0</v>
      </c>
      <c r="F43" s="2032">
        <f t="shared" ca="1" si="36"/>
        <v>0</v>
      </c>
      <c r="G43" s="2033">
        <f t="shared" ca="1" si="36"/>
        <v>0</v>
      </c>
      <c r="H43" s="461">
        <v>0.03</v>
      </c>
      <c r="I43" s="2914">
        <f t="shared" ca="1" si="37"/>
        <v>0</v>
      </c>
      <c r="J43" s="457">
        <f>(J42*H43)+J42</f>
        <v>0</v>
      </c>
      <c r="K43" s="457">
        <f t="shared" ca="1" si="38"/>
        <v>0</v>
      </c>
      <c r="L43" s="457">
        <f t="shared" ca="1" si="39"/>
        <v>0</v>
      </c>
      <c r="M43" s="2398">
        <f t="shared" ca="1" si="40"/>
        <v>0</v>
      </c>
      <c r="N43" s="2034">
        <f t="shared" ca="1" si="41"/>
        <v>0</v>
      </c>
      <c r="O43" s="2035">
        <f t="shared" ca="1" si="42"/>
        <v>0</v>
      </c>
      <c r="P43" s="2036">
        <f ca="1">P42+$AA$4</f>
        <v>0.58700000000000008</v>
      </c>
      <c r="Q43" s="2037">
        <f t="shared" ca="1" si="43"/>
        <v>0</v>
      </c>
      <c r="R43" s="1758">
        <f ca="1">R42+$AA$4</f>
        <v>0.58700000000000008</v>
      </c>
      <c r="S43" s="2038">
        <f t="shared" ca="1" si="44"/>
        <v>0</v>
      </c>
      <c r="T43" s="2403">
        <f t="shared" ca="1" si="45"/>
        <v>0</v>
      </c>
      <c r="U43" s="2404">
        <f t="shared" ca="1" si="46"/>
        <v>0</v>
      </c>
      <c r="V43" s="2054">
        <f>MAX(IF(OR('DATA INPUT'!$H$13=3),'DATA INPUT'!$M$13,0),
IF(OR('DATA INPUT'!$V$13=3),'DATA INPUT'!$AA$13,0),
IF(OR('DATA INPUT'!$AD$13=3),'DATA INPUT'!$AI$13,0))</f>
        <v>0</v>
      </c>
      <c r="W43" s="1604">
        <f t="shared" ca="1" si="47"/>
        <v>0</v>
      </c>
      <c r="X43" s="2058">
        <f t="shared" ca="1" si="48"/>
        <v>0</v>
      </c>
      <c r="Y43" s="1489">
        <f t="shared" ca="1" si="49"/>
        <v>0</v>
      </c>
      <c r="Z43" s="2056">
        <f t="shared" ca="1" si="50"/>
        <v>0.58700000000000008</v>
      </c>
      <c r="AA43" s="1490">
        <f t="shared" ca="1" si="51"/>
        <v>0</v>
      </c>
      <c r="AB43" s="2057">
        <f t="shared" ca="1" si="52"/>
        <v>0</v>
      </c>
    </row>
    <row r="44" spans="1:29" ht="15" customHeight="1" thickBot="1" x14ac:dyDescent="0.3">
      <c r="A44" s="623">
        <v>6</v>
      </c>
      <c r="B44" s="1591">
        <f>'DATA INPUT'!$N$8</f>
        <v>0</v>
      </c>
      <c r="C44" s="2039">
        <f ca="1">MAX(IF($F$34=12,0),
IF($F$34&lt;12,IF('DATA INPUT'!$H$13=1,'DATA INPUT'!$N$13)))</f>
        <v>0</v>
      </c>
      <c r="D44" s="2040">
        <f>MAX(IF(OR('DATA INPUT'!$H$13=2),'DATA INPUT'!$N$13,0),
IF(OR('DATA INPUT'!$V$13=2),'DATA INPUT'!$AB$13,0),
IF(OR('DATA INPUT'!$AD$13=2),'DATA INPUT'!$AJ$13,0))</f>
        <v>0</v>
      </c>
      <c r="E44" s="628">
        <f t="shared" ca="1" si="35"/>
        <v>0</v>
      </c>
      <c r="F44" s="2041">
        <f t="shared" ca="1" si="36"/>
        <v>0</v>
      </c>
      <c r="G44" s="2042">
        <f t="shared" ca="1" si="36"/>
        <v>0</v>
      </c>
      <c r="H44" s="494">
        <v>0.03</v>
      </c>
      <c r="I44" s="2915">
        <f t="shared" ca="1" si="37"/>
        <v>0</v>
      </c>
      <c r="J44" s="495">
        <f>(J43*H44)+J43</f>
        <v>0</v>
      </c>
      <c r="K44" s="495">
        <f t="shared" ca="1" si="38"/>
        <v>0</v>
      </c>
      <c r="L44" s="495">
        <f t="shared" ca="1" si="39"/>
        <v>0</v>
      </c>
      <c r="M44" s="2399">
        <f t="shared" ca="1" si="40"/>
        <v>0</v>
      </c>
      <c r="N44" s="2044">
        <f t="shared" ca="1" si="41"/>
        <v>0</v>
      </c>
      <c r="O44" s="2045">
        <f t="shared" ca="1" si="42"/>
        <v>0</v>
      </c>
      <c r="P44" s="2046">
        <f ca="1">P43+$AA$4</f>
        <v>0.6070000000000001</v>
      </c>
      <c r="Q44" s="2047">
        <f t="shared" ca="1" si="43"/>
        <v>0</v>
      </c>
      <c r="R44" s="1759">
        <f ca="1">R43+$AA$4</f>
        <v>0.6070000000000001</v>
      </c>
      <c r="S44" s="2048">
        <f t="shared" ca="1" si="44"/>
        <v>0</v>
      </c>
      <c r="T44" s="2405">
        <f t="shared" ca="1" si="45"/>
        <v>0</v>
      </c>
      <c r="U44" s="2406">
        <f t="shared" ca="1" si="46"/>
        <v>0</v>
      </c>
      <c r="V44" s="2060">
        <f>MAX(IF(OR('DATA INPUT'!$H$13=3),'DATA INPUT'!$N$13,0),
IF(OR('DATA INPUT'!$V$13=3),'DATA INPUT'!$AB$13,0),
IF(OR('DATA INPUT'!$AD$13=3),'DATA INPUT'!$AJ$13,0))</f>
        <v>0</v>
      </c>
      <c r="W44" s="1906">
        <f t="shared" ca="1" si="47"/>
        <v>0</v>
      </c>
      <c r="X44" s="2061">
        <f t="shared" ca="1" si="48"/>
        <v>0</v>
      </c>
      <c r="Y44" s="1513">
        <f t="shared" ca="1" si="49"/>
        <v>0</v>
      </c>
      <c r="Z44" s="2062">
        <f t="shared" ca="1" si="50"/>
        <v>0.6070000000000001</v>
      </c>
      <c r="AA44" s="2043">
        <f t="shared" ca="1" si="51"/>
        <v>0</v>
      </c>
      <c r="AB44" s="2064">
        <f t="shared" ca="1" si="52"/>
        <v>0</v>
      </c>
    </row>
    <row r="45" spans="1:29" ht="15.75" thickBot="1" x14ac:dyDescent="0.3">
      <c r="A45" s="614" t="s">
        <v>85</v>
      </c>
      <c r="B45" s="1674">
        <f>SUM(B39:B44)</f>
        <v>12</v>
      </c>
      <c r="C45" s="2736">
        <f ca="1">SUM(C39:C44)</f>
        <v>0</v>
      </c>
      <c r="D45" s="2737">
        <f>SUM(D39:D44)</f>
        <v>0</v>
      </c>
      <c r="E45" s="2738">
        <f ca="1">IFERROR(SUM(C45+D45)/B45,0)*$F35</f>
        <v>0</v>
      </c>
      <c r="F45" s="2739">
        <f ca="1">SUM(F39:F44)</f>
        <v>0</v>
      </c>
      <c r="G45" s="2740">
        <f ca="1">SUM(G39:G44)</f>
        <v>0</v>
      </c>
      <c r="H45"/>
      <c r="I45"/>
      <c r="K45" s="60"/>
      <c r="N45" s="2734">
        <f ca="1">SUM(N39:N44)</f>
        <v>0</v>
      </c>
      <c r="O45" s="2735">
        <f ca="1">SUM(O39:O44)</f>
        <v>0</v>
      </c>
      <c r="Q45" s="1592">
        <f ca="1">SUM(Q39:Q44)</f>
        <v>0</v>
      </c>
      <c r="S45" s="1593">
        <f ca="1">SUM(S39:S44)</f>
        <v>0</v>
      </c>
      <c r="T45" s="60"/>
      <c r="U45" s="60"/>
      <c r="V45" s="1692">
        <f>SUM(V39:V44)</f>
        <v>0</v>
      </c>
      <c r="W45" s="1692">
        <f ca="1">SUM(W39:W44)</f>
        <v>0</v>
      </c>
      <c r="X45" s="2050">
        <f t="shared" ca="1" si="48"/>
        <v>0</v>
      </c>
      <c r="Y45" s="2051">
        <f ca="1">SUM(Y39:Y44)</f>
        <v>0</v>
      </c>
      <c r="AA45" s="2051">
        <f ca="1">SUM(AA39:AA44)</f>
        <v>0</v>
      </c>
      <c r="AB45" s="2051">
        <f ca="1">SUM(AB39:AB44)</f>
        <v>0</v>
      </c>
    </row>
    <row r="46" spans="1:29" x14ac:dyDescent="0.25">
      <c r="B46" s="3073" t="s">
        <v>1074</v>
      </c>
      <c r="C46" s="2065">
        <f ca="1">(C45+D45+V45)*F35</f>
        <v>0</v>
      </c>
      <c r="D46" s="496" t="s">
        <v>256</v>
      </c>
      <c r="E46" s="497"/>
      <c r="F46" s="498">
        <f ca="1">E45</f>
        <v>0</v>
      </c>
      <c r="G46" s="499" t="s">
        <v>701</v>
      </c>
      <c r="H46" s="500"/>
      <c r="I46" s="500"/>
      <c r="J46" s="498">
        <f ca="1">X45</f>
        <v>0</v>
      </c>
      <c r="K46" s="499" t="s">
        <v>702</v>
      </c>
      <c r="L46" s="500"/>
      <c r="W46"/>
      <c r="X46"/>
    </row>
    <row r="47" spans="1:29" ht="24" customHeight="1" thickBot="1" x14ac:dyDescent="0.4">
      <c r="A47" s="2749">
        <f>A33+1</f>
        <v>4</v>
      </c>
      <c r="B47" s="2749"/>
    </row>
    <row r="48" spans="1:29" ht="15" customHeight="1" thickBot="1" x14ac:dyDescent="0.3">
      <c r="A48" s="401" t="s">
        <v>104</v>
      </c>
      <c r="B48" s="2741">
        <f ca="1">OFFSET('DATA INPUT'!$B$11,($A47-1),0)</f>
        <v>0</v>
      </c>
      <c r="C48" s="2746"/>
      <c r="E48" s="1736" t="s">
        <v>81</v>
      </c>
      <c r="F48" s="2743">
        <f ca="1">OFFSET('DATA INPUT'!$G$11,($A47-1),0)</f>
        <v>9</v>
      </c>
      <c r="G48" s="2744"/>
      <c r="H48"/>
      <c r="I48"/>
      <c r="J48" s="1596" t="s">
        <v>257</v>
      </c>
      <c r="K48" s="2755"/>
      <c r="L48" s="1742">
        <f>'DATA INPUT'!E14</f>
        <v>0</v>
      </c>
      <c r="N48" s="1596" t="s">
        <v>525</v>
      </c>
      <c r="O48" s="1755" t="str">
        <f ca="1">OFFSET('DATA INPUT'!$D$11,($A47-1),0)</f>
        <v>Professional &amp; Academic Faculty</v>
      </c>
      <c r="Q48" s="64">
        <f>'DATA INPUT'!S14</f>
        <v>0</v>
      </c>
      <c r="R48" s="1718"/>
      <c r="S48" s="1719"/>
      <c r="T48" s="1598"/>
      <c r="U48" s="333"/>
      <c r="Y48" s="1"/>
      <c r="Z48" s="1"/>
      <c r="AA48" s="1"/>
      <c r="AB48" s="1"/>
      <c r="AC48" s="1"/>
    </row>
    <row r="49" spans="1:29" ht="15" customHeight="1" thickBot="1" x14ac:dyDescent="0.3">
      <c r="A49" s="1737" t="s">
        <v>80</v>
      </c>
      <c r="B49" s="2753">
        <f ca="1">OFFSET('DATA INPUT'!$C$11,($A47-1),0)</f>
        <v>0</v>
      </c>
      <c r="C49" s="2754"/>
      <c r="E49" s="2617" t="s">
        <v>82</v>
      </c>
      <c r="F49" s="2745">
        <f ca="1">OFFSET('DATA INPUT'!$F$11,($A47-1),0)</f>
        <v>1</v>
      </c>
      <c r="G49" s="2742"/>
      <c r="J49" s="66" t="s">
        <v>529</v>
      </c>
      <c r="K49" s="1741"/>
      <c r="L49" s="334">
        <f ca="1">IFERROR(L48/F48,0)</f>
        <v>0</v>
      </c>
      <c r="N49" s="1743" t="s">
        <v>530</v>
      </c>
      <c r="O49" s="1754">
        <f>'DATA INPUT'!T14</f>
        <v>0</v>
      </c>
      <c r="Q49" s="66"/>
      <c r="R49" s="1715"/>
      <c r="S49" s="1713"/>
      <c r="T49" s="1746"/>
      <c r="U49" s="61"/>
      <c r="V49" s="401" t="s">
        <v>104</v>
      </c>
      <c r="W49" s="401">
        <f>'DATA INPUT'!$B$14</f>
        <v>0</v>
      </c>
      <c r="X49" s="1719"/>
      <c r="Y49" s="2235"/>
      <c r="Z49" s="2235"/>
      <c r="AA49" s="2235"/>
      <c r="AB49" s="2236"/>
      <c r="AC49" s="1"/>
    </row>
    <row r="50" spans="1:29" s="770" customFormat="1" ht="30" customHeight="1" thickBot="1" x14ac:dyDescent="0.3">
      <c r="A50" s="2751" t="s">
        <v>253</v>
      </c>
      <c r="B50" s="2750" t="s">
        <v>254</v>
      </c>
      <c r="C50" s="3529" t="s">
        <v>258</v>
      </c>
      <c r="D50" s="3530"/>
      <c r="E50" s="3531"/>
      <c r="F50" s="3529" t="s">
        <v>83</v>
      </c>
      <c r="G50" s="3531"/>
      <c r="H50" s="3529" t="s">
        <v>65</v>
      </c>
      <c r="I50" s="3544"/>
      <c r="J50" s="3544"/>
      <c r="K50" s="3544"/>
      <c r="L50" s="3544"/>
      <c r="M50" s="3545"/>
      <c r="N50" s="3529" t="s">
        <v>84</v>
      </c>
      <c r="O50" s="3531"/>
      <c r="P50" s="3529" t="s">
        <v>78</v>
      </c>
      <c r="Q50" s="3530"/>
      <c r="R50" s="3530"/>
      <c r="S50" s="3531"/>
      <c r="T50" s="3529" t="s">
        <v>87</v>
      </c>
      <c r="U50" s="3531"/>
      <c r="V50" s="3529" t="s">
        <v>623</v>
      </c>
      <c r="W50" s="3530"/>
      <c r="X50" s="3530"/>
      <c r="Y50" s="3530"/>
      <c r="Z50" s="3530"/>
      <c r="AA50" s="3530"/>
      <c r="AB50" s="3531"/>
      <c r="AC50" s="2619"/>
    </row>
    <row r="51" spans="1:29" ht="15.75" customHeight="1" x14ac:dyDescent="0.25">
      <c r="A51" s="2752"/>
      <c r="B51" s="2750"/>
      <c r="C51" s="3527" t="s">
        <v>252</v>
      </c>
      <c r="D51" s="2187" t="str">
        <f ca="1">IF($F$48=12,"CY","AY")</f>
        <v>AY</v>
      </c>
      <c r="E51" s="3444" t="s">
        <v>231</v>
      </c>
      <c r="F51" s="3525" t="s">
        <v>232</v>
      </c>
      <c r="G51" s="2185" t="str">
        <f ca="1">IF($F$48=12,"CY","AY")</f>
        <v>AY</v>
      </c>
      <c r="H51" s="3523" t="s">
        <v>86</v>
      </c>
      <c r="I51" s="3518" t="s">
        <v>922</v>
      </c>
      <c r="J51" s="2918" t="str">
        <f ca="1">IF(F48=12,"CY","AY")</f>
        <v>AY</v>
      </c>
      <c r="K51" s="3542" t="s">
        <v>485</v>
      </c>
      <c r="L51" s="3542" t="s">
        <v>255</v>
      </c>
      <c r="M51" s="3547" t="s">
        <v>66</v>
      </c>
      <c r="N51" s="3549" t="s">
        <v>64</v>
      </c>
      <c r="O51" s="3537" t="str">
        <f ca="1">IF($F$48=12,"CY","AY")</f>
        <v>AY</v>
      </c>
      <c r="P51" s="2014" t="s">
        <v>617</v>
      </c>
      <c r="Q51" s="2015">
        <f ca="1">IFERROR(VLOOKUP(O48,TableFringePool[],2,0),0)</f>
        <v>0.50700000000000001</v>
      </c>
      <c r="R51" s="2018" t="str">
        <f ca="1">IF($F$6=12,"CY Base % ","AY Base %")</f>
        <v xml:space="preserve">CY Base % </v>
      </c>
      <c r="S51" s="2016">
        <f ca="1">Q51</f>
        <v>0.50700000000000001</v>
      </c>
      <c r="T51" s="3539" t="s">
        <v>64</v>
      </c>
      <c r="U51" s="3537" t="str">
        <f ca="1">IF($F$48=12,"CY","AY")</f>
        <v>AY</v>
      </c>
      <c r="V51" s="3477" t="s">
        <v>618</v>
      </c>
      <c r="W51" s="3554" t="s">
        <v>619</v>
      </c>
      <c r="X51" s="3552" t="s">
        <v>620</v>
      </c>
      <c r="Y51" s="3560" t="s">
        <v>624</v>
      </c>
      <c r="Z51" s="2052" t="s">
        <v>621</v>
      </c>
      <c r="AA51" s="2053"/>
      <c r="AB51" s="3558" t="s">
        <v>625</v>
      </c>
      <c r="AC51" s="504"/>
    </row>
    <row r="52" spans="1:29" ht="16.350000000000001" customHeight="1" thickBot="1" x14ac:dyDescent="0.3">
      <c r="A52" s="2715"/>
      <c r="B52" s="2750"/>
      <c r="C52" s="3528"/>
      <c r="D52" s="2188" t="s">
        <v>636</v>
      </c>
      <c r="E52" s="3446"/>
      <c r="F52" s="3526"/>
      <c r="G52" s="2186" t="s">
        <v>637</v>
      </c>
      <c r="H52" s="3524"/>
      <c r="I52" s="3519"/>
      <c r="J52" s="2919" t="s">
        <v>1015</v>
      </c>
      <c r="K52" s="3543"/>
      <c r="L52" s="3543"/>
      <c r="M52" s="3548"/>
      <c r="N52" s="3550"/>
      <c r="O52" s="3538"/>
      <c r="P52" s="2010" t="s">
        <v>67</v>
      </c>
      <c r="Q52" s="1781" t="s">
        <v>68</v>
      </c>
      <c r="R52" s="2011" t="s">
        <v>67</v>
      </c>
      <c r="S52" s="2012" t="s">
        <v>68</v>
      </c>
      <c r="T52" s="3540"/>
      <c r="U52" s="3538"/>
      <c r="V52" s="3564"/>
      <c r="W52" s="3569"/>
      <c r="X52" s="3570"/>
      <c r="Y52" s="3565"/>
      <c r="Z52" s="2125" t="s">
        <v>622</v>
      </c>
      <c r="AA52" s="2126" t="s">
        <v>68</v>
      </c>
      <c r="AB52" s="3566"/>
      <c r="AC52" s="504"/>
    </row>
    <row r="53" spans="1:29" ht="15.6" customHeight="1" x14ac:dyDescent="0.25">
      <c r="A53" s="622">
        <v>1</v>
      </c>
      <c r="B53" s="782">
        <f>'DATA INPUT'!$I$8</f>
        <v>12</v>
      </c>
      <c r="C53" s="2021">
        <f ca="1">MAX(IF($F$48=12,0),
IF($F$48&lt;12,IF('DATA INPUT'!$H$14=1,'DATA INPUT'!$I$14)))</f>
        <v>0</v>
      </c>
      <c r="D53" s="2022">
        <f>MAX(IF(OR('DATA INPUT'!$H$14=2),'DATA INPUT'!$I$14,0),
IF(OR('DATA INPUT'!$V$14=2),'DATA INPUT'!$W$14,0),
IF(OR('DATA INPUT'!$AD$14=2,),'DATA INPUT'!$AE$14,0))</f>
        <v>0</v>
      </c>
      <c r="E53" s="491">
        <f t="shared" ref="E53:E58" ca="1" si="53">IFERROR(SUM(C53+D53)/B53,0)*$F$49</f>
        <v>0</v>
      </c>
      <c r="F53" s="2023">
        <f t="shared" ref="F53:G58" ca="1" si="54">C53*(2080/12)*$F$49</f>
        <v>0</v>
      </c>
      <c r="G53" s="2024">
        <f t="shared" ca="1" si="54"/>
        <v>0</v>
      </c>
      <c r="H53" s="2019">
        <v>0.03</v>
      </c>
      <c r="I53" s="2914">
        <f t="shared" ref="I53:I58" ca="1" si="55">IF($F$48&lt;12,K53*(12-$F$48),0)</f>
        <v>0</v>
      </c>
      <c r="J53" s="501">
        <f>(L48*H53)+L48</f>
        <v>0</v>
      </c>
      <c r="K53" s="501">
        <f t="shared" ref="K53:K58" ca="1" si="56">IFERROR(J53/$F$48,0)</f>
        <v>0</v>
      </c>
      <c r="L53" s="501">
        <f t="shared" ref="L53:L58" ca="1" si="57">IFERROR(J53/$F$48*$F$49,0)</f>
        <v>0</v>
      </c>
      <c r="M53" s="2397">
        <f t="shared" ref="M53:M58" ca="1" si="58">K53/(2080/12)</f>
        <v>0</v>
      </c>
      <c r="N53" s="2025">
        <f ca="1">MAX(IF($F$48=12,0),
IF($F$48&lt;12,C53*L53))</f>
        <v>0</v>
      </c>
      <c r="O53" s="2026">
        <f t="shared" ref="O53:O58" ca="1" si="59">(D53*L53)</f>
        <v>0</v>
      </c>
      <c r="P53" s="2027">
        <f ca="1">IF($V$4&lt;$U$4, $Q51, IF($V$4&gt;$X$4, $Q51+2*$AA$3, $Q51+$AA$3))</f>
        <v>0.50700000000000001</v>
      </c>
      <c r="Q53" s="2028">
        <f t="shared" ref="Q53:Q58" ca="1" si="60">IFERROR(P53*N53,0)</f>
        <v>0</v>
      </c>
      <c r="R53" s="2009">
        <f ca="1">IF($V$4&lt;$U$4, $Q51, IF($V$4&gt;$X$4, $Q51+2*$AA$3, $Q51+$AA$3))</f>
        <v>0.50700000000000001</v>
      </c>
      <c r="S53" s="2029">
        <f t="shared" ref="S53:S58" ca="1" si="61">R53*O53</f>
        <v>0</v>
      </c>
      <c r="T53" s="2401">
        <f t="shared" ref="T53:T58" ca="1" si="62">IFERROR((K53/(2080/12))+((K53*P53)/(2080/12)),"")</f>
        <v>0</v>
      </c>
      <c r="U53" s="2402">
        <f t="shared" ref="U53:U58" ca="1" si="63">(K53/(2080/12))+((K53*R53)/(2080/12))</f>
        <v>0</v>
      </c>
      <c r="V53" s="2130">
        <f>MAX(IF(OR('DATA INPUT'!$H$14=3),'DATA INPUT'!$I$14,0),
IF(OR('DATA INPUT'!$V$14=3),'DATA INPUT'!$W$14,0),
IF(OR('DATA INPUT'!$AD$14=3),'DATA INPUT'!$AE$14,0))</f>
        <v>0</v>
      </c>
      <c r="W53" s="1904">
        <f t="shared" ref="W53:W58" ca="1" si="64">V53*(2080/12)*$F$49</f>
        <v>0</v>
      </c>
      <c r="X53" s="2131">
        <f t="shared" ref="X53:X59" ca="1" si="65">IFERROR(V53/B53,0)*$F$49</f>
        <v>0</v>
      </c>
      <c r="Y53" s="1657">
        <f t="shared" ref="Y53:Y58" ca="1" si="66">V53*L53</f>
        <v>0</v>
      </c>
      <c r="Z53" s="2132">
        <f t="shared" ref="Z53:Z58" ca="1" si="67">R53</f>
        <v>0.50700000000000001</v>
      </c>
      <c r="AA53" s="2133">
        <f t="shared" ref="AA53:AA58" ca="1" si="68">Y53*Z53</f>
        <v>0</v>
      </c>
      <c r="AB53" s="2134">
        <f t="shared" ref="AB53:AB58" ca="1" si="69">SUM(Y53,AA53)</f>
        <v>0</v>
      </c>
      <c r="AC53" s="504"/>
    </row>
    <row r="54" spans="1:29" ht="15.6" customHeight="1" x14ac:dyDescent="0.25">
      <c r="A54" s="50">
        <v>2</v>
      </c>
      <c r="B54" s="540">
        <f>'DATA INPUT'!$J$8</f>
        <v>0</v>
      </c>
      <c r="C54" s="2030">
        <f ca="1">MAX(IF($F$48=12,0),
IF($F$48&lt;12,IF('DATA INPUT'!$H$14=1,'DATA INPUT'!$J$14)))</f>
        <v>0</v>
      </c>
      <c r="D54" s="2031">
        <f>MAX(IF(OR('DATA INPUT'!$H$14=2),'DATA INPUT'!$J$14,0),
IF(OR('DATA INPUT'!$V$14=2),'DATA INPUT'!$X$14,0),
IF(OR('DATA INPUT'!$AD$14=2),'DATA INPUT'!$AF$14,0))</f>
        <v>0</v>
      </c>
      <c r="E54" s="493">
        <f t="shared" ca="1" si="53"/>
        <v>0</v>
      </c>
      <c r="F54" s="2032">
        <f t="shared" ca="1" si="54"/>
        <v>0</v>
      </c>
      <c r="G54" s="2033">
        <f t="shared" ca="1" si="54"/>
        <v>0</v>
      </c>
      <c r="H54" s="461">
        <v>0.03</v>
      </c>
      <c r="I54" s="2914">
        <f t="shared" ca="1" si="55"/>
        <v>0</v>
      </c>
      <c r="J54" s="457">
        <f>(J53*H54)+J53</f>
        <v>0</v>
      </c>
      <c r="K54" s="457">
        <f t="shared" ca="1" si="56"/>
        <v>0</v>
      </c>
      <c r="L54" s="457">
        <f t="shared" ca="1" si="57"/>
        <v>0</v>
      </c>
      <c r="M54" s="2398">
        <f t="shared" ca="1" si="58"/>
        <v>0</v>
      </c>
      <c r="N54" s="2034">
        <f ca="1">(C54*L54)</f>
        <v>0</v>
      </c>
      <c r="O54" s="2035">
        <f t="shared" ca="1" si="59"/>
        <v>0</v>
      </c>
      <c r="P54" s="2036">
        <f ca="1">P53+$AA$4</f>
        <v>0.52700000000000002</v>
      </c>
      <c r="Q54" s="2037">
        <f t="shared" ca="1" si="60"/>
        <v>0</v>
      </c>
      <c r="R54" s="1758">
        <f ca="1">R53+$AA$4</f>
        <v>0.52700000000000002</v>
      </c>
      <c r="S54" s="2038">
        <f t="shared" ca="1" si="61"/>
        <v>0</v>
      </c>
      <c r="T54" s="2403">
        <f t="shared" ca="1" si="62"/>
        <v>0</v>
      </c>
      <c r="U54" s="2404">
        <f t="shared" ca="1" si="63"/>
        <v>0</v>
      </c>
      <c r="V54" s="2054">
        <f>MAX(IF(OR('DATA INPUT'!$H$14=3),'DATA INPUT'!$J$14,0),
IF(OR('DATA INPUT'!$V$14=3),'DATA INPUT'!$X$14,0),
IF(OR('DATA INPUT'!$AD$14=3),'DATA INPUT'!$AF$14,0))</f>
        <v>0</v>
      </c>
      <c r="W54" s="1604">
        <f t="shared" ca="1" si="64"/>
        <v>0</v>
      </c>
      <c r="X54" s="2058">
        <f t="shared" ca="1" si="65"/>
        <v>0</v>
      </c>
      <c r="Y54" s="1489">
        <f t="shared" ca="1" si="66"/>
        <v>0</v>
      </c>
      <c r="Z54" s="2056">
        <f t="shared" ca="1" si="67"/>
        <v>0.52700000000000002</v>
      </c>
      <c r="AA54" s="1490">
        <f t="shared" ca="1" si="68"/>
        <v>0</v>
      </c>
      <c r="AB54" s="2057">
        <f t="shared" ca="1" si="69"/>
        <v>0</v>
      </c>
      <c r="AC54" s="504"/>
    </row>
    <row r="55" spans="1:29" ht="15.6" customHeight="1" x14ac:dyDescent="0.25">
      <c r="A55" s="50">
        <v>3</v>
      </c>
      <c r="B55" s="540">
        <f>'DATA INPUT'!$K$8</f>
        <v>0</v>
      </c>
      <c r="C55" s="2030">
        <f ca="1">MAX(IF($F$48=12,0),
IF($F$48&lt;12,IF('DATA INPUT'!$H$14=1,'DATA INPUT'!$K$14)))</f>
        <v>0</v>
      </c>
      <c r="D55" s="2031">
        <f>MAX(IF(OR('DATA INPUT'!$H$14=2),'DATA INPUT'!$K$14,0),
IF(OR('DATA INPUT'!$V$14=2),'DATA INPUT'!$Y$14,0),
IF(OR('DATA INPUT'!$AD$14=2),'DATA INPUT'!$AG$14,0))</f>
        <v>0</v>
      </c>
      <c r="E55" s="493">
        <f t="shared" ca="1" si="53"/>
        <v>0</v>
      </c>
      <c r="F55" s="2032">
        <f t="shared" ca="1" si="54"/>
        <v>0</v>
      </c>
      <c r="G55" s="2033">
        <f t="shared" ca="1" si="54"/>
        <v>0</v>
      </c>
      <c r="H55" s="461">
        <v>0.03</v>
      </c>
      <c r="I55" s="2914">
        <f t="shared" ca="1" si="55"/>
        <v>0</v>
      </c>
      <c r="J55" s="457">
        <f>(J54*H55)+J54</f>
        <v>0</v>
      </c>
      <c r="K55" s="457">
        <f t="shared" ca="1" si="56"/>
        <v>0</v>
      </c>
      <c r="L55" s="457">
        <f t="shared" ca="1" si="57"/>
        <v>0</v>
      </c>
      <c r="M55" s="2398">
        <f t="shared" ca="1" si="58"/>
        <v>0</v>
      </c>
      <c r="N55" s="2034">
        <f ca="1">(C55*L55)</f>
        <v>0</v>
      </c>
      <c r="O55" s="2035">
        <f t="shared" ca="1" si="59"/>
        <v>0</v>
      </c>
      <c r="P55" s="2036">
        <f ca="1">P54+$AA$4</f>
        <v>0.54700000000000004</v>
      </c>
      <c r="Q55" s="2037">
        <f t="shared" ca="1" si="60"/>
        <v>0</v>
      </c>
      <c r="R55" s="1758">
        <f ca="1">R54+$AA$4</f>
        <v>0.54700000000000004</v>
      </c>
      <c r="S55" s="2038">
        <f t="shared" ca="1" si="61"/>
        <v>0</v>
      </c>
      <c r="T55" s="2403">
        <f t="shared" ca="1" si="62"/>
        <v>0</v>
      </c>
      <c r="U55" s="2404">
        <f t="shared" ca="1" si="63"/>
        <v>0</v>
      </c>
      <c r="V55" s="2054">
        <f>MAX(IF(OR('DATA INPUT'!$H$14=3),'DATA INPUT'!$K$14,0),
IF(OR('DATA INPUT'!$V$14=3),'DATA INPUT'!$Y$14,0),
IF(OR('DATA INPUT'!$AD$14=3),'DATA INPUT'!$AG$14,0))</f>
        <v>0</v>
      </c>
      <c r="W55" s="1604">
        <f t="shared" ca="1" si="64"/>
        <v>0</v>
      </c>
      <c r="X55" s="2058">
        <f t="shared" ca="1" si="65"/>
        <v>0</v>
      </c>
      <c r="Y55" s="1489">
        <f t="shared" ca="1" si="66"/>
        <v>0</v>
      </c>
      <c r="Z55" s="2056">
        <f t="shared" ca="1" si="67"/>
        <v>0.54700000000000004</v>
      </c>
      <c r="AA55" s="1490">
        <f t="shared" ca="1" si="68"/>
        <v>0</v>
      </c>
      <c r="AB55" s="2057">
        <f t="shared" ca="1" si="69"/>
        <v>0</v>
      </c>
      <c r="AC55" s="504"/>
    </row>
    <row r="56" spans="1:29" ht="15.6" customHeight="1" x14ac:dyDescent="0.25">
      <c r="A56" s="50">
        <v>4</v>
      </c>
      <c r="B56" s="540">
        <f>'DATA INPUT'!$L$8</f>
        <v>0</v>
      </c>
      <c r="C56" s="2030">
        <f ca="1">MAX(IF($F$48=12,0),
IF($F$48&lt;12,IF('DATA INPUT'!$H$14=1,'DATA INPUT'!$L$14)))</f>
        <v>0</v>
      </c>
      <c r="D56" s="2031">
        <f>MAX(IF(OR('DATA INPUT'!$H$14=2),'DATA INPUT'!$L$14,0),
IF(OR('DATA INPUT'!$V$14=2),'DATA INPUT'!$Z$14,0),
IF(OR('DATA INPUT'!$AD$14=2),'DATA INPUT'!$AH$14,0))</f>
        <v>0</v>
      </c>
      <c r="E56" s="493">
        <f t="shared" ca="1" si="53"/>
        <v>0</v>
      </c>
      <c r="F56" s="2032">
        <f t="shared" ca="1" si="54"/>
        <v>0</v>
      </c>
      <c r="G56" s="2033">
        <f t="shared" ca="1" si="54"/>
        <v>0</v>
      </c>
      <c r="H56" s="461">
        <v>0.03</v>
      </c>
      <c r="I56" s="2914">
        <f t="shared" ca="1" si="55"/>
        <v>0</v>
      </c>
      <c r="J56" s="457">
        <f>(J55*H56)+J55</f>
        <v>0</v>
      </c>
      <c r="K56" s="457">
        <f t="shared" ca="1" si="56"/>
        <v>0</v>
      </c>
      <c r="L56" s="457">
        <f t="shared" ca="1" si="57"/>
        <v>0</v>
      </c>
      <c r="M56" s="2398">
        <f t="shared" ca="1" si="58"/>
        <v>0</v>
      </c>
      <c r="N56" s="2034">
        <f ca="1">(C56*L56)</f>
        <v>0</v>
      </c>
      <c r="O56" s="2035">
        <f t="shared" ca="1" si="59"/>
        <v>0</v>
      </c>
      <c r="P56" s="2036">
        <f ca="1">P55+$AA$4</f>
        <v>0.56700000000000006</v>
      </c>
      <c r="Q56" s="2037">
        <f t="shared" ca="1" si="60"/>
        <v>0</v>
      </c>
      <c r="R56" s="1758">
        <f ca="1">R55+$AA$4</f>
        <v>0.56700000000000006</v>
      </c>
      <c r="S56" s="2038">
        <f t="shared" ca="1" si="61"/>
        <v>0</v>
      </c>
      <c r="T56" s="2403">
        <f t="shared" ca="1" si="62"/>
        <v>0</v>
      </c>
      <c r="U56" s="2404">
        <f t="shared" ca="1" si="63"/>
        <v>0</v>
      </c>
      <c r="V56" s="2054">
        <f>MAX(IF(OR('DATA INPUT'!$H$14=3),'DATA INPUT'!$L$14,0),
IF(OR('DATA INPUT'!$V$14=3),'DATA INPUT'!$Z$14,0),
IF(OR('DATA INPUT'!$AD$14=3),'DATA INPUT'!$AH$14,0))</f>
        <v>0</v>
      </c>
      <c r="W56" s="1604">
        <f t="shared" ca="1" si="64"/>
        <v>0</v>
      </c>
      <c r="X56" s="2058">
        <f t="shared" ca="1" si="65"/>
        <v>0</v>
      </c>
      <c r="Y56" s="1489">
        <f t="shared" ca="1" si="66"/>
        <v>0</v>
      </c>
      <c r="Z56" s="2059">
        <f t="shared" ca="1" si="67"/>
        <v>0.56700000000000006</v>
      </c>
      <c r="AA56" s="1490">
        <f t="shared" ca="1" si="68"/>
        <v>0</v>
      </c>
      <c r="AB56" s="2063">
        <f t="shared" ca="1" si="69"/>
        <v>0</v>
      </c>
      <c r="AC56" s="504"/>
    </row>
    <row r="57" spans="1:29" ht="15.6" customHeight="1" x14ac:dyDescent="0.25">
      <c r="A57" s="50">
        <v>5</v>
      </c>
      <c r="B57" s="540">
        <f>'DATA INPUT'!$M$8</f>
        <v>0</v>
      </c>
      <c r="C57" s="2030">
        <f ca="1">MAX(IF($F$48=12,0),
IF($F$48&lt;12,IF('DATA INPUT'!$H$14=1,'DATA INPUT'!$M$14)))</f>
        <v>0</v>
      </c>
      <c r="D57" s="2031">
        <f>MAX(IF(OR('DATA INPUT'!$H$14=2),'DATA INPUT'!$M$14,0),
IF(OR('DATA INPUT'!$V$14=2),'DATA INPUT'!$AA$14,0),
IF(OR('DATA INPUT'!$AD$14=2),'DATA INPUT'!$AI$14,0))</f>
        <v>0</v>
      </c>
      <c r="E57" s="493">
        <f t="shared" ca="1" si="53"/>
        <v>0</v>
      </c>
      <c r="F57" s="2032">
        <f t="shared" ca="1" si="54"/>
        <v>0</v>
      </c>
      <c r="G57" s="2033">
        <f t="shared" ca="1" si="54"/>
        <v>0</v>
      </c>
      <c r="H57" s="461">
        <v>0.03</v>
      </c>
      <c r="I57" s="2914">
        <f t="shared" ca="1" si="55"/>
        <v>0</v>
      </c>
      <c r="J57" s="457">
        <f>(J56*H57)+J56</f>
        <v>0</v>
      </c>
      <c r="K57" s="457">
        <f t="shared" ca="1" si="56"/>
        <v>0</v>
      </c>
      <c r="L57" s="457">
        <f t="shared" ca="1" si="57"/>
        <v>0</v>
      </c>
      <c r="M57" s="2398">
        <f t="shared" ca="1" si="58"/>
        <v>0</v>
      </c>
      <c r="N57" s="2034">
        <f ca="1">(C57*L57)</f>
        <v>0</v>
      </c>
      <c r="O57" s="2035">
        <f t="shared" ca="1" si="59"/>
        <v>0</v>
      </c>
      <c r="P57" s="2036">
        <f ca="1">P56+$AA$4</f>
        <v>0.58700000000000008</v>
      </c>
      <c r="Q57" s="2037">
        <f t="shared" ca="1" si="60"/>
        <v>0</v>
      </c>
      <c r="R57" s="1758">
        <f ca="1">R56+$AA$4</f>
        <v>0.58700000000000008</v>
      </c>
      <c r="S57" s="2038">
        <f t="shared" ca="1" si="61"/>
        <v>0</v>
      </c>
      <c r="T57" s="2403">
        <f t="shared" ca="1" si="62"/>
        <v>0</v>
      </c>
      <c r="U57" s="2404">
        <f t="shared" ca="1" si="63"/>
        <v>0</v>
      </c>
      <c r="V57" s="2054">
        <f>MAX(IF(OR('DATA INPUT'!$H$14=3),'DATA INPUT'!$M$14,0),
IF(OR('DATA INPUT'!$V$14=3),'DATA INPUT'!$AA$14,0),
IF(OR('DATA INPUT'!$AD$14=3),'DATA INPUT'!$AI$14,0))</f>
        <v>0</v>
      </c>
      <c r="W57" s="1604">
        <f t="shared" ca="1" si="64"/>
        <v>0</v>
      </c>
      <c r="X57" s="2058">
        <f t="shared" ca="1" si="65"/>
        <v>0</v>
      </c>
      <c r="Y57" s="1489">
        <f t="shared" ca="1" si="66"/>
        <v>0</v>
      </c>
      <c r="Z57" s="2056">
        <f t="shared" ca="1" si="67"/>
        <v>0.58700000000000008</v>
      </c>
      <c r="AA57" s="1490">
        <f t="shared" ca="1" si="68"/>
        <v>0</v>
      </c>
      <c r="AB57" s="2057">
        <f t="shared" ca="1" si="69"/>
        <v>0</v>
      </c>
      <c r="AC57" s="504"/>
    </row>
    <row r="58" spans="1:29" ht="16.350000000000001" customHeight="1" thickBot="1" x14ac:dyDescent="0.3">
      <c r="A58" s="623">
        <v>6</v>
      </c>
      <c r="B58" s="1591">
        <f>'DATA INPUT'!$N$8</f>
        <v>0</v>
      </c>
      <c r="C58" s="2039">
        <f ca="1">MAX(IF($F$48=12,0),
IF($F$48&lt;12,IF('DATA INPUT'!$H$14=1,'DATA INPUT'!$N$14)))</f>
        <v>0</v>
      </c>
      <c r="D58" s="2040">
        <f>MAX(IF(OR('DATA INPUT'!$H$14=2),'DATA INPUT'!$N$14,0),
IF(OR('DATA INPUT'!$V$14=2),'DATA INPUT'!$AB$14,0),
IF(OR('DATA INPUT'!$AD$14=2),'DATA INPUT'!$AJ$14,0))</f>
        <v>0</v>
      </c>
      <c r="E58" s="628">
        <f t="shared" ca="1" si="53"/>
        <v>0</v>
      </c>
      <c r="F58" s="2041">
        <f t="shared" ca="1" si="54"/>
        <v>0</v>
      </c>
      <c r="G58" s="2042">
        <f t="shared" ca="1" si="54"/>
        <v>0</v>
      </c>
      <c r="H58" s="494">
        <v>0.03</v>
      </c>
      <c r="I58" s="2915">
        <f t="shared" ca="1" si="55"/>
        <v>0</v>
      </c>
      <c r="J58" s="495">
        <f>(J57*H58)+J57</f>
        <v>0</v>
      </c>
      <c r="K58" s="495">
        <f t="shared" ca="1" si="56"/>
        <v>0</v>
      </c>
      <c r="L58" s="495">
        <f t="shared" ca="1" si="57"/>
        <v>0</v>
      </c>
      <c r="M58" s="2399">
        <f t="shared" ca="1" si="58"/>
        <v>0</v>
      </c>
      <c r="N58" s="2044">
        <f ca="1">(C58*L58)</f>
        <v>0</v>
      </c>
      <c r="O58" s="2045">
        <f t="shared" ca="1" si="59"/>
        <v>0</v>
      </c>
      <c r="P58" s="2046">
        <f ca="1">P57+$AA$4</f>
        <v>0.6070000000000001</v>
      </c>
      <c r="Q58" s="2047">
        <f t="shared" ca="1" si="60"/>
        <v>0</v>
      </c>
      <c r="R58" s="1759">
        <f ca="1">R57+$AA$4</f>
        <v>0.6070000000000001</v>
      </c>
      <c r="S58" s="2048">
        <f t="shared" ca="1" si="61"/>
        <v>0</v>
      </c>
      <c r="T58" s="2405">
        <f t="shared" ca="1" si="62"/>
        <v>0</v>
      </c>
      <c r="U58" s="2406">
        <f t="shared" ca="1" si="63"/>
        <v>0</v>
      </c>
      <c r="V58" s="2060">
        <f>MAX(IF(OR('DATA INPUT'!$H$14=3),'DATA INPUT'!$N$14,0),
IF(OR('DATA INPUT'!$V$14=3),'DATA INPUT'!$AB$14,0),
IF(OR('DATA INPUT'!$AD$14=3),'DATA INPUT'!$AJ$14,0))</f>
        <v>0</v>
      </c>
      <c r="W58" s="1906">
        <f t="shared" ca="1" si="64"/>
        <v>0</v>
      </c>
      <c r="X58" s="2061">
        <f t="shared" ca="1" si="65"/>
        <v>0</v>
      </c>
      <c r="Y58" s="1513">
        <f t="shared" ca="1" si="66"/>
        <v>0</v>
      </c>
      <c r="Z58" s="2062">
        <f t="shared" ca="1" si="67"/>
        <v>0.6070000000000001</v>
      </c>
      <c r="AA58" s="2043">
        <f t="shared" ca="1" si="68"/>
        <v>0</v>
      </c>
      <c r="AB58" s="2064">
        <f t="shared" ca="1" si="69"/>
        <v>0</v>
      </c>
      <c r="AC58" s="504"/>
    </row>
    <row r="59" spans="1:29" ht="15" customHeight="1" thickBot="1" x14ac:dyDescent="0.3">
      <c r="A59" s="614" t="s">
        <v>85</v>
      </c>
      <c r="B59" s="1674">
        <f>SUM(B53:B58)</f>
        <v>12</v>
      </c>
      <c r="C59" s="2736">
        <f ca="1">SUM(C53:C58)</f>
        <v>0</v>
      </c>
      <c r="D59" s="2737">
        <f>SUM(D53:D58)</f>
        <v>0</v>
      </c>
      <c r="E59" s="2738">
        <f ca="1">IFERROR(SUM(C59+D59)/B59,0)*$F49</f>
        <v>0</v>
      </c>
      <c r="F59" s="2739">
        <f ca="1">SUM(F53:F58)</f>
        <v>0</v>
      </c>
      <c r="G59" s="2740">
        <f ca="1">SUM(G53:G58)</f>
        <v>0</v>
      </c>
      <c r="H59"/>
      <c r="I59"/>
      <c r="K59" s="60"/>
      <c r="N59" s="2734">
        <f ca="1">SUM(N53:N58)</f>
        <v>0</v>
      </c>
      <c r="O59" s="2735">
        <f ca="1">SUM(O53:O58)</f>
        <v>0</v>
      </c>
      <c r="Q59" s="1592">
        <f ca="1">SUM(Q53:Q58)</f>
        <v>0</v>
      </c>
      <c r="S59" s="1593">
        <f ca="1">SUM(S53:S58)</f>
        <v>0</v>
      </c>
      <c r="T59" s="60"/>
      <c r="U59" s="60"/>
      <c r="V59" s="1692">
        <f>SUM(V53:V58)</f>
        <v>0</v>
      </c>
      <c r="W59" s="1692">
        <f ca="1">SUM(W53:W58)</f>
        <v>0</v>
      </c>
      <c r="X59" s="2050">
        <f t="shared" ca="1" si="65"/>
        <v>0</v>
      </c>
      <c r="Y59" s="2051">
        <f ca="1">SUM(Y53:Y58)</f>
        <v>0</v>
      </c>
      <c r="AA59" s="2051">
        <f ca="1">SUM(AA53:AA58)</f>
        <v>0</v>
      </c>
      <c r="AB59" s="2051">
        <f ca="1">SUM(AB53:AB58)</f>
        <v>0</v>
      </c>
    </row>
    <row r="60" spans="1:29" ht="14.45" customHeight="1" x14ac:dyDescent="0.25">
      <c r="B60" s="3073" t="s">
        <v>1074</v>
      </c>
      <c r="C60" s="2065">
        <f ca="1">(C59+D59+V59)*F49</f>
        <v>0</v>
      </c>
      <c r="D60" s="496" t="s">
        <v>256</v>
      </c>
      <c r="E60" s="497"/>
      <c r="F60" s="498">
        <f ca="1">E59</f>
        <v>0</v>
      </c>
      <c r="G60" s="499" t="s">
        <v>701</v>
      </c>
      <c r="H60" s="500"/>
      <c r="I60" s="500"/>
      <c r="J60" s="498">
        <f ca="1">X59</f>
        <v>0</v>
      </c>
      <c r="K60" s="499" t="s">
        <v>702</v>
      </c>
      <c r="L60" s="500"/>
      <c r="W60"/>
      <c r="X60"/>
    </row>
    <row r="61" spans="1:29" ht="24" customHeight="1" thickBot="1" x14ac:dyDescent="0.4">
      <c r="A61" s="2749">
        <f>A47+1</f>
        <v>5</v>
      </c>
      <c r="B61" s="2749"/>
    </row>
    <row r="62" spans="1:29" ht="15" customHeight="1" thickBot="1" x14ac:dyDescent="0.3">
      <c r="A62" s="401" t="s">
        <v>104</v>
      </c>
      <c r="B62" s="2741">
        <f ca="1">OFFSET('DATA INPUT'!$B$11,($A61-1),0)</f>
        <v>0</v>
      </c>
      <c r="C62" s="2746"/>
      <c r="E62" s="1736" t="s">
        <v>81</v>
      </c>
      <c r="F62" s="2743">
        <f ca="1">OFFSET('DATA INPUT'!$G$11,($A61-1),0)</f>
        <v>9</v>
      </c>
      <c r="G62" s="2744"/>
      <c r="H62"/>
      <c r="I62"/>
      <c r="J62" s="1596" t="s">
        <v>257</v>
      </c>
      <c r="K62" s="2755"/>
      <c r="L62" s="1742">
        <f>'DATA INPUT'!E15</f>
        <v>0</v>
      </c>
      <c r="N62" s="1596" t="s">
        <v>525</v>
      </c>
      <c r="O62" s="1755" t="str">
        <f ca="1">OFFSET('DATA INPUT'!$D$11,($A61-1),0)</f>
        <v>Professional &amp; Academic Faculty</v>
      </c>
      <c r="Q62" s="64">
        <f>'DATA INPUT'!S15</f>
        <v>0</v>
      </c>
      <c r="R62" s="1718"/>
      <c r="S62" s="1719"/>
      <c r="T62" s="1598"/>
      <c r="U62" s="333"/>
      <c r="Y62" s="1"/>
      <c r="Z62" s="1"/>
      <c r="AA62" s="1"/>
      <c r="AB62" s="1"/>
      <c r="AC62" s="1"/>
    </row>
    <row r="63" spans="1:29" ht="15" customHeight="1" thickBot="1" x14ac:dyDescent="0.3">
      <c r="A63" s="1737" t="s">
        <v>80</v>
      </c>
      <c r="B63" s="2753">
        <f ca="1">OFFSET('DATA INPUT'!$C$11,($A61-1),0)</f>
        <v>0</v>
      </c>
      <c r="C63" s="2754"/>
      <c r="E63" s="2617" t="s">
        <v>82</v>
      </c>
      <c r="F63" s="2745">
        <f ca="1">OFFSET('DATA INPUT'!$F$11,($A61-1),0)</f>
        <v>1</v>
      </c>
      <c r="G63" s="2742"/>
      <c r="J63" s="66" t="s">
        <v>529</v>
      </c>
      <c r="K63" s="1741"/>
      <c r="L63" s="334">
        <f ca="1">IFERROR(L62/F62,0)</f>
        <v>0</v>
      </c>
      <c r="N63" s="1743" t="s">
        <v>530</v>
      </c>
      <c r="O63" s="1754">
        <f>'DATA INPUT'!T15</f>
        <v>0</v>
      </c>
      <c r="Q63" s="66"/>
      <c r="R63" s="1715"/>
      <c r="S63" s="1713"/>
      <c r="T63" s="1746"/>
      <c r="U63" s="61"/>
      <c r="V63" s="401" t="s">
        <v>104</v>
      </c>
      <c r="W63" s="401">
        <f>'DATA INPUT'!$B$15</f>
        <v>0</v>
      </c>
      <c r="X63" s="1719"/>
      <c r="Y63" s="2235"/>
      <c r="Z63" s="2235"/>
      <c r="AA63" s="2235"/>
      <c r="AB63" s="2236"/>
      <c r="AC63" s="1"/>
    </row>
    <row r="64" spans="1:29" s="770" customFormat="1" ht="30" customHeight="1" thickBot="1" x14ac:dyDescent="0.3">
      <c r="A64" s="2751" t="s">
        <v>253</v>
      </c>
      <c r="B64" s="2750" t="s">
        <v>254</v>
      </c>
      <c r="C64" s="3529" t="s">
        <v>258</v>
      </c>
      <c r="D64" s="3530"/>
      <c r="E64" s="3531"/>
      <c r="F64" s="3529" t="s">
        <v>83</v>
      </c>
      <c r="G64" s="3531"/>
      <c r="H64" s="3529" t="s">
        <v>65</v>
      </c>
      <c r="I64" s="3544"/>
      <c r="J64" s="3544"/>
      <c r="K64" s="3544"/>
      <c r="L64" s="3544"/>
      <c r="M64" s="3545"/>
      <c r="N64" s="3529" t="s">
        <v>84</v>
      </c>
      <c r="O64" s="3531"/>
      <c r="P64" s="3529" t="s">
        <v>78</v>
      </c>
      <c r="Q64" s="3530"/>
      <c r="R64" s="3530"/>
      <c r="S64" s="3531"/>
      <c r="T64" s="3529" t="s">
        <v>87</v>
      </c>
      <c r="U64" s="3531"/>
      <c r="V64" s="3529" t="s">
        <v>623</v>
      </c>
      <c r="W64" s="3530"/>
      <c r="X64" s="3530"/>
      <c r="Y64" s="3530"/>
      <c r="Z64" s="3530"/>
      <c r="AA64" s="3530"/>
      <c r="AB64" s="3531"/>
      <c r="AC64" s="2618"/>
    </row>
    <row r="65" spans="1:29" ht="15.75" customHeight="1" x14ac:dyDescent="0.25">
      <c r="A65" s="2752"/>
      <c r="B65" s="2750"/>
      <c r="C65" s="3527" t="s">
        <v>252</v>
      </c>
      <c r="D65" s="2187" t="str">
        <f ca="1">IF($F$62=12,"CY","AY")</f>
        <v>AY</v>
      </c>
      <c r="E65" s="3444" t="s">
        <v>231</v>
      </c>
      <c r="F65" s="3525" t="s">
        <v>232</v>
      </c>
      <c r="G65" s="2185" t="str">
        <f ca="1">IF($F$62=12,"CY","AY")</f>
        <v>AY</v>
      </c>
      <c r="H65" s="3523" t="s">
        <v>86</v>
      </c>
      <c r="I65" s="3518" t="s">
        <v>922</v>
      </c>
      <c r="J65" s="2918" t="str">
        <f ca="1">IF(F62=12,"CY","AY")</f>
        <v>AY</v>
      </c>
      <c r="K65" s="3542" t="s">
        <v>485</v>
      </c>
      <c r="L65" s="3542" t="s">
        <v>255</v>
      </c>
      <c r="M65" s="3547" t="s">
        <v>66</v>
      </c>
      <c r="N65" s="3549" t="s">
        <v>64</v>
      </c>
      <c r="O65" s="3537" t="str">
        <f ca="1">IF($F$62=12,"CY","AY")</f>
        <v>AY</v>
      </c>
      <c r="P65" s="2014" t="s">
        <v>617</v>
      </c>
      <c r="Q65" s="2015">
        <f ca="1">IFERROR(VLOOKUP(O62,TableFringePool[],2,0),0)</f>
        <v>0.50700000000000001</v>
      </c>
      <c r="R65" s="2018" t="str">
        <f ca="1">IF($F$6=12,"CY Base % ","AY Base %")</f>
        <v xml:space="preserve">CY Base % </v>
      </c>
      <c r="S65" s="2016">
        <f ca="1">Q65</f>
        <v>0.50700000000000001</v>
      </c>
      <c r="T65" s="3539" t="s">
        <v>64</v>
      </c>
      <c r="U65" s="3537" t="str">
        <f ca="1">IF($F$62=12,"CY","AY")</f>
        <v>AY</v>
      </c>
      <c r="V65" s="3477" t="s">
        <v>618</v>
      </c>
      <c r="W65" s="3554" t="s">
        <v>619</v>
      </c>
      <c r="X65" s="3552" t="s">
        <v>620</v>
      </c>
      <c r="Y65" s="3560" t="s">
        <v>624</v>
      </c>
      <c r="Z65" s="2052" t="s">
        <v>621</v>
      </c>
      <c r="AA65" s="2053"/>
      <c r="AB65" s="3558" t="s">
        <v>625</v>
      </c>
      <c r="AC65" s="1"/>
    </row>
    <row r="66" spans="1:29" ht="15" customHeight="1" thickBot="1" x14ac:dyDescent="0.3">
      <c r="A66" s="2715"/>
      <c r="B66" s="2750"/>
      <c r="C66" s="3528"/>
      <c r="D66" s="2188" t="s">
        <v>636</v>
      </c>
      <c r="E66" s="3446"/>
      <c r="F66" s="3526"/>
      <c r="G66" s="2186" t="s">
        <v>637</v>
      </c>
      <c r="H66" s="3524"/>
      <c r="I66" s="3519"/>
      <c r="J66" s="2919" t="s">
        <v>1015</v>
      </c>
      <c r="K66" s="3543"/>
      <c r="L66" s="3543"/>
      <c r="M66" s="3548"/>
      <c r="N66" s="3550"/>
      <c r="O66" s="3538"/>
      <c r="P66" s="2010" t="s">
        <v>67</v>
      </c>
      <c r="Q66" s="1781" t="s">
        <v>68</v>
      </c>
      <c r="R66" s="2011" t="s">
        <v>67</v>
      </c>
      <c r="S66" s="2012" t="s">
        <v>68</v>
      </c>
      <c r="T66" s="3540"/>
      <c r="U66" s="3538"/>
      <c r="V66" s="3564"/>
      <c r="W66" s="3569"/>
      <c r="X66" s="3570"/>
      <c r="Y66" s="3565"/>
      <c r="Z66" s="2125" t="s">
        <v>622</v>
      </c>
      <c r="AA66" s="2126" t="s">
        <v>68</v>
      </c>
      <c r="AB66" s="3566"/>
      <c r="AC66" s="1"/>
    </row>
    <row r="67" spans="1:29" ht="14.45" customHeight="1" x14ac:dyDescent="0.25">
      <c r="A67" s="622">
        <v>1</v>
      </c>
      <c r="B67" s="782">
        <f>'DATA INPUT'!$I$8</f>
        <v>12</v>
      </c>
      <c r="C67" s="2021">
        <f ca="1">MAX(IF($F$62=12,0),
IF($F$62&lt;12,IF('DATA INPUT'!$H$15=1,'DATA INPUT'!$I$15)))</f>
        <v>0</v>
      </c>
      <c r="D67" s="2022">
        <f>MAX(IF(OR('DATA INPUT'!$H$15=2),'DATA INPUT'!$I$15,0),
IF(OR('DATA INPUT'!$V$15=2),'DATA INPUT'!$W$15,0),
IF(OR('DATA INPUT'!$AD$15=2,),'DATA INPUT'!$AE$15,0))</f>
        <v>0</v>
      </c>
      <c r="E67" s="491">
        <f t="shared" ref="E67:E72" ca="1" si="70">IFERROR(SUM(C67+D67)/B67,0)*$F$63</f>
        <v>0</v>
      </c>
      <c r="F67" s="2023">
        <f t="shared" ref="F67:G72" ca="1" si="71">C67*(2080/12)*$F$63</f>
        <v>0</v>
      </c>
      <c r="G67" s="2024">
        <f t="shared" ca="1" si="71"/>
        <v>0</v>
      </c>
      <c r="H67" s="2019">
        <v>0.03</v>
      </c>
      <c r="I67" s="2914">
        <f t="shared" ref="I67:I72" ca="1" si="72">IF($F$62&lt;12,K67*(12-$F$62),0)</f>
        <v>0</v>
      </c>
      <c r="J67" s="501">
        <f>(L62*H67)+L62</f>
        <v>0</v>
      </c>
      <c r="K67" s="501">
        <f t="shared" ref="K67:K72" ca="1" si="73">IFERROR(J67/$F$62,0)</f>
        <v>0</v>
      </c>
      <c r="L67" s="501">
        <f t="shared" ref="L67:L72" ca="1" si="74">IFERROR(J67/$F$62*$F$63,0)</f>
        <v>0</v>
      </c>
      <c r="M67" s="2397">
        <f t="shared" ref="M67:M72" ca="1" si="75">K67/(2080/12)</f>
        <v>0</v>
      </c>
      <c r="N67" s="2025">
        <f t="shared" ref="N67:N72" ca="1" si="76">MAX(IF($F$62=12,0),
IF($F$62&lt;12,C67*L67))</f>
        <v>0</v>
      </c>
      <c r="O67" s="2026">
        <f t="shared" ref="O67:O72" ca="1" si="77">(D67*L67)</f>
        <v>0</v>
      </c>
      <c r="P67" s="2027">
        <f ca="1">IF($V$4&lt;$U$4, $Q65, IF($V$4&gt;$X$4, $Q65+2*$AA$3, $Q65+$AA$3))</f>
        <v>0.50700000000000001</v>
      </c>
      <c r="Q67" s="2028">
        <f t="shared" ref="Q67:Q72" ca="1" si="78">IFERROR(P67*N67,0)</f>
        <v>0</v>
      </c>
      <c r="R67" s="2009">
        <f ca="1">IF($V$4&lt;$U$4, $Q65, IF($V$4&gt;$X$4, $Q65+2*$AA$3, $Q65+$AA$3))</f>
        <v>0.50700000000000001</v>
      </c>
      <c r="S67" s="2029">
        <f t="shared" ref="S67:S72" ca="1" si="79">R67*O67</f>
        <v>0</v>
      </c>
      <c r="T67" s="2401">
        <f t="shared" ref="T67:T72" ca="1" si="80">IFERROR((K67/(2080/12))+((K67*P67)/(2080/12)),"")</f>
        <v>0</v>
      </c>
      <c r="U67" s="2402">
        <f t="shared" ref="U67:U72" ca="1" si="81">(K67/(2080/12))+((K67*R67)/(2080/12))</f>
        <v>0</v>
      </c>
      <c r="V67" s="2130">
        <f>MAX(IF(OR('DATA INPUT'!$H$15=3),'DATA INPUT'!$I$15,0),
IF(OR('DATA INPUT'!$V$15=3),'DATA INPUT'!$W$15,0),
IF(OR('DATA INPUT'!$AD$15=3),'DATA INPUT'!$AE$15,0))</f>
        <v>0</v>
      </c>
      <c r="W67" s="1904">
        <f t="shared" ref="W67:W72" ca="1" si="82">V67*(2080/12)*$F$63</f>
        <v>0</v>
      </c>
      <c r="X67" s="2131">
        <f t="shared" ref="X67:X73" ca="1" si="83">IFERROR(V67/B67,0)*$F$63</f>
        <v>0</v>
      </c>
      <c r="Y67" s="1657">
        <f t="shared" ref="Y67:Y72" ca="1" si="84">V67*L67</f>
        <v>0</v>
      </c>
      <c r="Z67" s="2132">
        <f t="shared" ref="Z67:Z72" ca="1" si="85">R67</f>
        <v>0.50700000000000001</v>
      </c>
      <c r="AA67" s="2133">
        <f t="shared" ref="AA67:AA72" ca="1" si="86">Y67*Z67</f>
        <v>0</v>
      </c>
      <c r="AB67" s="2134">
        <f t="shared" ref="AB67:AB72" ca="1" si="87">SUM(Y67,AA67)</f>
        <v>0</v>
      </c>
      <c r="AC67" s="1"/>
    </row>
    <row r="68" spans="1:29" ht="14.45" customHeight="1" x14ac:dyDescent="0.25">
      <c r="A68" s="50">
        <v>2</v>
      </c>
      <c r="B68" s="540">
        <f>'DATA INPUT'!$J$8</f>
        <v>0</v>
      </c>
      <c r="C68" s="2030">
        <f ca="1">MAX(IF($F$62=12,0),
IF($F$62&lt;12,IF('DATA INPUT'!$H$15=1,'DATA INPUT'!$J$15)))</f>
        <v>0</v>
      </c>
      <c r="D68" s="2031">
        <f>MAX(IF(OR('DATA INPUT'!$H$15=2),'DATA INPUT'!$J$15,0),
IF(OR('DATA INPUT'!$V$15=2),'DATA INPUT'!$X$15,0),
IF(OR('DATA INPUT'!$AD$15=2),'DATA INPUT'!$AF$15,0))</f>
        <v>0</v>
      </c>
      <c r="E68" s="493">
        <f t="shared" ca="1" si="70"/>
        <v>0</v>
      </c>
      <c r="F68" s="2032">
        <f t="shared" ca="1" si="71"/>
        <v>0</v>
      </c>
      <c r="G68" s="2033">
        <f t="shared" ca="1" si="71"/>
        <v>0</v>
      </c>
      <c r="H68" s="461">
        <v>0.03</v>
      </c>
      <c r="I68" s="2914">
        <f t="shared" ca="1" si="72"/>
        <v>0</v>
      </c>
      <c r="J68" s="457">
        <f>(J67*H68)+J67</f>
        <v>0</v>
      </c>
      <c r="K68" s="457">
        <f t="shared" ca="1" si="73"/>
        <v>0</v>
      </c>
      <c r="L68" s="457">
        <f t="shared" ca="1" si="74"/>
        <v>0</v>
      </c>
      <c r="M68" s="2398">
        <f t="shared" ca="1" si="75"/>
        <v>0</v>
      </c>
      <c r="N68" s="2034">
        <f t="shared" ca="1" si="76"/>
        <v>0</v>
      </c>
      <c r="O68" s="2035">
        <f t="shared" ca="1" si="77"/>
        <v>0</v>
      </c>
      <c r="P68" s="2036">
        <f ca="1">P67+$AA$4</f>
        <v>0.52700000000000002</v>
      </c>
      <c r="Q68" s="2037">
        <f t="shared" ca="1" si="78"/>
        <v>0</v>
      </c>
      <c r="R68" s="1758">
        <f ca="1">R67+$AA$4</f>
        <v>0.52700000000000002</v>
      </c>
      <c r="S68" s="2038">
        <f t="shared" ca="1" si="79"/>
        <v>0</v>
      </c>
      <c r="T68" s="2403">
        <f t="shared" ca="1" si="80"/>
        <v>0</v>
      </c>
      <c r="U68" s="2404">
        <f t="shared" ca="1" si="81"/>
        <v>0</v>
      </c>
      <c r="V68" s="2054">
        <f>MAX(IF(OR('DATA INPUT'!$H$15=3),'DATA INPUT'!$J$15,0),
IF(OR('DATA INPUT'!$V$15=3),'DATA INPUT'!$X$15,0),
IF(OR('DATA INPUT'!$AD$15=3),'DATA INPUT'!$AF$15,0))</f>
        <v>0</v>
      </c>
      <c r="W68" s="1604">
        <f t="shared" ca="1" si="82"/>
        <v>0</v>
      </c>
      <c r="X68" s="2058">
        <f t="shared" ca="1" si="83"/>
        <v>0</v>
      </c>
      <c r="Y68" s="1489">
        <f t="shared" ca="1" si="84"/>
        <v>0</v>
      </c>
      <c r="Z68" s="2056">
        <f t="shared" ca="1" si="85"/>
        <v>0.52700000000000002</v>
      </c>
      <c r="AA68" s="1490">
        <f t="shared" ca="1" si="86"/>
        <v>0</v>
      </c>
      <c r="AB68" s="2057">
        <f t="shared" ca="1" si="87"/>
        <v>0</v>
      </c>
      <c r="AC68" s="1"/>
    </row>
    <row r="69" spans="1:29" ht="14.45" customHeight="1" x14ac:dyDescent="0.25">
      <c r="A69" s="50">
        <v>3</v>
      </c>
      <c r="B69" s="540">
        <f>'DATA INPUT'!$K$8</f>
        <v>0</v>
      </c>
      <c r="C69" s="2030">
        <f ca="1">MAX(IF($F$62=12,0),
IF($F$62&lt;12,IF('DATA INPUT'!$H$15=1,'DATA INPUT'!$K$15)))</f>
        <v>0</v>
      </c>
      <c r="D69" s="2031">
        <f>MAX(IF(OR('DATA INPUT'!$H$15=2),'DATA INPUT'!$K$15,0),
IF(OR('DATA INPUT'!$V$15=2),'DATA INPUT'!$Y$15,0),
IF(OR('DATA INPUT'!$AD$15=2),'DATA INPUT'!$AG$15,0))</f>
        <v>0</v>
      </c>
      <c r="E69" s="493">
        <f t="shared" ca="1" si="70"/>
        <v>0</v>
      </c>
      <c r="F69" s="2032">
        <f t="shared" ca="1" si="71"/>
        <v>0</v>
      </c>
      <c r="G69" s="2033">
        <f t="shared" ca="1" si="71"/>
        <v>0</v>
      </c>
      <c r="H69" s="461">
        <v>0.03</v>
      </c>
      <c r="I69" s="2914">
        <f t="shared" ca="1" si="72"/>
        <v>0</v>
      </c>
      <c r="J69" s="457">
        <f>(J68*H69)+J68</f>
        <v>0</v>
      </c>
      <c r="K69" s="457">
        <f t="shared" ca="1" si="73"/>
        <v>0</v>
      </c>
      <c r="L69" s="457">
        <f t="shared" ca="1" si="74"/>
        <v>0</v>
      </c>
      <c r="M69" s="2398">
        <f t="shared" ca="1" si="75"/>
        <v>0</v>
      </c>
      <c r="N69" s="2034">
        <f t="shared" ca="1" si="76"/>
        <v>0</v>
      </c>
      <c r="O69" s="2035">
        <f t="shared" ca="1" si="77"/>
        <v>0</v>
      </c>
      <c r="P69" s="2036">
        <f ca="1">P68+$AA$4</f>
        <v>0.54700000000000004</v>
      </c>
      <c r="Q69" s="2037">
        <f t="shared" ca="1" si="78"/>
        <v>0</v>
      </c>
      <c r="R69" s="1758">
        <f ca="1">R68+$AA$4</f>
        <v>0.54700000000000004</v>
      </c>
      <c r="S69" s="2038">
        <f t="shared" ca="1" si="79"/>
        <v>0</v>
      </c>
      <c r="T69" s="2403">
        <f t="shared" ca="1" si="80"/>
        <v>0</v>
      </c>
      <c r="U69" s="2404">
        <f t="shared" ca="1" si="81"/>
        <v>0</v>
      </c>
      <c r="V69" s="2054">
        <f>MAX(IF(OR('DATA INPUT'!$H$15=3),'DATA INPUT'!$K$15,0),
IF(OR('DATA INPUT'!$V$15=3),'DATA INPUT'!$Y$15,0),
IF(OR('DATA INPUT'!$AD$15=3),'DATA INPUT'!$AG$15,0))</f>
        <v>0</v>
      </c>
      <c r="W69" s="1604">
        <f t="shared" ca="1" si="82"/>
        <v>0</v>
      </c>
      <c r="X69" s="2058">
        <f t="shared" ca="1" si="83"/>
        <v>0</v>
      </c>
      <c r="Y69" s="1489">
        <f t="shared" ca="1" si="84"/>
        <v>0</v>
      </c>
      <c r="Z69" s="2056">
        <f t="shared" ca="1" si="85"/>
        <v>0.54700000000000004</v>
      </c>
      <c r="AA69" s="1490">
        <f t="shared" ca="1" si="86"/>
        <v>0</v>
      </c>
      <c r="AB69" s="2057">
        <f t="shared" ca="1" si="87"/>
        <v>0</v>
      </c>
      <c r="AC69" s="1"/>
    </row>
    <row r="70" spans="1:29" ht="14.45" customHeight="1" x14ac:dyDescent="0.25">
      <c r="A70" s="50">
        <v>4</v>
      </c>
      <c r="B70" s="540">
        <f>'DATA INPUT'!$L$8</f>
        <v>0</v>
      </c>
      <c r="C70" s="2030">
        <f ca="1">MAX(IF($F$62=12,0),
IF($F$62&lt;12,IF('DATA INPUT'!$H$15=1,'DATA INPUT'!$L$15)))</f>
        <v>0</v>
      </c>
      <c r="D70" s="2031">
        <f>MAX(IF(OR('DATA INPUT'!$H$15=2),'DATA INPUT'!$L$15,0),
IF(OR('DATA INPUT'!$V$15=2),'DATA INPUT'!$Z$15,0),
IF(OR('DATA INPUT'!$AD$15=2),'DATA INPUT'!$AH$15,0))</f>
        <v>0</v>
      </c>
      <c r="E70" s="493">
        <f t="shared" ca="1" si="70"/>
        <v>0</v>
      </c>
      <c r="F70" s="2032">
        <f t="shared" ca="1" si="71"/>
        <v>0</v>
      </c>
      <c r="G70" s="2033">
        <f t="shared" ca="1" si="71"/>
        <v>0</v>
      </c>
      <c r="H70" s="461">
        <v>0.03</v>
      </c>
      <c r="I70" s="2914">
        <f t="shared" ca="1" si="72"/>
        <v>0</v>
      </c>
      <c r="J70" s="457">
        <f>(J69*H70)+J69</f>
        <v>0</v>
      </c>
      <c r="K70" s="457">
        <f t="shared" ca="1" si="73"/>
        <v>0</v>
      </c>
      <c r="L70" s="457">
        <f t="shared" ca="1" si="74"/>
        <v>0</v>
      </c>
      <c r="M70" s="2398">
        <f t="shared" ca="1" si="75"/>
        <v>0</v>
      </c>
      <c r="N70" s="2034">
        <f t="shared" ca="1" si="76"/>
        <v>0</v>
      </c>
      <c r="O70" s="2035">
        <f t="shared" ca="1" si="77"/>
        <v>0</v>
      </c>
      <c r="P70" s="2036">
        <f ca="1">P69+$AA$4</f>
        <v>0.56700000000000006</v>
      </c>
      <c r="Q70" s="2037">
        <f t="shared" ca="1" si="78"/>
        <v>0</v>
      </c>
      <c r="R70" s="1758">
        <f ca="1">R69+$AA$4</f>
        <v>0.56700000000000006</v>
      </c>
      <c r="S70" s="2038">
        <f t="shared" ca="1" si="79"/>
        <v>0</v>
      </c>
      <c r="T70" s="2403">
        <f t="shared" ca="1" si="80"/>
        <v>0</v>
      </c>
      <c r="U70" s="2404">
        <f t="shared" ca="1" si="81"/>
        <v>0</v>
      </c>
      <c r="V70" s="2054">
        <f>MAX(IF(OR('DATA INPUT'!$H$15=3),'DATA INPUT'!$L$15,0),
IF(OR('DATA INPUT'!$V$15=3),'DATA INPUT'!$Z$15,0),
IF(OR('DATA INPUT'!$AD$15=3),'DATA INPUT'!$AH$15,0))</f>
        <v>0</v>
      </c>
      <c r="W70" s="1604">
        <f t="shared" ca="1" si="82"/>
        <v>0</v>
      </c>
      <c r="X70" s="2058">
        <f t="shared" ca="1" si="83"/>
        <v>0</v>
      </c>
      <c r="Y70" s="1489">
        <f t="shared" ca="1" si="84"/>
        <v>0</v>
      </c>
      <c r="Z70" s="2059">
        <f t="shared" ca="1" si="85"/>
        <v>0.56700000000000006</v>
      </c>
      <c r="AA70" s="1490">
        <f t="shared" ca="1" si="86"/>
        <v>0</v>
      </c>
      <c r="AB70" s="2063">
        <f t="shared" ca="1" si="87"/>
        <v>0</v>
      </c>
      <c r="AC70" s="335"/>
    </row>
    <row r="71" spans="1:29" ht="14.45" customHeight="1" x14ac:dyDescent="0.25">
      <c r="A71" s="50">
        <v>5</v>
      </c>
      <c r="B71" s="540">
        <f>'DATA INPUT'!$M$8</f>
        <v>0</v>
      </c>
      <c r="C71" s="2030">
        <f ca="1">MAX(IF($F$62=12,0),
IF($F$62&lt;12,IF('DATA INPUT'!$H$15=1,'DATA INPUT'!$M$15)))</f>
        <v>0</v>
      </c>
      <c r="D71" s="2031">
        <f>MAX(IF(OR('DATA INPUT'!$H$15=2),'DATA INPUT'!$M$15,0),
IF(OR('DATA INPUT'!$V$15=2),'DATA INPUT'!$AA$15,0),
IF(OR('DATA INPUT'!$AD$15=2),'DATA INPUT'!$AI$15,0))</f>
        <v>0</v>
      </c>
      <c r="E71" s="493">
        <f t="shared" ca="1" si="70"/>
        <v>0</v>
      </c>
      <c r="F71" s="2032">
        <f t="shared" ca="1" si="71"/>
        <v>0</v>
      </c>
      <c r="G71" s="2033">
        <f t="shared" ca="1" si="71"/>
        <v>0</v>
      </c>
      <c r="H71" s="461">
        <v>0.03</v>
      </c>
      <c r="I71" s="2914">
        <f t="shared" ca="1" si="72"/>
        <v>0</v>
      </c>
      <c r="J71" s="457">
        <f>(J70*H71)+J70</f>
        <v>0</v>
      </c>
      <c r="K71" s="457">
        <f t="shared" ca="1" si="73"/>
        <v>0</v>
      </c>
      <c r="L71" s="457">
        <f t="shared" ca="1" si="74"/>
        <v>0</v>
      </c>
      <c r="M71" s="2398">
        <f t="shared" ca="1" si="75"/>
        <v>0</v>
      </c>
      <c r="N71" s="2034">
        <f t="shared" ca="1" si="76"/>
        <v>0</v>
      </c>
      <c r="O71" s="2035">
        <f t="shared" ca="1" si="77"/>
        <v>0</v>
      </c>
      <c r="P71" s="2036">
        <f ca="1">P70+$AA$4</f>
        <v>0.58700000000000008</v>
      </c>
      <c r="Q71" s="2037">
        <f t="shared" ca="1" si="78"/>
        <v>0</v>
      </c>
      <c r="R71" s="1758">
        <f ca="1">R70+$AA$4</f>
        <v>0.58700000000000008</v>
      </c>
      <c r="S71" s="2038">
        <f t="shared" ca="1" si="79"/>
        <v>0</v>
      </c>
      <c r="T71" s="2403">
        <f t="shared" ca="1" si="80"/>
        <v>0</v>
      </c>
      <c r="U71" s="2404">
        <f t="shared" ca="1" si="81"/>
        <v>0</v>
      </c>
      <c r="V71" s="2054">
        <f>MAX(IF(OR('DATA INPUT'!$H$15=3),'DATA INPUT'!$M$15,0),
IF(OR('DATA INPUT'!$V$15=3),'DATA INPUT'!$AA$15,0),
IF(OR('DATA INPUT'!$AD$15=3),'DATA INPUT'!$AI$15,0))</f>
        <v>0</v>
      </c>
      <c r="W71" s="1604">
        <f t="shared" ca="1" si="82"/>
        <v>0</v>
      </c>
      <c r="X71" s="2058">
        <f t="shared" ca="1" si="83"/>
        <v>0</v>
      </c>
      <c r="Y71" s="1489">
        <f t="shared" ca="1" si="84"/>
        <v>0</v>
      </c>
      <c r="Z71" s="2056">
        <f t="shared" ca="1" si="85"/>
        <v>0.58700000000000008</v>
      </c>
      <c r="AA71" s="1490">
        <f t="shared" ca="1" si="86"/>
        <v>0</v>
      </c>
      <c r="AB71" s="2057">
        <f t="shared" ca="1" si="87"/>
        <v>0</v>
      </c>
    </row>
    <row r="72" spans="1:29" ht="15" customHeight="1" thickBot="1" x14ac:dyDescent="0.3">
      <c r="A72" s="623">
        <v>6</v>
      </c>
      <c r="B72" s="1591">
        <f>'DATA INPUT'!$N$8</f>
        <v>0</v>
      </c>
      <c r="C72" s="2039">
        <f ca="1">MAX(IF($F$62=12,0),
IF($F$62&lt;12,IF('DATA INPUT'!$H$15=1,'DATA INPUT'!$N$15)))</f>
        <v>0</v>
      </c>
      <c r="D72" s="2040">
        <f>MAX(IF(OR('DATA INPUT'!$H$15=2),'DATA INPUT'!$N$15,0),
IF(OR('DATA INPUT'!$V$15=2),'DATA INPUT'!$AB$15,0),
IF(OR('DATA INPUT'!$AD$15=2),'DATA INPUT'!$AJ$15,0))</f>
        <v>0</v>
      </c>
      <c r="E72" s="628">
        <f t="shared" ca="1" si="70"/>
        <v>0</v>
      </c>
      <c r="F72" s="2041">
        <f t="shared" ca="1" si="71"/>
        <v>0</v>
      </c>
      <c r="G72" s="2042">
        <f t="shared" ca="1" si="71"/>
        <v>0</v>
      </c>
      <c r="H72" s="494">
        <v>0.03</v>
      </c>
      <c r="I72" s="2915">
        <f t="shared" ca="1" si="72"/>
        <v>0</v>
      </c>
      <c r="J72" s="495">
        <f>(J71*H72)+J71</f>
        <v>0</v>
      </c>
      <c r="K72" s="495">
        <f t="shared" ca="1" si="73"/>
        <v>0</v>
      </c>
      <c r="L72" s="495">
        <f t="shared" ca="1" si="74"/>
        <v>0</v>
      </c>
      <c r="M72" s="2399">
        <f t="shared" ca="1" si="75"/>
        <v>0</v>
      </c>
      <c r="N72" s="2044">
        <f t="shared" ca="1" si="76"/>
        <v>0</v>
      </c>
      <c r="O72" s="2045">
        <f t="shared" ca="1" si="77"/>
        <v>0</v>
      </c>
      <c r="P72" s="2046">
        <f ca="1">P71+$AA$4</f>
        <v>0.6070000000000001</v>
      </c>
      <c r="Q72" s="2047">
        <f t="shared" ca="1" si="78"/>
        <v>0</v>
      </c>
      <c r="R72" s="1759">
        <f ca="1">R71+$AA$4</f>
        <v>0.6070000000000001</v>
      </c>
      <c r="S72" s="2048">
        <f t="shared" ca="1" si="79"/>
        <v>0</v>
      </c>
      <c r="T72" s="2405">
        <f t="shared" ca="1" si="80"/>
        <v>0</v>
      </c>
      <c r="U72" s="2406">
        <f t="shared" ca="1" si="81"/>
        <v>0</v>
      </c>
      <c r="V72" s="2060">
        <f>MAX(IF(OR('DATA INPUT'!$H$15=3),'DATA INPUT'!$N$15,0),
IF(OR('DATA INPUT'!$V$15=3),'DATA INPUT'!$AB$15,0),
IF(OR('DATA INPUT'!$AD$15=3),'DATA INPUT'!$AJ$15,0))</f>
        <v>0</v>
      </c>
      <c r="W72" s="1906">
        <f t="shared" ca="1" si="82"/>
        <v>0</v>
      </c>
      <c r="X72" s="2061">
        <f t="shared" ca="1" si="83"/>
        <v>0</v>
      </c>
      <c r="Y72" s="1513">
        <f t="shared" ca="1" si="84"/>
        <v>0</v>
      </c>
      <c r="Z72" s="2062">
        <f t="shared" ca="1" si="85"/>
        <v>0.6070000000000001</v>
      </c>
      <c r="AA72" s="2043">
        <f t="shared" ca="1" si="86"/>
        <v>0</v>
      </c>
      <c r="AB72" s="2064">
        <f t="shared" ca="1" si="87"/>
        <v>0</v>
      </c>
    </row>
    <row r="73" spans="1:29" ht="15" customHeight="1" thickBot="1" x14ac:dyDescent="0.3">
      <c r="A73" s="614" t="s">
        <v>85</v>
      </c>
      <c r="B73" s="1674">
        <f>SUM(B67:B72)</f>
        <v>12</v>
      </c>
      <c r="C73" s="2736">
        <f ca="1">SUM(C67:C72)</f>
        <v>0</v>
      </c>
      <c r="D73" s="2737">
        <f>SUM(D67:D72)</f>
        <v>0</v>
      </c>
      <c r="E73" s="2738">
        <f ca="1">IFERROR(SUM(C73+D73)/B73,0)*$F63</f>
        <v>0</v>
      </c>
      <c r="F73" s="2739">
        <f ca="1">SUM(F67:F72)</f>
        <v>0</v>
      </c>
      <c r="G73" s="2740">
        <f ca="1">SUM(G67:G72)</f>
        <v>0</v>
      </c>
      <c r="H73"/>
      <c r="I73"/>
      <c r="K73" s="60"/>
      <c r="N73" s="2734">
        <f ca="1">SUM(N67:N72)</f>
        <v>0</v>
      </c>
      <c r="O73" s="2735">
        <f ca="1">SUM(O67:O72)</f>
        <v>0</v>
      </c>
      <c r="Q73" s="1592">
        <f ca="1">SUM(Q67:Q72)</f>
        <v>0</v>
      </c>
      <c r="S73" s="1593">
        <f ca="1">SUM(S67:S72)</f>
        <v>0</v>
      </c>
      <c r="T73" s="60"/>
      <c r="U73" s="60"/>
      <c r="V73" s="1692">
        <f>SUM(V67:V72)</f>
        <v>0</v>
      </c>
      <c r="W73" s="1692">
        <f ca="1">SUM(W67:W72)</f>
        <v>0</v>
      </c>
      <c r="X73" s="2050">
        <f t="shared" ca="1" si="83"/>
        <v>0</v>
      </c>
      <c r="Y73" s="2051">
        <f ca="1">SUM(Y67:Y72)</f>
        <v>0</v>
      </c>
      <c r="AA73" s="2051">
        <f ca="1">SUM(AA67:AA72)</f>
        <v>0</v>
      </c>
      <c r="AB73" s="2051">
        <f ca="1">SUM(AB67:AB72)</f>
        <v>0</v>
      </c>
    </row>
    <row r="74" spans="1:29" ht="14.45" customHeight="1" x14ac:dyDescent="0.25">
      <c r="B74" s="3073" t="s">
        <v>1074</v>
      </c>
      <c r="C74" s="2065">
        <f ca="1">(C73+D73+V73)*F63</f>
        <v>0</v>
      </c>
      <c r="D74" s="496" t="s">
        <v>256</v>
      </c>
      <c r="E74" s="497"/>
      <c r="F74" s="498">
        <f ca="1">E73</f>
        <v>0</v>
      </c>
      <c r="G74" s="499" t="s">
        <v>701</v>
      </c>
      <c r="H74" s="500"/>
      <c r="I74" s="500"/>
      <c r="J74" s="498">
        <f ca="1">X73</f>
        <v>0</v>
      </c>
      <c r="K74" s="499" t="s">
        <v>702</v>
      </c>
      <c r="L74" s="500"/>
      <c r="W74"/>
      <c r="X74"/>
    </row>
    <row r="75" spans="1:29" ht="24" customHeight="1" thickBot="1" x14ac:dyDescent="0.4">
      <c r="A75" s="2749">
        <f>A61+1</f>
        <v>6</v>
      </c>
      <c r="B75" s="2749"/>
    </row>
    <row r="76" spans="1:29" ht="15" customHeight="1" thickBot="1" x14ac:dyDescent="0.3">
      <c r="A76" s="401" t="s">
        <v>104</v>
      </c>
      <c r="B76" s="2741">
        <f ca="1">OFFSET('DATA INPUT'!$B$11,($A75-1),0)</f>
        <v>0</v>
      </c>
      <c r="C76" s="2746"/>
      <c r="E76" s="1736" t="s">
        <v>81</v>
      </c>
      <c r="F76" s="2743">
        <f ca="1">OFFSET('DATA INPUT'!$G$11,($A75-1),0)</f>
        <v>9</v>
      </c>
      <c r="G76" s="2744"/>
      <c r="H76"/>
      <c r="I76"/>
      <c r="J76" s="1596" t="s">
        <v>257</v>
      </c>
      <c r="K76" s="2755"/>
      <c r="L76" s="1742">
        <f>'DATA INPUT'!E16</f>
        <v>0</v>
      </c>
      <c r="N76" s="1596" t="s">
        <v>525</v>
      </c>
      <c r="O76" s="1755" t="str">
        <f ca="1">OFFSET('DATA INPUT'!$D$11,($A75-1),0)</f>
        <v>Professional &amp; Academic Faculty</v>
      </c>
      <c r="Q76" s="64">
        <f>'DATA INPUT'!S16</f>
        <v>0</v>
      </c>
      <c r="R76" s="1718"/>
      <c r="S76" s="1719"/>
      <c r="T76" s="1598"/>
      <c r="U76" s="333"/>
      <c r="Y76" s="1"/>
      <c r="Z76" s="1"/>
      <c r="AA76" s="1"/>
      <c r="AB76" s="1"/>
      <c r="AC76" s="1"/>
    </row>
    <row r="77" spans="1:29" ht="15" customHeight="1" thickBot="1" x14ac:dyDescent="0.3">
      <c r="A77" s="1737" t="s">
        <v>80</v>
      </c>
      <c r="B77" s="2753">
        <f ca="1">OFFSET('DATA INPUT'!$C$11,($A75-1),0)</f>
        <v>0</v>
      </c>
      <c r="C77" s="2754"/>
      <c r="E77" s="2617" t="s">
        <v>82</v>
      </c>
      <c r="F77" s="2745">
        <f ca="1">OFFSET('DATA INPUT'!$F$11,($A75-1),0)</f>
        <v>1</v>
      </c>
      <c r="G77" s="2742"/>
      <c r="J77" s="66" t="s">
        <v>529</v>
      </c>
      <c r="K77" s="1741"/>
      <c r="L77" s="334">
        <f ca="1">IFERROR(L76/F76,0)</f>
        <v>0</v>
      </c>
      <c r="N77" s="1743" t="s">
        <v>530</v>
      </c>
      <c r="O77" s="1754">
        <f>'DATA INPUT'!T16</f>
        <v>0</v>
      </c>
      <c r="Q77" s="66"/>
      <c r="R77" s="1715"/>
      <c r="S77" s="1713"/>
      <c r="T77" s="1746"/>
      <c r="U77" s="61"/>
      <c r="V77" s="401" t="s">
        <v>104</v>
      </c>
      <c r="W77" s="401">
        <f>'DATA INPUT'!$B$16</f>
        <v>0</v>
      </c>
      <c r="X77" s="1719"/>
      <c r="Y77" s="2235"/>
      <c r="Z77" s="2235"/>
      <c r="AA77" s="2235"/>
      <c r="AB77" s="2236"/>
      <c r="AC77" s="1"/>
    </row>
    <row r="78" spans="1:29" s="770" customFormat="1" ht="30" customHeight="1" thickBot="1" x14ac:dyDescent="0.3">
      <c r="A78" s="2751" t="s">
        <v>253</v>
      </c>
      <c r="B78" s="2750" t="s">
        <v>254</v>
      </c>
      <c r="C78" s="3529" t="s">
        <v>258</v>
      </c>
      <c r="D78" s="3530"/>
      <c r="E78" s="3531"/>
      <c r="F78" s="3529" t="s">
        <v>83</v>
      </c>
      <c r="G78" s="3531"/>
      <c r="H78" s="3529" t="s">
        <v>65</v>
      </c>
      <c r="I78" s="3544"/>
      <c r="J78" s="3544"/>
      <c r="K78" s="3544"/>
      <c r="L78" s="3544"/>
      <c r="M78" s="3545"/>
      <c r="N78" s="3529" t="s">
        <v>84</v>
      </c>
      <c r="O78" s="3531"/>
      <c r="P78" s="3529" t="s">
        <v>78</v>
      </c>
      <c r="Q78" s="3530"/>
      <c r="R78" s="3530"/>
      <c r="S78" s="3531"/>
      <c r="T78" s="3529" t="s">
        <v>87</v>
      </c>
      <c r="U78" s="3531"/>
      <c r="V78" s="3529" t="s">
        <v>623</v>
      </c>
      <c r="W78" s="3530"/>
      <c r="X78" s="3530"/>
      <c r="Y78" s="3530"/>
      <c r="Z78" s="3530"/>
      <c r="AA78" s="3530"/>
      <c r="AB78" s="3531"/>
      <c r="AC78" s="2618"/>
    </row>
    <row r="79" spans="1:29" ht="15.75" customHeight="1" x14ac:dyDescent="0.25">
      <c r="A79" s="2752"/>
      <c r="B79" s="2750"/>
      <c r="C79" s="3527" t="s">
        <v>252</v>
      </c>
      <c r="D79" s="2187" t="str">
        <f ca="1">IF($F$76=12,"CY","AY")</f>
        <v>AY</v>
      </c>
      <c r="E79" s="3444" t="s">
        <v>231</v>
      </c>
      <c r="F79" s="3525" t="s">
        <v>232</v>
      </c>
      <c r="G79" s="2185" t="str">
        <f ca="1">IF($F$76=12,"CY","AY")</f>
        <v>AY</v>
      </c>
      <c r="H79" s="3523" t="s">
        <v>86</v>
      </c>
      <c r="I79" s="3518" t="s">
        <v>922</v>
      </c>
      <c r="J79" s="2918" t="str">
        <f ca="1">IF(F76=12,"CY","AY")</f>
        <v>AY</v>
      </c>
      <c r="K79" s="3542" t="s">
        <v>485</v>
      </c>
      <c r="L79" s="3542" t="s">
        <v>255</v>
      </c>
      <c r="M79" s="3547" t="s">
        <v>66</v>
      </c>
      <c r="N79" s="3549" t="s">
        <v>64</v>
      </c>
      <c r="O79" s="3537" t="str">
        <f ca="1">IF($F$76=12,"CY","AY")</f>
        <v>AY</v>
      </c>
      <c r="P79" s="2014" t="s">
        <v>617</v>
      </c>
      <c r="Q79" s="2015">
        <f ca="1">IFERROR(VLOOKUP(O76,TableFringePool[],2,0),0)</f>
        <v>0.50700000000000001</v>
      </c>
      <c r="R79" s="2018" t="str">
        <f ca="1">IF($F$6=12,"CY Base % ","AY Base %")</f>
        <v xml:space="preserve">CY Base % </v>
      </c>
      <c r="S79" s="2016">
        <f ca="1">Q79</f>
        <v>0.50700000000000001</v>
      </c>
      <c r="T79" s="3539" t="s">
        <v>64</v>
      </c>
      <c r="U79" s="3537" t="str">
        <f ca="1">IF($F$76=12,"CY","AY")</f>
        <v>AY</v>
      </c>
      <c r="V79" s="3477" t="s">
        <v>618</v>
      </c>
      <c r="W79" s="3554" t="s">
        <v>619</v>
      </c>
      <c r="X79" s="3552" t="s">
        <v>620</v>
      </c>
      <c r="Y79" s="3560" t="s">
        <v>624</v>
      </c>
      <c r="Z79" s="2052" t="s">
        <v>621</v>
      </c>
      <c r="AA79" s="2053"/>
      <c r="AB79" s="3558" t="s">
        <v>625</v>
      </c>
      <c r="AC79" s="1"/>
    </row>
    <row r="80" spans="1:29" ht="15" customHeight="1" thickBot="1" x14ac:dyDescent="0.3">
      <c r="A80" s="2715"/>
      <c r="B80" s="2750"/>
      <c r="C80" s="3528"/>
      <c r="D80" s="2188" t="s">
        <v>636</v>
      </c>
      <c r="E80" s="3446"/>
      <c r="F80" s="3526"/>
      <c r="G80" s="2186" t="s">
        <v>637</v>
      </c>
      <c r="H80" s="3524"/>
      <c r="I80" s="3519"/>
      <c r="J80" s="2919" t="s">
        <v>1015</v>
      </c>
      <c r="K80" s="3543"/>
      <c r="L80" s="3543"/>
      <c r="M80" s="3548"/>
      <c r="N80" s="3550"/>
      <c r="O80" s="3538"/>
      <c r="P80" s="2010" t="s">
        <v>67</v>
      </c>
      <c r="Q80" s="1781" t="s">
        <v>68</v>
      </c>
      <c r="R80" s="2011" t="s">
        <v>67</v>
      </c>
      <c r="S80" s="2012" t="s">
        <v>68</v>
      </c>
      <c r="T80" s="3540"/>
      <c r="U80" s="3538"/>
      <c r="V80" s="3564"/>
      <c r="W80" s="3569"/>
      <c r="X80" s="3570"/>
      <c r="Y80" s="3565"/>
      <c r="Z80" s="2125" t="s">
        <v>622</v>
      </c>
      <c r="AA80" s="2126" t="s">
        <v>68</v>
      </c>
      <c r="AB80" s="3566"/>
      <c r="AC80" s="1"/>
    </row>
    <row r="81" spans="1:29" ht="14.45" customHeight="1" x14ac:dyDescent="0.25">
      <c r="A81" s="622">
        <v>1</v>
      </c>
      <c r="B81" s="782">
        <f>'DATA INPUT'!$I$8</f>
        <v>12</v>
      </c>
      <c r="C81" s="2021">
        <f ca="1">MAX(IF($F$76=12,0),
IF($F$76&lt;12,IF('DATA INPUT'!$H$16=1,'DATA INPUT'!$I$16)))</f>
        <v>0</v>
      </c>
      <c r="D81" s="2022">
        <f>MAX(IF(OR('DATA INPUT'!$H$16=2),'DATA INPUT'!$I$16,0),
IF(OR('DATA INPUT'!$V$16=2),'DATA INPUT'!$W$16,0),
IF(OR('DATA INPUT'!$AD$16=2,),'DATA INPUT'!$AE$16,0))</f>
        <v>0</v>
      </c>
      <c r="E81" s="491">
        <f t="shared" ref="E81:E86" ca="1" si="88">IFERROR(SUM(C81+D81)/B81,0)*$F$77</f>
        <v>0</v>
      </c>
      <c r="F81" s="2023">
        <f t="shared" ref="F81:G86" ca="1" si="89">C81*(2080/12)*$F$77</f>
        <v>0</v>
      </c>
      <c r="G81" s="2024">
        <f t="shared" ca="1" si="89"/>
        <v>0</v>
      </c>
      <c r="H81" s="2019">
        <v>0.03</v>
      </c>
      <c r="I81" s="2914">
        <f t="shared" ref="I81:I86" ca="1" si="90">IF($F$76&lt;12,K81*(12-$F$76),0)</f>
        <v>0</v>
      </c>
      <c r="J81" s="501">
        <f>(L76*H81)+L76</f>
        <v>0</v>
      </c>
      <c r="K81" s="501">
        <f t="shared" ref="K81:K86" ca="1" si="91">IFERROR(J81/$F$76,0)</f>
        <v>0</v>
      </c>
      <c r="L81" s="501">
        <f t="shared" ref="L81:L86" ca="1" si="92">IFERROR(J81/$F$76*$F$77,0)</f>
        <v>0</v>
      </c>
      <c r="M81" s="2397">
        <f t="shared" ref="M81:M86" ca="1" si="93">K81/(2080/12)</f>
        <v>0</v>
      </c>
      <c r="N81" s="2025">
        <f t="shared" ref="N81:N86" ca="1" si="94">MAX(IF($F$76=12,0),
IF($F$76&lt;12,C81*L81))</f>
        <v>0</v>
      </c>
      <c r="O81" s="2026">
        <f t="shared" ref="O81:O86" ca="1" si="95">(D81*L81)</f>
        <v>0</v>
      </c>
      <c r="P81" s="2027">
        <f ca="1">IF($V$4&lt;$U$4, $Q79, IF($V$4&gt;$X$4, $Q79+2*$AA$3, $Q79+$AA$3))</f>
        <v>0.50700000000000001</v>
      </c>
      <c r="Q81" s="2028">
        <f t="shared" ref="Q81:Q86" ca="1" si="96">IFERROR(P81*N81,0)</f>
        <v>0</v>
      </c>
      <c r="R81" s="2009">
        <f ca="1">IF($V$4&lt;$U$4, $Q79, IF($V$4&gt;$X$4, $Q79+2*$AA$3, $Q79+$AA$3))</f>
        <v>0.50700000000000001</v>
      </c>
      <c r="S81" s="2029">
        <f t="shared" ref="S81:S86" ca="1" si="97">R81*O81</f>
        <v>0</v>
      </c>
      <c r="T81" s="2401">
        <f t="shared" ref="T81:T86" ca="1" si="98">IFERROR((K81/(2080/12))+((K81*P81)/(2080/12)),"")</f>
        <v>0</v>
      </c>
      <c r="U81" s="2402">
        <f t="shared" ref="U81:U86" ca="1" si="99">(K81/(2080/12))+((K81*R81)/(2080/12))</f>
        <v>0</v>
      </c>
      <c r="V81" s="2130">
        <f>MAX(IF(OR('DATA INPUT'!$H$16=3),'DATA INPUT'!$I$16,0),
IF(OR('DATA INPUT'!$V$16=3),'DATA INPUT'!$W$16,0),
IF(OR('DATA INPUT'!$AD$16=3),'DATA INPUT'!$AE$16,0))</f>
        <v>0</v>
      </c>
      <c r="W81" s="1904">
        <f t="shared" ref="W81:W86" ca="1" si="100">V81*(2080/12)*$F$77</f>
        <v>0</v>
      </c>
      <c r="X81" s="2131">
        <f t="shared" ref="X81:X87" ca="1" si="101">IFERROR(V81/B81,0)*$F$77</f>
        <v>0</v>
      </c>
      <c r="Y81" s="1657">
        <f t="shared" ref="Y81:Y86" ca="1" si="102">V81*L81</f>
        <v>0</v>
      </c>
      <c r="Z81" s="2132">
        <f t="shared" ref="Z81:Z86" ca="1" si="103">R81</f>
        <v>0.50700000000000001</v>
      </c>
      <c r="AA81" s="2133">
        <f t="shared" ref="AA81:AA86" ca="1" si="104">Y81*Z81</f>
        <v>0</v>
      </c>
      <c r="AB81" s="2134">
        <f t="shared" ref="AB81:AB86" ca="1" si="105">SUM(Y81,AA81)</f>
        <v>0</v>
      </c>
      <c r="AC81" s="1"/>
    </row>
    <row r="82" spans="1:29" ht="14.45" customHeight="1" x14ac:dyDescent="0.25">
      <c r="A82" s="50">
        <v>2</v>
      </c>
      <c r="B82" s="540">
        <f>'DATA INPUT'!$J$8</f>
        <v>0</v>
      </c>
      <c r="C82" s="2030">
        <f ca="1">MAX(IF($F$76=12,0),
IF($F$76&lt;12,IF('DATA INPUT'!$H$16=1,'DATA INPUT'!$J$16)))</f>
        <v>0</v>
      </c>
      <c r="D82" s="2031">
        <f>MAX(IF(OR('DATA INPUT'!$H$16=2),'DATA INPUT'!$J$16,0),
IF(OR('DATA INPUT'!$V$16=2),'DATA INPUT'!$X$16,0),
IF(OR('DATA INPUT'!$AD$16=2),'DATA INPUT'!$AF$16,0))</f>
        <v>0</v>
      </c>
      <c r="E82" s="493">
        <f t="shared" ca="1" si="88"/>
        <v>0</v>
      </c>
      <c r="F82" s="2032">
        <f t="shared" ca="1" si="89"/>
        <v>0</v>
      </c>
      <c r="G82" s="2033">
        <f t="shared" ca="1" si="89"/>
        <v>0</v>
      </c>
      <c r="H82" s="461">
        <v>0.03</v>
      </c>
      <c r="I82" s="2914">
        <f t="shared" ca="1" si="90"/>
        <v>0</v>
      </c>
      <c r="J82" s="457">
        <f>(J81*H82)+J81</f>
        <v>0</v>
      </c>
      <c r="K82" s="501">
        <f t="shared" ca="1" si="91"/>
        <v>0</v>
      </c>
      <c r="L82" s="457">
        <f t="shared" ca="1" si="92"/>
        <v>0</v>
      </c>
      <c r="M82" s="2398">
        <f t="shared" ca="1" si="93"/>
        <v>0</v>
      </c>
      <c r="N82" s="2034">
        <f t="shared" ca="1" si="94"/>
        <v>0</v>
      </c>
      <c r="O82" s="2035">
        <f t="shared" ca="1" si="95"/>
        <v>0</v>
      </c>
      <c r="P82" s="2036">
        <f ca="1">P81+$AA$4</f>
        <v>0.52700000000000002</v>
      </c>
      <c r="Q82" s="2037">
        <f t="shared" ca="1" si="96"/>
        <v>0</v>
      </c>
      <c r="R82" s="1758">
        <f ca="1">R81+$AA$4</f>
        <v>0.52700000000000002</v>
      </c>
      <c r="S82" s="2038">
        <f t="shared" ca="1" si="97"/>
        <v>0</v>
      </c>
      <c r="T82" s="2403">
        <f t="shared" ca="1" si="98"/>
        <v>0</v>
      </c>
      <c r="U82" s="2404">
        <f t="shared" ca="1" si="99"/>
        <v>0</v>
      </c>
      <c r="V82" s="2054">
        <f>MAX(IF(OR('DATA INPUT'!$H$16=3),'DATA INPUT'!$J$16,0),
IF(OR('DATA INPUT'!$V$16=3),'DATA INPUT'!$X$16,0),
IF(OR('DATA INPUT'!$AD$16=3),'DATA INPUT'!$AF$16,0))</f>
        <v>0</v>
      </c>
      <c r="W82" s="1604">
        <f t="shared" ca="1" si="100"/>
        <v>0</v>
      </c>
      <c r="X82" s="2058">
        <f t="shared" ca="1" si="101"/>
        <v>0</v>
      </c>
      <c r="Y82" s="1489">
        <f t="shared" ca="1" si="102"/>
        <v>0</v>
      </c>
      <c r="Z82" s="2056">
        <f t="shared" ca="1" si="103"/>
        <v>0.52700000000000002</v>
      </c>
      <c r="AA82" s="1490">
        <f t="shared" ca="1" si="104"/>
        <v>0</v>
      </c>
      <c r="AB82" s="2057">
        <f t="shared" ca="1" si="105"/>
        <v>0</v>
      </c>
      <c r="AC82" s="1"/>
    </row>
    <row r="83" spans="1:29" ht="14.45" customHeight="1" x14ac:dyDescent="0.25">
      <c r="A83" s="50">
        <v>3</v>
      </c>
      <c r="B83" s="540">
        <f>'DATA INPUT'!$K$8</f>
        <v>0</v>
      </c>
      <c r="C83" s="2030">
        <f ca="1">MAX(IF($F$76=12,0),
IF($F$76&lt;12,IF('DATA INPUT'!$H$16=1,'DATA INPUT'!$K$16)))</f>
        <v>0</v>
      </c>
      <c r="D83" s="2031">
        <f>MAX(IF(OR('DATA INPUT'!$H$16=2),'DATA INPUT'!$K$16,0),
IF(OR('DATA INPUT'!$V$16=2),'DATA INPUT'!$Y$16,0),
IF(OR('DATA INPUT'!$AD$16=2),'DATA INPUT'!$AG$16,0))</f>
        <v>0</v>
      </c>
      <c r="E83" s="493">
        <f t="shared" ca="1" si="88"/>
        <v>0</v>
      </c>
      <c r="F83" s="2032">
        <f t="shared" ca="1" si="89"/>
        <v>0</v>
      </c>
      <c r="G83" s="2033">
        <f t="shared" ca="1" si="89"/>
        <v>0</v>
      </c>
      <c r="H83" s="461">
        <v>0.03</v>
      </c>
      <c r="I83" s="2914">
        <f t="shared" ca="1" si="90"/>
        <v>0</v>
      </c>
      <c r="J83" s="457">
        <f>(J82*H83)+J82</f>
        <v>0</v>
      </c>
      <c r="K83" s="501">
        <f t="shared" ca="1" si="91"/>
        <v>0</v>
      </c>
      <c r="L83" s="457">
        <f t="shared" ca="1" si="92"/>
        <v>0</v>
      </c>
      <c r="M83" s="2398">
        <f t="shared" ca="1" si="93"/>
        <v>0</v>
      </c>
      <c r="N83" s="2034">
        <f t="shared" ca="1" si="94"/>
        <v>0</v>
      </c>
      <c r="O83" s="2035">
        <f t="shared" ca="1" si="95"/>
        <v>0</v>
      </c>
      <c r="P83" s="2036">
        <f ca="1">P82+$AA$4</f>
        <v>0.54700000000000004</v>
      </c>
      <c r="Q83" s="2037">
        <f t="shared" ca="1" si="96"/>
        <v>0</v>
      </c>
      <c r="R83" s="1758">
        <f ca="1">R82+$AA$4</f>
        <v>0.54700000000000004</v>
      </c>
      <c r="S83" s="2038">
        <f t="shared" ca="1" si="97"/>
        <v>0</v>
      </c>
      <c r="T83" s="2403">
        <f t="shared" ca="1" si="98"/>
        <v>0</v>
      </c>
      <c r="U83" s="2404">
        <f t="shared" ca="1" si="99"/>
        <v>0</v>
      </c>
      <c r="V83" s="2054">
        <f>MAX(IF(OR('DATA INPUT'!$H$16=3),'DATA INPUT'!$K$16,0),
IF(OR('DATA INPUT'!$V$16=3),'DATA INPUT'!$Y$16,0),
IF(OR('DATA INPUT'!$AD$16=3),'DATA INPUT'!$AG$16,0))</f>
        <v>0</v>
      </c>
      <c r="W83" s="1604">
        <f t="shared" ca="1" si="100"/>
        <v>0</v>
      </c>
      <c r="X83" s="2058">
        <f t="shared" ca="1" si="101"/>
        <v>0</v>
      </c>
      <c r="Y83" s="1489">
        <f t="shared" ca="1" si="102"/>
        <v>0</v>
      </c>
      <c r="Z83" s="2056">
        <f t="shared" ca="1" si="103"/>
        <v>0.54700000000000004</v>
      </c>
      <c r="AA83" s="1490">
        <f t="shared" ca="1" si="104"/>
        <v>0</v>
      </c>
      <c r="AB83" s="2057">
        <f t="shared" ca="1" si="105"/>
        <v>0</v>
      </c>
      <c r="AC83" s="1"/>
    </row>
    <row r="84" spans="1:29" ht="14.45" customHeight="1" x14ac:dyDescent="0.25">
      <c r="A84" s="50">
        <v>4</v>
      </c>
      <c r="B84" s="540">
        <f>'DATA INPUT'!$L$8</f>
        <v>0</v>
      </c>
      <c r="C84" s="2030">
        <f ca="1">MAX(IF($F$76=12,0),
IF($F$76&lt;12,IF('DATA INPUT'!$H$16=1,'DATA INPUT'!$L$16)))</f>
        <v>0</v>
      </c>
      <c r="D84" s="2031">
        <f>MAX(IF(OR('DATA INPUT'!$H$16=2),'DATA INPUT'!$L$16,0),
IF(OR('DATA INPUT'!$V$16=2),'DATA INPUT'!$Z$16,0),
IF(OR('DATA INPUT'!$AD$16=2),'DATA INPUT'!$AH$16,0))</f>
        <v>0</v>
      </c>
      <c r="E84" s="493">
        <f t="shared" ca="1" si="88"/>
        <v>0</v>
      </c>
      <c r="F84" s="2032">
        <f t="shared" ca="1" si="89"/>
        <v>0</v>
      </c>
      <c r="G84" s="2033">
        <f t="shared" ca="1" si="89"/>
        <v>0</v>
      </c>
      <c r="H84" s="461">
        <v>0.03</v>
      </c>
      <c r="I84" s="2914">
        <f t="shared" ca="1" si="90"/>
        <v>0</v>
      </c>
      <c r="J84" s="457">
        <f>(J83*H84)+J83</f>
        <v>0</v>
      </c>
      <c r="K84" s="501">
        <f t="shared" ca="1" si="91"/>
        <v>0</v>
      </c>
      <c r="L84" s="457">
        <f t="shared" ca="1" si="92"/>
        <v>0</v>
      </c>
      <c r="M84" s="2398">
        <f t="shared" ca="1" si="93"/>
        <v>0</v>
      </c>
      <c r="N84" s="2034">
        <f t="shared" ca="1" si="94"/>
        <v>0</v>
      </c>
      <c r="O84" s="2035">
        <f t="shared" ca="1" si="95"/>
        <v>0</v>
      </c>
      <c r="P84" s="2036">
        <f ca="1">P83+$AA$4</f>
        <v>0.56700000000000006</v>
      </c>
      <c r="Q84" s="2037">
        <f t="shared" ca="1" si="96"/>
        <v>0</v>
      </c>
      <c r="R84" s="1758">
        <f ca="1">R83+$AA$4</f>
        <v>0.56700000000000006</v>
      </c>
      <c r="S84" s="2038">
        <f t="shared" ca="1" si="97"/>
        <v>0</v>
      </c>
      <c r="T84" s="2403">
        <f t="shared" ca="1" si="98"/>
        <v>0</v>
      </c>
      <c r="U84" s="2404">
        <f t="shared" ca="1" si="99"/>
        <v>0</v>
      </c>
      <c r="V84" s="2054">
        <f>MAX(IF(OR('DATA INPUT'!$H$16=3),'DATA INPUT'!$L$16,0),
IF(OR('DATA INPUT'!$V$16=3),'DATA INPUT'!$Z$16,0),
IF(OR('DATA INPUT'!$AD$16=3),'DATA INPUT'!$AH$16,0))</f>
        <v>0</v>
      </c>
      <c r="W84" s="1604">
        <f t="shared" ca="1" si="100"/>
        <v>0</v>
      </c>
      <c r="X84" s="2058">
        <f t="shared" ca="1" si="101"/>
        <v>0</v>
      </c>
      <c r="Y84" s="1489">
        <f t="shared" ca="1" si="102"/>
        <v>0</v>
      </c>
      <c r="Z84" s="2059">
        <f t="shared" ca="1" si="103"/>
        <v>0.56700000000000006</v>
      </c>
      <c r="AA84" s="1490">
        <f t="shared" ca="1" si="104"/>
        <v>0</v>
      </c>
      <c r="AB84" s="2063">
        <f t="shared" ca="1" si="105"/>
        <v>0</v>
      </c>
      <c r="AC84" s="335"/>
    </row>
    <row r="85" spans="1:29" ht="14.45" customHeight="1" x14ac:dyDescent="0.25">
      <c r="A85" s="50">
        <v>5</v>
      </c>
      <c r="B85" s="540">
        <f>'DATA INPUT'!$M$8</f>
        <v>0</v>
      </c>
      <c r="C85" s="2030">
        <f ca="1">MAX(IF($F$76=12,0),
IF($F$76&lt;12,IF('DATA INPUT'!$H$16=1,'DATA INPUT'!$M$16)))</f>
        <v>0</v>
      </c>
      <c r="D85" s="2031">
        <f>MAX(IF(OR('DATA INPUT'!$H$16=2),'DATA INPUT'!$M$16,0),
IF(OR('DATA INPUT'!$V$16=2),'DATA INPUT'!$AA$16,0),
IF(OR('DATA INPUT'!$AD$16=2),'DATA INPUT'!$AI$16,0))</f>
        <v>0</v>
      </c>
      <c r="E85" s="493">
        <f t="shared" ca="1" si="88"/>
        <v>0</v>
      </c>
      <c r="F85" s="2032">
        <f t="shared" ca="1" si="89"/>
        <v>0</v>
      </c>
      <c r="G85" s="2033">
        <f t="shared" ca="1" si="89"/>
        <v>0</v>
      </c>
      <c r="H85" s="461">
        <v>0.03</v>
      </c>
      <c r="I85" s="2914">
        <f t="shared" ca="1" si="90"/>
        <v>0</v>
      </c>
      <c r="J85" s="457">
        <f>(J84*H85)+J84</f>
        <v>0</v>
      </c>
      <c r="K85" s="501">
        <f t="shared" ca="1" si="91"/>
        <v>0</v>
      </c>
      <c r="L85" s="457">
        <f t="shared" ca="1" si="92"/>
        <v>0</v>
      </c>
      <c r="M85" s="2398">
        <f t="shared" ca="1" si="93"/>
        <v>0</v>
      </c>
      <c r="N85" s="2034">
        <f t="shared" ca="1" si="94"/>
        <v>0</v>
      </c>
      <c r="O85" s="2035">
        <f t="shared" ca="1" si="95"/>
        <v>0</v>
      </c>
      <c r="P85" s="2036">
        <f ca="1">P84+$AA$4</f>
        <v>0.58700000000000008</v>
      </c>
      <c r="Q85" s="2037">
        <f t="shared" ca="1" si="96"/>
        <v>0</v>
      </c>
      <c r="R85" s="1758">
        <f ca="1">R84+$AA$4</f>
        <v>0.58700000000000008</v>
      </c>
      <c r="S85" s="2038">
        <f t="shared" ca="1" si="97"/>
        <v>0</v>
      </c>
      <c r="T85" s="2403">
        <f t="shared" ca="1" si="98"/>
        <v>0</v>
      </c>
      <c r="U85" s="2404">
        <f t="shared" ca="1" si="99"/>
        <v>0</v>
      </c>
      <c r="V85" s="2054">
        <f>MAX(IF(OR('DATA INPUT'!$H$16=3),'DATA INPUT'!$M$16,0),
IF(OR('DATA INPUT'!$V$16=3),'DATA INPUT'!$AA$16,0),
IF(OR('DATA INPUT'!$AD$16=3),'DATA INPUT'!$AI$16,0))</f>
        <v>0</v>
      </c>
      <c r="W85" s="1604">
        <f t="shared" ca="1" si="100"/>
        <v>0</v>
      </c>
      <c r="X85" s="2058">
        <f t="shared" ca="1" si="101"/>
        <v>0</v>
      </c>
      <c r="Y85" s="1489">
        <f t="shared" ca="1" si="102"/>
        <v>0</v>
      </c>
      <c r="Z85" s="2056">
        <f t="shared" ca="1" si="103"/>
        <v>0.58700000000000008</v>
      </c>
      <c r="AA85" s="1490">
        <f t="shared" ca="1" si="104"/>
        <v>0</v>
      </c>
      <c r="AB85" s="2057">
        <f t="shared" ca="1" si="105"/>
        <v>0</v>
      </c>
    </row>
    <row r="86" spans="1:29" ht="15" customHeight="1" thickBot="1" x14ac:dyDescent="0.3">
      <c r="A86" s="623">
        <v>6</v>
      </c>
      <c r="B86" s="1591">
        <f>'DATA INPUT'!$N$8</f>
        <v>0</v>
      </c>
      <c r="C86" s="2039">
        <f ca="1">MAX(IF($F$76=12,0),
IF($F$76&lt;12,IF('DATA INPUT'!$H$16=1,'DATA INPUT'!$N$16)))</f>
        <v>0</v>
      </c>
      <c r="D86" s="2040">
        <f>MAX(IF(OR('DATA INPUT'!$H$16=2),'DATA INPUT'!$N$16,0),
IF(OR('DATA INPUT'!$V$16=2),'DATA INPUT'!$AB$16,0),
IF(OR('DATA INPUT'!$AD$16=2),'DATA INPUT'!$AJ$16,0))</f>
        <v>0</v>
      </c>
      <c r="E86" s="628">
        <f t="shared" ca="1" si="88"/>
        <v>0</v>
      </c>
      <c r="F86" s="2041">
        <f t="shared" ca="1" si="89"/>
        <v>0</v>
      </c>
      <c r="G86" s="2042">
        <f t="shared" ca="1" si="89"/>
        <v>0</v>
      </c>
      <c r="H86" s="494">
        <v>0.03</v>
      </c>
      <c r="I86" s="2915">
        <f t="shared" ca="1" si="90"/>
        <v>0</v>
      </c>
      <c r="J86" s="495">
        <f>(J85*H86)+J85</f>
        <v>0</v>
      </c>
      <c r="K86" s="501">
        <f t="shared" ca="1" si="91"/>
        <v>0</v>
      </c>
      <c r="L86" s="495">
        <f t="shared" ca="1" si="92"/>
        <v>0</v>
      </c>
      <c r="M86" s="2399">
        <f t="shared" ca="1" si="93"/>
        <v>0</v>
      </c>
      <c r="N86" s="2044">
        <f t="shared" ca="1" si="94"/>
        <v>0</v>
      </c>
      <c r="O86" s="2045">
        <f t="shared" ca="1" si="95"/>
        <v>0</v>
      </c>
      <c r="P86" s="2046">
        <f ca="1">P85+$AA$4</f>
        <v>0.6070000000000001</v>
      </c>
      <c r="Q86" s="2047">
        <f t="shared" ca="1" si="96"/>
        <v>0</v>
      </c>
      <c r="R86" s="1759">
        <f ca="1">R85+$AA$4</f>
        <v>0.6070000000000001</v>
      </c>
      <c r="S86" s="2048">
        <f t="shared" ca="1" si="97"/>
        <v>0</v>
      </c>
      <c r="T86" s="2405">
        <f t="shared" ca="1" si="98"/>
        <v>0</v>
      </c>
      <c r="U86" s="2406">
        <f t="shared" ca="1" si="99"/>
        <v>0</v>
      </c>
      <c r="V86" s="2060">
        <f>MAX(IF(OR('DATA INPUT'!$H$16=3),'DATA INPUT'!$N$16,0),
IF(OR('DATA INPUT'!$V$16=3),'DATA INPUT'!$AB$16,0),
IF(OR('DATA INPUT'!$AD$16=3),'DATA INPUT'!$AJ$16,0))</f>
        <v>0</v>
      </c>
      <c r="W86" s="1906">
        <f t="shared" ca="1" si="100"/>
        <v>0</v>
      </c>
      <c r="X86" s="2061">
        <f t="shared" ca="1" si="101"/>
        <v>0</v>
      </c>
      <c r="Y86" s="1513">
        <f t="shared" ca="1" si="102"/>
        <v>0</v>
      </c>
      <c r="Z86" s="2062">
        <f t="shared" ca="1" si="103"/>
        <v>0.6070000000000001</v>
      </c>
      <c r="AA86" s="2043">
        <f t="shared" ca="1" si="104"/>
        <v>0</v>
      </c>
      <c r="AB86" s="2064">
        <f t="shared" ca="1" si="105"/>
        <v>0</v>
      </c>
    </row>
    <row r="87" spans="1:29" ht="15" customHeight="1" thickBot="1" x14ac:dyDescent="0.3">
      <c r="A87" s="614" t="s">
        <v>85</v>
      </c>
      <c r="B87" s="1674">
        <f>SUM(B81:B86)</f>
        <v>12</v>
      </c>
      <c r="C87" s="2736">
        <f ca="1">SUM(C81:C86)</f>
        <v>0</v>
      </c>
      <c r="D87" s="2737">
        <f>SUM(D81:D86)</f>
        <v>0</v>
      </c>
      <c r="E87" s="2738">
        <f ca="1">IFERROR(SUM(C87+D87)/B87,0)*$F77</f>
        <v>0</v>
      </c>
      <c r="F87" s="2739">
        <f ca="1">SUM(F81:F86)</f>
        <v>0</v>
      </c>
      <c r="G87" s="2740">
        <f ca="1">SUM(G81:G86)</f>
        <v>0</v>
      </c>
      <c r="H87"/>
      <c r="I87"/>
      <c r="K87" s="60"/>
      <c r="N87" s="2734">
        <f ca="1">SUM(N81:N86)</f>
        <v>0</v>
      </c>
      <c r="O87" s="2735">
        <f ca="1">SUM(O81:O86)</f>
        <v>0</v>
      </c>
      <c r="Q87" s="1592">
        <f ca="1">SUM(Q81:Q86)</f>
        <v>0</v>
      </c>
      <c r="S87" s="1593">
        <f ca="1">SUM(S81:S86)</f>
        <v>0</v>
      </c>
      <c r="T87" s="60"/>
      <c r="U87" s="60"/>
      <c r="V87" s="1692">
        <f>SUM(V81:V86)</f>
        <v>0</v>
      </c>
      <c r="W87" s="1692">
        <f ca="1">SUM(W81:W86)</f>
        <v>0</v>
      </c>
      <c r="X87" s="2050">
        <f t="shared" ca="1" si="101"/>
        <v>0</v>
      </c>
      <c r="Y87" s="2051">
        <f ca="1">SUM(Y81:Y86)</f>
        <v>0</v>
      </c>
      <c r="AA87" s="2051">
        <f ca="1">SUM(AA81:AA86)</f>
        <v>0</v>
      </c>
      <c r="AB87" s="2051">
        <f ca="1">SUM(AB81:AB86)</f>
        <v>0</v>
      </c>
    </row>
    <row r="88" spans="1:29" ht="14.45" customHeight="1" x14ac:dyDescent="0.25">
      <c r="B88" s="3073" t="s">
        <v>1074</v>
      </c>
      <c r="C88" s="2065">
        <f ca="1">(C87+D87+V87)*F77</f>
        <v>0</v>
      </c>
      <c r="D88" s="496" t="s">
        <v>256</v>
      </c>
      <c r="E88" s="497"/>
      <c r="F88" s="498">
        <f ca="1">E87</f>
        <v>0</v>
      </c>
      <c r="G88" s="499" t="s">
        <v>701</v>
      </c>
      <c r="H88" s="500"/>
      <c r="I88" s="500"/>
      <c r="J88" s="498">
        <f ca="1">X87</f>
        <v>0</v>
      </c>
      <c r="K88" s="499" t="s">
        <v>702</v>
      </c>
      <c r="L88" s="500"/>
      <c r="W88"/>
      <c r="X88"/>
    </row>
    <row r="89" spans="1:29" ht="24" customHeight="1" thickBot="1" x14ac:dyDescent="0.4">
      <c r="A89" s="2749">
        <f>A75+1</f>
        <v>7</v>
      </c>
      <c r="B89" s="2749"/>
    </row>
    <row r="90" spans="1:29" ht="15" customHeight="1" thickBot="1" x14ac:dyDescent="0.3">
      <c r="A90" s="401" t="s">
        <v>104</v>
      </c>
      <c r="B90" s="2741">
        <f ca="1">OFFSET('DATA INPUT'!$B$11,($A89-1),0)</f>
        <v>0</v>
      </c>
      <c r="C90" s="2746"/>
      <c r="E90" s="1736" t="s">
        <v>81</v>
      </c>
      <c r="F90" s="2743">
        <f ca="1">OFFSET('DATA INPUT'!$G$11,($A89-1),0)</f>
        <v>9</v>
      </c>
      <c r="G90" s="2744"/>
      <c r="H90"/>
      <c r="I90"/>
      <c r="J90" s="1596" t="s">
        <v>257</v>
      </c>
      <c r="K90" s="2755"/>
      <c r="L90" s="1742">
        <f>'DATA INPUT'!E17</f>
        <v>0</v>
      </c>
      <c r="N90" s="1596" t="s">
        <v>525</v>
      </c>
      <c r="O90" s="1755" t="str">
        <f ca="1">OFFSET('DATA INPUT'!$D$11,($A89-1),0)</f>
        <v>Professional &amp; Academic Faculty</v>
      </c>
      <c r="Q90" s="64">
        <f>'DATA INPUT'!S17</f>
        <v>0</v>
      </c>
      <c r="R90" s="1718"/>
      <c r="S90" s="1719"/>
      <c r="T90" s="1598"/>
      <c r="U90" s="333"/>
      <c r="Y90" s="1"/>
      <c r="Z90" s="1"/>
      <c r="AA90" s="1"/>
      <c r="AB90" s="1"/>
      <c r="AC90" s="1"/>
    </row>
    <row r="91" spans="1:29" ht="15" customHeight="1" thickBot="1" x14ac:dyDescent="0.3">
      <c r="A91" s="1737" t="s">
        <v>80</v>
      </c>
      <c r="B91" s="2753">
        <f ca="1">OFFSET('DATA INPUT'!$C$11,($A89-1),0)</f>
        <v>0</v>
      </c>
      <c r="C91" s="2754"/>
      <c r="E91" s="2617" t="s">
        <v>82</v>
      </c>
      <c r="F91" s="2745">
        <f ca="1">OFFSET('DATA INPUT'!$F$11,($A89-1),0)</f>
        <v>1</v>
      </c>
      <c r="G91" s="2742"/>
      <c r="J91" s="66" t="s">
        <v>529</v>
      </c>
      <c r="K91" s="1741"/>
      <c r="L91" s="334">
        <f ca="1">IFERROR(L90/F90,0)</f>
        <v>0</v>
      </c>
      <c r="N91" s="1743" t="s">
        <v>530</v>
      </c>
      <c r="O91" s="1754">
        <f>'DATA INPUT'!T17</f>
        <v>0</v>
      </c>
      <c r="Q91" s="66"/>
      <c r="R91" s="1715"/>
      <c r="S91" s="1713"/>
      <c r="T91" s="1746"/>
      <c r="U91" s="61"/>
      <c r="V91" s="401" t="s">
        <v>104</v>
      </c>
      <c r="W91" s="401">
        <f>'DATA INPUT'!$B$17</f>
        <v>0</v>
      </c>
      <c r="X91" s="1719"/>
      <c r="Y91" s="2235"/>
      <c r="Z91" s="2235"/>
      <c r="AA91" s="2235"/>
      <c r="AB91" s="2236"/>
      <c r="AC91" s="1"/>
    </row>
    <row r="92" spans="1:29" s="770" customFormat="1" ht="30" customHeight="1" thickBot="1" x14ac:dyDescent="0.3">
      <c r="A92" s="2751" t="s">
        <v>253</v>
      </c>
      <c r="B92" s="2750" t="s">
        <v>254</v>
      </c>
      <c r="C92" s="3529" t="s">
        <v>258</v>
      </c>
      <c r="D92" s="3530"/>
      <c r="E92" s="3531"/>
      <c r="F92" s="3529" t="s">
        <v>83</v>
      </c>
      <c r="G92" s="3531"/>
      <c r="H92" s="3529" t="s">
        <v>65</v>
      </c>
      <c r="I92" s="3544"/>
      <c r="J92" s="3544"/>
      <c r="K92" s="3544"/>
      <c r="L92" s="3544"/>
      <c r="M92" s="3545"/>
      <c r="N92" s="3529" t="s">
        <v>84</v>
      </c>
      <c r="O92" s="3531"/>
      <c r="P92" s="3529" t="s">
        <v>78</v>
      </c>
      <c r="Q92" s="3530"/>
      <c r="R92" s="3530"/>
      <c r="S92" s="3531"/>
      <c r="T92" s="3529" t="s">
        <v>87</v>
      </c>
      <c r="U92" s="3531"/>
      <c r="V92" s="3529" t="s">
        <v>623</v>
      </c>
      <c r="W92" s="3530"/>
      <c r="X92" s="3530"/>
      <c r="Y92" s="3530"/>
      <c r="Z92" s="3530"/>
      <c r="AA92" s="3530"/>
      <c r="AB92" s="3531"/>
      <c r="AC92" s="2618"/>
    </row>
    <row r="93" spans="1:29" ht="15.75" customHeight="1" x14ac:dyDescent="0.25">
      <c r="A93" s="2752"/>
      <c r="B93" s="2750"/>
      <c r="C93" s="3527" t="s">
        <v>252</v>
      </c>
      <c r="D93" s="2187" t="str">
        <f ca="1">IF($F$90=12,"CY","AY")</f>
        <v>AY</v>
      </c>
      <c r="E93" s="3444" t="s">
        <v>231</v>
      </c>
      <c r="F93" s="3525" t="s">
        <v>232</v>
      </c>
      <c r="G93" s="2185" t="str">
        <f ca="1">IF($F$90=12,"CY","AY")</f>
        <v>AY</v>
      </c>
      <c r="H93" s="3523" t="s">
        <v>86</v>
      </c>
      <c r="I93" s="3518" t="s">
        <v>922</v>
      </c>
      <c r="J93" s="2918" t="str">
        <f ca="1">IF(F90=12,"CY","AY")</f>
        <v>AY</v>
      </c>
      <c r="K93" s="3542" t="s">
        <v>485</v>
      </c>
      <c r="L93" s="3542" t="s">
        <v>255</v>
      </c>
      <c r="M93" s="3547" t="s">
        <v>66</v>
      </c>
      <c r="N93" s="3549" t="s">
        <v>64</v>
      </c>
      <c r="O93" s="3537" t="str">
        <f ca="1">IF($F$90=12,"CY","AY")</f>
        <v>AY</v>
      </c>
      <c r="P93" s="2014" t="s">
        <v>617</v>
      </c>
      <c r="Q93" s="2015">
        <f ca="1">IFERROR(VLOOKUP(O90,TableFringePool[],2,0),0)</f>
        <v>0.50700000000000001</v>
      </c>
      <c r="R93" s="2018" t="str">
        <f ca="1">IF($F$6=12,"CY Base % ","AY Base %")</f>
        <v xml:space="preserve">CY Base % </v>
      </c>
      <c r="S93" s="2016">
        <f ca="1">Q93</f>
        <v>0.50700000000000001</v>
      </c>
      <c r="T93" s="3539" t="s">
        <v>64</v>
      </c>
      <c r="U93" s="3537" t="str">
        <f ca="1">IF($F$90=12,"CY","AY")</f>
        <v>AY</v>
      </c>
      <c r="V93" s="3477" t="s">
        <v>618</v>
      </c>
      <c r="W93" s="3554" t="s">
        <v>619</v>
      </c>
      <c r="X93" s="3552" t="s">
        <v>620</v>
      </c>
      <c r="Y93" s="3560" t="s">
        <v>624</v>
      </c>
      <c r="Z93" s="2052" t="s">
        <v>621</v>
      </c>
      <c r="AA93" s="2053"/>
      <c r="AB93" s="3558" t="s">
        <v>625</v>
      </c>
      <c r="AC93" s="1"/>
    </row>
    <row r="94" spans="1:29" ht="15" customHeight="1" thickBot="1" x14ac:dyDescent="0.3">
      <c r="A94" s="2715"/>
      <c r="B94" s="2750"/>
      <c r="C94" s="3528"/>
      <c r="D94" s="2188" t="s">
        <v>636</v>
      </c>
      <c r="E94" s="3446"/>
      <c r="F94" s="3526"/>
      <c r="G94" s="2186" t="s">
        <v>637</v>
      </c>
      <c r="H94" s="3524"/>
      <c r="I94" s="3519"/>
      <c r="J94" s="2919" t="s">
        <v>1015</v>
      </c>
      <c r="K94" s="3543"/>
      <c r="L94" s="3543"/>
      <c r="M94" s="3548"/>
      <c r="N94" s="3550"/>
      <c r="O94" s="3538"/>
      <c r="P94" s="2010" t="s">
        <v>67</v>
      </c>
      <c r="Q94" s="1781" t="s">
        <v>68</v>
      </c>
      <c r="R94" s="2011" t="s">
        <v>67</v>
      </c>
      <c r="S94" s="2012" t="s">
        <v>68</v>
      </c>
      <c r="T94" s="3540"/>
      <c r="U94" s="3538"/>
      <c r="V94" s="3564"/>
      <c r="W94" s="3569"/>
      <c r="X94" s="3570"/>
      <c r="Y94" s="3565"/>
      <c r="Z94" s="2125" t="s">
        <v>622</v>
      </c>
      <c r="AA94" s="2126" t="s">
        <v>68</v>
      </c>
      <c r="AB94" s="3566"/>
      <c r="AC94" s="1"/>
    </row>
    <row r="95" spans="1:29" ht="14.45" customHeight="1" x14ac:dyDescent="0.25">
      <c r="A95" s="622">
        <v>1</v>
      </c>
      <c r="B95" s="782">
        <f>'DATA INPUT'!$I$8</f>
        <v>12</v>
      </c>
      <c r="C95" s="2021">
        <f ca="1">MAX(IF($F$90=12,0),
IF($F$90&lt;12,IF('DATA INPUT'!$H$17=1,'DATA INPUT'!$I$17)))</f>
        <v>0</v>
      </c>
      <c r="D95" s="2022">
        <f>MAX(IF(OR('DATA INPUT'!$H$17=2),'DATA INPUT'!$I$17,0),
IF(OR('DATA INPUT'!$V$17=2),'DATA INPUT'!$W$17,0),
IF(OR('DATA INPUT'!$AD$17=2,),'DATA INPUT'!$AE$17,0))</f>
        <v>0</v>
      </c>
      <c r="E95" s="491">
        <f t="shared" ref="E95:E100" ca="1" si="106">IFERROR(SUM(C95+D95)/B95,0)*$F$91</f>
        <v>0</v>
      </c>
      <c r="F95" s="2023">
        <f t="shared" ref="F95:G100" ca="1" si="107">C95*(2080/12)*$F$91</f>
        <v>0</v>
      </c>
      <c r="G95" s="2024">
        <f t="shared" ca="1" si="107"/>
        <v>0</v>
      </c>
      <c r="H95" s="2019">
        <v>0.03</v>
      </c>
      <c r="I95" s="2914">
        <f t="shared" ref="I95:I100" ca="1" si="108">IF($F$90&lt;12,K95*(12-$F$90),0)</f>
        <v>0</v>
      </c>
      <c r="J95" s="501">
        <f>(L90*H95)+L90</f>
        <v>0</v>
      </c>
      <c r="K95" s="501">
        <f t="shared" ref="K95:K100" ca="1" si="109">IFERROR(J95/$F$90,0)</f>
        <v>0</v>
      </c>
      <c r="L95" s="501">
        <f t="shared" ref="L95:L100" ca="1" si="110">IFERROR(J95/$F$90*$F$91,0)</f>
        <v>0</v>
      </c>
      <c r="M95" s="2397">
        <f t="shared" ref="M95:M100" ca="1" si="111">K95/(2080/12)</f>
        <v>0</v>
      </c>
      <c r="N95" s="2025">
        <f t="shared" ref="N95:N100" ca="1" si="112">MAX(IF($F$90=12,0),
IF($F$90&lt;12,C95*L95))</f>
        <v>0</v>
      </c>
      <c r="O95" s="2026">
        <f t="shared" ref="O95:O100" ca="1" si="113">(D95*L95)</f>
        <v>0</v>
      </c>
      <c r="P95" s="2027">
        <f ca="1">IF($V$4&lt;$U$4, $Q93, IF($V$4&gt;$X$4, $Q93+2*$AA$3, $Q93+$AA$3))</f>
        <v>0.50700000000000001</v>
      </c>
      <c r="Q95" s="2028">
        <f t="shared" ref="Q95:Q100" ca="1" si="114">IFERROR(P95*N95,0)</f>
        <v>0</v>
      </c>
      <c r="R95" s="2009">
        <f ca="1">IF($V$4&lt;$U$4, $Q93, IF($V$4&gt;$X$4, $Q93+2*$AA$3, $Q93+$AA$3))</f>
        <v>0.50700000000000001</v>
      </c>
      <c r="S95" s="2029">
        <f t="shared" ref="S95:S100" ca="1" si="115">R95*O95</f>
        <v>0</v>
      </c>
      <c r="T95" s="2401">
        <f t="shared" ref="T95:T100" ca="1" si="116">IFERROR((K95/(2080/12))+((K95*P95)/(2080/12)),"")</f>
        <v>0</v>
      </c>
      <c r="U95" s="2402">
        <f t="shared" ref="U95:U100" ca="1" si="117">(K95/(2080/12))+((K95*R95)/(2080/12))</f>
        <v>0</v>
      </c>
      <c r="V95" s="2130">
        <f>MAX(IF(OR('DATA INPUT'!$H$17=3),'DATA INPUT'!$I$17,0),
IF(OR('DATA INPUT'!$V$17=3),'DATA INPUT'!$W$17,0),
IF(OR('DATA INPUT'!$AD$17=3),'DATA INPUT'!$AE$17,0))</f>
        <v>0</v>
      </c>
      <c r="W95" s="1904">
        <f t="shared" ref="W95:W100" ca="1" si="118">V95*(2080/12)*$F$91</f>
        <v>0</v>
      </c>
      <c r="X95" s="2131">
        <f t="shared" ref="X95:X101" ca="1" si="119">IFERROR(V95/B95,0)*$F$91</f>
        <v>0</v>
      </c>
      <c r="Y95" s="1657">
        <f t="shared" ref="Y95:Y100" ca="1" si="120">V95*L95</f>
        <v>0</v>
      </c>
      <c r="Z95" s="2132">
        <f t="shared" ref="Z95:Z100" ca="1" si="121">R95</f>
        <v>0.50700000000000001</v>
      </c>
      <c r="AA95" s="2133">
        <f t="shared" ref="AA95:AA100" ca="1" si="122">Y95*Z95</f>
        <v>0</v>
      </c>
      <c r="AB95" s="2134">
        <f t="shared" ref="AB95:AB100" ca="1" si="123">SUM(Y95,AA95)</f>
        <v>0</v>
      </c>
      <c r="AC95" s="1"/>
    </row>
    <row r="96" spans="1:29" ht="14.45" customHeight="1" x14ac:dyDescent="0.25">
      <c r="A96" s="50">
        <v>2</v>
      </c>
      <c r="B96" s="540">
        <f>'DATA INPUT'!$J$8</f>
        <v>0</v>
      </c>
      <c r="C96" s="2030">
        <f ca="1">MAX(IF($F$90=12,0),
IF($F$90&lt;12,IF('DATA INPUT'!$H$17=1,'DATA INPUT'!$J$17)))</f>
        <v>0</v>
      </c>
      <c r="D96" s="2031">
        <f>MAX(IF(OR('DATA INPUT'!$H$17=2),'DATA INPUT'!$J$17,0),
IF(OR('DATA INPUT'!$V$17=2),'DATA INPUT'!$X$17,0),
IF(OR('DATA INPUT'!$AD$17=2),'DATA INPUT'!$AF$17,0))</f>
        <v>0</v>
      </c>
      <c r="E96" s="493">
        <f t="shared" ca="1" si="106"/>
        <v>0</v>
      </c>
      <c r="F96" s="2032">
        <f t="shared" ca="1" si="107"/>
        <v>0</v>
      </c>
      <c r="G96" s="2033">
        <f t="shared" ca="1" si="107"/>
        <v>0</v>
      </c>
      <c r="H96" s="461">
        <v>0.03</v>
      </c>
      <c r="I96" s="2914">
        <f t="shared" ca="1" si="108"/>
        <v>0</v>
      </c>
      <c r="J96" s="457">
        <f>(J95*H96)+J95</f>
        <v>0</v>
      </c>
      <c r="K96" s="457">
        <f t="shared" ca="1" si="109"/>
        <v>0</v>
      </c>
      <c r="L96" s="457">
        <f t="shared" ca="1" si="110"/>
        <v>0</v>
      </c>
      <c r="M96" s="2398">
        <f t="shared" ca="1" si="111"/>
        <v>0</v>
      </c>
      <c r="N96" s="2034">
        <f t="shared" ca="1" si="112"/>
        <v>0</v>
      </c>
      <c r="O96" s="2035">
        <f t="shared" ca="1" si="113"/>
        <v>0</v>
      </c>
      <c r="P96" s="2036">
        <f ca="1">P95+$AA$4</f>
        <v>0.52700000000000002</v>
      </c>
      <c r="Q96" s="2037">
        <f t="shared" ca="1" si="114"/>
        <v>0</v>
      </c>
      <c r="R96" s="1758">
        <f ca="1">R95+$AA$4</f>
        <v>0.52700000000000002</v>
      </c>
      <c r="S96" s="2038">
        <f t="shared" ca="1" si="115"/>
        <v>0</v>
      </c>
      <c r="T96" s="2403">
        <f t="shared" ca="1" si="116"/>
        <v>0</v>
      </c>
      <c r="U96" s="2404">
        <f t="shared" ca="1" si="117"/>
        <v>0</v>
      </c>
      <c r="V96" s="2054">
        <f>MAX(IF(OR('DATA INPUT'!$H$17=3),'DATA INPUT'!$J$17,0),
IF(OR('DATA INPUT'!$V$17=3),'DATA INPUT'!$X$17,0),
IF(OR('DATA INPUT'!$AD$17=3),'DATA INPUT'!$AF$17,0))</f>
        <v>0</v>
      </c>
      <c r="W96" s="1604">
        <f t="shared" ca="1" si="118"/>
        <v>0</v>
      </c>
      <c r="X96" s="2058">
        <f t="shared" ca="1" si="119"/>
        <v>0</v>
      </c>
      <c r="Y96" s="1489">
        <f t="shared" ca="1" si="120"/>
        <v>0</v>
      </c>
      <c r="Z96" s="2056">
        <f t="shared" ca="1" si="121"/>
        <v>0.52700000000000002</v>
      </c>
      <c r="AA96" s="1490">
        <f t="shared" ca="1" si="122"/>
        <v>0</v>
      </c>
      <c r="AB96" s="2057">
        <f t="shared" ca="1" si="123"/>
        <v>0</v>
      </c>
      <c r="AC96" s="1"/>
    </row>
    <row r="97" spans="1:29" ht="14.45" customHeight="1" x14ac:dyDescent="0.25">
      <c r="A97" s="50">
        <v>3</v>
      </c>
      <c r="B97" s="540">
        <f>'DATA INPUT'!$K$8</f>
        <v>0</v>
      </c>
      <c r="C97" s="2030">
        <f ca="1">MAX(IF($F$90=12,0),
IF($F$90&lt;12,IF('DATA INPUT'!$H$17=1,'DATA INPUT'!$K$17)))</f>
        <v>0</v>
      </c>
      <c r="D97" s="2031">
        <f>MAX(IF(OR('DATA INPUT'!$H$17=2),'DATA INPUT'!$K$17,0),
IF(OR('DATA INPUT'!$V$17=2),'DATA INPUT'!$Y$17,0),
IF(OR('DATA INPUT'!$AD$17=2),'DATA INPUT'!$AG$17,0))</f>
        <v>0</v>
      </c>
      <c r="E97" s="493">
        <f t="shared" ca="1" si="106"/>
        <v>0</v>
      </c>
      <c r="F97" s="2032">
        <f t="shared" ca="1" si="107"/>
        <v>0</v>
      </c>
      <c r="G97" s="2033">
        <f t="shared" ca="1" si="107"/>
        <v>0</v>
      </c>
      <c r="H97" s="461">
        <v>0.03</v>
      </c>
      <c r="I97" s="2914">
        <f t="shared" ca="1" si="108"/>
        <v>0</v>
      </c>
      <c r="J97" s="457">
        <f>(J96*H97)+J96</f>
        <v>0</v>
      </c>
      <c r="K97" s="457">
        <f t="shared" ca="1" si="109"/>
        <v>0</v>
      </c>
      <c r="L97" s="457">
        <f t="shared" ca="1" si="110"/>
        <v>0</v>
      </c>
      <c r="M97" s="2398">
        <f t="shared" ca="1" si="111"/>
        <v>0</v>
      </c>
      <c r="N97" s="2034">
        <f t="shared" ca="1" si="112"/>
        <v>0</v>
      </c>
      <c r="O97" s="2035">
        <f t="shared" ca="1" si="113"/>
        <v>0</v>
      </c>
      <c r="P97" s="2036">
        <f ca="1">P96+$AA$4</f>
        <v>0.54700000000000004</v>
      </c>
      <c r="Q97" s="2037">
        <f t="shared" ca="1" si="114"/>
        <v>0</v>
      </c>
      <c r="R97" s="1758">
        <f ca="1">R96+$AA$4</f>
        <v>0.54700000000000004</v>
      </c>
      <c r="S97" s="2038">
        <f t="shared" ca="1" si="115"/>
        <v>0</v>
      </c>
      <c r="T97" s="2403">
        <f t="shared" ca="1" si="116"/>
        <v>0</v>
      </c>
      <c r="U97" s="2404">
        <f t="shared" ca="1" si="117"/>
        <v>0</v>
      </c>
      <c r="V97" s="2054">
        <f>MAX(IF(OR('DATA INPUT'!$H$17=3),'DATA INPUT'!$K$17,0),
IF(OR('DATA INPUT'!$V$17=3),'DATA INPUT'!$Y$17,0),
IF(OR('DATA INPUT'!$AD$17=3),'DATA INPUT'!$AG$17,0))</f>
        <v>0</v>
      </c>
      <c r="W97" s="1604">
        <f t="shared" ca="1" si="118"/>
        <v>0</v>
      </c>
      <c r="X97" s="2058">
        <f t="shared" ca="1" si="119"/>
        <v>0</v>
      </c>
      <c r="Y97" s="1489">
        <f t="shared" ca="1" si="120"/>
        <v>0</v>
      </c>
      <c r="Z97" s="2056">
        <f t="shared" ca="1" si="121"/>
        <v>0.54700000000000004</v>
      </c>
      <c r="AA97" s="1490">
        <f t="shared" ca="1" si="122"/>
        <v>0</v>
      </c>
      <c r="AB97" s="2057">
        <f t="shared" ca="1" si="123"/>
        <v>0</v>
      </c>
      <c r="AC97" s="1"/>
    </row>
    <row r="98" spans="1:29" ht="14.45" customHeight="1" x14ac:dyDescent="0.25">
      <c r="A98" s="50">
        <v>4</v>
      </c>
      <c r="B98" s="540">
        <f>'DATA INPUT'!$L$8</f>
        <v>0</v>
      </c>
      <c r="C98" s="2030">
        <f ca="1">MAX(IF($F$90=12,0),
IF($F$90&lt;12,IF('DATA INPUT'!$H$17=1,'DATA INPUT'!$L$17)))</f>
        <v>0</v>
      </c>
      <c r="D98" s="2031">
        <f>MAX(IF(OR('DATA INPUT'!$H$17=2),'DATA INPUT'!$L$17,0),
IF(OR('DATA INPUT'!$V$17=2),'DATA INPUT'!$Z$17,0),
IF(OR('DATA INPUT'!$AD$17=2),'DATA INPUT'!$AH$17,0))</f>
        <v>0</v>
      </c>
      <c r="E98" s="493">
        <f t="shared" ca="1" si="106"/>
        <v>0</v>
      </c>
      <c r="F98" s="2032">
        <f t="shared" ca="1" si="107"/>
        <v>0</v>
      </c>
      <c r="G98" s="2033">
        <f t="shared" ca="1" si="107"/>
        <v>0</v>
      </c>
      <c r="H98" s="461">
        <v>0.03</v>
      </c>
      <c r="I98" s="2914">
        <f t="shared" ca="1" si="108"/>
        <v>0</v>
      </c>
      <c r="J98" s="457">
        <f>(J97*H98)+J97</f>
        <v>0</v>
      </c>
      <c r="K98" s="457">
        <f t="shared" ca="1" si="109"/>
        <v>0</v>
      </c>
      <c r="L98" s="457">
        <f t="shared" ca="1" si="110"/>
        <v>0</v>
      </c>
      <c r="M98" s="2398">
        <f t="shared" ca="1" si="111"/>
        <v>0</v>
      </c>
      <c r="N98" s="2034">
        <f t="shared" ca="1" si="112"/>
        <v>0</v>
      </c>
      <c r="O98" s="2035">
        <f t="shared" ca="1" si="113"/>
        <v>0</v>
      </c>
      <c r="P98" s="2036">
        <f ca="1">P97+$AA$4</f>
        <v>0.56700000000000006</v>
      </c>
      <c r="Q98" s="2037">
        <f t="shared" ca="1" si="114"/>
        <v>0</v>
      </c>
      <c r="R98" s="1758">
        <f ca="1">R97+$AA$4</f>
        <v>0.56700000000000006</v>
      </c>
      <c r="S98" s="2038">
        <f t="shared" ca="1" si="115"/>
        <v>0</v>
      </c>
      <c r="T98" s="2403">
        <f t="shared" ca="1" si="116"/>
        <v>0</v>
      </c>
      <c r="U98" s="2404">
        <f t="shared" ca="1" si="117"/>
        <v>0</v>
      </c>
      <c r="V98" s="2054">
        <f>MAX(IF(OR('DATA INPUT'!$H$17=3),'DATA INPUT'!$L$17,0),
IF(OR('DATA INPUT'!$V$17=3),'DATA INPUT'!$Z$17,0),
IF(OR('DATA INPUT'!$AD$17=3),'DATA INPUT'!$AH$17,0))</f>
        <v>0</v>
      </c>
      <c r="W98" s="1604">
        <f t="shared" ca="1" si="118"/>
        <v>0</v>
      </c>
      <c r="X98" s="2058">
        <f t="shared" ca="1" si="119"/>
        <v>0</v>
      </c>
      <c r="Y98" s="1489">
        <f t="shared" ca="1" si="120"/>
        <v>0</v>
      </c>
      <c r="Z98" s="2059">
        <f t="shared" ca="1" si="121"/>
        <v>0.56700000000000006</v>
      </c>
      <c r="AA98" s="1490">
        <f t="shared" ca="1" si="122"/>
        <v>0</v>
      </c>
      <c r="AB98" s="2063">
        <f t="shared" ca="1" si="123"/>
        <v>0</v>
      </c>
      <c r="AC98" s="335"/>
    </row>
    <row r="99" spans="1:29" ht="14.45" customHeight="1" x14ac:dyDescent="0.25">
      <c r="A99" s="50">
        <v>5</v>
      </c>
      <c r="B99" s="540">
        <f>'DATA INPUT'!$M$8</f>
        <v>0</v>
      </c>
      <c r="C99" s="2030">
        <f ca="1">MAX(IF($F$90=12,0),
IF($F$90&lt;12,IF('DATA INPUT'!$H$17=1,'DATA INPUT'!$M$17)))</f>
        <v>0</v>
      </c>
      <c r="D99" s="2031">
        <f>MAX(IF(OR('DATA INPUT'!$H$17=2),'DATA INPUT'!$M$17,0),
IF(OR('DATA INPUT'!$V$17=2),'DATA INPUT'!$AA$17,0),
IF(OR('DATA INPUT'!$AD$17=2),'DATA INPUT'!$AI$17,0))</f>
        <v>0</v>
      </c>
      <c r="E99" s="493">
        <f t="shared" ca="1" si="106"/>
        <v>0</v>
      </c>
      <c r="F99" s="2032">
        <f t="shared" ca="1" si="107"/>
        <v>0</v>
      </c>
      <c r="G99" s="2033">
        <f t="shared" ca="1" si="107"/>
        <v>0</v>
      </c>
      <c r="H99" s="461">
        <v>0.03</v>
      </c>
      <c r="I99" s="2914">
        <f t="shared" ca="1" si="108"/>
        <v>0</v>
      </c>
      <c r="J99" s="457">
        <f>(J98*H99)+J98</f>
        <v>0</v>
      </c>
      <c r="K99" s="457">
        <f t="shared" ca="1" si="109"/>
        <v>0</v>
      </c>
      <c r="L99" s="457">
        <f t="shared" ca="1" si="110"/>
        <v>0</v>
      </c>
      <c r="M99" s="2398">
        <f t="shared" ca="1" si="111"/>
        <v>0</v>
      </c>
      <c r="N99" s="2034">
        <f t="shared" ca="1" si="112"/>
        <v>0</v>
      </c>
      <c r="O99" s="2035">
        <f t="shared" ca="1" si="113"/>
        <v>0</v>
      </c>
      <c r="P99" s="2036">
        <f ca="1">P98+$AA$4</f>
        <v>0.58700000000000008</v>
      </c>
      <c r="Q99" s="2037">
        <f t="shared" ca="1" si="114"/>
        <v>0</v>
      </c>
      <c r="R99" s="1758">
        <f ca="1">R98+$AA$4</f>
        <v>0.58700000000000008</v>
      </c>
      <c r="S99" s="2038">
        <f t="shared" ca="1" si="115"/>
        <v>0</v>
      </c>
      <c r="T99" s="2403">
        <f t="shared" ca="1" si="116"/>
        <v>0</v>
      </c>
      <c r="U99" s="2404">
        <f t="shared" ca="1" si="117"/>
        <v>0</v>
      </c>
      <c r="V99" s="2054">
        <f>MAX(IF(OR('DATA INPUT'!$H$17=3),'DATA INPUT'!$M$17,0),
IF(OR('DATA INPUT'!$V$17=3),'DATA INPUT'!$AA$17,0),
IF(OR('DATA INPUT'!$AD$17=3),'DATA INPUT'!$AI$17,0))</f>
        <v>0</v>
      </c>
      <c r="W99" s="1604">
        <f t="shared" ca="1" si="118"/>
        <v>0</v>
      </c>
      <c r="X99" s="2058">
        <f t="shared" ca="1" si="119"/>
        <v>0</v>
      </c>
      <c r="Y99" s="1489">
        <f t="shared" ca="1" si="120"/>
        <v>0</v>
      </c>
      <c r="Z99" s="2056">
        <f t="shared" ca="1" si="121"/>
        <v>0.58700000000000008</v>
      </c>
      <c r="AA99" s="1490">
        <f t="shared" ca="1" si="122"/>
        <v>0</v>
      </c>
      <c r="AB99" s="2057">
        <f t="shared" ca="1" si="123"/>
        <v>0</v>
      </c>
    </row>
    <row r="100" spans="1:29" ht="15" customHeight="1" thickBot="1" x14ac:dyDescent="0.3">
      <c r="A100" s="623">
        <v>6</v>
      </c>
      <c r="B100" s="1591">
        <f>'DATA INPUT'!$N$8</f>
        <v>0</v>
      </c>
      <c r="C100" s="2039">
        <f ca="1">MAX(IF($F$90=12,0),
IF($F$90&lt;12,IF('DATA INPUT'!$H$17=1,'DATA INPUT'!$N$17)))</f>
        <v>0</v>
      </c>
      <c r="D100" s="2040">
        <f>MAX(IF(OR('DATA INPUT'!$H$17=2),'DATA INPUT'!$N$17,0),
IF(OR('DATA INPUT'!$V$17=2),'DATA INPUT'!$AB$17,0),
IF(OR('DATA INPUT'!$AD$17=2),'DATA INPUT'!$AJ$17,0))</f>
        <v>0</v>
      </c>
      <c r="E100" s="628">
        <f t="shared" ca="1" si="106"/>
        <v>0</v>
      </c>
      <c r="F100" s="2041">
        <f t="shared" ca="1" si="107"/>
        <v>0</v>
      </c>
      <c r="G100" s="2042">
        <f t="shared" ca="1" si="107"/>
        <v>0</v>
      </c>
      <c r="H100" s="494">
        <v>0.03</v>
      </c>
      <c r="I100" s="2915">
        <f t="shared" ca="1" si="108"/>
        <v>0</v>
      </c>
      <c r="J100" s="495">
        <f>(J99*H100)+J99</f>
        <v>0</v>
      </c>
      <c r="K100" s="495">
        <f t="shared" ca="1" si="109"/>
        <v>0</v>
      </c>
      <c r="L100" s="495">
        <f t="shared" ca="1" si="110"/>
        <v>0</v>
      </c>
      <c r="M100" s="2399">
        <f t="shared" ca="1" si="111"/>
        <v>0</v>
      </c>
      <c r="N100" s="2044">
        <f t="shared" ca="1" si="112"/>
        <v>0</v>
      </c>
      <c r="O100" s="2045">
        <f t="shared" ca="1" si="113"/>
        <v>0</v>
      </c>
      <c r="P100" s="2046">
        <f ca="1">P99+$AA$4</f>
        <v>0.6070000000000001</v>
      </c>
      <c r="Q100" s="2047">
        <f t="shared" ca="1" si="114"/>
        <v>0</v>
      </c>
      <c r="R100" s="1759">
        <f ca="1">R99+$AA$4</f>
        <v>0.6070000000000001</v>
      </c>
      <c r="S100" s="2048">
        <f t="shared" ca="1" si="115"/>
        <v>0</v>
      </c>
      <c r="T100" s="2405">
        <f t="shared" ca="1" si="116"/>
        <v>0</v>
      </c>
      <c r="U100" s="2406">
        <f t="shared" ca="1" si="117"/>
        <v>0</v>
      </c>
      <c r="V100" s="2060">
        <f>MAX(IF(OR('DATA INPUT'!$H$17=3),'DATA INPUT'!$N$17,0),
IF(OR('DATA INPUT'!$V$17=3),'DATA INPUT'!$AB$17,0),
IF(OR('DATA INPUT'!$AD$17=3),'DATA INPUT'!$AJ$17,0))</f>
        <v>0</v>
      </c>
      <c r="W100" s="1906">
        <f t="shared" ca="1" si="118"/>
        <v>0</v>
      </c>
      <c r="X100" s="2061">
        <f t="shared" ca="1" si="119"/>
        <v>0</v>
      </c>
      <c r="Y100" s="1513">
        <f t="shared" ca="1" si="120"/>
        <v>0</v>
      </c>
      <c r="Z100" s="2062">
        <f t="shared" ca="1" si="121"/>
        <v>0.6070000000000001</v>
      </c>
      <c r="AA100" s="2043">
        <f t="shared" ca="1" si="122"/>
        <v>0</v>
      </c>
      <c r="AB100" s="2064">
        <f t="shared" ca="1" si="123"/>
        <v>0</v>
      </c>
    </row>
    <row r="101" spans="1:29" ht="15" customHeight="1" thickBot="1" x14ac:dyDescent="0.3">
      <c r="A101" s="614" t="s">
        <v>85</v>
      </c>
      <c r="B101" s="1674">
        <f>SUM(B95:B100)</f>
        <v>12</v>
      </c>
      <c r="C101" s="2736">
        <f ca="1">SUM(C95:C100)</f>
        <v>0</v>
      </c>
      <c r="D101" s="2737">
        <f>SUM(D95:D100)</f>
        <v>0</v>
      </c>
      <c r="E101" s="2738">
        <f ca="1">IFERROR(SUM(C101+D101)/B101,0)*$F91</f>
        <v>0</v>
      </c>
      <c r="F101" s="2739">
        <f ca="1">SUM(F95:F100)</f>
        <v>0</v>
      </c>
      <c r="G101" s="2740">
        <f ca="1">SUM(G95:G100)</f>
        <v>0</v>
      </c>
      <c r="H101"/>
      <c r="I101"/>
      <c r="K101" s="60"/>
      <c r="N101" s="2734">
        <f ca="1">SUM(N95:N100)</f>
        <v>0</v>
      </c>
      <c r="O101" s="2735">
        <f ca="1">SUM(O95:O100)</f>
        <v>0</v>
      </c>
      <c r="Q101" s="1592">
        <f ca="1">SUM(Q95:Q100)</f>
        <v>0</v>
      </c>
      <c r="S101" s="1593">
        <f ca="1">SUM(S95:S100)</f>
        <v>0</v>
      </c>
      <c r="T101" s="60"/>
      <c r="U101" s="60"/>
      <c r="V101" s="1692">
        <f>SUM(V95:V100)</f>
        <v>0</v>
      </c>
      <c r="W101" s="1692">
        <f ca="1">SUM(W95:W100)</f>
        <v>0</v>
      </c>
      <c r="X101" s="2050">
        <f t="shared" ca="1" si="119"/>
        <v>0</v>
      </c>
      <c r="Y101" s="2051">
        <f ca="1">SUM(Y95:Y100)</f>
        <v>0</v>
      </c>
      <c r="AA101" s="2051">
        <f ca="1">SUM(AA95:AA100)</f>
        <v>0</v>
      </c>
      <c r="AB101" s="2051">
        <f ca="1">SUM(AB95:AB100)</f>
        <v>0</v>
      </c>
    </row>
    <row r="102" spans="1:29" ht="14.45" customHeight="1" x14ac:dyDescent="0.25">
      <c r="B102" s="3073" t="s">
        <v>1074</v>
      </c>
      <c r="C102" s="2065">
        <f ca="1">(C101+D101+V101)*F91</f>
        <v>0</v>
      </c>
      <c r="D102" s="496" t="s">
        <v>256</v>
      </c>
      <c r="E102" s="497"/>
      <c r="F102" s="498">
        <f ca="1">E101</f>
        <v>0</v>
      </c>
      <c r="G102" s="499" t="s">
        <v>701</v>
      </c>
      <c r="H102" s="500"/>
      <c r="I102" s="500"/>
      <c r="J102" s="498">
        <f ca="1">X101</f>
        <v>0</v>
      </c>
      <c r="K102" s="499" t="s">
        <v>702</v>
      </c>
      <c r="L102" s="500"/>
      <c r="W102"/>
      <c r="X102"/>
    </row>
    <row r="103" spans="1:29" ht="24" customHeight="1" thickBot="1" x14ac:dyDescent="0.4">
      <c r="A103" s="2749">
        <f>A89+1</f>
        <v>8</v>
      </c>
      <c r="B103" s="2749"/>
    </row>
    <row r="104" spans="1:29" ht="16.350000000000001" customHeight="1" thickBot="1" x14ac:dyDescent="0.3">
      <c r="A104" s="64" t="s">
        <v>104</v>
      </c>
      <c r="B104" s="2741">
        <f ca="1">OFFSET('DATA INPUT'!$B$11,($A103-1),0)</f>
        <v>0</v>
      </c>
      <c r="C104" s="2746"/>
      <c r="E104" s="1736" t="s">
        <v>81</v>
      </c>
      <c r="F104" s="2743">
        <f ca="1">OFFSET('DATA INPUT'!$G$11,($A103-1),0)</f>
        <v>9</v>
      </c>
      <c r="G104" s="2744"/>
      <c r="H104"/>
      <c r="I104"/>
      <c r="J104" s="1596" t="s">
        <v>257</v>
      </c>
      <c r="K104" s="2755"/>
      <c r="L104" s="1742">
        <f>'DATA INPUT'!E18</f>
        <v>0</v>
      </c>
      <c r="N104" s="1596" t="s">
        <v>525</v>
      </c>
      <c r="O104" s="1755" t="str">
        <f ca="1">OFFSET('DATA INPUT'!$D$11,($A103-1),0)</f>
        <v>Professional &amp; Academic Faculty</v>
      </c>
      <c r="Q104" s="64">
        <f>'DATA INPUT'!S18</f>
        <v>0</v>
      </c>
      <c r="R104" s="1718"/>
      <c r="S104" s="1719"/>
      <c r="T104" s="1598"/>
      <c r="U104" s="333"/>
      <c r="Y104" s="504"/>
      <c r="Z104" s="504"/>
      <c r="AA104" s="504"/>
      <c r="AB104" s="504"/>
      <c r="AC104" s="504"/>
    </row>
    <row r="105" spans="1:29" ht="16.350000000000001" customHeight="1" thickBot="1" x14ac:dyDescent="0.3">
      <c r="A105" s="66" t="s">
        <v>80</v>
      </c>
      <c r="B105" s="2753">
        <f ca="1">OFFSET('DATA INPUT'!$C$11,($A103-1),0)</f>
        <v>0</v>
      </c>
      <c r="C105" s="2754"/>
      <c r="E105" s="2617" t="s">
        <v>82</v>
      </c>
      <c r="F105" s="2745">
        <f ca="1">OFFSET('DATA INPUT'!$F$11,($A103-1),0)</f>
        <v>1</v>
      </c>
      <c r="G105" s="2742"/>
      <c r="J105" s="66" t="s">
        <v>529</v>
      </c>
      <c r="K105" s="1741"/>
      <c r="L105" s="334">
        <f ca="1">IFERROR(L104/F104,0)</f>
        <v>0</v>
      </c>
      <c r="N105" s="1743" t="s">
        <v>530</v>
      </c>
      <c r="O105" s="1754">
        <f>'DATA INPUT'!T18</f>
        <v>0</v>
      </c>
      <c r="Q105" s="66"/>
      <c r="R105" s="1715"/>
      <c r="S105" s="1713"/>
      <c r="T105" s="1746"/>
      <c r="U105" s="61"/>
      <c r="V105" s="401" t="s">
        <v>104</v>
      </c>
      <c r="W105" s="401">
        <f>'DATA INPUT'!$B$18</f>
        <v>0</v>
      </c>
      <c r="X105" s="1719"/>
      <c r="Y105" s="2235"/>
      <c r="Z105" s="2235"/>
      <c r="AA105" s="2235"/>
      <c r="AB105" s="2236"/>
      <c r="AC105" s="504"/>
    </row>
    <row r="106" spans="1:29" s="770" customFormat="1" ht="30" customHeight="1" thickBot="1" x14ac:dyDescent="0.3">
      <c r="A106" s="2751" t="s">
        <v>253</v>
      </c>
      <c r="B106" s="2750" t="s">
        <v>254</v>
      </c>
      <c r="C106" s="3529" t="s">
        <v>258</v>
      </c>
      <c r="D106" s="3530"/>
      <c r="E106" s="3531"/>
      <c r="F106" s="3529" t="s">
        <v>83</v>
      </c>
      <c r="G106" s="3531"/>
      <c r="H106" s="3529" t="s">
        <v>65</v>
      </c>
      <c r="I106" s="3544"/>
      <c r="J106" s="3544"/>
      <c r="K106" s="3544"/>
      <c r="L106" s="3544"/>
      <c r="M106" s="3545"/>
      <c r="N106" s="3529" t="s">
        <v>84</v>
      </c>
      <c r="O106" s="3531"/>
      <c r="P106" s="3529" t="s">
        <v>78</v>
      </c>
      <c r="Q106" s="3530"/>
      <c r="R106" s="3530"/>
      <c r="S106" s="3531"/>
      <c r="T106" s="3529" t="s">
        <v>87</v>
      </c>
      <c r="U106" s="3531"/>
      <c r="V106" s="3529" t="s">
        <v>623</v>
      </c>
      <c r="W106" s="3530"/>
      <c r="X106" s="3530"/>
      <c r="Y106" s="3530"/>
      <c r="Z106" s="3530"/>
      <c r="AA106" s="3530"/>
      <c r="AB106" s="3531"/>
      <c r="AC106" s="2619"/>
    </row>
    <row r="107" spans="1:29" ht="15.75" customHeight="1" x14ac:dyDescent="0.25">
      <c r="A107" s="2752"/>
      <c r="B107" s="2750"/>
      <c r="C107" s="3527" t="s">
        <v>252</v>
      </c>
      <c r="D107" s="2187" t="str">
        <f ca="1">IF($F$104=12,"CY","AY")</f>
        <v>AY</v>
      </c>
      <c r="E107" s="3444" t="s">
        <v>231</v>
      </c>
      <c r="F107" s="3525" t="s">
        <v>232</v>
      </c>
      <c r="G107" s="2185" t="str">
        <f ca="1">IF($F$104=12,"CY","AY")</f>
        <v>AY</v>
      </c>
      <c r="H107" s="3523" t="s">
        <v>86</v>
      </c>
      <c r="I107" s="3518" t="s">
        <v>922</v>
      </c>
      <c r="J107" s="2918" t="str">
        <f ca="1">IF(F104=12,"CY","AY")</f>
        <v>AY</v>
      </c>
      <c r="K107" s="3542" t="s">
        <v>485</v>
      </c>
      <c r="L107" s="3542" t="s">
        <v>255</v>
      </c>
      <c r="M107" s="3547" t="s">
        <v>66</v>
      </c>
      <c r="N107" s="3549" t="s">
        <v>64</v>
      </c>
      <c r="O107" s="3537" t="str">
        <f ca="1">IF($F$104=12,"CY","AY")</f>
        <v>AY</v>
      </c>
      <c r="P107" s="2014" t="s">
        <v>617</v>
      </c>
      <c r="Q107" s="2015">
        <f ca="1">IFERROR(VLOOKUP(O104,TableFringePool[],2,0),0)</f>
        <v>0.50700000000000001</v>
      </c>
      <c r="R107" s="2018" t="str">
        <f ca="1">IF($F$6=12,"CY Base % ","AY Base %")</f>
        <v xml:space="preserve">CY Base % </v>
      </c>
      <c r="S107" s="2016">
        <f ca="1">Q107</f>
        <v>0.50700000000000001</v>
      </c>
      <c r="T107" s="3539" t="s">
        <v>64</v>
      </c>
      <c r="U107" s="3537" t="str">
        <f ca="1">IF($F$104=12,"CY","AY")</f>
        <v>AY</v>
      </c>
      <c r="V107" s="3477" t="s">
        <v>618</v>
      </c>
      <c r="W107" s="3554" t="s">
        <v>619</v>
      </c>
      <c r="X107" s="3552" t="s">
        <v>620</v>
      </c>
      <c r="Y107" s="3560" t="s">
        <v>624</v>
      </c>
      <c r="Z107" s="2052" t="s">
        <v>621</v>
      </c>
      <c r="AA107" s="2053"/>
      <c r="AB107" s="3558" t="s">
        <v>625</v>
      </c>
      <c r="AC107" s="504"/>
    </row>
    <row r="108" spans="1:29" ht="16.350000000000001" customHeight="1" thickBot="1" x14ac:dyDescent="0.3">
      <c r="A108" s="2715"/>
      <c r="B108" s="2750"/>
      <c r="C108" s="3528"/>
      <c r="D108" s="2188" t="s">
        <v>636</v>
      </c>
      <c r="E108" s="3445"/>
      <c r="F108" s="3574"/>
      <c r="G108" s="2299" t="s">
        <v>637</v>
      </c>
      <c r="H108" s="3575"/>
      <c r="I108" s="3519"/>
      <c r="J108" s="2919" t="s">
        <v>1015</v>
      </c>
      <c r="K108" s="3572"/>
      <c r="L108" s="3572"/>
      <c r="M108" s="3573"/>
      <c r="N108" s="3556"/>
      <c r="O108" s="3557"/>
      <c r="P108" s="2300" t="s">
        <v>67</v>
      </c>
      <c r="Q108" s="2301" t="s">
        <v>68</v>
      </c>
      <c r="R108" s="2302" t="s">
        <v>67</v>
      </c>
      <c r="S108" s="2303" t="s">
        <v>68</v>
      </c>
      <c r="T108" s="3571"/>
      <c r="U108" s="3557"/>
      <c r="V108" s="3564"/>
      <c r="W108" s="3569"/>
      <c r="X108" s="3570"/>
      <c r="Y108" s="3565"/>
      <c r="Z108" s="2125" t="s">
        <v>622</v>
      </c>
      <c r="AA108" s="2126" t="s">
        <v>68</v>
      </c>
      <c r="AB108" s="3566"/>
      <c r="AC108" s="504"/>
    </row>
    <row r="109" spans="1:29" ht="15.6" customHeight="1" x14ac:dyDescent="0.25">
      <c r="A109" s="622">
        <v>1</v>
      </c>
      <c r="B109" s="782">
        <f>'DATA INPUT'!$I$8</f>
        <v>12</v>
      </c>
      <c r="C109" s="2021">
        <f ca="1">MAX(IF($F$104=12,0),
IF($F$104&lt;12,IF('DATA INPUT'!$H$18=1,'DATA INPUT'!$I$18)))</f>
        <v>0</v>
      </c>
      <c r="D109" s="2022">
        <f>MAX(IF(OR('DATA INPUT'!$H$18=2),'DATA INPUT'!$I$18,0),
IF(OR('DATA INPUT'!$V$18=2),'DATA INPUT'!$W$18,0),
IF(OR('DATA INPUT'!$AD$18=2,),'DATA INPUT'!$AE$18,0))</f>
        <v>0</v>
      </c>
      <c r="E109" s="491">
        <f t="shared" ref="E109:E114" ca="1" si="124">IFERROR(SUM(C109+D109)/B109,0)*$F$105</f>
        <v>0</v>
      </c>
      <c r="F109" s="2023">
        <f t="shared" ref="F109:G114" ca="1" si="125">C109*(2080/12)*$F$105</f>
        <v>0</v>
      </c>
      <c r="G109" s="2024">
        <f t="shared" ca="1" si="125"/>
        <v>0</v>
      </c>
      <c r="H109" s="1149">
        <v>0.03</v>
      </c>
      <c r="I109" s="2914">
        <f t="shared" ref="I109:I114" ca="1" si="126">IF($F$104&lt;12,K109*(12-$F$104),0)</f>
        <v>0</v>
      </c>
      <c r="J109" s="492">
        <f>(L104*H109)+L104</f>
        <v>0</v>
      </c>
      <c r="K109" s="492">
        <f t="shared" ref="K109:K114" ca="1" si="127">IFERROR(J109/$F$104,0)</f>
        <v>0</v>
      </c>
      <c r="L109" s="492">
        <f t="shared" ref="L109:L114" ca="1" si="128">IFERROR(J109/$F$104*$F$105,0)</f>
        <v>0</v>
      </c>
      <c r="M109" s="2400">
        <f t="shared" ref="M109:M114" ca="1" si="129">K109/(2080/12)</f>
        <v>0</v>
      </c>
      <c r="N109" s="2025">
        <f t="shared" ref="N109:N114" ca="1" si="130">MAX(IF($F$104=12,0),
IF($F$104&lt;12,C109*L109))</f>
        <v>0</v>
      </c>
      <c r="O109" s="2026">
        <f t="shared" ref="O109:O114" ca="1" si="131">(D109*L109)</f>
        <v>0</v>
      </c>
      <c r="P109" s="2304">
        <f ca="1">IF($V$4&lt;$U$4, $Q107, IF($V$4&gt;$X$4, $Q107+2*$AA$3, $Q107+$AA$3))</f>
        <v>0.50700000000000001</v>
      </c>
      <c r="Q109" s="2305">
        <f t="shared" ref="Q109:Q114" ca="1" si="132">IFERROR(P109*N109,0)</f>
        <v>0</v>
      </c>
      <c r="R109" s="2306">
        <f ca="1">IF($V$4&lt;$U$4, $Q107, IF($V$4&gt;$X$4, $Q107+2*$AA$3, $Q107+$AA$3))</f>
        <v>0.50700000000000001</v>
      </c>
      <c r="S109" s="2307">
        <f t="shared" ref="S109:S114" ca="1" si="133">R109*O109</f>
        <v>0</v>
      </c>
      <c r="T109" s="2401">
        <f t="shared" ref="T109:T114" ca="1" si="134">IFERROR((K109/(2080/12))+((K109*P109)/(2080/12)),"")</f>
        <v>0</v>
      </c>
      <c r="U109" s="2402">
        <f t="shared" ref="U109:U114" ca="1" si="135">(K109/(2080/12))+((K109*R109)/(2080/12))</f>
        <v>0</v>
      </c>
      <c r="V109" s="2130">
        <f>MAX(IF(OR('DATA INPUT'!$H$18=3),'DATA INPUT'!$I$18,0),
IF(OR('DATA INPUT'!$V$18=3),'DATA INPUT'!$W$18,0),
IF(OR('DATA INPUT'!$AD$18=3),'DATA INPUT'!$AE$18,0))</f>
        <v>0</v>
      </c>
      <c r="W109" s="1904">
        <f t="shared" ref="W109:W114" ca="1" si="136">V109*(2080/12)*$F$105</f>
        <v>0</v>
      </c>
      <c r="X109" s="2131">
        <f t="shared" ref="X109:X115" ca="1" si="137">IFERROR(V109/B109,0)*$F$105</f>
        <v>0</v>
      </c>
      <c r="Y109" s="1657">
        <f t="shared" ref="Y109:Y114" ca="1" si="138">V109*L109</f>
        <v>0</v>
      </c>
      <c r="Z109" s="2132">
        <f t="shared" ref="Z109:Z114" ca="1" si="139">R109</f>
        <v>0.50700000000000001</v>
      </c>
      <c r="AA109" s="2133">
        <f t="shared" ref="AA109:AA114" ca="1" si="140">Y109*Z109</f>
        <v>0</v>
      </c>
      <c r="AB109" s="2134">
        <f t="shared" ref="AB109:AB114" ca="1" si="141">SUM(Y109,AA109)</f>
        <v>0</v>
      </c>
      <c r="AC109" s="504"/>
    </row>
    <row r="110" spans="1:29" ht="15.6" customHeight="1" x14ac:dyDescent="0.25">
      <c r="A110" s="50">
        <v>2</v>
      </c>
      <c r="B110" s="540">
        <f>'DATA INPUT'!$J$8</f>
        <v>0</v>
      </c>
      <c r="C110" s="2030">
        <f ca="1">MAX(IF($F$104=12,0),
IF($F$104&lt;12,IF('DATA INPUT'!$H$18=1,'DATA INPUT'!$J$18)))</f>
        <v>0</v>
      </c>
      <c r="D110" s="2031">
        <f>MAX(IF(OR('DATA INPUT'!$H$18=2),'DATA INPUT'!$J$18,0),
IF(OR('DATA INPUT'!$V$18=2),'DATA INPUT'!$X$18,0),
IF(OR('DATA INPUT'!$AD$18=2),'DATA INPUT'!$AF$18,0))</f>
        <v>0</v>
      </c>
      <c r="E110" s="493">
        <f t="shared" ca="1" si="124"/>
        <v>0</v>
      </c>
      <c r="F110" s="2032">
        <f t="shared" ca="1" si="125"/>
        <v>0</v>
      </c>
      <c r="G110" s="2033">
        <f t="shared" ca="1" si="125"/>
        <v>0</v>
      </c>
      <c r="H110" s="461">
        <v>0.03</v>
      </c>
      <c r="I110" s="2914">
        <f t="shared" ca="1" si="126"/>
        <v>0</v>
      </c>
      <c r="J110" s="457">
        <f>(J109*H110)+J109</f>
        <v>0</v>
      </c>
      <c r="K110" s="501">
        <f t="shared" ca="1" si="127"/>
        <v>0</v>
      </c>
      <c r="L110" s="457">
        <f t="shared" ca="1" si="128"/>
        <v>0</v>
      </c>
      <c r="M110" s="2398">
        <f t="shared" ca="1" si="129"/>
        <v>0</v>
      </c>
      <c r="N110" s="2034">
        <f t="shared" ca="1" si="130"/>
        <v>0</v>
      </c>
      <c r="O110" s="2035">
        <f t="shared" ca="1" si="131"/>
        <v>0</v>
      </c>
      <c r="P110" s="2036">
        <f ca="1">P109+$AA$4</f>
        <v>0.52700000000000002</v>
      </c>
      <c r="Q110" s="2037">
        <f t="shared" ca="1" si="132"/>
        <v>0</v>
      </c>
      <c r="R110" s="1758">
        <f ca="1">R109+$AA$4</f>
        <v>0.52700000000000002</v>
      </c>
      <c r="S110" s="2038">
        <f t="shared" ca="1" si="133"/>
        <v>0</v>
      </c>
      <c r="T110" s="2403">
        <f t="shared" ca="1" si="134"/>
        <v>0</v>
      </c>
      <c r="U110" s="2404">
        <f t="shared" ca="1" si="135"/>
        <v>0</v>
      </c>
      <c r="V110" s="2054">
        <f>MAX(IF(OR('DATA INPUT'!$H$18=3),'DATA INPUT'!$J$18,0),
IF(OR('DATA INPUT'!$V$18=3),'DATA INPUT'!$X$18,0),
IF(OR('DATA INPUT'!$AD$18=3),'DATA INPUT'!$AF$18,0))</f>
        <v>0</v>
      </c>
      <c r="W110" s="1604">
        <f t="shared" ca="1" si="136"/>
        <v>0</v>
      </c>
      <c r="X110" s="2058">
        <f t="shared" ca="1" si="137"/>
        <v>0</v>
      </c>
      <c r="Y110" s="1489">
        <f t="shared" ca="1" si="138"/>
        <v>0</v>
      </c>
      <c r="Z110" s="2056">
        <f t="shared" ca="1" si="139"/>
        <v>0.52700000000000002</v>
      </c>
      <c r="AA110" s="1490">
        <f t="shared" ca="1" si="140"/>
        <v>0</v>
      </c>
      <c r="AB110" s="2057">
        <f t="shared" ca="1" si="141"/>
        <v>0</v>
      </c>
      <c r="AC110" s="504"/>
    </row>
    <row r="111" spans="1:29" ht="15.6" customHeight="1" x14ac:dyDescent="0.25">
      <c r="A111" s="50">
        <v>3</v>
      </c>
      <c r="B111" s="540">
        <f>'DATA INPUT'!$K$8</f>
        <v>0</v>
      </c>
      <c r="C111" s="2030">
        <f ca="1">MAX(IF($F$104=12,0),
IF($F$104&lt;12,IF('DATA INPUT'!$H$18=1,'DATA INPUT'!$K$18)))</f>
        <v>0</v>
      </c>
      <c r="D111" s="2031">
        <f>MAX(IF(OR('DATA INPUT'!$H$18=2),'DATA INPUT'!$K$18,0),
IF(OR('DATA INPUT'!$V$18=2),'DATA INPUT'!$Y$18,0),
IF(OR('DATA INPUT'!$AD$18=2),'DATA INPUT'!$AG$18,0))</f>
        <v>0</v>
      </c>
      <c r="E111" s="493">
        <f t="shared" ca="1" si="124"/>
        <v>0</v>
      </c>
      <c r="F111" s="2032">
        <f t="shared" ca="1" si="125"/>
        <v>0</v>
      </c>
      <c r="G111" s="2033">
        <f t="shared" ca="1" si="125"/>
        <v>0</v>
      </c>
      <c r="H111" s="461">
        <v>0.03</v>
      </c>
      <c r="I111" s="2914">
        <f t="shared" ca="1" si="126"/>
        <v>0</v>
      </c>
      <c r="J111" s="457">
        <f>(J110*H111)+J110</f>
        <v>0</v>
      </c>
      <c r="K111" s="501">
        <f t="shared" ca="1" si="127"/>
        <v>0</v>
      </c>
      <c r="L111" s="457">
        <f t="shared" ca="1" si="128"/>
        <v>0</v>
      </c>
      <c r="M111" s="2398">
        <f t="shared" ca="1" si="129"/>
        <v>0</v>
      </c>
      <c r="N111" s="2034">
        <f t="shared" ca="1" si="130"/>
        <v>0</v>
      </c>
      <c r="O111" s="2035">
        <f t="shared" ca="1" si="131"/>
        <v>0</v>
      </c>
      <c r="P111" s="2036">
        <f ca="1">P110+$AA$4</f>
        <v>0.54700000000000004</v>
      </c>
      <c r="Q111" s="2037">
        <f t="shared" ca="1" si="132"/>
        <v>0</v>
      </c>
      <c r="R111" s="1758">
        <f ca="1">R110+$AA$4</f>
        <v>0.54700000000000004</v>
      </c>
      <c r="S111" s="2038">
        <f t="shared" ca="1" si="133"/>
        <v>0</v>
      </c>
      <c r="T111" s="2403">
        <f t="shared" ca="1" si="134"/>
        <v>0</v>
      </c>
      <c r="U111" s="2404">
        <f t="shared" ca="1" si="135"/>
        <v>0</v>
      </c>
      <c r="V111" s="2054">
        <f>MAX(IF(OR('DATA INPUT'!$H$18=3),'DATA INPUT'!$K$18,0),
IF(OR('DATA INPUT'!$V$18=3),'DATA INPUT'!$Y$18,0),
IF(OR('DATA INPUT'!$AD$18=3),'DATA INPUT'!$AG$18,0))</f>
        <v>0</v>
      </c>
      <c r="W111" s="1604">
        <f t="shared" ca="1" si="136"/>
        <v>0</v>
      </c>
      <c r="X111" s="2058">
        <f t="shared" ca="1" si="137"/>
        <v>0</v>
      </c>
      <c r="Y111" s="1489">
        <f t="shared" ca="1" si="138"/>
        <v>0</v>
      </c>
      <c r="Z111" s="2056">
        <f t="shared" ca="1" si="139"/>
        <v>0.54700000000000004</v>
      </c>
      <c r="AA111" s="1490">
        <f t="shared" ca="1" si="140"/>
        <v>0</v>
      </c>
      <c r="AB111" s="2057">
        <f t="shared" ca="1" si="141"/>
        <v>0</v>
      </c>
      <c r="AC111" s="504"/>
    </row>
    <row r="112" spans="1:29" ht="15.6" customHeight="1" x14ac:dyDescent="0.25">
      <c r="A112" s="50">
        <v>4</v>
      </c>
      <c r="B112" s="540">
        <f>'DATA INPUT'!$L$8</f>
        <v>0</v>
      </c>
      <c r="C112" s="2030">
        <f ca="1">MAX(IF($F$104=12,0),
IF($F$104&lt;12,IF('DATA INPUT'!$H$18=1,'DATA INPUT'!$L$18)))</f>
        <v>0</v>
      </c>
      <c r="D112" s="2031">
        <f>MAX(IF(OR('DATA INPUT'!$H$18=2),'DATA INPUT'!$L$18,0),
IF(OR('DATA INPUT'!$V$18=2),'DATA INPUT'!$Z$18,0),
IF(OR('DATA INPUT'!$AD$18=2),'DATA INPUT'!$AH$18,0))</f>
        <v>0</v>
      </c>
      <c r="E112" s="493">
        <f t="shared" ca="1" si="124"/>
        <v>0</v>
      </c>
      <c r="F112" s="2032">
        <f t="shared" ca="1" si="125"/>
        <v>0</v>
      </c>
      <c r="G112" s="2033">
        <f t="shared" ca="1" si="125"/>
        <v>0</v>
      </c>
      <c r="H112" s="461">
        <v>0.03</v>
      </c>
      <c r="I112" s="2914">
        <f t="shared" ca="1" si="126"/>
        <v>0</v>
      </c>
      <c r="J112" s="457">
        <f>(J111*H112)+J111</f>
        <v>0</v>
      </c>
      <c r="K112" s="501">
        <f t="shared" ca="1" si="127"/>
        <v>0</v>
      </c>
      <c r="L112" s="457">
        <f t="shared" ca="1" si="128"/>
        <v>0</v>
      </c>
      <c r="M112" s="2398">
        <f t="shared" ca="1" si="129"/>
        <v>0</v>
      </c>
      <c r="N112" s="2034">
        <f t="shared" ca="1" si="130"/>
        <v>0</v>
      </c>
      <c r="O112" s="2035">
        <f t="shared" ca="1" si="131"/>
        <v>0</v>
      </c>
      <c r="P112" s="2036">
        <f ca="1">P111+$AA$4</f>
        <v>0.56700000000000006</v>
      </c>
      <c r="Q112" s="2037">
        <f t="shared" ca="1" si="132"/>
        <v>0</v>
      </c>
      <c r="R112" s="1758">
        <f ca="1">R111+$AA$4</f>
        <v>0.56700000000000006</v>
      </c>
      <c r="S112" s="2038">
        <f t="shared" ca="1" si="133"/>
        <v>0</v>
      </c>
      <c r="T112" s="2403">
        <f t="shared" ca="1" si="134"/>
        <v>0</v>
      </c>
      <c r="U112" s="2404">
        <f t="shared" ca="1" si="135"/>
        <v>0</v>
      </c>
      <c r="V112" s="2054">
        <f>MAX(IF(OR('DATA INPUT'!$H$18=3),'DATA INPUT'!$L$18,0),
IF(OR('DATA INPUT'!$V$18=3),'DATA INPUT'!$Z$18,0),
IF(OR('DATA INPUT'!$AD$18=3),'DATA INPUT'!$AH$18,0))</f>
        <v>0</v>
      </c>
      <c r="W112" s="1604">
        <f t="shared" ca="1" si="136"/>
        <v>0</v>
      </c>
      <c r="X112" s="2058">
        <f t="shared" ca="1" si="137"/>
        <v>0</v>
      </c>
      <c r="Y112" s="1489">
        <f t="shared" ca="1" si="138"/>
        <v>0</v>
      </c>
      <c r="Z112" s="2059">
        <f t="shared" ca="1" si="139"/>
        <v>0.56700000000000006</v>
      </c>
      <c r="AA112" s="1490">
        <f t="shared" ca="1" si="140"/>
        <v>0</v>
      </c>
      <c r="AB112" s="2063">
        <f t="shared" ca="1" si="141"/>
        <v>0</v>
      </c>
      <c r="AC112" s="504"/>
    </row>
    <row r="113" spans="1:29" ht="14.45" customHeight="1" x14ac:dyDescent="0.25">
      <c r="A113" s="50">
        <v>5</v>
      </c>
      <c r="B113" s="540">
        <f>'DATA INPUT'!$M$8</f>
        <v>0</v>
      </c>
      <c r="C113" s="2030">
        <f ca="1">MAX(IF($F$104=12,0),
IF($F$104&lt;12,IF('DATA INPUT'!$H$18=1,'DATA INPUT'!$M$18)))</f>
        <v>0</v>
      </c>
      <c r="D113" s="2031">
        <f>MAX(IF(OR('DATA INPUT'!$H$18=2),'DATA INPUT'!$M$18,0),
IF(OR('DATA INPUT'!$V$18=2),'DATA INPUT'!$AA$18,0),
IF(OR('DATA INPUT'!$AD$18=2),'DATA INPUT'!$AI$18,0))</f>
        <v>0</v>
      </c>
      <c r="E113" s="493">
        <f t="shared" ca="1" si="124"/>
        <v>0</v>
      </c>
      <c r="F113" s="2032">
        <f t="shared" ca="1" si="125"/>
        <v>0</v>
      </c>
      <c r="G113" s="2033">
        <f t="shared" ca="1" si="125"/>
        <v>0</v>
      </c>
      <c r="H113" s="461">
        <v>0.03</v>
      </c>
      <c r="I113" s="2914">
        <f t="shared" ca="1" si="126"/>
        <v>0</v>
      </c>
      <c r="J113" s="457">
        <f>(J112*H113)+J112</f>
        <v>0</v>
      </c>
      <c r="K113" s="501">
        <f t="shared" ca="1" si="127"/>
        <v>0</v>
      </c>
      <c r="L113" s="457">
        <f t="shared" ca="1" si="128"/>
        <v>0</v>
      </c>
      <c r="M113" s="2398">
        <f t="shared" ca="1" si="129"/>
        <v>0</v>
      </c>
      <c r="N113" s="2034">
        <f t="shared" ca="1" si="130"/>
        <v>0</v>
      </c>
      <c r="O113" s="2035">
        <f t="shared" ca="1" si="131"/>
        <v>0</v>
      </c>
      <c r="P113" s="2036">
        <f ca="1">P112+$AA$4</f>
        <v>0.58700000000000008</v>
      </c>
      <c r="Q113" s="2037">
        <f t="shared" ca="1" si="132"/>
        <v>0</v>
      </c>
      <c r="R113" s="1758">
        <f ca="1">R112+$AA$4</f>
        <v>0.58700000000000008</v>
      </c>
      <c r="S113" s="2038">
        <f t="shared" ca="1" si="133"/>
        <v>0</v>
      </c>
      <c r="T113" s="2403">
        <f t="shared" ca="1" si="134"/>
        <v>0</v>
      </c>
      <c r="U113" s="2404">
        <f t="shared" ca="1" si="135"/>
        <v>0</v>
      </c>
      <c r="V113" s="2054">
        <f>MAX(IF(OR('DATA INPUT'!$H$18=3),'DATA INPUT'!$M$18,0),
IF(OR('DATA INPUT'!$V$18=3),'DATA INPUT'!$AA$18,0),
IF(OR('DATA INPUT'!$AD$18=3),'DATA INPUT'!$AI$18,0))</f>
        <v>0</v>
      </c>
      <c r="W113" s="1604">
        <f t="shared" ca="1" si="136"/>
        <v>0</v>
      </c>
      <c r="X113" s="2058">
        <f t="shared" ca="1" si="137"/>
        <v>0</v>
      </c>
      <c r="Y113" s="1489">
        <f t="shared" ca="1" si="138"/>
        <v>0</v>
      </c>
      <c r="Z113" s="2056">
        <f t="shared" ca="1" si="139"/>
        <v>0.58700000000000008</v>
      </c>
      <c r="AA113" s="1490">
        <f t="shared" ca="1" si="140"/>
        <v>0</v>
      </c>
      <c r="AB113" s="2057">
        <f t="shared" ca="1" si="141"/>
        <v>0</v>
      </c>
    </row>
    <row r="114" spans="1:29" ht="15" customHeight="1" thickBot="1" x14ac:dyDescent="0.3">
      <c r="A114" s="623">
        <v>6</v>
      </c>
      <c r="B114" s="1591">
        <f>'DATA INPUT'!$N$8</f>
        <v>0</v>
      </c>
      <c r="C114" s="2039">
        <f ca="1">MAX(IF($F$104=12,0),
IF($F$104&lt;12,IF('DATA INPUT'!$H$18=1,'DATA INPUT'!$N$18)))</f>
        <v>0</v>
      </c>
      <c r="D114" s="2040">
        <f>MAX(IF(OR('DATA INPUT'!$H$18=2),'DATA INPUT'!$N$18,0),
IF(OR('DATA INPUT'!$V$18=2),'DATA INPUT'!$AB$18,0),
IF(OR('DATA INPUT'!$AD$18=2),'DATA INPUT'!$AJ$18,0))</f>
        <v>0</v>
      </c>
      <c r="E114" s="628">
        <f t="shared" ca="1" si="124"/>
        <v>0</v>
      </c>
      <c r="F114" s="2041">
        <f t="shared" ca="1" si="125"/>
        <v>0</v>
      </c>
      <c r="G114" s="2042">
        <f t="shared" ca="1" si="125"/>
        <v>0</v>
      </c>
      <c r="H114" s="494">
        <v>0.03</v>
      </c>
      <c r="I114" s="2915">
        <f t="shared" ca="1" si="126"/>
        <v>0</v>
      </c>
      <c r="J114" s="495">
        <f>(J113*H114)+J113</f>
        <v>0</v>
      </c>
      <c r="K114" s="502">
        <f t="shared" ca="1" si="127"/>
        <v>0</v>
      </c>
      <c r="L114" s="495">
        <f t="shared" ca="1" si="128"/>
        <v>0</v>
      </c>
      <c r="M114" s="2399">
        <f t="shared" ca="1" si="129"/>
        <v>0</v>
      </c>
      <c r="N114" s="2044">
        <f t="shared" ca="1" si="130"/>
        <v>0</v>
      </c>
      <c r="O114" s="2045">
        <f t="shared" ca="1" si="131"/>
        <v>0</v>
      </c>
      <c r="P114" s="2046">
        <f ca="1">P113+$AA$4</f>
        <v>0.6070000000000001</v>
      </c>
      <c r="Q114" s="2047">
        <f t="shared" ca="1" si="132"/>
        <v>0</v>
      </c>
      <c r="R114" s="1759">
        <f ca="1">R113+$AA$4</f>
        <v>0.6070000000000001</v>
      </c>
      <c r="S114" s="2048">
        <f t="shared" ca="1" si="133"/>
        <v>0</v>
      </c>
      <c r="T114" s="2405">
        <f t="shared" ca="1" si="134"/>
        <v>0</v>
      </c>
      <c r="U114" s="2406">
        <f t="shared" ca="1" si="135"/>
        <v>0</v>
      </c>
      <c r="V114" s="2060">
        <f>MAX(IF(OR('DATA INPUT'!$H$18=3),'DATA INPUT'!$N$18,0),
IF(OR('DATA INPUT'!$V$18=3),'DATA INPUT'!$AB$18,0),
IF(OR('DATA INPUT'!$AD$18=3),'DATA INPUT'!$AJ$18,0))</f>
        <v>0</v>
      </c>
      <c r="W114" s="1906">
        <f t="shared" ca="1" si="136"/>
        <v>0</v>
      </c>
      <c r="X114" s="2061">
        <f t="shared" ca="1" si="137"/>
        <v>0</v>
      </c>
      <c r="Y114" s="1513">
        <f t="shared" ca="1" si="138"/>
        <v>0</v>
      </c>
      <c r="Z114" s="2062">
        <f t="shared" ca="1" si="139"/>
        <v>0.6070000000000001</v>
      </c>
      <c r="AA114" s="2043">
        <f t="shared" ca="1" si="140"/>
        <v>0</v>
      </c>
      <c r="AB114" s="2064">
        <f t="shared" ca="1" si="141"/>
        <v>0</v>
      </c>
    </row>
    <row r="115" spans="1:29" ht="15" customHeight="1" thickBot="1" x14ac:dyDescent="0.3">
      <c r="A115" s="614" t="s">
        <v>85</v>
      </c>
      <c r="B115" s="1674">
        <f>SUM(B109:B114)</f>
        <v>12</v>
      </c>
      <c r="C115" s="2736">
        <f ca="1">SUM(C109:C114)</f>
        <v>0</v>
      </c>
      <c r="D115" s="2737">
        <f>SUM(D109:D114)</f>
        <v>0</v>
      </c>
      <c r="E115" s="2738">
        <f ca="1">IFERROR(SUM(C115+D115)/B115,0)*$F105</f>
        <v>0</v>
      </c>
      <c r="F115" s="2739">
        <f ca="1">SUM(F109:F114)</f>
        <v>0</v>
      </c>
      <c r="G115" s="2740">
        <f ca="1">SUM(G109:G114)</f>
        <v>0</v>
      </c>
      <c r="H115"/>
      <c r="I115"/>
      <c r="K115" s="60"/>
      <c r="N115" s="2734">
        <f ca="1">SUM(N109:N114)</f>
        <v>0</v>
      </c>
      <c r="O115" s="2735">
        <f ca="1">SUM(O109:O114)</f>
        <v>0</v>
      </c>
      <c r="Q115" s="1592">
        <f ca="1">SUM(Q109:Q114)</f>
        <v>0</v>
      </c>
      <c r="S115" s="1593">
        <f ca="1">SUM(S109:S114)</f>
        <v>0</v>
      </c>
      <c r="T115" s="60"/>
      <c r="U115" s="60"/>
      <c r="V115" s="1692">
        <f>SUM(V109:V114)</f>
        <v>0</v>
      </c>
      <c r="W115" s="1692">
        <f ca="1">SUM(W109:W114)</f>
        <v>0</v>
      </c>
      <c r="X115" s="2050">
        <f t="shared" ca="1" si="137"/>
        <v>0</v>
      </c>
      <c r="Y115" s="2051">
        <f ca="1">SUM(Y109:Y114)</f>
        <v>0</v>
      </c>
      <c r="AA115" s="2051">
        <f ca="1">SUM(AA109:AA114)</f>
        <v>0</v>
      </c>
      <c r="AB115" s="2051">
        <f ca="1">SUM(AB109:AB114)</f>
        <v>0</v>
      </c>
    </row>
    <row r="116" spans="1:29" ht="14.45" customHeight="1" x14ac:dyDescent="0.25">
      <c r="B116" s="3073" t="s">
        <v>1074</v>
      </c>
      <c r="C116" s="2065">
        <f ca="1">(C115+D115+V115)*F105</f>
        <v>0</v>
      </c>
      <c r="D116" s="496" t="s">
        <v>256</v>
      </c>
      <c r="E116" s="497"/>
      <c r="F116" s="498">
        <f ca="1">E115</f>
        <v>0</v>
      </c>
      <c r="G116" s="499" t="s">
        <v>701</v>
      </c>
      <c r="H116" s="500"/>
      <c r="I116" s="500"/>
      <c r="J116" s="498">
        <f ca="1">X115</f>
        <v>0</v>
      </c>
      <c r="K116" s="499" t="s">
        <v>702</v>
      </c>
      <c r="L116" s="500"/>
      <c r="W116"/>
      <c r="X116"/>
    </row>
    <row r="117" spans="1:29" ht="24" customHeight="1" thickBot="1" x14ac:dyDescent="0.4">
      <c r="A117" s="2749">
        <f>A103+1</f>
        <v>9</v>
      </c>
      <c r="B117" s="2749"/>
      <c r="G117"/>
      <c r="H117"/>
      <c r="I117"/>
      <c r="L117"/>
      <c r="W117"/>
      <c r="X117"/>
    </row>
    <row r="118" spans="1:29" ht="15" customHeight="1" thickBot="1" x14ac:dyDescent="0.3">
      <c r="A118" s="401" t="s">
        <v>104</v>
      </c>
      <c r="B118" s="2741">
        <f ca="1">OFFSET('DATA INPUT'!$B$11,($A117-1),0)</f>
        <v>0</v>
      </c>
      <c r="C118" s="2746"/>
      <c r="E118" s="1736" t="s">
        <v>81</v>
      </c>
      <c r="F118" s="2743">
        <f ca="1">OFFSET('DATA INPUT'!$G$11,($A117-1),0)</f>
        <v>9</v>
      </c>
      <c r="G118" s="2744"/>
      <c r="H118"/>
      <c r="I118"/>
      <c r="J118" s="1596" t="s">
        <v>257</v>
      </c>
      <c r="K118" s="2755"/>
      <c r="L118" s="1742">
        <f>'DATA INPUT'!E19</f>
        <v>0</v>
      </c>
      <c r="N118" s="1596" t="s">
        <v>525</v>
      </c>
      <c r="O118" s="1755" t="str">
        <f ca="1">OFFSET('DATA INPUT'!$D$11,($A117-1),0)</f>
        <v>Professional &amp; Academic Faculty</v>
      </c>
      <c r="Q118" s="64">
        <f>'DATA INPUT'!S19</f>
        <v>0</v>
      </c>
      <c r="R118" s="1718"/>
      <c r="S118" s="1719"/>
      <c r="T118" s="1598"/>
      <c r="U118" s="333"/>
      <c r="Y118" s="1"/>
      <c r="Z118" s="1"/>
      <c r="AA118" s="1"/>
      <c r="AB118" s="1"/>
      <c r="AC118" s="1"/>
    </row>
    <row r="119" spans="1:29" ht="15" customHeight="1" thickBot="1" x14ac:dyDescent="0.3">
      <c r="A119" s="1737" t="s">
        <v>80</v>
      </c>
      <c r="B119" s="2753">
        <f ca="1">OFFSET('DATA INPUT'!$C$11,($A117-1),0)</f>
        <v>0</v>
      </c>
      <c r="C119" s="2754"/>
      <c r="E119" s="2617" t="s">
        <v>82</v>
      </c>
      <c r="F119" s="2745">
        <f ca="1">OFFSET('DATA INPUT'!$F$11,($A117-1),0)</f>
        <v>1</v>
      </c>
      <c r="G119" s="2742"/>
      <c r="J119" s="66" t="s">
        <v>529</v>
      </c>
      <c r="K119" s="1741"/>
      <c r="L119" s="334">
        <f ca="1">IFERROR(L118/F118,0)</f>
        <v>0</v>
      </c>
      <c r="N119" s="1743" t="s">
        <v>530</v>
      </c>
      <c r="O119" s="1754">
        <f>'DATA INPUT'!T19</f>
        <v>0</v>
      </c>
      <c r="Q119" s="66"/>
      <c r="R119" s="1715"/>
      <c r="S119" s="1713"/>
      <c r="T119" s="1746"/>
      <c r="U119" s="61"/>
      <c r="V119" s="401" t="s">
        <v>104</v>
      </c>
      <c r="W119" s="401">
        <f>'DATA INPUT'!$B$19</f>
        <v>0</v>
      </c>
      <c r="X119" s="1719"/>
      <c r="Y119" s="2235"/>
      <c r="Z119" s="2235"/>
      <c r="AA119" s="2235"/>
      <c r="AB119" s="2236"/>
      <c r="AC119" s="1"/>
    </row>
    <row r="120" spans="1:29" s="770" customFormat="1" ht="30" customHeight="1" thickBot="1" x14ac:dyDescent="0.3">
      <c r="A120" s="2751" t="s">
        <v>253</v>
      </c>
      <c r="B120" s="2750" t="s">
        <v>254</v>
      </c>
      <c r="C120" s="3529" t="s">
        <v>258</v>
      </c>
      <c r="D120" s="3530"/>
      <c r="E120" s="3531"/>
      <c r="F120" s="3529" t="s">
        <v>83</v>
      </c>
      <c r="G120" s="3531"/>
      <c r="H120" s="3529" t="s">
        <v>65</v>
      </c>
      <c r="I120" s="3544"/>
      <c r="J120" s="3544"/>
      <c r="K120" s="3544"/>
      <c r="L120" s="3544"/>
      <c r="M120" s="3545"/>
      <c r="N120" s="3529" t="s">
        <v>84</v>
      </c>
      <c r="O120" s="3531"/>
      <c r="P120" s="3529" t="s">
        <v>78</v>
      </c>
      <c r="Q120" s="3530"/>
      <c r="R120" s="3530"/>
      <c r="S120" s="3531"/>
      <c r="T120" s="3529" t="s">
        <v>87</v>
      </c>
      <c r="U120" s="3531"/>
      <c r="V120" s="3529" t="s">
        <v>623</v>
      </c>
      <c r="W120" s="3530"/>
      <c r="X120" s="3530"/>
      <c r="Y120" s="3530"/>
      <c r="Z120" s="3530"/>
      <c r="AA120" s="3530"/>
      <c r="AB120" s="3531"/>
      <c r="AC120" s="2618"/>
    </row>
    <row r="121" spans="1:29" ht="15.75" customHeight="1" x14ac:dyDescent="0.25">
      <c r="A121" s="2752"/>
      <c r="B121" s="2750"/>
      <c r="C121" s="3527" t="s">
        <v>252</v>
      </c>
      <c r="D121" s="2187" t="str">
        <f ca="1">IF($F$118=12,"CY","AY")</f>
        <v>AY</v>
      </c>
      <c r="E121" s="3444" t="s">
        <v>231</v>
      </c>
      <c r="F121" s="3525" t="s">
        <v>232</v>
      </c>
      <c r="G121" s="2185" t="str">
        <f ca="1">IF($F$118=12,"CY","AY")</f>
        <v>AY</v>
      </c>
      <c r="H121" s="3523" t="s">
        <v>86</v>
      </c>
      <c r="I121" s="3518" t="s">
        <v>922</v>
      </c>
      <c r="J121" s="2918" t="str">
        <f ca="1">IF(F118=12,"CY","AY")</f>
        <v>AY</v>
      </c>
      <c r="K121" s="3542" t="s">
        <v>485</v>
      </c>
      <c r="L121" s="3542" t="s">
        <v>255</v>
      </c>
      <c r="M121" s="3547" t="s">
        <v>66</v>
      </c>
      <c r="N121" s="3549" t="s">
        <v>64</v>
      </c>
      <c r="O121" s="3537" t="str">
        <f ca="1">IF($F$118=12,"CY","AY")</f>
        <v>AY</v>
      </c>
      <c r="P121" s="2014" t="s">
        <v>617</v>
      </c>
      <c r="Q121" s="2015">
        <f ca="1">IFERROR(VLOOKUP(O118,TableFringePool[],2,0),0)</f>
        <v>0.50700000000000001</v>
      </c>
      <c r="R121" s="2018" t="str">
        <f ca="1">IF($F$6=12,"CY Base % ","AY Base %")</f>
        <v xml:space="preserve">CY Base % </v>
      </c>
      <c r="S121" s="2016">
        <f ca="1">Q121</f>
        <v>0.50700000000000001</v>
      </c>
      <c r="T121" s="3539" t="s">
        <v>64</v>
      </c>
      <c r="U121" s="3537" t="str">
        <f ca="1">IF($F$118=12,"CY","AY")</f>
        <v>AY</v>
      </c>
      <c r="V121" s="3477" t="s">
        <v>618</v>
      </c>
      <c r="W121" s="3554" t="s">
        <v>619</v>
      </c>
      <c r="X121" s="3552" t="s">
        <v>620</v>
      </c>
      <c r="Y121" s="3560" t="s">
        <v>624</v>
      </c>
      <c r="Z121" s="2052" t="s">
        <v>621</v>
      </c>
      <c r="AA121" s="2053"/>
      <c r="AB121" s="3558" t="s">
        <v>625</v>
      </c>
      <c r="AC121" s="1"/>
    </row>
    <row r="122" spans="1:29" ht="15" customHeight="1" thickBot="1" x14ac:dyDescent="0.3">
      <c r="A122" s="2715"/>
      <c r="B122" s="2750"/>
      <c r="C122" s="3528"/>
      <c r="D122" s="2188" t="s">
        <v>636</v>
      </c>
      <c r="E122" s="3446"/>
      <c r="F122" s="3526"/>
      <c r="G122" s="2186" t="s">
        <v>637</v>
      </c>
      <c r="H122" s="3524"/>
      <c r="I122" s="3519"/>
      <c r="J122" s="2919" t="s">
        <v>1015</v>
      </c>
      <c r="K122" s="3543"/>
      <c r="L122" s="3543"/>
      <c r="M122" s="3548"/>
      <c r="N122" s="3550"/>
      <c r="O122" s="3538"/>
      <c r="P122" s="2010" t="s">
        <v>67</v>
      </c>
      <c r="Q122" s="1781" t="s">
        <v>68</v>
      </c>
      <c r="R122" s="2011" t="s">
        <v>67</v>
      </c>
      <c r="S122" s="2012" t="s">
        <v>68</v>
      </c>
      <c r="T122" s="3540"/>
      <c r="U122" s="3538"/>
      <c r="V122" s="3564"/>
      <c r="W122" s="3569"/>
      <c r="X122" s="3570"/>
      <c r="Y122" s="3565"/>
      <c r="Z122" s="2125" t="s">
        <v>622</v>
      </c>
      <c r="AA122" s="2126" t="s">
        <v>68</v>
      </c>
      <c r="AB122" s="3566"/>
      <c r="AC122" s="1"/>
    </row>
    <row r="123" spans="1:29" ht="14.45" customHeight="1" x14ac:dyDescent="0.25">
      <c r="A123" s="622">
        <v>1</v>
      </c>
      <c r="B123" s="782">
        <f>'DATA INPUT'!$I$8</f>
        <v>12</v>
      </c>
      <c r="C123" s="2021">
        <f ca="1">MAX(IF($F$118=12,0),
IF($F$118&lt;12,IF('DATA INPUT'!$H$19=1,'DATA INPUT'!$I$19)))</f>
        <v>0</v>
      </c>
      <c r="D123" s="2022">
        <f>MAX(IF(OR('DATA INPUT'!$H$19=2),'DATA INPUT'!$I$19,0),
IF(OR('DATA INPUT'!$V$19=2),'DATA INPUT'!$W$19,0),
IF(OR('DATA INPUT'!$AD$19=2,),'DATA INPUT'!$AE$19,0))</f>
        <v>0</v>
      </c>
      <c r="E123" s="491">
        <f t="shared" ref="E123:E128" ca="1" si="142">IFERROR(SUM(C123+D123)/B123,0)*$F$119</f>
        <v>0</v>
      </c>
      <c r="F123" s="2023">
        <f t="shared" ref="F123:G128" ca="1" si="143">C123*(2080/12)*$F$119</f>
        <v>0</v>
      </c>
      <c r="G123" s="2024">
        <f t="shared" ca="1" si="143"/>
        <v>0</v>
      </c>
      <c r="H123" s="2019">
        <v>0.03</v>
      </c>
      <c r="I123" s="2914">
        <f t="shared" ref="I123:I128" ca="1" si="144">IF($F$118&lt;12,K123*(12-$F$118),0)</f>
        <v>0</v>
      </c>
      <c r="J123" s="501">
        <f>(L118*H123)+L118</f>
        <v>0</v>
      </c>
      <c r="K123" s="501">
        <f t="shared" ref="K123:K128" ca="1" si="145">IFERROR(J123/$F$118,0)</f>
        <v>0</v>
      </c>
      <c r="L123" s="501">
        <f t="shared" ref="L123:L128" ca="1" si="146">IFERROR(J123/$F$118*$F$119,0)</f>
        <v>0</v>
      </c>
      <c r="M123" s="2397">
        <f t="shared" ref="M123:M128" ca="1" si="147">K123/(2080/12)</f>
        <v>0</v>
      </c>
      <c r="N123" s="2025">
        <f t="shared" ref="N123:N128" ca="1" si="148">MAX(IF($F$118=12,0),
IF($F$118&lt;12,C123*L123))</f>
        <v>0</v>
      </c>
      <c r="O123" s="2026">
        <f t="shared" ref="O123:O128" ca="1" si="149">(D123*L123)</f>
        <v>0</v>
      </c>
      <c r="P123" s="2027">
        <f ca="1">IF($V$4&lt;$U$4, $Q121, IF($V$4&gt;$X$4, $Q121+2*$AA$3, $Q121+$AA$3))</f>
        <v>0.50700000000000001</v>
      </c>
      <c r="Q123" s="2028">
        <f t="shared" ref="Q123:Q128" ca="1" si="150">IFERROR(P123*N123,0)</f>
        <v>0</v>
      </c>
      <c r="R123" s="2009">
        <f ca="1">IF($V$4&lt;$U$4, $Q121, IF($V$4&gt;$X$4, $Q121+2*$AA$3, $Q121+$AA$3))</f>
        <v>0.50700000000000001</v>
      </c>
      <c r="S123" s="2029">
        <f t="shared" ref="S123:S128" ca="1" si="151">R123*O123</f>
        <v>0</v>
      </c>
      <c r="T123" s="2401">
        <f t="shared" ref="T123:T128" ca="1" si="152">IFERROR((K123/(2080/12))+((K123*P123)/(2080/12)),"")</f>
        <v>0</v>
      </c>
      <c r="U123" s="2402">
        <f t="shared" ref="U123:U128" ca="1" si="153">(K123/(2080/12))+((K123*R123)/(2080/12))</f>
        <v>0</v>
      </c>
      <c r="V123" s="2130">
        <f>MAX(IF(OR('DATA INPUT'!$H$19=3),'DATA INPUT'!$I$19,0),
IF(OR('DATA INPUT'!$V$19=3),'DATA INPUT'!$W$19,0),
IF(OR('DATA INPUT'!$AD$19=3),'DATA INPUT'!$AE$19,0))</f>
        <v>0</v>
      </c>
      <c r="W123" s="1904">
        <f t="shared" ref="W123:W128" ca="1" si="154">V123*(2080/12)*$F$119</f>
        <v>0</v>
      </c>
      <c r="X123" s="2131">
        <f t="shared" ref="X123:X129" ca="1" si="155">IFERROR(V123/B123,0)*$F$119</f>
        <v>0</v>
      </c>
      <c r="Y123" s="1657">
        <f t="shared" ref="Y123:Y128" ca="1" si="156">V123*L123</f>
        <v>0</v>
      </c>
      <c r="Z123" s="2132">
        <f t="shared" ref="Z123:Z128" ca="1" si="157">R123</f>
        <v>0.50700000000000001</v>
      </c>
      <c r="AA123" s="2133">
        <f t="shared" ref="AA123:AA128" ca="1" si="158">Y123*Z123</f>
        <v>0</v>
      </c>
      <c r="AB123" s="2134">
        <f t="shared" ref="AB123:AB128" ca="1" si="159">SUM(Y123,AA123)</f>
        <v>0</v>
      </c>
      <c r="AC123" s="1"/>
    </row>
    <row r="124" spans="1:29" ht="14.45" customHeight="1" x14ac:dyDescent="0.25">
      <c r="A124" s="50">
        <v>2</v>
      </c>
      <c r="B124" s="540">
        <f>'DATA INPUT'!$J$8</f>
        <v>0</v>
      </c>
      <c r="C124" s="2030">
        <f ca="1">MAX(IF($F$118=12,0),
IF($F$118&lt;12,IF('DATA INPUT'!$H$19=1,'DATA INPUT'!$J$19)))</f>
        <v>0</v>
      </c>
      <c r="D124" s="2031">
        <f>MAX(IF(OR('DATA INPUT'!$H$19=2),'DATA INPUT'!$J$19,0),
IF(OR('DATA INPUT'!$V$19=2),'DATA INPUT'!$X$19,0),
IF(OR('DATA INPUT'!$AD$19=2),'DATA INPUT'!$AF$19,0))</f>
        <v>0</v>
      </c>
      <c r="E124" s="493">
        <f t="shared" ca="1" si="142"/>
        <v>0</v>
      </c>
      <c r="F124" s="2032">
        <f t="shared" ca="1" si="143"/>
        <v>0</v>
      </c>
      <c r="G124" s="2033">
        <f t="shared" ca="1" si="143"/>
        <v>0</v>
      </c>
      <c r="H124" s="461">
        <v>0.03</v>
      </c>
      <c r="I124" s="2914">
        <f t="shared" ca="1" si="144"/>
        <v>0</v>
      </c>
      <c r="J124" s="457">
        <f>(J123*H124)+J123</f>
        <v>0</v>
      </c>
      <c r="K124" s="457">
        <f t="shared" ca="1" si="145"/>
        <v>0</v>
      </c>
      <c r="L124" s="457">
        <f t="shared" ca="1" si="146"/>
        <v>0</v>
      </c>
      <c r="M124" s="2398">
        <f t="shared" ca="1" si="147"/>
        <v>0</v>
      </c>
      <c r="N124" s="2034">
        <f t="shared" ca="1" si="148"/>
        <v>0</v>
      </c>
      <c r="O124" s="2035">
        <f t="shared" ca="1" si="149"/>
        <v>0</v>
      </c>
      <c r="P124" s="2036">
        <f ca="1">P123+$AA$4</f>
        <v>0.52700000000000002</v>
      </c>
      <c r="Q124" s="2037">
        <f t="shared" ca="1" si="150"/>
        <v>0</v>
      </c>
      <c r="R124" s="1758">
        <f ca="1">R123+$AA$4</f>
        <v>0.52700000000000002</v>
      </c>
      <c r="S124" s="2038">
        <f t="shared" ca="1" si="151"/>
        <v>0</v>
      </c>
      <c r="T124" s="2403">
        <f t="shared" ca="1" si="152"/>
        <v>0</v>
      </c>
      <c r="U124" s="2404">
        <f t="shared" ca="1" si="153"/>
        <v>0</v>
      </c>
      <c r="V124" s="2054">
        <f>MAX(IF(OR('DATA INPUT'!$H$19=3),'DATA INPUT'!$J$19,0),
IF(OR('DATA INPUT'!$V$19=3),'DATA INPUT'!$X$19,0),
IF(OR('DATA INPUT'!$AD$19=3),'DATA INPUT'!$AF$19,0))</f>
        <v>0</v>
      </c>
      <c r="W124" s="1604">
        <f t="shared" ca="1" si="154"/>
        <v>0</v>
      </c>
      <c r="X124" s="2058">
        <f t="shared" ca="1" si="155"/>
        <v>0</v>
      </c>
      <c r="Y124" s="1489">
        <f t="shared" ca="1" si="156"/>
        <v>0</v>
      </c>
      <c r="Z124" s="2056">
        <f t="shared" ca="1" si="157"/>
        <v>0.52700000000000002</v>
      </c>
      <c r="AA124" s="1490">
        <f t="shared" ca="1" si="158"/>
        <v>0</v>
      </c>
      <c r="AB124" s="2057">
        <f t="shared" ca="1" si="159"/>
        <v>0</v>
      </c>
      <c r="AC124" s="1"/>
    </row>
    <row r="125" spans="1:29" ht="14.45" customHeight="1" x14ac:dyDescent="0.25">
      <c r="A125" s="50">
        <v>3</v>
      </c>
      <c r="B125" s="540">
        <f>'DATA INPUT'!$K$8</f>
        <v>0</v>
      </c>
      <c r="C125" s="2030">
        <f ca="1">MAX(IF($F$118=12,0),
IF($F$118&lt;12,IF('DATA INPUT'!$H$19=1,'DATA INPUT'!$K$19)))</f>
        <v>0</v>
      </c>
      <c r="D125" s="2031">
        <f>MAX(IF(OR('DATA INPUT'!$H$19=2),'DATA INPUT'!$K$19,0),
IF(OR('DATA INPUT'!$V$19=2),'DATA INPUT'!$Y$19,0),
IF(OR('DATA INPUT'!$AD$19=2),'DATA INPUT'!$AG$19,0))</f>
        <v>0</v>
      </c>
      <c r="E125" s="493">
        <f t="shared" ca="1" si="142"/>
        <v>0</v>
      </c>
      <c r="F125" s="2032">
        <f t="shared" ca="1" si="143"/>
        <v>0</v>
      </c>
      <c r="G125" s="2033">
        <f t="shared" ca="1" si="143"/>
        <v>0</v>
      </c>
      <c r="H125" s="461">
        <v>0.03</v>
      </c>
      <c r="I125" s="2914">
        <f t="shared" ca="1" si="144"/>
        <v>0</v>
      </c>
      <c r="J125" s="457">
        <f>(J124*H125)+J124</f>
        <v>0</v>
      </c>
      <c r="K125" s="457">
        <f t="shared" ca="1" si="145"/>
        <v>0</v>
      </c>
      <c r="L125" s="457">
        <f t="shared" ca="1" si="146"/>
        <v>0</v>
      </c>
      <c r="M125" s="2398">
        <f t="shared" ca="1" si="147"/>
        <v>0</v>
      </c>
      <c r="N125" s="2034">
        <f t="shared" ca="1" si="148"/>
        <v>0</v>
      </c>
      <c r="O125" s="2035">
        <f t="shared" ca="1" si="149"/>
        <v>0</v>
      </c>
      <c r="P125" s="2036">
        <f ca="1">P124+$AA$4</f>
        <v>0.54700000000000004</v>
      </c>
      <c r="Q125" s="2037">
        <f t="shared" ca="1" si="150"/>
        <v>0</v>
      </c>
      <c r="R125" s="1758">
        <f ca="1">R124+$AA$4</f>
        <v>0.54700000000000004</v>
      </c>
      <c r="S125" s="2038">
        <f t="shared" ca="1" si="151"/>
        <v>0</v>
      </c>
      <c r="T125" s="2403">
        <f t="shared" ca="1" si="152"/>
        <v>0</v>
      </c>
      <c r="U125" s="2404">
        <f t="shared" ca="1" si="153"/>
        <v>0</v>
      </c>
      <c r="V125" s="2054">
        <f>MAX(IF(OR('DATA INPUT'!$H$19=3),'DATA INPUT'!$K$19,0),
IF(OR('DATA INPUT'!$V$19=3),'DATA INPUT'!$Y$19,0),
IF(OR('DATA INPUT'!$AD$19=3),'DATA INPUT'!$AG$19,0))</f>
        <v>0</v>
      </c>
      <c r="W125" s="1604">
        <f t="shared" ca="1" si="154"/>
        <v>0</v>
      </c>
      <c r="X125" s="2058">
        <f t="shared" ca="1" si="155"/>
        <v>0</v>
      </c>
      <c r="Y125" s="1489">
        <f t="shared" ca="1" si="156"/>
        <v>0</v>
      </c>
      <c r="Z125" s="2056">
        <f t="shared" ca="1" si="157"/>
        <v>0.54700000000000004</v>
      </c>
      <c r="AA125" s="1490">
        <f t="shared" ca="1" si="158"/>
        <v>0</v>
      </c>
      <c r="AB125" s="2057">
        <f t="shared" ca="1" si="159"/>
        <v>0</v>
      </c>
      <c r="AC125" s="1"/>
    </row>
    <row r="126" spans="1:29" ht="14.45" customHeight="1" x14ac:dyDescent="0.25">
      <c r="A126" s="50">
        <v>4</v>
      </c>
      <c r="B126" s="540">
        <f>'DATA INPUT'!$L$8</f>
        <v>0</v>
      </c>
      <c r="C126" s="2030">
        <f ca="1">MAX(IF($F$118=12,0),
IF($F$118&lt;12,IF('DATA INPUT'!$H$19=1,'DATA INPUT'!$L$19)))</f>
        <v>0</v>
      </c>
      <c r="D126" s="2031">
        <f>MAX(IF(OR('DATA INPUT'!$H$19=2),'DATA INPUT'!$L$19,0),
IF(OR('DATA INPUT'!$V$19=2),'DATA INPUT'!$Z$19,0),
IF(OR('DATA INPUT'!$AD$19=2),'DATA INPUT'!$AH$19,0))</f>
        <v>0</v>
      </c>
      <c r="E126" s="493">
        <f t="shared" ca="1" si="142"/>
        <v>0</v>
      </c>
      <c r="F126" s="2032">
        <f t="shared" ca="1" si="143"/>
        <v>0</v>
      </c>
      <c r="G126" s="2033">
        <f t="shared" ca="1" si="143"/>
        <v>0</v>
      </c>
      <c r="H126" s="461">
        <v>0.03</v>
      </c>
      <c r="I126" s="2914">
        <f t="shared" ca="1" si="144"/>
        <v>0</v>
      </c>
      <c r="J126" s="457">
        <f>(J125*H126)+J125</f>
        <v>0</v>
      </c>
      <c r="K126" s="457">
        <f t="shared" ca="1" si="145"/>
        <v>0</v>
      </c>
      <c r="L126" s="457">
        <f t="shared" ca="1" si="146"/>
        <v>0</v>
      </c>
      <c r="M126" s="2398">
        <f t="shared" ca="1" si="147"/>
        <v>0</v>
      </c>
      <c r="N126" s="2034">
        <f t="shared" ca="1" si="148"/>
        <v>0</v>
      </c>
      <c r="O126" s="2035">
        <f t="shared" ca="1" si="149"/>
        <v>0</v>
      </c>
      <c r="P126" s="2036">
        <f ca="1">P125+$AA$4</f>
        <v>0.56700000000000006</v>
      </c>
      <c r="Q126" s="2037">
        <f t="shared" ca="1" si="150"/>
        <v>0</v>
      </c>
      <c r="R126" s="1758">
        <f ca="1">R125+$AA$4</f>
        <v>0.56700000000000006</v>
      </c>
      <c r="S126" s="2038">
        <f t="shared" ca="1" si="151"/>
        <v>0</v>
      </c>
      <c r="T126" s="2403">
        <f t="shared" ca="1" si="152"/>
        <v>0</v>
      </c>
      <c r="U126" s="2404">
        <f t="shared" ca="1" si="153"/>
        <v>0</v>
      </c>
      <c r="V126" s="2054">
        <f>MAX(IF(OR('DATA INPUT'!$H$19=3),'DATA INPUT'!$L$19,0),
IF(OR('DATA INPUT'!$V$19=3),'DATA INPUT'!$Z$19,0),
IF(OR('DATA INPUT'!$AD$19=3),'DATA INPUT'!$AH$19,0))</f>
        <v>0</v>
      </c>
      <c r="W126" s="1604">
        <f t="shared" ca="1" si="154"/>
        <v>0</v>
      </c>
      <c r="X126" s="2058">
        <f t="shared" ca="1" si="155"/>
        <v>0</v>
      </c>
      <c r="Y126" s="1489">
        <f t="shared" ca="1" si="156"/>
        <v>0</v>
      </c>
      <c r="Z126" s="2059">
        <f t="shared" ca="1" si="157"/>
        <v>0.56700000000000006</v>
      </c>
      <c r="AA126" s="1490">
        <f t="shared" ca="1" si="158"/>
        <v>0</v>
      </c>
      <c r="AB126" s="2063">
        <f t="shared" ca="1" si="159"/>
        <v>0</v>
      </c>
      <c r="AC126" s="335"/>
    </row>
    <row r="127" spans="1:29" ht="14.45" customHeight="1" x14ac:dyDescent="0.25">
      <c r="A127" s="50">
        <v>5</v>
      </c>
      <c r="B127" s="540">
        <f>'DATA INPUT'!$M$8</f>
        <v>0</v>
      </c>
      <c r="C127" s="2030">
        <f ca="1">MAX(IF($F$118=12,0),
IF($F$118&lt;12,IF('DATA INPUT'!$H$19=1,'DATA INPUT'!$M$19)))</f>
        <v>0</v>
      </c>
      <c r="D127" s="2031">
        <f>MAX(IF(OR('DATA INPUT'!$H$19=2),'DATA INPUT'!$M$19,0),
IF(OR('DATA INPUT'!$V$19=2),'DATA INPUT'!$AA$19,0),
IF(OR('DATA INPUT'!$AD$19=2),'DATA INPUT'!$AI$19,0))</f>
        <v>0</v>
      </c>
      <c r="E127" s="493">
        <f t="shared" ca="1" si="142"/>
        <v>0</v>
      </c>
      <c r="F127" s="2032">
        <f t="shared" ca="1" si="143"/>
        <v>0</v>
      </c>
      <c r="G127" s="2033">
        <f t="shared" ca="1" si="143"/>
        <v>0</v>
      </c>
      <c r="H127" s="461">
        <v>0.03</v>
      </c>
      <c r="I127" s="2914">
        <f t="shared" ca="1" si="144"/>
        <v>0</v>
      </c>
      <c r="J127" s="457">
        <f>(J126*H127)+J126</f>
        <v>0</v>
      </c>
      <c r="K127" s="457">
        <f t="shared" ca="1" si="145"/>
        <v>0</v>
      </c>
      <c r="L127" s="457">
        <f t="shared" ca="1" si="146"/>
        <v>0</v>
      </c>
      <c r="M127" s="2398">
        <f t="shared" ca="1" si="147"/>
        <v>0</v>
      </c>
      <c r="N127" s="2034">
        <f t="shared" ca="1" si="148"/>
        <v>0</v>
      </c>
      <c r="O127" s="2035">
        <f t="shared" ca="1" si="149"/>
        <v>0</v>
      </c>
      <c r="P127" s="2036">
        <f ca="1">P126+$AA$4</f>
        <v>0.58700000000000008</v>
      </c>
      <c r="Q127" s="2037">
        <f t="shared" ca="1" si="150"/>
        <v>0</v>
      </c>
      <c r="R127" s="1758">
        <f ca="1">R126+$AA$4</f>
        <v>0.58700000000000008</v>
      </c>
      <c r="S127" s="2038">
        <f t="shared" ca="1" si="151"/>
        <v>0</v>
      </c>
      <c r="T127" s="2403">
        <f t="shared" ca="1" si="152"/>
        <v>0</v>
      </c>
      <c r="U127" s="2404">
        <f t="shared" ca="1" si="153"/>
        <v>0</v>
      </c>
      <c r="V127" s="2054">
        <f>MAX(IF(OR('DATA INPUT'!$H$19=3),'DATA INPUT'!$M$19,0),
IF(OR('DATA INPUT'!$V$19=3),'DATA INPUT'!$AA$19,0),
IF(OR('DATA INPUT'!$AD$19=3),'DATA INPUT'!$AI$19,0))</f>
        <v>0</v>
      </c>
      <c r="W127" s="1604">
        <f t="shared" ca="1" si="154"/>
        <v>0</v>
      </c>
      <c r="X127" s="2058">
        <f t="shared" ca="1" si="155"/>
        <v>0</v>
      </c>
      <c r="Y127" s="1489">
        <f t="shared" ca="1" si="156"/>
        <v>0</v>
      </c>
      <c r="Z127" s="2056">
        <f t="shared" ca="1" si="157"/>
        <v>0.58700000000000008</v>
      </c>
      <c r="AA127" s="1490">
        <f t="shared" ca="1" si="158"/>
        <v>0</v>
      </c>
      <c r="AB127" s="2057">
        <f t="shared" ca="1" si="159"/>
        <v>0</v>
      </c>
    </row>
    <row r="128" spans="1:29" ht="15" customHeight="1" thickBot="1" x14ac:dyDescent="0.3">
      <c r="A128" s="623">
        <v>6</v>
      </c>
      <c r="B128" s="1591">
        <f>'DATA INPUT'!$N$8</f>
        <v>0</v>
      </c>
      <c r="C128" s="2039">
        <f ca="1">MAX(IF($F$118=12,0),
IF($F$118&lt;12,IF('DATA INPUT'!$H$19=1,'DATA INPUT'!$N$19)))</f>
        <v>0</v>
      </c>
      <c r="D128" s="2040">
        <f>MAX(IF(OR('DATA INPUT'!$H$19=2),'DATA INPUT'!$N$19,0),
IF(OR('DATA INPUT'!$V$19=2),'DATA INPUT'!$AB$19,0),
IF(OR('DATA INPUT'!$AD$19=2),'DATA INPUT'!$AJ$19,0))</f>
        <v>0</v>
      </c>
      <c r="E128" s="628">
        <f t="shared" ca="1" si="142"/>
        <v>0</v>
      </c>
      <c r="F128" s="2041">
        <f t="shared" ca="1" si="143"/>
        <v>0</v>
      </c>
      <c r="G128" s="2042">
        <f t="shared" ca="1" si="143"/>
        <v>0</v>
      </c>
      <c r="H128" s="494">
        <v>0.03</v>
      </c>
      <c r="I128" s="2915">
        <f t="shared" ca="1" si="144"/>
        <v>0</v>
      </c>
      <c r="J128" s="495">
        <f>(J127*H128)+J127</f>
        <v>0</v>
      </c>
      <c r="K128" s="495">
        <f t="shared" ca="1" si="145"/>
        <v>0</v>
      </c>
      <c r="L128" s="495">
        <f t="shared" ca="1" si="146"/>
        <v>0</v>
      </c>
      <c r="M128" s="2399">
        <f t="shared" ca="1" si="147"/>
        <v>0</v>
      </c>
      <c r="N128" s="2044">
        <f t="shared" ca="1" si="148"/>
        <v>0</v>
      </c>
      <c r="O128" s="2045">
        <f t="shared" ca="1" si="149"/>
        <v>0</v>
      </c>
      <c r="P128" s="2046">
        <f ca="1">P127+$AA$4</f>
        <v>0.6070000000000001</v>
      </c>
      <c r="Q128" s="2047">
        <f t="shared" ca="1" si="150"/>
        <v>0</v>
      </c>
      <c r="R128" s="1759">
        <f ca="1">R127+$AA$4</f>
        <v>0.6070000000000001</v>
      </c>
      <c r="S128" s="2048">
        <f t="shared" ca="1" si="151"/>
        <v>0</v>
      </c>
      <c r="T128" s="2405">
        <f t="shared" ca="1" si="152"/>
        <v>0</v>
      </c>
      <c r="U128" s="2406">
        <f t="shared" ca="1" si="153"/>
        <v>0</v>
      </c>
      <c r="V128" s="2060">
        <f>MAX(IF(OR('DATA INPUT'!$H$19=3),'DATA INPUT'!$N$19,0),
IF(OR('DATA INPUT'!$V$19=3),'DATA INPUT'!$AB$19,0),
IF(OR('DATA INPUT'!$AD$19=3),'DATA INPUT'!$AJ$19,0))</f>
        <v>0</v>
      </c>
      <c r="W128" s="1906">
        <f t="shared" ca="1" si="154"/>
        <v>0</v>
      </c>
      <c r="X128" s="2061">
        <f t="shared" ca="1" si="155"/>
        <v>0</v>
      </c>
      <c r="Y128" s="1513">
        <f t="shared" ca="1" si="156"/>
        <v>0</v>
      </c>
      <c r="Z128" s="2062">
        <f t="shared" ca="1" si="157"/>
        <v>0.6070000000000001</v>
      </c>
      <c r="AA128" s="2043">
        <f t="shared" ca="1" si="158"/>
        <v>0</v>
      </c>
      <c r="AB128" s="2064">
        <f t="shared" ca="1" si="159"/>
        <v>0</v>
      </c>
    </row>
    <row r="129" spans="1:29" ht="15" customHeight="1" thickBot="1" x14ac:dyDescent="0.3">
      <c r="A129" s="614" t="s">
        <v>85</v>
      </c>
      <c r="B129" s="1674">
        <f>SUM(B123:B128)</f>
        <v>12</v>
      </c>
      <c r="C129" s="2736">
        <f ca="1">SUM(C123:C128)</f>
        <v>0</v>
      </c>
      <c r="D129" s="2737">
        <f>SUM(D123:D128)</f>
        <v>0</v>
      </c>
      <c r="E129" s="2738">
        <f ca="1">IFERROR(SUM(C129+D129)/B129,0)*$F119</f>
        <v>0</v>
      </c>
      <c r="F129" s="2739">
        <f ca="1">SUM(F123:F128)</f>
        <v>0</v>
      </c>
      <c r="G129" s="2740">
        <f ca="1">SUM(G123:G128)</f>
        <v>0</v>
      </c>
      <c r="H129"/>
      <c r="I129"/>
      <c r="K129" s="60"/>
      <c r="N129" s="2734">
        <f ca="1">SUM(N123:N128)</f>
        <v>0</v>
      </c>
      <c r="O129" s="2735">
        <f ca="1">SUM(O123:O128)</f>
        <v>0</v>
      </c>
      <c r="Q129" s="1592">
        <f ca="1">SUM(Q123:Q128)</f>
        <v>0</v>
      </c>
      <c r="S129" s="1593">
        <f ca="1">SUM(S123:S128)</f>
        <v>0</v>
      </c>
      <c r="T129" s="60"/>
      <c r="U129" s="60"/>
      <c r="V129" s="1692">
        <f>SUM(V123:V128)</f>
        <v>0</v>
      </c>
      <c r="W129" s="1692">
        <f ca="1">SUM(W123:W128)</f>
        <v>0</v>
      </c>
      <c r="X129" s="2050">
        <f t="shared" ca="1" si="155"/>
        <v>0</v>
      </c>
      <c r="Y129" s="2051">
        <f ca="1">SUM(Y123:Y128)</f>
        <v>0</v>
      </c>
      <c r="AA129" s="2051">
        <f ca="1">SUM(AA123:AA128)</f>
        <v>0</v>
      </c>
      <c r="AB129" s="2051">
        <f ca="1">SUM(AB123:AB128)</f>
        <v>0</v>
      </c>
    </row>
    <row r="130" spans="1:29" ht="14.45" customHeight="1" x14ac:dyDescent="0.25">
      <c r="B130" s="3073" t="s">
        <v>1074</v>
      </c>
      <c r="C130" s="2065">
        <f ca="1">(C129+D129+V129)*F119</f>
        <v>0</v>
      </c>
      <c r="D130" s="496" t="s">
        <v>256</v>
      </c>
      <c r="E130" s="497"/>
      <c r="F130" s="498">
        <f ca="1">E129</f>
        <v>0</v>
      </c>
      <c r="G130" s="499" t="s">
        <v>701</v>
      </c>
      <c r="H130" s="500"/>
      <c r="I130" s="500"/>
      <c r="J130" s="498">
        <f ca="1">X129</f>
        <v>0</v>
      </c>
      <c r="K130" s="499" t="s">
        <v>702</v>
      </c>
      <c r="L130" s="500"/>
      <c r="W130"/>
      <c r="X130"/>
    </row>
    <row r="131" spans="1:29" ht="24" customHeight="1" thickBot="1" x14ac:dyDescent="0.4">
      <c r="A131" s="2749">
        <f>A117+1</f>
        <v>10</v>
      </c>
      <c r="B131" s="2749"/>
    </row>
    <row r="132" spans="1:29" ht="15" customHeight="1" thickBot="1" x14ac:dyDescent="0.3">
      <c r="A132" s="401" t="s">
        <v>104</v>
      </c>
      <c r="B132" s="2741">
        <f ca="1">OFFSET('DATA INPUT'!$B$11,($A131-1),0)</f>
        <v>0</v>
      </c>
      <c r="C132" s="2746"/>
      <c r="E132" s="1736" t="s">
        <v>81</v>
      </c>
      <c r="F132" s="2743">
        <f ca="1">OFFSET('DATA INPUT'!$G$11,($A131-1),0)</f>
        <v>9</v>
      </c>
      <c r="G132" s="2744"/>
      <c r="H132"/>
      <c r="I132"/>
      <c r="J132" s="1596" t="s">
        <v>257</v>
      </c>
      <c r="K132" s="2755"/>
      <c r="L132" s="1742">
        <f>'DATA INPUT'!E20</f>
        <v>0</v>
      </c>
      <c r="N132" s="1596" t="s">
        <v>525</v>
      </c>
      <c r="O132" s="1755" t="str">
        <f ca="1">OFFSET('DATA INPUT'!$D$11,($A131-1),0)</f>
        <v>Professional &amp; Academic Faculty</v>
      </c>
      <c r="Q132" s="64">
        <f>'DATA INPUT'!S20</f>
        <v>0</v>
      </c>
      <c r="R132" s="1718"/>
      <c r="S132" s="1719"/>
      <c r="T132" s="1598"/>
      <c r="U132" s="333"/>
      <c r="Y132" s="1"/>
      <c r="Z132" s="1"/>
      <c r="AA132" s="1"/>
      <c r="AB132" s="1"/>
      <c r="AC132" s="1"/>
    </row>
    <row r="133" spans="1:29" ht="15" customHeight="1" thickBot="1" x14ac:dyDescent="0.3">
      <c r="A133" s="1737" t="s">
        <v>80</v>
      </c>
      <c r="B133" s="2753">
        <f ca="1">OFFSET('DATA INPUT'!$C$11,($A131-1),0)</f>
        <v>0</v>
      </c>
      <c r="C133" s="2754"/>
      <c r="E133" s="2617" t="s">
        <v>82</v>
      </c>
      <c r="F133" s="2745">
        <f ca="1">OFFSET('DATA INPUT'!$F$11,($A131-1),0)</f>
        <v>1</v>
      </c>
      <c r="G133" s="2742"/>
      <c r="J133" s="66" t="s">
        <v>529</v>
      </c>
      <c r="K133" s="1741"/>
      <c r="L133" s="334">
        <f ca="1">IFERROR(L132/F132,0)</f>
        <v>0</v>
      </c>
      <c r="N133" s="1743" t="s">
        <v>530</v>
      </c>
      <c r="O133" s="1754">
        <f>'DATA INPUT'!T20</f>
        <v>0</v>
      </c>
      <c r="Q133" s="66"/>
      <c r="R133" s="1715"/>
      <c r="S133" s="1713"/>
      <c r="T133" s="1746"/>
      <c r="U133" s="61"/>
      <c r="V133" s="401" t="s">
        <v>104</v>
      </c>
      <c r="W133" s="401">
        <f>'DATA INPUT'!$B$20</f>
        <v>0</v>
      </c>
      <c r="X133" s="1719"/>
      <c r="Y133" s="2235"/>
      <c r="Z133" s="2235"/>
      <c r="AA133" s="2235"/>
      <c r="AB133" s="2236"/>
      <c r="AC133" s="1"/>
    </row>
    <row r="134" spans="1:29" s="770" customFormat="1" ht="30" customHeight="1" thickBot="1" x14ac:dyDescent="0.3">
      <c r="A134" s="2751" t="s">
        <v>253</v>
      </c>
      <c r="B134" s="2750" t="s">
        <v>254</v>
      </c>
      <c r="C134" s="3529" t="s">
        <v>258</v>
      </c>
      <c r="D134" s="3530"/>
      <c r="E134" s="3531"/>
      <c r="F134" s="3529" t="s">
        <v>83</v>
      </c>
      <c r="G134" s="3531"/>
      <c r="H134" s="3529" t="s">
        <v>65</v>
      </c>
      <c r="I134" s="3544"/>
      <c r="J134" s="3544"/>
      <c r="K134" s="3544"/>
      <c r="L134" s="3544"/>
      <c r="M134" s="3545"/>
      <c r="N134" s="3529" t="s">
        <v>84</v>
      </c>
      <c r="O134" s="3531"/>
      <c r="P134" s="3529" t="s">
        <v>78</v>
      </c>
      <c r="Q134" s="3530"/>
      <c r="R134" s="3530"/>
      <c r="S134" s="3531"/>
      <c r="T134" s="3529" t="s">
        <v>87</v>
      </c>
      <c r="U134" s="3531"/>
      <c r="V134" s="3529" t="s">
        <v>623</v>
      </c>
      <c r="W134" s="3530"/>
      <c r="X134" s="3530"/>
      <c r="Y134" s="3530"/>
      <c r="Z134" s="3530"/>
      <c r="AA134" s="3530"/>
      <c r="AB134" s="3531"/>
      <c r="AC134" s="2618"/>
    </row>
    <row r="135" spans="1:29" ht="15.75" customHeight="1" x14ac:dyDescent="0.25">
      <c r="A135" s="2752"/>
      <c r="B135" s="2750"/>
      <c r="C135" s="3527" t="s">
        <v>252</v>
      </c>
      <c r="D135" s="2187" t="str">
        <f ca="1">IF($F$132=12,"CY","AY")</f>
        <v>AY</v>
      </c>
      <c r="E135" s="3444" t="s">
        <v>231</v>
      </c>
      <c r="F135" s="3525" t="s">
        <v>232</v>
      </c>
      <c r="G135" s="2185" t="str">
        <f ca="1">IF($F$132=12,"CY","AY")</f>
        <v>AY</v>
      </c>
      <c r="H135" s="3523" t="s">
        <v>86</v>
      </c>
      <c r="I135" s="3518" t="s">
        <v>922</v>
      </c>
      <c r="J135" s="2918" t="str">
        <f ca="1">IF(F132=12,"CY","AY")</f>
        <v>AY</v>
      </c>
      <c r="K135" s="3542" t="s">
        <v>485</v>
      </c>
      <c r="L135" s="3542" t="s">
        <v>255</v>
      </c>
      <c r="M135" s="3547" t="s">
        <v>66</v>
      </c>
      <c r="N135" s="3549" t="s">
        <v>64</v>
      </c>
      <c r="O135" s="3537" t="str">
        <f ca="1">IF($F$132=12,"CY","AY")</f>
        <v>AY</v>
      </c>
      <c r="P135" s="2014" t="s">
        <v>617</v>
      </c>
      <c r="Q135" s="2015">
        <f ca="1">IFERROR(VLOOKUP(O132,TableFringePool[],2,0),0)</f>
        <v>0.50700000000000001</v>
      </c>
      <c r="R135" s="2018" t="str">
        <f ca="1">IF($F$6=12,"CY Base % ","AY Base %")</f>
        <v xml:space="preserve">CY Base % </v>
      </c>
      <c r="S135" s="2016">
        <f ca="1">Q135</f>
        <v>0.50700000000000001</v>
      </c>
      <c r="T135" s="3539" t="s">
        <v>64</v>
      </c>
      <c r="U135" s="3537" t="str">
        <f ca="1">IF($F$132=12,"CY","AY")</f>
        <v>AY</v>
      </c>
      <c r="V135" s="3477" t="s">
        <v>618</v>
      </c>
      <c r="W135" s="3554" t="s">
        <v>619</v>
      </c>
      <c r="X135" s="3552" t="s">
        <v>620</v>
      </c>
      <c r="Y135" s="3560" t="s">
        <v>624</v>
      </c>
      <c r="Z135" s="2052" t="s">
        <v>621</v>
      </c>
      <c r="AA135" s="2053"/>
      <c r="AB135" s="3558" t="s">
        <v>625</v>
      </c>
      <c r="AC135" s="1"/>
    </row>
    <row r="136" spans="1:29" ht="15" customHeight="1" thickBot="1" x14ac:dyDescent="0.3">
      <c r="A136" s="2715"/>
      <c r="B136" s="2750"/>
      <c r="C136" s="3528"/>
      <c r="D136" s="2188" t="s">
        <v>636</v>
      </c>
      <c r="E136" s="3446"/>
      <c r="F136" s="3526"/>
      <c r="G136" s="2186" t="s">
        <v>637</v>
      </c>
      <c r="H136" s="3524"/>
      <c r="I136" s="3519"/>
      <c r="J136" s="2919" t="s">
        <v>1015</v>
      </c>
      <c r="K136" s="3543"/>
      <c r="L136" s="3543"/>
      <c r="M136" s="3548"/>
      <c r="N136" s="3550"/>
      <c r="O136" s="3538"/>
      <c r="P136" s="2010" t="s">
        <v>67</v>
      </c>
      <c r="Q136" s="1781" t="s">
        <v>68</v>
      </c>
      <c r="R136" s="2011" t="s">
        <v>67</v>
      </c>
      <c r="S136" s="2012" t="s">
        <v>68</v>
      </c>
      <c r="T136" s="3540"/>
      <c r="U136" s="3538"/>
      <c r="V136" s="3564"/>
      <c r="W136" s="3569"/>
      <c r="X136" s="3570"/>
      <c r="Y136" s="3565"/>
      <c r="Z136" s="2125" t="s">
        <v>622</v>
      </c>
      <c r="AA136" s="2126" t="s">
        <v>68</v>
      </c>
      <c r="AB136" s="3566"/>
      <c r="AC136" s="1"/>
    </row>
    <row r="137" spans="1:29" ht="14.45" customHeight="1" x14ac:dyDescent="0.25">
      <c r="A137" s="622">
        <v>1</v>
      </c>
      <c r="B137" s="782">
        <f>'DATA INPUT'!$I$8</f>
        <v>12</v>
      </c>
      <c r="C137" s="2021">
        <f ca="1">MAX(IF($F$132=12,0),
IF($F$132&lt;12,IF('DATA INPUT'!$H$20=1,'DATA INPUT'!$I$20)))</f>
        <v>0</v>
      </c>
      <c r="D137" s="2022">
        <f>MAX(IF(OR('DATA INPUT'!$H$20=2),'DATA INPUT'!$I$20,0),
IF(OR('DATA INPUT'!$V$20=2),'DATA INPUT'!$W$20,0),
IF(OR('DATA INPUT'!$AD$20=2,),'DATA INPUT'!$AE$20,0))</f>
        <v>0</v>
      </c>
      <c r="E137" s="491">
        <f t="shared" ref="E137:E142" ca="1" si="160">IFERROR(SUM(C137+D137)/B137,0)*$F$133</f>
        <v>0</v>
      </c>
      <c r="F137" s="2023">
        <f t="shared" ref="F137:G142" ca="1" si="161">C137*(2080/12)*$F$133</f>
        <v>0</v>
      </c>
      <c r="G137" s="2024">
        <f t="shared" ca="1" si="161"/>
        <v>0</v>
      </c>
      <c r="H137" s="2019">
        <v>0.03</v>
      </c>
      <c r="I137" s="2914">
        <f t="shared" ref="I137:I142" ca="1" si="162">IF($F$132&lt;12,K137*(12-$F$132),0)</f>
        <v>0</v>
      </c>
      <c r="J137" s="501">
        <f>(L132*H137)+L132</f>
        <v>0</v>
      </c>
      <c r="K137" s="501">
        <f t="shared" ref="K137:K142" ca="1" si="163">IFERROR(J137/$F$132,0)</f>
        <v>0</v>
      </c>
      <c r="L137" s="501">
        <f t="shared" ref="L137:L142" ca="1" si="164">IFERROR(J137/$F$132*$F$133,0)</f>
        <v>0</v>
      </c>
      <c r="M137" s="2397">
        <f t="shared" ref="M137:M142" ca="1" si="165">K137/(2080/12)</f>
        <v>0</v>
      </c>
      <c r="N137" s="2025">
        <f t="shared" ref="N137:N142" ca="1" si="166">MAX(IF($F$132=12,0),
IF($F$132&lt;12,C137*L137))</f>
        <v>0</v>
      </c>
      <c r="O137" s="2026">
        <f t="shared" ref="O137:O142" ca="1" si="167">(D137*L137)</f>
        <v>0</v>
      </c>
      <c r="P137" s="2027">
        <f ca="1">IF($V$4&lt;$U$4, $Q135, IF($V$4&gt;$X$4, $Q135+2*$AA$3, $Q135+$AA$3))</f>
        <v>0.50700000000000001</v>
      </c>
      <c r="Q137" s="2028">
        <f t="shared" ref="Q137:Q142" ca="1" si="168">IFERROR(P137*N137,0)</f>
        <v>0</v>
      </c>
      <c r="R137" s="2009">
        <f ca="1">IF($V$4&lt;$U$4, $Q135, IF($V$4&gt;$X$4, $Q135+2*$AA$3, $Q135+$AA$3))</f>
        <v>0.50700000000000001</v>
      </c>
      <c r="S137" s="2029">
        <f t="shared" ref="S137:S142" ca="1" si="169">R137*O137</f>
        <v>0</v>
      </c>
      <c r="T137" s="2401">
        <f t="shared" ref="T137:T142" ca="1" si="170">IFERROR((K137/(2080/12))+((K137*P137)/(2080/12)),"")</f>
        <v>0</v>
      </c>
      <c r="U137" s="2402">
        <f t="shared" ref="U137:U142" ca="1" si="171">(K137/(2080/12))+((K137*R137)/(2080/12))</f>
        <v>0</v>
      </c>
      <c r="V137" s="2130">
        <f>MAX(IF(OR('DATA INPUT'!$H$20=3),'DATA INPUT'!$I$20,0),
IF(OR('DATA INPUT'!$V$20=3),'DATA INPUT'!$W$20,0),
IF(OR('DATA INPUT'!$AD$20=3),'DATA INPUT'!$AE$20,0))</f>
        <v>0</v>
      </c>
      <c r="W137" s="1904">
        <f t="shared" ref="W137:W142" ca="1" si="172">V137*(2080/12)*$F$133</f>
        <v>0</v>
      </c>
      <c r="X137" s="2131">
        <f t="shared" ref="X137:X143" ca="1" si="173">IFERROR(V137/B137,0)*$F$133</f>
        <v>0</v>
      </c>
      <c r="Y137" s="1657">
        <f t="shared" ref="Y137:Y142" ca="1" si="174">V137*L137</f>
        <v>0</v>
      </c>
      <c r="Z137" s="2132">
        <f t="shared" ref="Z137:Z142" ca="1" si="175">R137</f>
        <v>0.50700000000000001</v>
      </c>
      <c r="AA137" s="2133">
        <f t="shared" ref="AA137:AA142" ca="1" si="176">Y137*Z137</f>
        <v>0</v>
      </c>
      <c r="AB137" s="2134">
        <f t="shared" ref="AB137:AB142" ca="1" si="177">SUM(Y137,AA137)</f>
        <v>0</v>
      </c>
      <c r="AC137" s="1"/>
    </row>
    <row r="138" spans="1:29" ht="14.45" customHeight="1" x14ac:dyDescent="0.25">
      <c r="A138" s="50">
        <v>2</v>
      </c>
      <c r="B138" s="540">
        <f>'DATA INPUT'!$J$8</f>
        <v>0</v>
      </c>
      <c r="C138" s="2030">
        <f ca="1">MAX(IF($F$132=12,0),
IF($F$132&lt;12,IF('DATA INPUT'!$H$20=1,'DATA INPUT'!$J$20)))</f>
        <v>0</v>
      </c>
      <c r="D138" s="2031">
        <f>MAX(IF(OR('DATA INPUT'!$H$20=2),'DATA INPUT'!$J$20,0),
IF(OR('DATA INPUT'!$V$20=2),'DATA INPUT'!$X$20,0),
IF(OR('DATA INPUT'!$AD$20=2),'DATA INPUT'!$AF$20,0))</f>
        <v>0</v>
      </c>
      <c r="E138" s="493">
        <f t="shared" ca="1" si="160"/>
        <v>0</v>
      </c>
      <c r="F138" s="2032">
        <f t="shared" ca="1" si="161"/>
        <v>0</v>
      </c>
      <c r="G138" s="2033">
        <f t="shared" ca="1" si="161"/>
        <v>0</v>
      </c>
      <c r="H138" s="461">
        <v>0.03</v>
      </c>
      <c r="I138" s="2914">
        <f t="shared" ca="1" si="162"/>
        <v>0</v>
      </c>
      <c r="J138" s="457">
        <f>(J137*H138)+J137</f>
        <v>0</v>
      </c>
      <c r="K138" s="501">
        <f t="shared" ca="1" si="163"/>
        <v>0</v>
      </c>
      <c r="L138" s="457">
        <f t="shared" ca="1" si="164"/>
        <v>0</v>
      </c>
      <c r="M138" s="2398">
        <f t="shared" ca="1" si="165"/>
        <v>0</v>
      </c>
      <c r="N138" s="2034">
        <f t="shared" ca="1" si="166"/>
        <v>0</v>
      </c>
      <c r="O138" s="2035">
        <f t="shared" ca="1" si="167"/>
        <v>0</v>
      </c>
      <c r="P138" s="2036">
        <f ca="1">P137+$AA$4</f>
        <v>0.52700000000000002</v>
      </c>
      <c r="Q138" s="2037">
        <f t="shared" ca="1" si="168"/>
        <v>0</v>
      </c>
      <c r="R138" s="1758">
        <f ca="1">R137+$AA$4</f>
        <v>0.52700000000000002</v>
      </c>
      <c r="S138" s="2038">
        <f t="shared" ca="1" si="169"/>
        <v>0</v>
      </c>
      <c r="T138" s="2403">
        <f t="shared" ca="1" si="170"/>
        <v>0</v>
      </c>
      <c r="U138" s="2404">
        <f t="shared" ca="1" si="171"/>
        <v>0</v>
      </c>
      <c r="V138" s="2054">
        <f>MAX(IF(OR('DATA INPUT'!$H$20=3),'DATA INPUT'!$J$20,0),
IF(OR('DATA INPUT'!$V$20=3),'DATA INPUT'!$X$20,0),
IF(OR('DATA INPUT'!$AD$20=3),'DATA INPUT'!$AF$20,0))</f>
        <v>0</v>
      </c>
      <c r="W138" s="1604">
        <f t="shared" ca="1" si="172"/>
        <v>0</v>
      </c>
      <c r="X138" s="2058">
        <f t="shared" ca="1" si="173"/>
        <v>0</v>
      </c>
      <c r="Y138" s="1489">
        <f t="shared" ca="1" si="174"/>
        <v>0</v>
      </c>
      <c r="Z138" s="2056">
        <f t="shared" ca="1" si="175"/>
        <v>0.52700000000000002</v>
      </c>
      <c r="AA138" s="1490">
        <f t="shared" ca="1" si="176"/>
        <v>0</v>
      </c>
      <c r="AB138" s="2057">
        <f t="shared" ca="1" si="177"/>
        <v>0</v>
      </c>
      <c r="AC138" s="1"/>
    </row>
    <row r="139" spans="1:29" ht="14.45" customHeight="1" x14ac:dyDescent="0.25">
      <c r="A139" s="50">
        <v>3</v>
      </c>
      <c r="B139" s="540">
        <f>'DATA INPUT'!$K$8</f>
        <v>0</v>
      </c>
      <c r="C139" s="2030">
        <f ca="1">MAX(IF($F$132=12,0),
IF($F$132&lt;12,IF('DATA INPUT'!$H$20=1,'DATA INPUT'!$K$20)))</f>
        <v>0</v>
      </c>
      <c r="D139" s="2031">
        <f>MAX(IF(OR('DATA INPUT'!$H$20=2),'DATA INPUT'!$K$20,0),
IF(OR('DATA INPUT'!$V$20=2),'DATA INPUT'!$Y$20,0),
IF(OR('DATA INPUT'!$AD$20=2),'DATA INPUT'!$AG$20,0))</f>
        <v>0</v>
      </c>
      <c r="E139" s="493">
        <f t="shared" ca="1" si="160"/>
        <v>0</v>
      </c>
      <c r="F139" s="2032">
        <f t="shared" ca="1" si="161"/>
        <v>0</v>
      </c>
      <c r="G139" s="2033">
        <f t="shared" ca="1" si="161"/>
        <v>0</v>
      </c>
      <c r="H139" s="461">
        <v>0.03</v>
      </c>
      <c r="I139" s="2914">
        <f t="shared" ca="1" si="162"/>
        <v>0</v>
      </c>
      <c r="J139" s="457">
        <f>(J138*H139)+J138</f>
        <v>0</v>
      </c>
      <c r="K139" s="501">
        <f t="shared" ca="1" si="163"/>
        <v>0</v>
      </c>
      <c r="L139" s="457">
        <f t="shared" ca="1" si="164"/>
        <v>0</v>
      </c>
      <c r="M139" s="2398">
        <f t="shared" ca="1" si="165"/>
        <v>0</v>
      </c>
      <c r="N139" s="2034">
        <f t="shared" ca="1" si="166"/>
        <v>0</v>
      </c>
      <c r="O139" s="2035">
        <f t="shared" ca="1" si="167"/>
        <v>0</v>
      </c>
      <c r="P139" s="2036">
        <f ca="1">P138+$AA$4</f>
        <v>0.54700000000000004</v>
      </c>
      <c r="Q139" s="2037">
        <f t="shared" ca="1" si="168"/>
        <v>0</v>
      </c>
      <c r="R139" s="1758">
        <f ca="1">R138+$AA$4</f>
        <v>0.54700000000000004</v>
      </c>
      <c r="S139" s="2038">
        <f t="shared" ca="1" si="169"/>
        <v>0</v>
      </c>
      <c r="T139" s="2403">
        <f t="shared" ca="1" si="170"/>
        <v>0</v>
      </c>
      <c r="U139" s="2404">
        <f t="shared" ca="1" si="171"/>
        <v>0</v>
      </c>
      <c r="V139" s="2054">
        <f>MAX(IF(OR('DATA INPUT'!$H$20=3),'DATA INPUT'!$K$20,0),
IF(OR('DATA INPUT'!$V$20=3),'DATA INPUT'!$Y$20,0),
IF(OR('DATA INPUT'!$AD$20=3),'DATA INPUT'!$AG$20,0))</f>
        <v>0</v>
      </c>
      <c r="W139" s="1604">
        <f t="shared" ca="1" si="172"/>
        <v>0</v>
      </c>
      <c r="X139" s="2058">
        <f t="shared" ca="1" si="173"/>
        <v>0</v>
      </c>
      <c r="Y139" s="1489">
        <f t="shared" ca="1" si="174"/>
        <v>0</v>
      </c>
      <c r="Z139" s="2056">
        <f t="shared" ca="1" si="175"/>
        <v>0.54700000000000004</v>
      </c>
      <c r="AA139" s="1490">
        <f t="shared" ca="1" si="176"/>
        <v>0</v>
      </c>
      <c r="AB139" s="2057">
        <f t="shared" ca="1" si="177"/>
        <v>0</v>
      </c>
      <c r="AC139" s="1"/>
    </row>
    <row r="140" spans="1:29" ht="14.45" customHeight="1" x14ac:dyDescent="0.25">
      <c r="A140" s="50">
        <v>4</v>
      </c>
      <c r="B140" s="540">
        <f>'DATA INPUT'!$L$8</f>
        <v>0</v>
      </c>
      <c r="C140" s="2030">
        <f ca="1">MAX(IF($F$132=12,0),
IF($F$132&lt;12,IF('DATA INPUT'!$H$20=1,'DATA INPUT'!$L$20)))</f>
        <v>0</v>
      </c>
      <c r="D140" s="2031">
        <f>MAX(IF(OR('DATA INPUT'!$H$20=2),'DATA INPUT'!$L$20,0),
IF(OR('DATA INPUT'!$V$20=2),'DATA INPUT'!$Z$20,0),
IF(OR('DATA INPUT'!$AD$20=2),'DATA INPUT'!$AH$20,0))</f>
        <v>0</v>
      </c>
      <c r="E140" s="493">
        <f t="shared" ca="1" si="160"/>
        <v>0</v>
      </c>
      <c r="F140" s="2032">
        <f t="shared" ca="1" si="161"/>
        <v>0</v>
      </c>
      <c r="G140" s="2033">
        <f t="shared" ca="1" si="161"/>
        <v>0</v>
      </c>
      <c r="H140" s="461">
        <v>0.03</v>
      </c>
      <c r="I140" s="2914">
        <f t="shared" ca="1" si="162"/>
        <v>0</v>
      </c>
      <c r="J140" s="457">
        <f>(J139*H140)+J139</f>
        <v>0</v>
      </c>
      <c r="K140" s="501">
        <f t="shared" ca="1" si="163"/>
        <v>0</v>
      </c>
      <c r="L140" s="457">
        <f t="shared" ca="1" si="164"/>
        <v>0</v>
      </c>
      <c r="M140" s="2398">
        <f t="shared" ca="1" si="165"/>
        <v>0</v>
      </c>
      <c r="N140" s="2034">
        <f t="shared" ca="1" si="166"/>
        <v>0</v>
      </c>
      <c r="O140" s="2035">
        <f t="shared" ca="1" si="167"/>
        <v>0</v>
      </c>
      <c r="P140" s="2036">
        <f ca="1">P139+$AA$4</f>
        <v>0.56700000000000006</v>
      </c>
      <c r="Q140" s="2037">
        <f t="shared" ca="1" si="168"/>
        <v>0</v>
      </c>
      <c r="R140" s="1758">
        <f ca="1">R139+$AA$4</f>
        <v>0.56700000000000006</v>
      </c>
      <c r="S140" s="2038">
        <f t="shared" ca="1" si="169"/>
        <v>0</v>
      </c>
      <c r="T140" s="2403">
        <f t="shared" ca="1" si="170"/>
        <v>0</v>
      </c>
      <c r="U140" s="2404">
        <f t="shared" ca="1" si="171"/>
        <v>0</v>
      </c>
      <c r="V140" s="2054">
        <f>MAX(IF(OR('DATA INPUT'!$H$20=3),'DATA INPUT'!$L$20,0),
IF(OR('DATA INPUT'!$V$20=3),'DATA INPUT'!$Z$20,0),
IF(OR('DATA INPUT'!$AD$20=3),'DATA INPUT'!$AH$20,0))</f>
        <v>0</v>
      </c>
      <c r="W140" s="1604">
        <f t="shared" ca="1" si="172"/>
        <v>0</v>
      </c>
      <c r="X140" s="2058">
        <f t="shared" ca="1" si="173"/>
        <v>0</v>
      </c>
      <c r="Y140" s="1489">
        <f t="shared" ca="1" si="174"/>
        <v>0</v>
      </c>
      <c r="Z140" s="2059">
        <f t="shared" ca="1" si="175"/>
        <v>0.56700000000000006</v>
      </c>
      <c r="AA140" s="1490">
        <f t="shared" ca="1" si="176"/>
        <v>0</v>
      </c>
      <c r="AB140" s="2063">
        <f t="shared" ca="1" si="177"/>
        <v>0</v>
      </c>
      <c r="AC140" s="335"/>
    </row>
    <row r="141" spans="1:29" ht="14.45" customHeight="1" x14ac:dyDescent="0.25">
      <c r="A141" s="50">
        <v>5</v>
      </c>
      <c r="B141" s="540">
        <f>'DATA INPUT'!$M$8</f>
        <v>0</v>
      </c>
      <c r="C141" s="2030">
        <f ca="1">MAX(IF($F$132=12,0),
IF($F$132&lt;12,IF('DATA INPUT'!$H$20=1,'DATA INPUT'!$M$20)))</f>
        <v>0</v>
      </c>
      <c r="D141" s="2031">
        <f>MAX(IF(OR('DATA INPUT'!$H$20=2),'DATA INPUT'!$M$20,0),
IF(OR('DATA INPUT'!$V$20=2),'DATA INPUT'!$AA$20,0),
IF(OR('DATA INPUT'!$AD$20=2),'DATA INPUT'!$AI$20,0))</f>
        <v>0</v>
      </c>
      <c r="E141" s="493">
        <f t="shared" ca="1" si="160"/>
        <v>0</v>
      </c>
      <c r="F141" s="2032">
        <f t="shared" ca="1" si="161"/>
        <v>0</v>
      </c>
      <c r="G141" s="2033">
        <f t="shared" ca="1" si="161"/>
        <v>0</v>
      </c>
      <c r="H141" s="461">
        <v>0.03</v>
      </c>
      <c r="I141" s="2914">
        <f t="shared" ca="1" si="162"/>
        <v>0</v>
      </c>
      <c r="J141" s="457">
        <f>(J140*H141)+J140</f>
        <v>0</v>
      </c>
      <c r="K141" s="501">
        <f t="shared" ca="1" si="163"/>
        <v>0</v>
      </c>
      <c r="L141" s="457">
        <f t="shared" ca="1" si="164"/>
        <v>0</v>
      </c>
      <c r="M141" s="2398">
        <f t="shared" ca="1" si="165"/>
        <v>0</v>
      </c>
      <c r="N141" s="2034">
        <f t="shared" ca="1" si="166"/>
        <v>0</v>
      </c>
      <c r="O141" s="2035">
        <f t="shared" ca="1" si="167"/>
        <v>0</v>
      </c>
      <c r="P141" s="2036">
        <f ca="1">P140+$AA$4</f>
        <v>0.58700000000000008</v>
      </c>
      <c r="Q141" s="2037">
        <f t="shared" ca="1" si="168"/>
        <v>0</v>
      </c>
      <c r="R141" s="1758">
        <f ca="1">R140+$AA$4</f>
        <v>0.58700000000000008</v>
      </c>
      <c r="S141" s="2038">
        <f t="shared" ca="1" si="169"/>
        <v>0</v>
      </c>
      <c r="T141" s="2403">
        <f t="shared" ca="1" si="170"/>
        <v>0</v>
      </c>
      <c r="U141" s="2404">
        <f t="shared" ca="1" si="171"/>
        <v>0</v>
      </c>
      <c r="V141" s="2054">
        <f>MAX(IF(OR('DATA INPUT'!$H$20=3),'DATA INPUT'!$M$20,0),
IF(OR('DATA INPUT'!$V$20=3),'DATA INPUT'!$AA$20,0),
IF(OR('DATA INPUT'!$AD$20=3),'DATA INPUT'!$AI$20,0))</f>
        <v>0</v>
      </c>
      <c r="W141" s="1604">
        <f t="shared" ca="1" si="172"/>
        <v>0</v>
      </c>
      <c r="X141" s="2058">
        <f t="shared" ca="1" si="173"/>
        <v>0</v>
      </c>
      <c r="Y141" s="1489">
        <f t="shared" ca="1" si="174"/>
        <v>0</v>
      </c>
      <c r="Z141" s="2056">
        <f t="shared" ca="1" si="175"/>
        <v>0.58700000000000008</v>
      </c>
      <c r="AA141" s="1490">
        <f t="shared" ca="1" si="176"/>
        <v>0</v>
      </c>
      <c r="AB141" s="2057">
        <f t="shared" ca="1" si="177"/>
        <v>0</v>
      </c>
    </row>
    <row r="142" spans="1:29" ht="15" customHeight="1" thickBot="1" x14ac:dyDescent="0.3">
      <c r="A142" s="623">
        <v>6</v>
      </c>
      <c r="B142" s="1591">
        <f>'DATA INPUT'!$N$8</f>
        <v>0</v>
      </c>
      <c r="C142" s="2039">
        <f ca="1">MAX(IF($F$132=12,0),
IF($F$132&lt;12,IF('DATA INPUT'!$H$20=1,'DATA INPUT'!$N$20)))</f>
        <v>0</v>
      </c>
      <c r="D142" s="2040">
        <f>MAX(IF(OR('DATA INPUT'!$H$20=2),'DATA INPUT'!$N$20,0),
IF(OR('DATA INPUT'!$V$20=2),'DATA INPUT'!$AB$20,0),
IF(OR('DATA INPUT'!$AD$20=2),'DATA INPUT'!$AJ$20,0))</f>
        <v>0</v>
      </c>
      <c r="E142" s="628">
        <f t="shared" ca="1" si="160"/>
        <v>0</v>
      </c>
      <c r="F142" s="2041">
        <f t="shared" ca="1" si="161"/>
        <v>0</v>
      </c>
      <c r="G142" s="2042">
        <f t="shared" ca="1" si="161"/>
        <v>0</v>
      </c>
      <c r="H142" s="494">
        <v>0.03</v>
      </c>
      <c r="I142" s="2915">
        <f t="shared" ca="1" si="162"/>
        <v>0</v>
      </c>
      <c r="J142" s="495">
        <f>(J141*H142)+J141</f>
        <v>0</v>
      </c>
      <c r="K142" s="501">
        <f t="shared" ca="1" si="163"/>
        <v>0</v>
      </c>
      <c r="L142" s="495">
        <f t="shared" ca="1" si="164"/>
        <v>0</v>
      </c>
      <c r="M142" s="2399">
        <f t="shared" ca="1" si="165"/>
        <v>0</v>
      </c>
      <c r="N142" s="2044">
        <f t="shared" ca="1" si="166"/>
        <v>0</v>
      </c>
      <c r="O142" s="2045">
        <f t="shared" ca="1" si="167"/>
        <v>0</v>
      </c>
      <c r="P142" s="2046">
        <f ca="1">P141+$AA$4</f>
        <v>0.6070000000000001</v>
      </c>
      <c r="Q142" s="2047">
        <f t="shared" ca="1" si="168"/>
        <v>0</v>
      </c>
      <c r="R142" s="1759">
        <f ca="1">R141+$AA$4</f>
        <v>0.6070000000000001</v>
      </c>
      <c r="S142" s="2048">
        <f t="shared" ca="1" si="169"/>
        <v>0</v>
      </c>
      <c r="T142" s="2405">
        <f t="shared" ca="1" si="170"/>
        <v>0</v>
      </c>
      <c r="U142" s="2406">
        <f t="shared" ca="1" si="171"/>
        <v>0</v>
      </c>
      <c r="V142" s="2060">
        <f>MAX(IF(OR('DATA INPUT'!$H$20=3),'DATA INPUT'!$N$20,0),
IF(OR('DATA INPUT'!$V$20=3),'DATA INPUT'!$AB$20,0),
IF(OR('DATA INPUT'!$AD$20=3),'DATA INPUT'!$AJ$20,0))</f>
        <v>0</v>
      </c>
      <c r="W142" s="1906">
        <f t="shared" ca="1" si="172"/>
        <v>0</v>
      </c>
      <c r="X142" s="2061">
        <f t="shared" ca="1" si="173"/>
        <v>0</v>
      </c>
      <c r="Y142" s="1513">
        <f t="shared" ca="1" si="174"/>
        <v>0</v>
      </c>
      <c r="Z142" s="2062">
        <f t="shared" ca="1" si="175"/>
        <v>0.6070000000000001</v>
      </c>
      <c r="AA142" s="2043">
        <f t="shared" ca="1" si="176"/>
        <v>0</v>
      </c>
      <c r="AB142" s="2064">
        <f t="shared" ca="1" si="177"/>
        <v>0</v>
      </c>
    </row>
    <row r="143" spans="1:29" ht="15" customHeight="1" thickBot="1" x14ac:dyDescent="0.3">
      <c r="A143" s="614" t="s">
        <v>85</v>
      </c>
      <c r="B143" s="1674">
        <f>SUM(B137:B142)</f>
        <v>12</v>
      </c>
      <c r="C143" s="2736">
        <f ca="1">SUM(C137:C142)</f>
        <v>0</v>
      </c>
      <c r="D143" s="2737">
        <f>SUM(D137:D142)</f>
        <v>0</v>
      </c>
      <c r="E143" s="2738">
        <f ca="1">IFERROR(SUM(C143+D143)/B143,0)*$F133</f>
        <v>0</v>
      </c>
      <c r="F143" s="2739">
        <f ca="1">SUM(F137:F142)</f>
        <v>0</v>
      </c>
      <c r="G143" s="2740">
        <f ca="1">SUM(G137:G142)</f>
        <v>0</v>
      </c>
      <c r="H143"/>
      <c r="I143"/>
      <c r="K143" s="60"/>
      <c r="N143" s="2734">
        <f ca="1">SUM(N137:N142)</f>
        <v>0</v>
      </c>
      <c r="O143" s="2735">
        <f ca="1">SUM(O137:O142)</f>
        <v>0</v>
      </c>
      <c r="Q143" s="1592">
        <f ca="1">SUM(Q137:Q142)</f>
        <v>0</v>
      </c>
      <c r="S143" s="1593">
        <f ca="1">SUM(S137:S142)</f>
        <v>0</v>
      </c>
      <c r="T143" s="60"/>
      <c r="U143" s="60"/>
      <c r="V143" s="1692">
        <f>SUM(V137:V142)</f>
        <v>0</v>
      </c>
      <c r="W143" s="1692">
        <f ca="1">SUM(W137:W142)</f>
        <v>0</v>
      </c>
      <c r="X143" s="2050">
        <f t="shared" ca="1" si="173"/>
        <v>0</v>
      </c>
      <c r="Y143" s="2051">
        <f ca="1">SUM(Y137:Y142)</f>
        <v>0</v>
      </c>
      <c r="AA143" s="2051">
        <f ca="1">SUM(AA137:AA142)</f>
        <v>0</v>
      </c>
      <c r="AB143" s="2051">
        <f ca="1">SUM(AB137:AB142)</f>
        <v>0</v>
      </c>
    </row>
    <row r="144" spans="1:29" ht="14.45" customHeight="1" x14ac:dyDescent="0.25">
      <c r="B144" s="3073" t="s">
        <v>1074</v>
      </c>
      <c r="C144" s="2065">
        <f ca="1">(C143+D143+V143)*F133</f>
        <v>0</v>
      </c>
      <c r="D144" s="496" t="s">
        <v>256</v>
      </c>
      <c r="E144" s="497"/>
      <c r="F144" s="498">
        <f ca="1">E143</f>
        <v>0</v>
      </c>
      <c r="G144" s="499" t="s">
        <v>701</v>
      </c>
      <c r="H144" s="500"/>
      <c r="I144" s="500"/>
      <c r="J144" s="498">
        <f ca="1">X143</f>
        <v>0</v>
      </c>
      <c r="K144" s="499" t="s">
        <v>702</v>
      </c>
      <c r="L144" s="500"/>
      <c r="W144"/>
      <c r="X144"/>
    </row>
    <row r="145" spans="1:29" ht="24" thickBot="1" x14ac:dyDescent="0.4">
      <c r="A145" s="2749">
        <f>A131+1</f>
        <v>11</v>
      </c>
      <c r="B145" s="2749"/>
    </row>
    <row r="146" spans="1:29" ht="15.75" thickBot="1" x14ac:dyDescent="0.3">
      <c r="A146" s="401" t="s">
        <v>104</v>
      </c>
      <c r="B146" s="2741">
        <f ca="1">OFFSET('DATA INPUT'!$B$11,($A145-1),0)</f>
        <v>0</v>
      </c>
      <c r="C146" s="2746"/>
      <c r="E146" s="1736" t="s">
        <v>81</v>
      </c>
      <c r="F146" s="2743">
        <f ca="1">OFFSET('DATA INPUT'!$G$11,($A145-1),0)</f>
        <v>9</v>
      </c>
      <c r="G146" s="2744"/>
      <c r="H146"/>
      <c r="I146"/>
      <c r="J146" s="1596" t="s">
        <v>257</v>
      </c>
      <c r="K146" s="2755"/>
      <c r="L146" s="1742">
        <f>'DATA INPUT'!E21</f>
        <v>0</v>
      </c>
      <c r="N146" s="1596" t="s">
        <v>525</v>
      </c>
      <c r="O146" s="1755" t="str">
        <f ca="1">OFFSET('DATA INPUT'!$D$11,($A145-1),0)</f>
        <v>Professional &amp; Academic Faculty</v>
      </c>
      <c r="Q146" s="64">
        <f>'DATA INPUT'!S21</f>
        <v>0</v>
      </c>
      <c r="R146" s="1718"/>
      <c r="S146" s="1719"/>
      <c r="T146" s="1598"/>
      <c r="U146" s="333"/>
      <c r="Y146" s="1"/>
      <c r="Z146" s="1"/>
      <c r="AA146" s="1"/>
      <c r="AB146" s="1"/>
      <c r="AC146" s="1"/>
    </row>
    <row r="147" spans="1:29" ht="15.75" thickBot="1" x14ac:dyDescent="0.3">
      <c r="A147" s="1737" t="s">
        <v>80</v>
      </c>
      <c r="B147" s="2753">
        <f ca="1">OFFSET('DATA INPUT'!$C$11,($A145-1),0)</f>
        <v>0</v>
      </c>
      <c r="C147" s="2754"/>
      <c r="E147" s="2617" t="s">
        <v>82</v>
      </c>
      <c r="F147" s="2745">
        <f ca="1">OFFSET('DATA INPUT'!$F$11,($A145-1),0)</f>
        <v>1</v>
      </c>
      <c r="G147" s="2742"/>
      <c r="J147" s="66" t="s">
        <v>529</v>
      </c>
      <c r="K147" s="1741"/>
      <c r="L147" s="334">
        <f ca="1">IFERROR(L146/F146,0)</f>
        <v>0</v>
      </c>
      <c r="N147" s="1743" t="s">
        <v>530</v>
      </c>
      <c r="O147" s="1754">
        <f>'DATA INPUT'!T21</f>
        <v>0</v>
      </c>
      <c r="Q147" s="66"/>
      <c r="R147" s="1715"/>
      <c r="S147" s="1713"/>
      <c r="T147" s="1746"/>
      <c r="U147" s="61"/>
      <c r="V147" s="401" t="s">
        <v>104</v>
      </c>
      <c r="W147" s="401">
        <f>'DATA INPUT'!$B$21</f>
        <v>0</v>
      </c>
      <c r="X147" s="1719"/>
      <c r="Y147" s="2235"/>
      <c r="Z147" s="2235"/>
      <c r="AA147" s="2235"/>
      <c r="AB147" s="2236"/>
      <c r="AC147" s="1"/>
    </row>
    <row r="148" spans="1:29" s="770" customFormat="1" ht="30" customHeight="1" thickBot="1" x14ac:dyDescent="0.3">
      <c r="A148" s="2751" t="s">
        <v>253</v>
      </c>
      <c r="B148" s="2750" t="s">
        <v>254</v>
      </c>
      <c r="C148" s="3529" t="s">
        <v>258</v>
      </c>
      <c r="D148" s="3530"/>
      <c r="E148" s="3531"/>
      <c r="F148" s="3529" t="s">
        <v>83</v>
      </c>
      <c r="G148" s="3531"/>
      <c r="H148" s="3529" t="s">
        <v>65</v>
      </c>
      <c r="I148" s="3544"/>
      <c r="J148" s="3544"/>
      <c r="K148" s="3544"/>
      <c r="L148" s="3544"/>
      <c r="M148" s="3545"/>
      <c r="N148" s="3529" t="s">
        <v>84</v>
      </c>
      <c r="O148" s="3531"/>
      <c r="P148" s="3529" t="s">
        <v>78</v>
      </c>
      <c r="Q148" s="3530"/>
      <c r="R148" s="3530"/>
      <c r="S148" s="3531"/>
      <c r="T148" s="3529" t="s">
        <v>87</v>
      </c>
      <c r="U148" s="3531"/>
      <c r="V148" s="3529" t="s">
        <v>623</v>
      </c>
      <c r="W148" s="3530"/>
      <c r="X148" s="3530"/>
      <c r="Y148" s="3530"/>
      <c r="Z148" s="3530"/>
      <c r="AA148" s="3530"/>
      <c r="AB148" s="3531"/>
      <c r="AC148" s="2618"/>
    </row>
    <row r="149" spans="1:29" ht="15.75" customHeight="1" x14ac:dyDescent="0.25">
      <c r="A149" s="2752"/>
      <c r="B149" s="2750"/>
      <c r="C149" s="3527" t="s">
        <v>252</v>
      </c>
      <c r="D149" s="2187" t="str">
        <f ca="1">IF($F$146=12,"CY","AY")</f>
        <v>AY</v>
      </c>
      <c r="E149" s="3444" t="s">
        <v>231</v>
      </c>
      <c r="F149" s="3525" t="s">
        <v>232</v>
      </c>
      <c r="G149" s="2185" t="str">
        <f ca="1">IF($F$146=12,"CY","AY")</f>
        <v>AY</v>
      </c>
      <c r="H149" s="3523" t="s">
        <v>86</v>
      </c>
      <c r="I149" s="3518" t="s">
        <v>922</v>
      </c>
      <c r="J149" s="2918" t="str">
        <f ca="1">IF(F146=12,"CY","AY")</f>
        <v>AY</v>
      </c>
      <c r="K149" s="3542" t="s">
        <v>485</v>
      </c>
      <c r="L149" s="3542" t="s">
        <v>255</v>
      </c>
      <c r="M149" s="3547" t="s">
        <v>66</v>
      </c>
      <c r="N149" s="3549" t="s">
        <v>64</v>
      </c>
      <c r="O149" s="3537" t="str">
        <f ca="1">IF($F$146=12,"CY","AY")</f>
        <v>AY</v>
      </c>
      <c r="P149" s="2014" t="s">
        <v>617</v>
      </c>
      <c r="Q149" s="2015">
        <f ca="1">IFERROR(VLOOKUP(O146,TableFringePool[],2,0),0)</f>
        <v>0.50700000000000001</v>
      </c>
      <c r="R149" s="2018" t="str">
        <f ca="1">IF($F$6=12,"CY Base % ","AY Base %")</f>
        <v xml:space="preserve">CY Base % </v>
      </c>
      <c r="S149" s="2016">
        <f ca="1">Q149</f>
        <v>0.50700000000000001</v>
      </c>
      <c r="T149" s="3539" t="s">
        <v>64</v>
      </c>
      <c r="U149" s="3537" t="str">
        <f ca="1">IF($F$146=12,"CY","AY")</f>
        <v>AY</v>
      </c>
      <c r="V149" s="3477" t="s">
        <v>618</v>
      </c>
      <c r="W149" s="3554" t="s">
        <v>619</v>
      </c>
      <c r="X149" s="3552" t="s">
        <v>620</v>
      </c>
      <c r="Y149" s="3560" t="s">
        <v>624</v>
      </c>
      <c r="Z149" s="2052" t="s">
        <v>621</v>
      </c>
      <c r="AA149" s="2053"/>
      <c r="AB149" s="3558" t="s">
        <v>625</v>
      </c>
      <c r="AC149" s="1"/>
    </row>
    <row r="150" spans="1:29" ht="15.75" customHeight="1" thickBot="1" x14ac:dyDescent="0.3">
      <c r="A150" s="2715"/>
      <c r="B150" s="2750"/>
      <c r="C150" s="3528"/>
      <c r="D150" s="2188" t="s">
        <v>636</v>
      </c>
      <c r="E150" s="3446"/>
      <c r="F150" s="3526"/>
      <c r="G150" s="2186" t="s">
        <v>637</v>
      </c>
      <c r="H150" s="3524"/>
      <c r="I150" s="3519"/>
      <c r="J150" s="2919" t="s">
        <v>1015</v>
      </c>
      <c r="K150" s="3543"/>
      <c r="L150" s="3543"/>
      <c r="M150" s="3548"/>
      <c r="N150" s="3550"/>
      <c r="O150" s="3538"/>
      <c r="P150" s="2010" t="s">
        <v>67</v>
      </c>
      <c r="Q150" s="1781" t="s">
        <v>68</v>
      </c>
      <c r="R150" s="2011" t="s">
        <v>67</v>
      </c>
      <c r="S150" s="2012" t="s">
        <v>68</v>
      </c>
      <c r="T150" s="3540"/>
      <c r="U150" s="3538"/>
      <c r="V150" s="3564"/>
      <c r="W150" s="3569"/>
      <c r="X150" s="3570"/>
      <c r="Y150" s="3565"/>
      <c r="Z150" s="2125" t="s">
        <v>622</v>
      </c>
      <c r="AA150" s="2126" t="s">
        <v>68</v>
      </c>
      <c r="AB150" s="3566"/>
      <c r="AC150" s="1"/>
    </row>
    <row r="151" spans="1:29" x14ac:dyDescent="0.25">
      <c r="A151" s="622">
        <v>1</v>
      </c>
      <c r="B151" s="782">
        <f>'DATA INPUT'!$I$8</f>
        <v>12</v>
      </c>
      <c r="C151" s="2021">
        <f ca="1">MAX(IF($F$146=12,0),
IF($F$146&lt;12,IF('DATA INPUT'!$H$21=1,'DATA INPUT'!$I$21)))</f>
        <v>0</v>
      </c>
      <c r="D151" s="2022">
        <f>MAX(IF(OR('DATA INPUT'!$H$21=2),'DATA INPUT'!$I$21,0),
IF(OR('DATA INPUT'!$V$21=2),'DATA INPUT'!$W$21,0),
IF(OR('DATA INPUT'!$AD$21=2,),'DATA INPUT'!$AE$21,0))</f>
        <v>0</v>
      </c>
      <c r="E151" s="491">
        <f t="shared" ref="E151:E156" ca="1" si="178">IFERROR(SUM(C151+D151)/B151,0)*$F$147</f>
        <v>0</v>
      </c>
      <c r="F151" s="2023">
        <f t="shared" ref="F151:F156" ca="1" si="179">C151*(2080/12)*$F$147</f>
        <v>0</v>
      </c>
      <c r="G151" s="2024">
        <f t="shared" ref="G151:G156" si="180">D151*(2080/12)*$G$148</f>
        <v>0</v>
      </c>
      <c r="H151" s="2019">
        <v>0.03</v>
      </c>
      <c r="I151" s="2914">
        <f t="shared" ref="I151:I156" ca="1" si="181">IF($F$146&lt;12,K151*(12-$F$146),0)</f>
        <v>0</v>
      </c>
      <c r="J151" s="501">
        <f>(L146*H151)+L146</f>
        <v>0</v>
      </c>
      <c r="K151" s="501">
        <f t="shared" ref="K151:K156" ca="1" si="182">IFERROR(J151/$F$146,0)</f>
        <v>0</v>
      </c>
      <c r="L151" s="501">
        <f t="shared" ref="L151:L156" ca="1" si="183">IFERROR(J151/$F$146*$F$147,0)</f>
        <v>0</v>
      </c>
      <c r="M151" s="2397">
        <f t="shared" ref="M151:M156" ca="1" si="184">K151/(2080/12)</f>
        <v>0</v>
      </c>
      <c r="N151" s="2025">
        <f t="shared" ref="N151:N156" ca="1" si="185">MAX(IF($F$146=12,0),
IF($F$146&lt;12,C151*L151))</f>
        <v>0</v>
      </c>
      <c r="O151" s="2026">
        <f t="shared" ref="O151:O156" ca="1" si="186">(D151*L151)</f>
        <v>0</v>
      </c>
      <c r="P151" s="2027">
        <f ca="1">IF($V$4&lt;$U$4, $Q149, IF($V$4&gt;$X$4, $Q149+2*$AA$3, $Q149+$AA$3))</f>
        <v>0.50700000000000001</v>
      </c>
      <c r="Q151" s="2028">
        <f t="shared" ref="Q151:Q156" ca="1" si="187">IFERROR(P151*N151,0)</f>
        <v>0</v>
      </c>
      <c r="R151" s="2009">
        <f ca="1">IF($V$4&lt;$U$4, $Q149, IF($V$4&gt;$X$4, $Q149+2*$AA$3, $Q149+$AA$3))</f>
        <v>0.50700000000000001</v>
      </c>
      <c r="S151" s="2029">
        <f t="shared" ref="S151:S156" ca="1" si="188">R151*O151</f>
        <v>0</v>
      </c>
      <c r="T151" s="2401">
        <f t="shared" ref="T151:T156" ca="1" si="189">IFERROR((K151/(2080/12))+((K151*P151)/(2080/12)),"")</f>
        <v>0</v>
      </c>
      <c r="U151" s="2402">
        <f t="shared" ref="U151:U156" ca="1" si="190">(K151/(2080/12))+((K151*R151)/(2080/12))</f>
        <v>0</v>
      </c>
      <c r="V151" s="2130">
        <f>MAX(IF(OR('DATA INPUT'!$H$21=3),'DATA INPUT'!$I$21,0),
IF(OR('DATA INPUT'!$V$21=3),'DATA INPUT'!$W$21,0),
IF(OR('DATA INPUT'!$AD$21=3),'DATA INPUT'!$AE$21,0))</f>
        <v>0</v>
      </c>
      <c r="W151" s="1904">
        <f t="shared" ref="W151:W156" ca="1" si="191">V151*(2080/12)*$F$147</f>
        <v>0</v>
      </c>
      <c r="X151" s="2131">
        <f t="shared" ref="X151:X157" ca="1" si="192">IFERROR(V151/B151,0)*$F$147</f>
        <v>0</v>
      </c>
      <c r="Y151" s="1657">
        <f t="shared" ref="Y151:Y156" ca="1" si="193">V151*L151</f>
        <v>0</v>
      </c>
      <c r="Z151" s="2132">
        <f t="shared" ref="Z151:Z156" ca="1" si="194">R151</f>
        <v>0.50700000000000001</v>
      </c>
      <c r="AA151" s="2133">
        <f t="shared" ref="AA151:AA156" ca="1" si="195">Y151*Z151</f>
        <v>0</v>
      </c>
      <c r="AB151" s="2134">
        <f t="shared" ref="AB151:AB156" ca="1" si="196">SUM(Y151,AA151)</f>
        <v>0</v>
      </c>
      <c r="AC151" s="1"/>
    </row>
    <row r="152" spans="1:29" x14ac:dyDescent="0.25">
      <c r="A152" s="50">
        <v>2</v>
      </c>
      <c r="B152" s="540">
        <f>'DATA INPUT'!$J$8</f>
        <v>0</v>
      </c>
      <c r="C152" s="2030">
        <f ca="1">MAX(IF($F$146=12,0),
IF($F$146&lt;12,IF('DATA INPUT'!$H$21=1,'DATA INPUT'!$J$21)))</f>
        <v>0</v>
      </c>
      <c r="D152" s="2031">
        <f>MAX(IF(OR('DATA INPUT'!$H$21=2),'DATA INPUT'!$J$21,0),
IF(OR('DATA INPUT'!$V$21=2),'DATA INPUT'!$X$21,0),
IF(OR('DATA INPUT'!$AD$21=2),'DATA INPUT'!$AF$21,0))</f>
        <v>0</v>
      </c>
      <c r="E152" s="493">
        <f t="shared" ca="1" si="178"/>
        <v>0</v>
      </c>
      <c r="F152" s="2032">
        <f t="shared" ca="1" si="179"/>
        <v>0</v>
      </c>
      <c r="G152" s="2033">
        <f t="shared" si="180"/>
        <v>0</v>
      </c>
      <c r="H152" s="461">
        <v>0.03</v>
      </c>
      <c r="I152" s="2914">
        <f t="shared" ca="1" si="181"/>
        <v>0</v>
      </c>
      <c r="J152" s="457">
        <f>(J151*H152)+J151</f>
        <v>0</v>
      </c>
      <c r="K152" s="457">
        <f t="shared" ca="1" si="182"/>
        <v>0</v>
      </c>
      <c r="L152" s="457">
        <f t="shared" ca="1" si="183"/>
        <v>0</v>
      </c>
      <c r="M152" s="2398">
        <f t="shared" ca="1" si="184"/>
        <v>0</v>
      </c>
      <c r="N152" s="2034">
        <f t="shared" ca="1" si="185"/>
        <v>0</v>
      </c>
      <c r="O152" s="2035">
        <f t="shared" ca="1" si="186"/>
        <v>0</v>
      </c>
      <c r="P152" s="2036">
        <f ca="1">P151+$AA$4</f>
        <v>0.52700000000000002</v>
      </c>
      <c r="Q152" s="2037">
        <f t="shared" ca="1" si="187"/>
        <v>0</v>
      </c>
      <c r="R152" s="1758">
        <f ca="1">R151+$AA$4</f>
        <v>0.52700000000000002</v>
      </c>
      <c r="S152" s="2038">
        <f t="shared" ca="1" si="188"/>
        <v>0</v>
      </c>
      <c r="T152" s="2403">
        <f t="shared" ca="1" si="189"/>
        <v>0</v>
      </c>
      <c r="U152" s="2404">
        <f t="shared" ca="1" si="190"/>
        <v>0</v>
      </c>
      <c r="V152" s="2054">
        <f>MAX(IF(OR('DATA INPUT'!$H$21=3),'DATA INPUT'!$J$21,0),
IF(OR('DATA INPUT'!$V$21=3),'DATA INPUT'!$X$21,0),
IF(OR('DATA INPUT'!$AD$21=3),'DATA INPUT'!$AF$21,0))</f>
        <v>0</v>
      </c>
      <c r="W152" s="1604">
        <f t="shared" ca="1" si="191"/>
        <v>0</v>
      </c>
      <c r="X152" s="2058">
        <f t="shared" ca="1" si="192"/>
        <v>0</v>
      </c>
      <c r="Y152" s="1489">
        <f t="shared" ca="1" si="193"/>
        <v>0</v>
      </c>
      <c r="Z152" s="2056">
        <f t="shared" ca="1" si="194"/>
        <v>0.52700000000000002</v>
      </c>
      <c r="AA152" s="1490">
        <f t="shared" ca="1" si="195"/>
        <v>0</v>
      </c>
      <c r="AB152" s="2057">
        <f t="shared" ca="1" si="196"/>
        <v>0</v>
      </c>
      <c r="AC152" s="1"/>
    </row>
    <row r="153" spans="1:29" x14ac:dyDescent="0.25">
      <c r="A153" s="50">
        <v>3</v>
      </c>
      <c r="B153" s="540">
        <f>'DATA INPUT'!$K$8</f>
        <v>0</v>
      </c>
      <c r="C153" s="2030">
        <f ca="1">MAX(IF($F$146=12,0),
IF($F$146&lt;12,IF('DATA INPUT'!$H$21=1,'DATA INPUT'!$K$21)))</f>
        <v>0</v>
      </c>
      <c r="D153" s="2031">
        <f>MAX(IF(OR('DATA INPUT'!$H$21=2),'DATA INPUT'!$K$21,0),
IF(OR('DATA INPUT'!$V$21=2),'DATA INPUT'!$Y$21,0),
IF(OR('DATA INPUT'!$AD$21=2),'DATA INPUT'!$AG$21,0))</f>
        <v>0</v>
      </c>
      <c r="E153" s="493">
        <f t="shared" ca="1" si="178"/>
        <v>0</v>
      </c>
      <c r="F153" s="2032">
        <f t="shared" ca="1" si="179"/>
        <v>0</v>
      </c>
      <c r="G153" s="2033">
        <f t="shared" si="180"/>
        <v>0</v>
      </c>
      <c r="H153" s="461">
        <v>0.03</v>
      </c>
      <c r="I153" s="2914">
        <f t="shared" ca="1" si="181"/>
        <v>0</v>
      </c>
      <c r="J153" s="457">
        <f>(J152*H153)+J152</f>
        <v>0</v>
      </c>
      <c r="K153" s="457">
        <f t="shared" ca="1" si="182"/>
        <v>0</v>
      </c>
      <c r="L153" s="457">
        <f t="shared" ca="1" si="183"/>
        <v>0</v>
      </c>
      <c r="M153" s="2398">
        <f t="shared" ca="1" si="184"/>
        <v>0</v>
      </c>
      <c r="N153" s="2034">
        <f t="shared" ca="1" si="185"/>
        <v>0</v>
      </c>
      <c r="O153" s="2035">
        <f t="shared" ca="1" si="186"/>
        <v>0</v>
      </c>
      <c r="P153" s="2036">
        <f ca="1">P152+$AA$4</f>
        <v>0.54700000000000004</v>
      </c>
      <c r="Q153" s="2037">
        <f t="shared" ca="1" si="187"/>
        <v>0</v>
      </c>
      <c r="R153" s="1758">
        <f ca="1">R152+$AA$4</f>
        <v>0.54700000000000004</v>
      </c>
      <c r="S153" s="2038">
        <f t="shared" ca="1" si="188"/>
        <v>0</v>
      </c>
      <c r="T153" s="2403">
        <f t="shared" ca="1" si="189"/>
        <v>0</v>
      </c>
      <c r="U153" s="2404">
        <f t="shared" ca="1" si="190"/>
        <v>0</v>
      </c>
      <c r="V153" s="2054">
        <f>MAX(IF(OR('DATA INPUT'!$H$21=3),'DATA INPUT'!$K$21,0),
IF(OR('DATA INPUT'!$V$21=3),'DATA INPUT'!$Y$21,0),
IF(OR('DATA INPUT'!$AD$21=3),'DATA INPUT'!$AG$21,0))</f>
        <v>0</v>
      </c>
      <c r="W153" s="1604">
        <f t="shared" ca="1" si="191"/>
        <v>0</v>
      </c>
      <c r="X153" s="2058">
        <f t="shared" ca="1" si="192"/>
        <v>0</v>
      </c>
      <c r="Y153" s="1489">
        <f t="shared" ca="1" si="193"/>
        <v>0</v>
      </c>
      <c r="Z153" s="2056">
        <f t="shared" ca="1" si="194"/>
        <v>0.54700000000000004</v>
      </c>
      <c r="AA153" s="1490">
        <f t="shared" ca="1" si="195"/>
        <v>0</v>
      </c>
      <c r="AB153" s="2057">
        <f t="shared" ca="1" si="196"/>
        <v>0</v>
      </c>
      <c r="AC153" s="1"/>
    </row>
    <row r="154" spans="1:29" x14ac:dyDescent="0.25">
      <c r="A154" s="50">
        <v>4</v>
      </c>
      <c r="B154" s="540">
        <f>'DATA INPUT'!$L$8</f>
        <v>0</v>
      </c>
      <c r="C154" s="2030">
        <f ca="1">MAX(IF($F$146=12,0),
IF($F$146&lt;12,IF('DATA INPUT'!$H$21=1,'DATA INPUT'!$L$21)))</f>
        <v>0</v>
      </c>
      <c r="D154" s="2031">
        <f>MAX(IF(OR('DATA INPUT'!$H$21=2),'DATA INPUT'!$L$21,0),
IF(OR('DATA INPUT'!$V$21=2),'DATA INPUT'!$Z$21,0),
IF(OR('DATA INPUT'!$AD$21=2),'DATA INPUT'!$AH$21,0))</f>
        <v>0</v>
      </c>
      <c r="E154" s="493">
        <f t="shared" ca="1" si="178"/>
        <v>0</v>
      </c>
      <c r="F154" s="2032">
        <f t="shared" ca="1" si="179"/>
        <v>0</v>
      </c>
      <c r="G154" s="2033">
        <f t="shared" si="180"/>
        <v>0</v>
      </c>
      <c r="H154" s="461">
        <v>0.03</v>
      </c>
      <c r="I154" s="2914">
        <f t="shared" ca="1" si="181"/>
        <v>0</v>
      </c>
      <c r="J154" s="457">
        <f>(J153*H154)+J153</f>
        <v>0</v>
      </c>
      <c r="K154" s="501">
        <f t="shared" ca="1" si="182"/>
        <v>0</v>
      </c>
      <c r="L154" s="457">
        <f t="shared" ca="1" si="183"/>
        <v>0</v>
      </c>
      <c r="M154" s="2398">
        <f t="shared" ca="1" si="184"/>
        <v>0</v>
      </c>
      <c r="N154" s="2034">
        <f t="shared" ca="1" si="185"/>
        <v>0</v>
      </c>
      <c r="O154" s="2035">
        <f t="shared" ca="1" si="186"/>
        <v>0</v>
      </c>
      <c r="P154" s="2036">
        <f ca="1">P153+$AA$4</f>
        <v>0.56700000000000006</v>
      </c>
      <c r="Q154" s="2037">
        <f t="shared" ca="1" si="187"/>
        <v>0</v>
      </c>
      <c r="R154" s="1758">
        <f ca="1">R153+$AA$4</f>
        <v>0.56700000000000006</v>
      </c>
      <c r="S154" s="2038">
        <f t="shared" ca="1" si="188"/>
        <v>0</v>
      </c>
      <c r="T154" s="2403">
        <f t="shared" ca="1" si="189"/>
        <v>0</v>
      </c>
      <c r="U154" s="2404">
        <f t="shared" ca="1" si="190"/>
        <v>0</v>
      </c>
      <c r="V154" s="2054">
        <f>MAX(IF(OR('DATA INPUT'!$H$21=3),'DATA INPUT'!$L$21,0),
IF(OR('DATA INPUT'!$V$21=3),'DATA INPUT'!$Z$21,0),
IF(OR('DATA INPUT'!$AD$21=3),'DATA INPUT'!$AH$21,0))</f>
        <v>0</v>
      </c>
      <c r="W154" s="1604">
        <f t="shared" ca="1" si="191"/>
        <v>0</v>
      </c>
      <c r="X154" s="2058">
        <f t="shared" ca="1" si="192"/>
        <v>0</v>
      </c>
      <c r="Y154" s="1489">
        <f t="shared" ca="1" si="193"/>
        <v>0</v>
      </c>
      <c r="Z154" s="2059">
        <f t="shared" ca="1" si="194"/>
        <v>0.56700000000000006</v>
      </c>
      <c r="AA154" s="1490">
        <f t="shared" ca="1" si="195"/>
        <v>0</v>
      </c>
      <c r="AB154" s="2063">
        <f t="shared" ca="1" si="196"/>
        <v>0</v>
      </c>
      <c r="AC154" s="335"/>
    </row>
    <row r="155" spans="1:29" x14ac:dyDescent="0.25">
      <c r="A155" s="50">
        <v>5</v>
      </c>
      <c r="B155" s="540">
        <f>'DATA INPUT'!$M$8</f>
        <v>0</v>
      </c>
      <c r="C155" s="2030">
        <f ca="1">MAX(IF($F$146=12,0),
IF($F$146&lt;12,IF('DATA INPUT'!$H$21=1,'DATA INPUT'!$M$21)))</f>
        <v>0</v>
      </c>
      <c r="D155" s="2031">
        <f>MAX(IF(OR('DATA INPUT'!$H$21=2),'DATA INPUT'!$M$21,0),
IF(OR('DATA INPUT'!$V$21=2),'DATA INPUT'!$AA$21,0),
IF(OR('DATA INPUT'!$AD$21=2),'DATA INPUT'!$AI$21,0))</f>
        <v>0</v>
      </c>
      <c r="E155" s="493">
        <f t="shared" ca="1" si="178"/>
        <v>0</v>
      </c>
      <c r="F155" s="2032">
        <f t="shared" ca="1" si="179"/>
        <v>0</v>
      </c>
      <c r="G155" s="2033">
        <f t="shared" si="180"/>
        <v>0</v>
      </c>
      <c r="H155" s="461">
        <v>0.03</v>
      </c>
      <c r="I155" s="2914">
        <f t="shared" ca="1" si="181"/>
        <v>0</v>
      </c>
      <c r="J155" s="457">
        <f>(J154*H155)+J154</f>
        <v>0</v>
      </c>
      <c r="K155" s="457">
        <f t="shared" ca="1" si="182"/>
        <v>0</v>
      </c>
      <c r="L155" s="457">
        <f t="shared" ca="1" si="183"/>
        <v>0</v>
      </c>
      <c r="M155" s="2398">
        <f t="shared" ca="1" si="184"/>
        <v>0</v>
      </c>
      <c r="N155" s="2034">
        <f t="shared" ca="1" si="185"/>
        <v>0</v>
      </c>
      <c r="O155" s="2035">
        <f t="shared" ca="1" si="186"/>
        <v>0</v>
      </c>
      <c r="P155" s="2036">
        <f ca="1">P154+$AA$4</f>
        <v>0.58700000000000008</v>
      </c>
      <c r="Q155" s="2037">
        <f t="shared" ca="1" si="187"/>
        <v>0</v>
      </c>
      <c r="R155" s="1758">
        <f ca="1">R154+$AA$4</f>
        <v>0.58700000000000008</v>
      </c>
      <c r="S155" s="2038">
        <f t="shared" ca="1" si="188"/>
        <v>0</v>
      </c>
      <c r="T155" s="2403">
        <f t="shared" ca="1" si="189"/>
        <v>0</v>
      </c>
      <c r="U155" s="2404">
        <f t="shared" ca="1" si="190"/>
        <v>0</v>
      </c>
      <c r="V155" s="2054">
        <f>MAX(IF(OR('DATA INPUT'!$H$21=3),'DATA INPUT'!$M$21,0),
IF(OR('DATA INPUT'!$V$21=3),'DATA INPUT'!$AA$21,0),
IF(OR('DATA INPUT'!$AD$21=3),'DATA INPUT'!$AI$21,0))</f>
        <v>0</v>
      </c>
      <c r="W155" s="1604">
        <f t="shared" ca="1" si="191"/>
        <v>0</v>
      </c>
      <c r="X155" s="2058">
        <f t="shared" ca="1" si="192"/>
        <v>0</v>
      </c>
      <c r="Y155" s="1489">
        <f t="shared" ca="1" si="193"/>
        <v>0</v>
      </c>
      <c r="Z155" s="2056">
        <f t="shared" ca="1" si="194"/>
        <v>0.58700000000000008</v>
      </c>
      <c r="AA155" s="1490">
        <f t="shared" ca="1" si="195"/>
        <v>0</v>
      </c>
      <c r="AB155" s="2057">
        <f t="shared" ca="1" si="196"/>
        <v>0</v>
      </c>
    </row>
    <row r="156" spans="1:29" ht="15.75" thickBot="1" x14ac:dyDescent="0.3">
      <c r="A156" s="623">
        <v>6</v>
      </c>
      <c r="B156" s="1591">
        <f>'DATA INPUT'!$N$8</f>
        <v>0</v>
      </c>
      <c r="C156" s="2039">
        <f ca="1">MAX(IF($F$146=12,0),
IF($F$146&lt;12,IF('DATA INPUT'!$H$21=1,'DATA INPUT'!$N$21)))</f>
        <v>0</v>
      </c>
      <c r="D156" s="2040">
        <f>MAX(IF(OR('DATA INPUT'!$H$21=2),'DATA INPUT'!$N$21,0),
IF(OR('DATA INPUT'!$V$21=2),'DATA INPUT'!$AB$21,0),
IF(OR('DATA INPUT'!$AD$21=2),'DATA INPUT'!$AJ$21,0))</f>
        <v>0</v>
      </c>
      <c r="E156" s="628">
        <f t="shared" ca="1" si="178"/>
        <v>0</v>
      </c>
      <c r="F156" s="2041">
        <f t="shared" ca="1" si="179"/>
        <v>0</v>
      </c>
      <c r="G156" s="2042">
        <f t="shared" si="180"/>
        <v>0</v>
      </c>
      <c r="H156" s="494">
        <v>0.03</v>
      </c>
      <c r="I156" s="2915">
        <f t="shared" ca="1" si="181"/>
        <v>0</v>
      </c>
      <c r="J156" s="495">
        <f>(J155*H156)+J155</f>
        <v>0</v>
      </c>
      <c r="K156" s="495">
        <f t="shared" ca="1" si="182"/>
        <v>0</v>
      </c>
      <c r="L156" s="495">
        <f t="shared" ca="1" si="183"/>
        <v>0</v>
      </c>
      <c r="M156" s="2399">
        <f t="shared" ca="1" si="184"/>
        <v>0</v>
      </c>
      <c r="N156" s="2044">
        <f t="shared" ca="1" si="185"/>
        <v>0</v>
      </c>
      <c r="O156" s="2045">
        <f t="shared" ca="1" si="186"/>
        <v>0</v>
      </c>
      <c r="P156" s="2046">
        <f ca="1">P155+$AA$4</f>
        <v>0.6070000000000001</v>
      </c>
      <c r="Q156" s="2047">
        <f t="shared" ca="1" si="187"/>
        <v>0</v>
      </c>
      <c r="R156" s="1759">
        <f ca="1">R155+$AA$4</f>
        <v>0.6070000000000001</v>
      </c>
      <c r="S156" s="2048">
        <f t="shared" ca="1" si="188"/>
        <v>0</v>
      </c>
      <c r="T156" s="2405">
        <f t="shared" ca="1" si="189"/>
        <v>0</v>
      </c>
      <c r="U156" s="2406">
        <f t="shared" ca="1" si="190"/>
        <v>0</v>
      </c>
      <c r="V156" s="2060">
        <f>MAX(IF(OR('DATA INPUT'!$H$21=3),'DATA INPUT'!$N$21,0),
IF(OR('DATA INPUT'!$V$21=3),'DATA INPUT'!$AB$21,0),
IF(OR('DATA INPUT'!$AD$21=3),'DATA INPUT'!$AJ$21,0))</f>
        <v>0</v>
      </c>
      <c r="W156" s="1906">
        <f t="shared" ca="1" si="191"/>
        <v>0</v>
      </c>
      <c r="X156" s="2061">
        <f t="shared" ca="1" si="192"/>
        <v>0</v>
      </c>
      <c r="Y156" s="1513">
        <f t="shared" ca="1" si="193"/>
        <v>0</v>
      </c>
      <c r="Z156" s="2062">
        <f t="shared" ca="1" si="194"/>
        <v>0.6070000000000001</v>
      </c>
      <c r="AA156" s="2043">
        <f t="shared" ca="1" si="195"/>
        <v>0</v>
      </c>
      <c r="AB156" s="2064">
        <f t="shared" ca="1" si="196"/>
        <v>0</v>
      </c>
    </row>
    <row r="157" spans="1:29" ht="15.75" thickBot="1" x14ac:dyDescent="0.3">
      <c r="A157" s="614" t="s">
        <v>85</v>
      </c>
      <c r="B157" s="1674">
        <f>SUM(B151:B156)</f>
        <v>12</v>
      </c>
      <c r="C157" s="2736">
        <f ca="1">SUM(C151:C156)</f>
        <v>0</v>
      </c>
      <c r="D157" s="2737">
        <f>SUM(D151:D156)</f>
        <v>0</v>
      </c>
      <c r="E157" s="2738">
        <f ca="1">IFERROR(SUM(C157+D157)/B157,0)*$F147</f>
        <v>0</v>
      </c>
      <c r="F157" s="2739">
        <f ca="1">SUM(F151:F156)</f>
        <v>0</v>
      </c>
      <c r="G157" s="2740">
        <f>SUM(G151:G156)</f>
        <v>0</v>
      </c>
      <c r="H157"/>
      <c r="I157"/>
      <c r="K157" s="60"/>
      <c r="N157" s="2734">
        <f ca="1">SUM(N151:N156)</f>
        <v>0</v>
      </c>
      <c r="O157" s="2735">
        <f ca="1">SUM(O151:O156)</f>
        <v>0</v>
      </c>
      <c r="Q157" s="1592">
        <f ca="1">SUM(Q151:Q156)</f>
        <v>0</v>
      </c>
      <c r="S157" s="1593">
        <f ca="1">SUM(S151:S156)</f>
        <v>0</v>
      </c>
      <c r="T157" s="60"/>
      <c r="U157" s="60"/>
      <c r="V157" s="1692">
        <f>SUM(V151:V156)</f>
        <v>0</v>
      </c>
      <c r="W157" s="1692">
        <f ca="1">SUM(W151:W156)</f>
        <v>0</v>
      </c>
      <c r="X157" s="2050">
        <f t="shared" ca="1" si="192"/>
        <v>0</v>
      </c>
      <c r="Y157" s="2051">
        <f ca="1">SUM(Y151:Y156)</f>
        <v>0</v>
      </c>
      <c r="AA157" s="2051">
        <f ca="1">SUM(AA151:AA156)</f>
        <v>0</v>
      </c>
      <c r="AB157" s="2051">
        <f ca="1">SUM(AB151:AB156)</f>
        <v>0</v>
      </c>
    </row>
    <row r="158" spans="1:29" x14ac:dyDescent="0.25">
      <c r="B158" s="3073" t="s">
        <v>1074</v>
      </c>
      <c r="C158" s="2065">
        <f ca="1">(C157+D157+V157)*F147</f>
        <v>0</v>
      </c>
      <c r="D158" s="496" t="s">
        <v>256</v>
      </c>
      <c r="E158" s="497"/>
      <c r="F158" s="498">
        <f ca="1">E157</f>
        <v>0</v>
      </c>
      <c r="G158" s="499" t="s">
        <v>701</v>
      </c>
      <c r="H158" s="500"/>
      <c r="I158" s="500"/>
      <c r="J158" s="498">
        <f ca="1">X157</f>
        <v>0</v>
      </c>
      <c r="K158" s="499" t="s">
        <v>702</v>
      </c>
      <c r="L158" s="500"/>
      <c r="W158"/>
      <c r="X158"/>
    </row>
    <row r="159" spans="1:29" ht="24" thickBot="1" x14ac:dyDescent="0.4">
      <c r="A159" s="2749">
        <f>A145+1</f>
        <v>12</v>
      </c>
      <c r="B159" s="2749"/>
    </row>
    <row r="160" spans="1:29" ht="15.75" thickBot="1" x14ac:dyDescent="0.3">
      <c r="A160" s="401" t="s">
        <v>104</v>
      </c>
      <c r="B160" s="2741">
        <f ca="1">OFFSET('DATA INPUT'!$B$11,($A159-1),0)</f>
        <v>0</v>
      </c>
      <c r="C160" s="2746"/>
      <c r="E160" s="1736" t="s">
        <v>81</v>
      </c>
      <c r="F160" s="2743">
        <f ca="1">OFFSET('DATA INPUT'!$G$11,($A159-1),0)</f>
        <v>9</v>
      </c>
      <c r="G160" s="2744"/>
      <c r="H160"/>
      <c r="I160"/>
      <c r="J160" s="1596" t="s">
        <v>257</v>
      </c>
      <c r="K160" s="2755"/>
      <c r="L160" s="1742">
        <f>'DATA INPUT'!E22</f>
        <v>0</v>
      </c>
      <c r="N160" s="1596" t="s">
        <v>525</v>
      </c>
      <c r="O160" s="1755" t="str">
        <f ca="1">OFFSET('DATA INPUT'!$D$11,($A159-1),0)</f>
        <v>Professional &amp; Academic Faculty</v>
      </c>
      <c r="Q160" s="64">
        <f>'DATA INPUT'!S22</f>
        <v>0</v>
      </c>
      <c r="R160" s="1718"/>
      <c r="S160" s="1719"/>
      <c r="T160" s="1598"/>
      <c r="U160" s="333"/>
      <c r="Y160" s="1"/>
      <c r="Z160" s="1"/>
      <c r="AA160" s="1"/>
      <c r="AB160" s="1"/>
      <c r="AC160" s="1"/>
    </row>
    <row r="161" spans="1:29" ht="15.75" thickBot="1" x14ac:dyDescent="0.3">
      <c r="A161" s="1737" t="s">
        <v>80</v>
      </c>
      <c r="B161" s="2753">
        <f ca="1">OFFSET('DATA INPUT'!$C$11,($A159-1),0)</f>
        <v>0</v>
      </c>
      <c r="C161" s="2754"/>
      <c r="E161" s="2617" t="s">
        <v>82</v>
      </c>
      <c r="F161" s="2745">
        <f ca="1">OFFSET('DATA INPUT'!$F$11,($A159-1),0)</f>
        <v>1</v>
      </c>
      <c r="G161" s="2742"/>
      <c r="J161" s="66" t="s">
        <v>529</v>
      </c>
      <c r="K161" s="1741"/>
      <c r="L161" s="334">
        <f ca="1">IFERROR(L160/F160,0)</f>
        <v>0</v>
      </c>
      <c r="N161" s="1743" t="s">
        <v>530</v>
      </c>
      <c r="O161" s="1754">
        <f>'DATA INPUT'!T22</f>
        <v>0</v>
      </c>
      <c r="Q161" s="66"/>
      <c r="R161" s="1715"/>
      <c r="S161" s="1713"/>
      <c r="T161" s="1746"/>
      <c r="U161" s="61"/>
      <c r="V161" s="401" t="s">
        <v>104</v>
      </c>
      <c r="W161" s="401">
        <f>'DATA INPUT'!$B$22</f>
        <v>0</v>
      </c>
      <c r="X161" s="1719"/>
      <c r="Y161" s="2235"/>
      <c r="Z161" s="2235"/>
      <c r="AA161" s="2235"/>
      <c r="AB161" s="2236"/>
      <c r="AC161" s="1"/>
    </row>
    <row r="162" spans="1:29" s="770" customFormat="1" ht="30" customHeight="1" thickBot="1" x14ac:dyDescent="0.3">
      <c r="A162" s="2751" t="s">
        <v>253</v>
      </c>
      <c r="B162" s="2750" t="s">
        <v>254</v>
      </c>
      <c r="C162" s="3529" t="s">
        <v>258</v>
      </c>
      <c r="D162" s="3530"/>
      <c r="E162" s="3531"/>
      <c r="F162" s="3529" t="s">
        <v>83</v>
      </c>
      <c r="G162" s="3531"/>
      <c r="H162" s="3529" t="s">
        <v>65</v>
      </c>
      <c r="I162" s="3544"/>
      <c r="J162" s="3544"/>
      <c r="K162" s="3544"/>
      <c r="L162" s="3544"/>
      <c r="M162" s="3545"/>
      <c r="N162" s="3529" t="s">
        <v>84</v>
      </c>
      <c r="O162" s="3531"/>
      <c r="P162" s="3529" t="s">
        <v>78</v>
      </c>
      <c r="Q162" s="3530"/>
      <c r="R162" s="3530"/>
      <c r="S162" s="3531"/>
      <c r="T162" s="3529" t="s">
        <v>87</v>
      </c>
      <c r="U162" s="3531"/>
      <c r="V162" s="3529" t="s">
        <v>623</v>
      </c>
      <c r="W162" s="3530"/>
      <c r="X162" s="3530"/>
      <c r="Y162" s="3530"/>
      <c r="Z162" s="3530"/>
      <c r="AA162" s="3530"/>
      <c r="AB162" s="3531"/>
      <c r="AC162" s="2618"/>
    </row>
    <row r="163" spans="1:29" ht="15.75" customHeight="1" x14ac:dyDescent="0.25">
      <c r="A163" s="2752"/>
      <c r="B163" s="2750"/>
      <c r="C163" s="3527" t="s">
        <v>252</v>
      </c>
      <c r="D163" s="2187" t="str">
        <f ca="1">IF($F$160=12,"CY","AY")</f>
        <v>AY</v>
      </c>
      <c r="E163" s="3444" t="s">
        <v>231</v>
      </c>
      <c r="F163" s="3525" t="s">
        <v>232</v>
      </c>
      <c r="G163" s="2185" t="str">
        <f ca="1">IF($F$160=12,"CY","AY")</f>
        <v>AY</v>
      </c>
      <c r="H163" s="3523" t="s">
        <v>86</v>
      </c>
      <c r="I163" s="3518" t="s">
        <v>922</v>
      </c>
      <c r="J163" s="2918" t="str">
        <f ca="1">IF(F160=12,"CY","AY")</f>
        <v>AY</v>
      </c>
      <c r="K163" s="3542" t="s">
        <v>485</v>
      </c>
      <c r="L163" s="3542" t="s">
        <v>255</v>
      </c>
      <c r="M163" s="3547" t="s">
        <v>66</v>
      </c>
      <c r="N163" s="3549" t="s">
        <v>64</v>
      </c>
      <c r="O163" s="3537" t="str">
        <f ca="1">IF($F$160=12,"CY","AY")</f>
        <v>AY</v>
      </c>
      <c r="P163" s="2014" t="s">
        <v>617</v>
      </c>
      <c r="Q163" s="2015">
        <f ca="1">IFERROR(VLOOKUP(O160,TableFringePool[],2,0),0)</f>
        <v>0.50700000000000001</v>
      </c>
      <c r="R163" s="2018" t="str">
        <f ca="1">IF($F$6=12,"CY Base % ","AY Base %")</f>
        <v xml:space="preserve">CY Base % </v>
      </c>
      <c r="S163" s="2016">
        <f ca="1">Q163</f>
        <v>0.50700000000000001</v>
      </c>
      <c r="T163" s="3539" t="s">
        <v>64</v>
      </c>
      <c r="U163" s="3537" t="str">
        <f ca="1">IF($F$160=12,"CY","AY")</f>
        <v>AY</v>
      </c>
      <c r="V163" s="3477" t="s">
        <v>618</v>
      </c>
      <c r="W163" s="3554" t="s">
        <v>619</v>
      </c>
      <c r="X163" s="3552" t="s">
        <v>620</v>
      </c>
      <c r="Y163" s="3560" t="s">
        <v>624</v>
      </c>
      <c r="Z163" s="2052" t="s">
        <v>621</v>
      </c>
      <c r="AA163" s="2053"/>
      <c r="AB163" s="3558" t="s">
        <v>625</v>
      </c>
      <c r="AC163" s="1"/>
    </row>
    <row r="164" spans="1:29" ht="15.75" customHeight="1" thickBot="1" x14ac:dyDescent="0.3">
      <c r="A164" s="2715"/>
      <c r="B164" s="2750"/>
      <c r="C164" s="3528"/>
      <c r="D164" s="2188" t="s">
        <v>636</v>
      </c>
      <c r="E164" s="3446"/>
      <c r="F164" s="3526"/>
      <c r="G164" s="2186" t="s">
        <v>637</v>
      </c>
      <c r="H164" s="3524"/>
      <c r="I164" s="3519"/>
      <c r="J164" s="2919" t="s">
        <v>1015</v>
      </c>
      <c r="K164" s="3543"/>
      <c r="L164" s="3543"/>
      <c r="M164" s="3548"/>
      <c r="N164" s="3550"/>
      <c r="O164" s="3538"/>
      <c r="P164" s="2010" t="s">
        <v>67</v>
      </c>
      <c r="Q164" s="1781" t="s">
        <v>68</v>
      </c>
      <c r="R164" s="2011" t="s">
        <v>67</v>
      </c>
      <c r="S164" s="2012" t="s">
        <v>68</v>
      </c>
      <c r="T164" s="3540"/>
      <c r="U164" s="3538"/>
      <c r="V164" s="3564"/>
      <c r="W164" s="3569"/>
      <c r="X164" s="3570"/>
      <c r="Y164" s="3565"/>
      <c r="Z164" s="2125" t="s">
        <v>622</v>
      </c>
      <c r="AA164" s="2126" t="s">
        <v>68</v>
      </c>
      <c r="AB164" s="3566"/>
      <c r="AC164" s="1"/>
    </row>
    <row r="165" spans="1:29" x14ac:dyDescent="0.25">
      <c r="A165" s="622">
        <v>1</v>
      </c>
      <c r="B165" s="782">
        <f>'DATA INPUT'!$I$8</f>
        <v>12</v>
      </c>
      <c r="C165" s="2021">
        <f ca="1">MAX(IF($F$160=12,0),
IF($F$160&lt;12,IF('DATA INPUT'!$H$22=1,'DATA INPUT'!$I$22)))</f>
        <v>0</v>
      </c>
      <c r="D165" s="2022">
        <f>MAX(IF(OR('DATA INPUT'!$H$22=2),'DATA INPUT'!$I$22,0),
IF(OR('DATA INPUT'!$V$22=2),'DATA INPUT'!$W$22,0),
IF(OR('DATA INPUT'!$AD$22=2,),'DATA INPUT'!$AE$22,0))</f>
        <v>0</v>
      </c>
      <c r="E165" s="491">
        <f t="shared" ref="E165:E170" ca="1" si="197">IFERROR(SUM(C165+D165)/B165,0)*$F$161</f>
        <v>0</v>
      </c>
      <c r="F165" s="2023">
        <f t="shared" ref="F165:G170" ca="1" si="198">C165*(2080/12)*$F$161</f>
        <v>0</v>
      </c>
      <c r="G165" s="2024">
        <f t="shared" ca="1" si="198"/>
        <v>0</v>
      </c>
      <c r="H165" s="2019">
        <v>0.03</v>
      </c>
      <c r="I165" s="2914">
        <f t="shared" ref="I165:I170" ca="1" si="199">IF($F$160&lt;12,K165*(12-$F$160),0)</f>
        <v>0</v>
      </c>
      <c r="J165" s="501">
        <f>(L160*H165)+L160</f>
        <v>0</v>
      </c>
      <c r="K165" s="501">
        <f t="shared" ref="K165:K170" ca="1" si="200">IFERROR(J165/$F$160,0)</f>
        <v>0</v>
      </c>
      <c r="L165" s="501">
        <f t="shared" ref="L165:L170" ca="1" si="201">IFERROR(J165/$F$160*$F$161,0)</f>
        <v>0</v>
      </c>
      <c r="M165" s="2397">
        <f t="shared" ref="M165:M170" ca="1" si="202">K165/(2080/12)</f>
        <v>0</v>
      </c>
      <c r="N165" s="2025">
        <f t="shared" ref="N165:N170" ca="1" si="203">MAX(IF($F$160=12,0),
IF($F$160&lt;12,C165*L165))</f>
        <v>0</v>
      </c>
      <c r="O165" s="2026">
        <f t="shared" ref="O165:O170" ca="1" si="204">(D165*L165)</f>
        <v>0</v>
      </c>
      <c r="P165" s="2027">
        <f ca="1">IF($V$4&lt;$U$4, $Q163, IF($V$4&gt;$X$4, $Q163+2*$AA$3, $Q163+$AA$3))</f>
        <v>0.50700000000000001</v>
      </c>
      <c r="Q165" s="2028">
        <f t="shared" ref="Q165:Q170" ca="1" si="205">IFERROR(P165*N165,0)</f>
        <v>0</v>
      </c>
      <c r="R165" s="2009">
        <f ca="1">IF($V$4&lt;$U$4, $Q163, IF($V$4&gt;$X$4, $Q163+2*$AA$3, $Q163+$AA$3))</f>
        <v>0.50700000000000001</v>
      </c>
      <c r="S165" s="2029">
        <f t="shared" ref="S165:S170" ca="1" si="206">R165*O165</f>
        <v>0</v>
      </c>
      <c r="T165" s="2401">
        <f t="shared" ref="T165:T170" ca="1" si="207">IFERROR((K165/(2080/12))+((K165*P165)/(2080/12)),"")</f>
        <v>0</v>
      </c>
      <c r="U165" s="2402">
        <f t="shared" ref="U165:U170" ca="1" si="208">(K165/(2080/12))+((K165*R165)/(2080/12))</f>
        <v>0</v>
      </c>
      <c r="V165" s="2130">
        <f>MAX(IF(OR('DATA INPUT'!$H$22=3),'DATA INPUT'!$I$22,0),
IF(OR('DATA INPUT'!$V$22=3),'DATA INPUT'!$W$22,0),
IF(OR('DATA INPUT'!$AD$22=3),'DATA INPUT'!$AE$22,0))</f>
        <v>0</v>
      </c>
      <c r="W165" s="1904">
        <f t="shared" ref="W165:W170" ca="1" si="209">V165*(2080/12)*$F$161</f>
        <v>0</v>
      </c>
      <c r="X165" s="2131">
        <f t="shared" ref="X165:X171" ca="1" si="210">IFERROR(V165/B165,0)*$F$161</f>
        <v>0</v>
      </c>
      <c r="Y165" s="1657">
        <f t="shared" ref="Y165:Y170" ca="1" si="211">V165*L165</f>
        <v>0</v>
      </c>
      <c r="Z165" s="2132">
        <f t="shared" ref="Z165:Z170" ca="1" si="212">R165</f>
        <v>0.50700000000000001</v>
      </c>
      <c r="AA165" s="2133">
        <f t="shared" ref="AA165:AA170" ca="1" si="213">Y165*Z165</f>
        <v>0</v>
      </c>
      <c r="AB165" s="2134">
        <f t="shared" ref="AB165:AB170" ca="1" si="214">SUM(Y165,AA165)</f>
        <v>0</v>
      </c>
      <c r="AC165" s="1"/>
    </row>
    <row r="166" spans="1:29" x14ac:dyDescent="0.25">
      <c r="A166" s="50">
        <v>2</v>
      </c>
      <c r="B166" s="540">
        <f>'DATA INPUT'!$J$8</f>
        <v>0</v>
      </c>
      <c r="C166" s="2030">
        <f ca="1">MAX(IF($F$160=12,0),
IF($F$160&lt;12,IF('DATA INPUT'!$H$22=1,'DATA INPUT'!$J$22)))</f>
        <v>0</v>
      </c>
      <c r="D166" s="2031">
        <f>MAX(IF(OR('DATA INPUT'!$H$22=2),'DATA INPUT'!$J$22,0),
IF(OR('DATA INPUT'!$V$22=2),'DATA INPUT'!$X$22,0),
IF(OR('DATA INPUT'!$AD$22=2),'DATA INPUT'!$AF$22,0))</f>
        <v>0</v>
      </c>
      <c r="E166" s="493">
        <f t="shared" ca="1" si="197"/>
        <v>0</v>
      </c>
      <c r="F166" s="2032">
        <f t="shared" ca="1" si="198"/>
        <v>0</v>
      </c>
      <c r="G166" s="2033">
        <f t="shared" ca="1" si="198"/>
        <v>0</v>
      </c>
      <c r="H166" s="461">
        <v>0.03</v>
      </c>
      <c r="I166" s="2914">
        <f t="shared" ca="1" si="199"/>
        <v>0</v>
      </c>
      <c r="J166" s="457">
        <f>(J165*H166)+J165</f>
        <v>0</v>
      </c>
      <c r="K166" s="457">
        <f t="shared" ca="1" si="200"/>
        <v>0</v>
      </c>
      <c r="L166" s="457">
        <f t="shared" ca="1" si="201"/>
        <v>0</v>
      </c>
      <c r="M166" s="2398">
        <f t="shared" ca="1" si="202"/>
        <v>0</v>
      </c>
      <c r="N166" s="2034">
        <f t="shared" ca="1" si="203"/>
        <v>0</v>
      </c>
      <c r="O166" s="2035">
        <f t="shared" ca="1" si="204"/>
        <v>0</v>
      </c>
      <c r="P166" s="2036">
        <f ca="1">P165+$AA$4</f>
        <v>0.52700000000000002</v>
      </c>
      <c r="Q166" s="2037">
        <f t="shared" ca="1" si="205"/>
        <v>0</v>
      </c>
      <c r="R166" s="1758">
        <f ca="1">R165+$AA$4</f>
        <v>0.52700000000000002</v>
      </c>
      <c r="S166" s="2038">
        <f t="shared" ca="1" si="206"/>
        <v>0</v>
      </c>
      <c r="T166" s="2403">
        <f t="shared" ca="1" si="207"/>
        <v>0</v>
      </c>
      <c r="U166" s="2404">
        <f t="shared" ca="1" si="208"/>
        <v>0</v>
      </c>
      <c r="V166" s="2054">
        <f>MAX(IF(OR('DATA INPUT'!$H$22=3),'DATA INPUT'!$J$22,0),
IF(OR('DATA INPUT'!$V$22=3),'DATA INPUT'!$X$22,0),
IF(OR('DATA INPUT'!$AD$22=3),'DATA INPUT'!$AF$22,0))</f>
        <v>0</v>
      </c>
      <c r="W166" s="1604">
        <f t="shared" ca="1" si="209"/>
        <v>0</v>
      </c>
      <c r="X166" s="2058">
        <f t="shared" ca="1" si="210"/>
        <v>0</v>
      </c>
      <c r="Y166" s="1489">
        <f t="shared" ca="1" si="211"/>
        <v>0</v>
      </c>
      <c r="Z166" s="2056">
        <f t="shared" ca="1" si="212"/>
        <v>0.52700000000000002</v>
      </c>
      <c r="AA166" s="1490">
        <f t="shared" ca="1" si="213"/>
        <v>0</v>
      </c>
      <c r="AB166" s="2057">
        <f t="shared" ca="1" si="214"/>
        <v>0</v>
      </c>
      <c r="AC166" s="1"/>
    </row>
    <row r="167" spans="1:29" x14ac:dyDescent="0.25">
      <c r="A167" s="50">
        <v>3</v>
      </c>
      <c r="B167" s="540">
        <f>'DATA INPUT'!$K$8</f>
        <v>0</v>
      </c>
      <c r="C167" s="2030">
        <f ca="1">MAX(IF($F$160=12,0),
IF($F$160&lt;12,IF('DATA INPUT'!$H$22=1,'DATA INPUT'!$K$22)))</f>
        <v>0</v>
      </c>
      <c r="D167" s="2031">
        <f>MAX(IF(OR('DATA INPUT'!$H$22=2),'DATA INPUT'!$K$22,0),
IF(OR('DATA INPUT'!$V$22=2),'DATA INPUT'!$Y$22,0),
IF(OR('DATA INPUT'!$AD$22=2),'DATA INPUT'!$AG$22,0))</f>
        <v>0</v>
      </c>
      <c r="E167" s="493">
        <f t="shared" ca="1" si="197"/>
        <v>0</v>
      </c>
      <c r="F167" s="2032">
        <f t="shared" ca="1" si="198"/>
        <v>0</v>
      </c>
      <c r="G167" s="2033">
        <f t="shared" ca="1" si="198"/>
        <v>0</v>
      </c>
      <c r="H167" s="461">
        <v>0.03</v>
      </c>
      <c r="I167" s="2914">
        <f t="shared" ca="1" si="199"/>
        <v>0</v>
      </c>
      <c r="J167" s="457">
        <f>(J166*H167)+J166</f>
        <v>0</v>
      </c>
      <c r="K167" s="457">
        <f t="shared" ca="1" si="200"/>
        <v>0</v>
      </c>
      <c r="L167" s="457">
        <f t="shared" ca="1" si="201"/>
        <v>0</v>
      </c>
      <c r="M167" s="2398">
        <f t="shared" ca="1" si="202"/>
        <v>0</v>
      </c>
      <c r="N167" s="2034">
        <f t="shared" ca="1" si="203"/>
        <v>0</v>
      </c>
      <c r="O167" s="2035">
        <f t="shared" ca="1" si="204"/>
        <v>0</v>
      </c>
      <c r="P167" s="2036">
        <f ca="1">P166+$AA$4</f>
        <v>0.54700000000000004</v>
      </c>
      <c r="Q167" s="2037">
        <f t="shared" ca="1" si="205"/>
        <v>0</v>
      </c>
      <c r="R167" s="1758">
        <f ca="1">R166+$AA$4</f>
        <v>0.54700000000000004</v>
      </c>
      <c r="S167" s="2038">
        <f t="shared" ca="1" si="206"/>
        <v>0</v>
      </c>
      <c r="T167" s="2403">
        <f t="shared" ca="1" si="207"/>
        <v>0</v>
      </c>
      <c r="U167" s="2404">
        <f t="shared" ca="1" si="208"/>
        <v>0</v>
      </c>
      <c r="V167" s="2054">
        <f>MAX(IF(OR('DATA INPUT'!$H$22=3),'DATA INPUT'!$K$22,0),
IF(OR('DATA INPUT'!$V$22=3),'DATA INPUT'!$Y$22,0),
IF(OR('DATA INPUT'!$AD$22=3),'DATA INPUT'!$AG$22,0))</f>
        <v>0</v>
      </c>
      <c r="W167" s="1604">
        <f t="shared" ca="1" si="209"/>
        <v>0</v>
      </c>
      <c r="X167" s="2058">
        <f t="shared" ca="1" si="210"/>
        <v>0</v>
      </c>
      <c r="Y167" s="1489">
        <f t="shared" ca="1" si="211"/>
        <v>0</v>
      </c>
      <c r="Z167" s="2056">
        <f t="shared" ca="1" si="212"/>
        <v>0.54700000000000004</v>
      </c>
      <c r="AA167" s="1490">
        <f t="shared" ca="1" si="213"/>
        <v>0</v>
      </c>
      <c r="AB167" s="2057">
        <f t="shared" ca="1" si="214"/>
        <v>0</v>
      </c>
      <c r="AC167" s="1"/>
    </row>
    <row r="168" spans="1:29" x14ac:dyDescent="0.25">
      <c r="A168" s="50">
        <v>4</v>
      </c>
      <c r="B168" s="540">
        <f>'DATA INPUT'!$L$8</f>
        <v>0</v>
      </c>
      <c r="C168" s="2030">
        <f ca="1">MAX(IF($F$160=12,0),
IF($F$160&lt;12,IF('DATA INPUT'!$H$22=1,'DATA INPUT'!$L$22)))</f>
        <v>0</v>
      </c>
      <c r="D168" s="2031">
        <f>MAX(IF(OR('DATA INPUT'!$H$22=2),'DATA INPUT'!$L$22,0),
IF(OR('DATA INPUT'!$V$22=2),'DATA INPUT'!$Z$22,0),
IF(OR('DATA INPUT'!$AD$22=2),'DATA INPUT'!$AH$22,0))</f>
        <v>0</v>
      </c>
      <c r="E168" s="493">
        <f t="shared" ca="1" si="197"/>
        <v>0</v>
      </c>
      <c r="F168" s="2032">
        <f t="shared" ca="1" si="198"/>
        <v>0</v>
      </c>
      <c r="G168" s="2033">
        <f t="shared" ca="1" si="198"/>
        <v>0</v>
      </c>
      <c r="H168" s="461">
        <v>0.03</v>
      </c>
      <c r="I168" s="2914">
        <f t="shared" ca="1" si="199"/>
        <v>0</v>
      </c>
      <c r="J168" s="457">
        <f>(J167*H168)+J167</f>
        <v>0</v>
      </c>
      <c r="K168" s="457">
        <f t="shared" ca="1" si="200"/>
        <v>0</v>
      </c>
      <c r="L168" s="457">
        <f t="shared" ca="1" si="201"/>
        <v>0</v>
      </c>
      <c r="M168" s="2398">
        <f t="shared" ca="1" si="202"/>
        <v>0</v>
      </c>
      <c r="N168" s="2034">
        <f t="shared" ca="1" si="203"/>
        <v>0</v>
      </c>
      <c r="O168" s="2035">
        <f t="shared" ca="1" si="204"/>
        <v>0</v>
      </c>
      <c r="P168" s="2036">
        <f ca="1">P167+$AA$4</f>
        <v>0.56700000000000006</v>
      </c>
      <c r="Q168" s="2037">
        <f t="shared" ca="1" si="205"/>
        <v>0</v>
      </c>
      <c r="R168" s="1758">
        <f ca="1">R167+$AA$4</f>
        <v>0.56700000000000006</v>
      </c>
      <c r="S168" s="2038">
        <f t="shared" ca="1" si="206"/>
        <v>0</v>
      </c>
      <c r="T168" s="2403">
        <f t="shared" ca="1" si="207"/>
        <v>0</v>
      </c>
      <c r="U168" s="2404">
        <f t="shared" ca="1" si="208"/>
        <v>0</v>
      </c>
      <c r="V168" s="2054">
        <f>MAX(IF(OR('DATA INPUT'!$H$22=3),'DATA INPUT'!$L$22,0),
IF(OR('DATA INPUT'!$V$22=3),'DATA INPUT'!$Z$22,0),
IF(OR('DATA INPUT'!$AD$22=3),'DATA INPUT'!$AH$22,0))</f>
        <v>0</v>
      </c>
      <c r="W168" s="1604">
        <f t="shared" ca="1" si="209"/>
        <v>0</v>
      </c>
      <c r="X168" s="2058">
        <f t="shared" ca="1" si="210"/>
        <v>0</v>
      </c>
      <c r="Y168" s="1489">
        <f t="shared" ca="1" si="211"/>
        <v>0</v>
      </c>
      <c r="Z168" s="2059">
        <f t="shared" ca="1" si="212"/>
        <v>0.56700000000000006</v>
      </c>
      <c r="AA168" s="1490">
        <f t="shared" ca="1" si="213"/>
        <v>0</v>
      </c>
      <c r="AB168" s="2063">
        <f t="shared" ca="1" si="214"/>
        <v>0</v>
      </c>
      <c r="AC168" s="335"/>
    </row>
    <row r="169" spans="1:29" x14ac:dyDescent="0.25">
      <c r="A169" s="50">
        <v>5</v>
      </c>
      <c r="B169" s="540">
        <f>'DATA INPUT'!$M$8</f>
        <v>0</v>
      </c>
      <c r="C169" s="2030">
        <f ca="1">MAX(IF($F$160=12,0),
IF($F$160&lt;12,IF('DATA INPUT'!$H$22=1,'DATA INPUT'!$M$22)))</f>
        <v>0</v>
      </c>
      <c r="D169" s="2031">
        <f>MAX(IF(OR('DATA INPUT'!$H$22=2),'DATA INPUT'!$M$22,0),
IF(OR('DATA INPUT'!$V$22=2),'DATA INPUT'!$AA$22,0),
IF(OR('DATA INPUT'!$AD$22=2),'DATA INPUT'!$AI$22,0))</f>
        <v>0</v>
      </c>
      <c r="E169" s="493">
        <f t="shared" ca="1" si="197"/>
        <v>0</v>
      </c>
      <c r="F169" s="2032">
        <f t="shared" ca="1" si="198"/>
        <v>0</v>
      </c>
      <c r="G169" s="2033">
        <f t="shared" ca="1" si="198"/>
        <v>0</v>
      </c>
      <c r="H169" s="461">
        <v>0.03</v>
      </c>
      <c r="I169" s="2914">
        <f t="shared" ca="1" si="199"/>
        <v>0</v>
      </c>
      <c r="J169" s="457">
        <f>(J168*H169)+J168</f>
        <v>0</v>
      </c>
      <c r="K169" s="457">
        <f t="shared" ca="1" si="200"/>
        <v>0</v>
      </c>
      <c r="L169" s="457">
        <f t="shared" ca="1" si="201"/>
        <v>0</v>
      </c>
      <c r="M169" s="2398">
        <f t="shared" ca="1" si="202"/>
        <v>0</v>
      </c>
      <c r="N169" s="2034">
        <f t="shared" ca="1" si="203"/>
        <v>0</v>
      </c>
      <c r="O169" s="2035">
        <f t="shared" ca="1" si="204"/>
        <v>0</v>
      </c>
      <c r="P169" s="2036">
        <f ca="1">P168+$AA$4</f>
        <v>0.58700000000000008</v>
      </c>
      <c r="Q169" s="2037">
        <f t="shared" ca="1" si="205"/>
        <v>0</v>
      </c>
      <c r="R169" s="1758">
        <f ca="1">R168+$AA$4</f>
        <v>0.58700000000000008</v>
      </c>
      <c r="S169" s="2038">
        <f t="shared" ca="1" si="206"/>
        <v>0</v>
      </c>
      <c r="T169" s="2403">
        <f t="shared" ca="1" si="207"/>
        <v>0</v>
      </c>
      <c r="U169" s="2404">
        <f t="shared" ca="1" si="208"/>
        <v>0</v>
      </c>
      <c r="V169" s="2054">
        <f>MAX(IF(OR('DATA INPUT'!$H$22=3),'DATA INPUT'!$M$22,0),
IF(OR('DATA INPUT'!$V$22=3),'DATA INPUT'!$AA$22,0),
IF(OR('DATA INPUT'!$AD$22=3),'DATA INPUT'!$AI$22,0))</f>
        <v>0</v>
      </c>
      <c r="W169" s="1604">
        <f t="shared" ca="1" si="209"/>
        <v>0</v>
      </c>
      <c r="X169" s="2058">
        <f t="shared" ca="1" si="210"/>
        <v>0</v>
      </c>
      <c r="Y169" s="1489">
        <f t="shared" ca="1" si="211"/>
        <v>0</v>
      </c>
      <c r="Z169" s="2056">
        <f t="shared" ca="1" si="212"/>
        <v>0.58700000000000008</v>
      </c>
      <c r="AA169" s="1490">
        <f t="shared" ca="1" si="213"/>
        <v>0</v>
      </c>
      <c r="AB169" s="2057">
        <f t="shared" ca="1" si="214"/>
        <v>0</v>
      </c>
    </row>
    <row r="170" spans="1:29" ht="15.75" thickBot="1" x14ac:dyDescent="0.3">
      <c r="A170" s="623">
        <v>6</v>
      </c>
      <c r="B170" s="1591">
        <f>'DATA INPUT'!$N$8</f>
        <v>0</v>
      </c>
      <c r="C170" s="2039">
        <f ca="1">MAX(IF($F$160=12,0),
IF($F$160&lt;12,IF('DATA INPUT'!$H$22=1,'DATA INPUT'!$N$22)))</f>
        <v>0</v>
      </c>
      <c r="D170" s="2040">
        <f>MAX(IF(OR('DATA INPUT'!$H$22=2),'DATA INPUT'!$N$22,0),
IF(OR('DATA INPUT'!$V$22=2),'DATA INPUT'!$AB$22,0),
IF(OR('DATA INPUT'!$AD$22=2),'DATA INPUT'!$AJ$22,0))</f>
        <v>0</v>
      </c>
      <c r="E170" s="628">
        <f t="shared" ca="1" si="197"/>
        <v>0</v>
      </c>
      <c r="F170" s="2041">
        <f t="shared" ca="1" si="198"/>
        <v>0</v>
      </c>
      <c r="G170" s="2042">
        <f t="shared" ca="1" si="198"/>
        <v>0</v>
      </c>
      <c r="H170" s="494">
        <v>0.03</v>
      </c>
      <c r="I170" s="2915">
        <f t="shared" ca="1" si="199"/>
        <v>0</v>
      </c>
      <c r="J170" s="495">
        <f>(J169*H170)+J169</f>
        <v>0</v>
      </c>
      <c r="K170" s="495">
        <f t="shared" ca="1" si="200"/>
        <v>0</v>
      </c>
      <c r="L170" s="495">
        <f t="shared" ca="1" si="201"/>
        <v>0</v>
      </c>
      <c r="M170" s="2399">
        <f t="shared" ca="1" si="202"/>
        <v>0</v>
      </c>
      <c r="N170" s="2044">
        <f t="shared" ca="1" si="203"/>
        <v>0</v>
      </c>
      <c r="O170" s="2045">
        <f t="shared" ca="1" si="204"/>
        <v>0</v>
      </c>
      <c r="P170" s="2046">
        <f ca="1">P169+$AA$4</f>
        <v>0.6070000000000001</v>
      </c>
      <c r="Q170" s="2047">
        <f t="shared" ca="1" si="205"/>
        <v>0</v>
      </c>
      <c r="R170" s="1759">
        <f ca="1">R169+$AA$4</f>
        <v>0.6070000000000001</v>
      </c>
      <c r="S170" s="2048">
        <f t="shared" ca="1" si="206"/>
        <v>0</v>
      </c>
      <c r="T170" s="2405">
        <f t="shared" ca="1" si="207"/>
        <v>0</v>
      </c>
      <c r="U170" s="2406">
        <f t="shared" ca="1" si="208"/>
        <v>0</v>
      </c>
      <c r="V170" s="2060">
        <f>MAX(IF(OR('DATA INPUT'!$H$22=3),'DATA INPUT'!$N$22,0),
IF(OR('DATA INPUT'!$V$22=3),'DATA INPUT'!$AB$22,0),
IF(OR('DATA INPUT'!$AD$22=3),'DATA INPUT'!$AJ$22,0))</f>
        <v>0</v>
      </c>
      <c r="W170" s="1906">
        <f t="shared" ca="1" si="209"/>
        <v>0</v>
      </c>
      <c r="X170" s="2061">
        <f t="shared" ca="1" si="210"/>
        <v>0</v>
      </c>
      <c r="Y170" s="1513">
        <f t="shared" ca="1" si="211"/>
        <v>0</v>
      </c>
      <c r="Z170" s="2062">
        <f t="shared" ca="1" si="212"/>
        <v>0.6070000000000001</v>
      </c>
      <c r="AA170" s="2043">
        <f t="shared" ca="1" si="213"/>
        <v>0</v>
      </c>
      <c r="AB170" s="2064">
        <f t="shared" ca="1" si="214"/>
        <v>0</v>
      </c>
    </row>
    <row r="171" spans="1:29" ht="15.75" thickBot="1" x14ac:dyDescent="0.3">
      <c r="A171" s="614" t="s">
        <v>85</v>
      </c>
      <c r="B171" s="1674">
        <f>SUM(B165:B170)</f>
        <v>12</v>
      </c>
      <c r="C171" s="2736">
        <f ca="1">SUM(C165:C170)</f>
        <v>0</v>
      </c>
      <c r="D171" s="2737">
        <f>SUM(D165:D170)</f>
        <v>0</v>
      </c>
      <c r="E171" s="2738">
        <f ca="1">IFERROR(SUM(C171+D171)/B171,0)*$F161</f>
        <v>0</v>
      </c>
      <c r="F171" s="2739">
        <f ca="1">SUM(F165:F170)</f>
        <v>0</v>
      </c>
      <c r="G171" s="2740">
        <f ca="1">SUM(G165:G170)</f>
        <v>0</v>
      </c>
      <c r="H171"/>
      <c r="I171"/>
      <c r="K171" s="60"/>
      <c r="N171" s="2734">
        <f ca="1">SUM(N165:N170)</f>
        <v>0</v>
      </c>
      <c r="O171" s="2735">
        <f ca="1">SUM(O165:O170)</f>
        <v>0</v>
      </c>
      <c r="Q171" s="1592">
        <f ca="1">SUM(Q165:Q170)</f>
        <v>0</v>
      </c>
      <c r="S171" s="1593">
        <f ca="1">SUM(S165:S170)</f>
        <v>0</v>
      </c>
      <c r="T171" s="60"/>
      <c r="U171" s="60"/>
      <c r="V171" s="1692">
        <f>SUM(V165:V170)</f>
        <v>0</v>
      </c>
      <c r="W171" s="1692">
        <f ca="1">SUM(W165:W170)</f>
        <v>0</v>
      </c>
      <c r="X171" s="2050">
        <f t="shared" ca="1" si="210"/>
        <v>0</v>
      </c>
      <c r="Y171" s="2051">
        <f ca="1">SUM(Y165:Y170)</f>
        <v>0</v>
      </c>
      <c r="AA171" s="2051">
        <f ca="1">SUM(AA165:AA170)</f>
        <v>0</v>
      </c>
      <c r="AB171" s="2051">
        <f ca="1">SUM(AB165:AB170)</f>
        <v>0</v>
      </c>
    </row>
    <row r="172" spans="1:29" x14ac:dyDescent="0.25">
      <c r="B172" s="3073" t="s">
        <v>1074</v>
      </c>
      <c r="C172" s="2065">
        <f ca="1">(C171+D171+V171)*F161</f>
        <v>0</v>
      </c>
      <c r="D172" s="496" t="s">
        <v>256</v>
      </c>
      <c r="E172" s="497"/>
      <c r="F172" s="498">
        <f ca="1">E171</f>
        <v>0</v>
      </c>
      <c r="G172" s="499" t="s">
        <v>701</v>
      </c>
      <c r="H172" s="500"/>
      <c r="I172" s="500"/>
      <c r="J172" s="498">
        <f ca="1">X171</f>
        <v>0</v>
      </c>
      <c r="K172" s="499" t="s">
        <v>702</v>
      </c>
      <c r="L172" s="500"/>
      <c r="W172"/>
      <c r="X172"/>
    </row>
    <row r="173" spans="1:29" ht="24" thickBot="1" x14ac:dyDescent="0.4">
      <c r="A173" s="2749">
        <f>A159+1</f>
        <v>13</v>
      </c>
      <c r="B173" s="2749"/>
    </row>
    <row r="174" spans="1:29" ht="15.75" thickBot="1" x14ac:dyDescent="0.3">
      <c r="A174" s="401" t="s">
        <v>104</v>
      </c>
      <c r="B174" s="2741">
        <f ca="1">OFFSET('DATA INPUT'!$B$11,($A173-1),0)</f>
        <v>0</v>
      </c>
      <c r="C174" s="2746"/>
      <c r="E174" s="1736" t="s">
        <v>81</v>
      </c>
      <c r="F174" s="2743">
        <f ca="1">OFFSET('DATA INPUT'!$G$11,($A173-1),0)</f>
        <v>9</v>
      </c>
      <c r="G174" s="2744"/>
      <c r="H174"/>
      <c r="I174"/>
      <c r="J174" s="1596" t="s">
        <v>257</v>
      </c>
      <c r="K174" s="2755"/>
      <c r="L174" s="1742">
        <f>'DATA INPUT'!E23</f>
        <v>0</v>
      </c>
      <c r="N174" s="1596" t="s">
        <v>525</v>
      </c>
      <c r="O174" s="1755" t="str">
        <f ca="1">OFFSET('DATA INPUT'!$D$11,($A173-1),0)</f>
        <v>Professional &amp; Academic Faculty</v>
      </c>
      <c r="Q174" s="64">
        <f>'DATA INPUT'!S23</f>
        <v>0</v>
      </c>
      <c r="R174" s="1718"/>
      <c r="S174" s="1719"/>
      <c r="T174" s="1598"/>
      <c r="U174" s="333"/>
      <c r="Y174" s="1"/>
      <c r="Z174" s="1"/>
      <c r="AA174" s="1"/>
      <c r="AB174" s="1"/>
      <c r="AC174" s="1"/>
    </row>
    <row r="175" spans="1:29" ht="15.75" thickBot="1" x14ac:dyDescent="0.3">
      <c r="A175" s="1737" t="s">
        <v>80</v>
      </c>
      <c r="B175" s="2753">
        <f ca="1">OFFSET('DATA INPUT'!$C$11,($A173-1),0)</f>
        <v>0</v>
      </c>
      <c r="C175" s="2754"/>
      <c r="E175" s="2617" t="s">
        <v>82</v>
      </c>
      <c r="F175" s="2745">
        <f ca="1">OFFSET('DATA INPUT'!$F$11,($A173-1),0)</f>
        <v>1</v>
      </c>
      <c r="G175" s="2742"/>
      <c r="J175" s="66" t="s">
        <v>529</v>
      </c>
      <c r="K175" s="1741"/>
      <c r="L175" s="334">
        <f ca="1">IFERROR(L174/F174,0)</f>
        <v>0</v>
      </c>
      <c r="N175" s="1743" t="s">
        <v>530</v>
      </c>
      <c r="O175" s="1754">
        <f>'DATA INPUT'!T23</f>
        <v>0</v>
      </c>
      <c r="Q175" s="66"/>
      <c r="R175" s="1715"/>
      <c r="S175" s="1713"/>
      <c r="T175" s="1746"/>
      <c r="U175" s="61"/>
      <c r="V175" s="401" t="s">
        <v>104</v>
      </c>
      <c r="W175" s="401">
        <f>'DATA INPUT'!$B$23</f>
        <v>0</v>
      </c>
      <c r="X175" s="1719"/>
      <c r="Y175" s="2235"/>
      <c r="Z175" s="2235"/>
      <c r="AA175" s="2235"/>
      <c r="AB175" s="2236"/>
      <c r="AC175" s="1"/>
    </row>
    <row r="176" spans="1:29" s="770" customFormat="1" ht="30" customHeight="1" thickBot="1" x14ac:dyDescent="0.3">
      <c r="A176" s="2751" t="s">
        <v>253</v>
      </c>
      <c r="B176" s="2750" t="s">
        <v>254</v>
      </c>
      <c r="C176" s="3529" t="s">
        <v>258</v>
      </c>
      <c r="D176" s="3530"/>
      <c r="E176" s="3531"/>
      <c r="F176" s="3529" t="s">
        <v>83</v>
      </c>
      <c r="G176" s="3531"/>
      <c r="H176" s="3529" t="s">
        <v>65</v>
      </c>
      <c r="I176" s="3544"/>
      <c r="J176" s="3544"/>
      <c r="K176" s="3544"/>
      <c r="L176" s="3544"/>
      <c r="M176" s="3545"/>
      <c r="N176" s="3529" t="s">
        <v>84</v>
      </c>
      <c r="O176" s="3531"/>
      <c r="P176" s="3529" t="s">
        <v>78</v>
      </c>
      <c r="Q176" s="3530"/>
      <c r="R176" s="3530"/>
      <c r="S176" s="3531"/>
      <c r="T176" s="3529" t="s">
        <v>87</v>
      </c>
      <c r="U176" s="3531"/>
      <c r="V176" s="3529" t="s">
        <v>623</v>
      </c>
      <c r="W176" s="3530"/>
      <c r="X176" s="3530"/>
      <c r="Y176" s="3530"/>
      <c r="Z176" s="3530"/>
      <c r="AA176" s="3530"/>
      <c r="AB176" s="3531"/>
      <c r="AC176" s="2618"/>
    </row>
    <row r="177" spans="1:29" ht="15.75" customHeight="1" x14ac:dyDescent="0.25">
      <c r="A177" s="2752"/>
      <c r="B177" s="2750"/>
      <c r="C177" s="3527" t="s">
        <v>252</v>
      </c>
      <c r="D177" s="2187" t="str">
        <f ca="1">IF($F$174=12,"CY","AY")</f>
        <v>AY</v>
      </c>
      <c r="E177" s="3444" t="s">
        <v>231</v>
      </c>
      <c r="F177" s="3525" t="s">
        <v>232</v>
      </c>
      <c r="G177" s="2185" t="str">
        <f ca="1">IF($F$174=12,"CY","AY")</f>
        <v>AY</v>
      </c>
      <c r="H177" s="3523" t="s">
        <v>86</v>
      </c>
      <c r="I177" s="3518" t="s">
        <v>922</v>
      </c>
      <c r="J177" s="2918" t="str">
        <f ca="1">IF(F174=12,"CY","AY")</f>
        <v>AY</v>
      </c>
      <c r="K177" s="3542" t="s">
        <v>485</v>
      </c>
      <c r="L177" s="3542" t="s">
        <v>255</v>
      </c>
      <c r="M177" s="3547" t="s">
        <v>66</v>
      </c>
      <c r="N177" s="3549" t="s">
        <v>64</v>
      </c>
      <c r="O177" s="3537" t="str">
        <f ca="1">IF($F$174=12,"CY","AY")</f>
        <v>AY</v>
      </c>
      <c r="P177" s="2014" t="s">
        <v>617</v>
      </c>
      <c r="Q177" s="2015">
        <f ca="1">IFERROR(VLOOKUP(O174,TableFringePool[],2,0),0)</f>
        <v>0.50700000000000001</v>
      </c>
      <c r="R177" s="2018" t="str">
        <f ca="1">IF($F$6=12,"CY Base % ","AY Base %")</f>
        <v xml:space="preserve">CY Base % </v>
      </c>
      <c r="S177" s="2016">
        <f ca="1">Q177</f>
        <v>0.50700000000000001</v>
      </c>
      <c r="T177" s="3539" t="s">
        <v>64</v>
      </c>
      <c r="U177" s="3537" t="str">
        <f ca="1">IF($F$174=12,"CY","AY")</f>
        <v>AY</v>
      </c>
      <c r="V177" s="3477" t="s">
        <v>618</v>
      </c>
      <c r="W177" s="3554" t="s">
        <v>619</v>
      </c>
      <c r="X177" s="3552" t="s">
        <v>620</v>
      </c>
      <c r="Y177" s="3560" t="s">
        <v>624</v>
      </c>
      <c r="Z177" s="2052" t="s">
        <v>621</v>
      </c>
      <c r="AA177" s="2053"/>
      <c r="AB177" s="3558" t="s">
        <v>625</v>
      </c>
      <c r="AC177" s="1"/>
    </row>
    <row r="178" spans="1:29" ht="15.75" customHeight="1" thickBot="1" x14ac:dyDescent="0.3">
      <c r="A178" s="2715"/>
      <c r="B178" s="2750"/>
      <c r="C178" s="3528"/>
      <c r="D178" s="2188" t="s">
        <v>636</v>
      </c>
      <c r="E178" s="3446"/>
      <c r="F178" s="3526"/>
      <c r="G178" s="2186" t="s">
        <v>637</v>
      </c>
      <c r="H178" s="3524"/>
      <c r="I178" s="3519"/>
      <c r="J178" s="2919" t="s">
        <v>1015</v>
      </c>
      <c r="K178" s="3543"/>
      <c r="L178" s="3543"/>
      <c r="M178" s="3548"/>
      <c r="N178" s="3550"/>
      <c r="O178" s="3538"/>
      <c r="P178" s="2010" t="s">
        <v>67</v>
      </c>
      <c r="Q178" s="1781" t="s">
        <v>68</v>
      </c>
      <c r="R178" s="2011" t="s">
        <v>67</v>
      </c>
      <c r="S178" s="2012" t="s">
        <v>68</v>
      </c>
      <c r="T178" s="3540"/>
      <c r="U178" s="3538"/>
      <c r="V178" s="3564"/>
      <c r="W178" s="3569"/>
      <c r="X178" s="3570"/>
      <c r="Y178" s="3565"/>
      <c r="Z178" s="2125" t="s">
        <v>622</v>
      </c>
      <c r="AA178" s="2126" t="s">
        <v>68</v>
      </c>
      <c r="AB178" s="3566"/>
      <c r="AC178" s="1"/>
    </row>
    <row r="179" spans="1:29" x14ac:dyDescent="0.25">
      <c r="A179" s="622">
        <v>1</v>
      </c>
      <c r="B179" s="782">
        <f>'DATA INPUT'!$I$8</f>
        <v>12</v>
      </c>
      <c r="C179" s="2021">
        <f ca="1">MAX(IF($F$174=12,0),
IF($F$174&lt;12,IF('DATA INPUT'!$H$23=1,'DATA INPUT'!$I$23)))</f>
        <v>0</v>
      </c>
      <c r="D179" s="2022">
        <f>MAX(IF(OR('DATA INPUT'!$H$23=2),'DATA INPUT'!$I$23,0),
IF(OR('DATA INPUT'!$V$23=2),'DATA INPUT'!$W$23,0),
IF(OR('DATA INPUT'!$AD$23=2,),'DATA INPUT'!$AE$23,0))</f>
        <v>0</v>
      </c>
      <c r="E179" s="491">
        <f t="shared" ref="E179:E184" ca="1" si="215">IFERROR(SUM(C179+D179)/B179,0)*$F$175</f>
        <v>0</v>
      </c>
      <c r="F179" s="2023">
        <f t="shared" ref="F179:G184" ca="1" si="216">C179*(2080/12)*$F$175</f>
        <v>0</v>
      </c>
      <c r="G179" s="2024">
        <f t="shared" ca="1" si="216"/>
        <v>0</v>
      </c>
      <c r="H179" s="2019">
        <v>0.03</v>
      </c>
      <c r="I179" s="2914">
        <f t="shared" ref="I179:I184" ca="1" si="217">IF($F$174&lt;12,K179*(12-$F$174),0)</f>
        <v>0</v>
      </c>
      <c r="J179" s="501">
        <f>(L174*H179)+L174</f>
        <v>0</v>
      </c>
      <c r="K179" s="501">
        <f t="shared" ref="K179:K184" ca="1" si="218">IFERROR(J179/$F$174,0)</f>
        <v>0</v>
      </c>
      <c r="L179" s="501">
        <f t="shared" ref="L179:L184" ca="1" si="219">IFERROR(J179/$F$174*$F$175,0)</f>
        <v>0</v>
      </c>
      <c r="M179" s="2397">
        <f t="shared" ref="M179:M184" ca="1" si="220">K179/(2080/12)</f>
        <v>0</v>
      </c>
      <c r="N179" s="2025">
        <f t="shared" ref="N179:N184" ca="1" si="221">MAX(IF($F$174=12,0),
IF($F$174&lt;12,C179*L179))</f>
        <v>0</v>
      </c>
      <c r="O179" s="2026">
        <f t="shared" ref="O179:O184" ca="1" si="222">(D179*L179)</f>
        <v>0</v>
      </c>
      <c r="P179" s="2027">
        <f ca="1">IF($V$4&lt;$U$4, $Q177, IF($V$4&gt;$X$4, $Q177+2*$AA$3, $Q177+$AA$3))</f>
        <v>0.50700000000000001</v>
      </c>
      <c r="Q179" s="2028">
        <f t="shared" ref="Q179:Q184" ca="1" si="223">IFERROR(P179*N179,0)</f>
        <v>0</v>
      </c>
      <c r="R179" s="2009">
        <f ca="1">IF($V$4&lt;$U$4, $Q177, IF($V$4&gt;$X$4, $Q177+2*$AA$3, $Q177+$AA$3))</f>
        <v>0.50700000000000001</v>
      </c>
      <c r="S179" s="2029">
        <f t="shared" ref="S179:S184" ca="1" si="224">R179*O179</f>
        <v>0</v>
      </c>
      <c r="T179" s="2401">
        <f t="shared" ref="T179:T184" ca="1" si="225">IFERROR((K179/(2080/12))+((K179*P179)/(2080/12)),"")</f>
        <v>0</v>
      </c>
      <c r="U179" s="2402">
        <f t="shared" ref="U179:U184" ca="1" si="226">(K179/(2080/12))+((K179*R179)/(2080/12))</f>
        <v>0</v>
      </c>
      <c r="V179" s="2130">
        <f>MAX(IF(OR('DATA INPUT'!$H$23=3),'DATA INPUT'!$I$23,0),
IF(OR('DATA INPUT'!$V$23=3),'DATA INPUT'!$W$23,0),
IF(OR('DATA INPUT'!$AD$23=3),'DATA INPUT'!$AE$23,0))</f>
        <v>0</v>
      </c>
      <c r="W179" s="1904">
        <f t="shared" ref="W179:W184" ca="1" si="227">V179*(2080/12)*$F$175</f>
        <v>0</v>
      </c>
      <c r="X179" s="2131">
        <f t="shared" ref="X179:X185" ca="1" si="228">IFERROR(V179/B179,0)*$F$175</f>
        <v>0</v>
      </c>
      <c r="Y179" s="1657">
        <f t="shared" ref="Y179:Y184" ca="1" si="229">V179*L179</f>
        <v>0</v>
      </c>
      <c r="Z179" s="2132">
        <f t="shared" ref="Z179:Z184" ca="1" si="230">R179</f>
        <v>0.50700000000000001</v>
      </c>
      <c r="AA179" s="2133">
        <f t="shared" ref="AA179:AA184" ca="1" si="231">Y179*Z179</f>
        <v>0</v>
      </c>
      <c r="AB179" s="2134">
        <f t="shared" ref="AB179:AB184" ca="1" si="232">SUM(Y179,AA179)</f>
        <v>0</v>
      </c>
      <c r="AC179" s="1"/>
    </row>
    <row r="180" spans="1:29" x14ac:dyDescent="0.25">
      <c r="A180" s="50">
        <v>2</v>
      </c>
      <c r="B180" s="540">
        <f>'DATA INPUT'!$J$8</f>
        <v>0</v>
      </c>
      <c r="C180" s="2030">
        <f ca="1">MAX(IF($F$174=12,0),
IF($F$174&lt;12,IF('DATA INPUT'!$H$23=1,'DATA INPUT'!$J$23)))</f>
        <v>0</v>
      </c>
      <c r="D180" s="2031">
        <f>MAX(IF(OR('DATA INPUT'!$H$23=2),'DATA INPUT'!$J$23,0),
IF(OR('DATA INPUT'!$V$23=2),'DATA INPUT'!$X$23,0),
IF(OR('DATA INPUT'!$AD$23=2),'DATA INPUT'!$AF$23,0))</f>
        <v>0</v>
      </c>
      <c r="E180" s="493">
        <f t="shared" ca="1" si="215"/>
        <v>0</v>
      </c>
      <c r="F180" s="2032">
        <f t="shared" ca="1" si="216"/>
        <v>0</v>
      </c>
      <c r="G180" s="2033">
        <f t="shared" ca="1" si="216"/>
        <v>0</v>
      </c>
      <c r="H180" s="461">
        <v>0.03</v>
      </c>
      <c r="I180" s="2914">
        <f t="shared" ca="1" si="217"/>
        <v>0</v>
      </c>
      <c r="J180" s="457">
        <f>(J179*H180)+J179</f>
        <v>0</v>
      </c>
      <c r="K180" s="457">
        <f t="shared" ca="1" si="218"/>
        <v>0</v>
      </c>
      <c r="L180" s="457">
        <f t="shared" ca="1" si="219"/>
        <v>0</v>
      </c>
      <c r="M180" s="2398">
        <f t="shared" ca="1" si="220"/>
        <v>0</v>
      </c>
      <c r="N180" s="2034">
        <f t="shared" ca="1" si="221"/>
        <v>0</v>
      </c>
      <c r="O180" s="2035">
        <f t="shared" ca="1" si="222"/>
        <v>0</v>
      </c>
      <c r="P180" s="2036">
        <f ca="1">P179+$AA$4</f>
        <v>0.52700000000000002</v>
      </c>
      <c r="Q180" s="2037">
        <f t="shared" ca="1" si="223"/>
        <v>0</v>
      </c>
      <c r="R180" s="1758">
        <f ca="1">R179+$AA$4</f>
        <v>0.52700000000000002</v>
      </c>
      <c r="S180" s="2038">
        <f t="shared" ca="1" si="224"/>
        <v>0</v>
      </c>
      <c r="T180" s="2403">
        <f t="shared" ca="1" si="225"/>
        <v>0</v>
      </c>
      <c r="U180" s="2404">
        <f t="shared" ca="1" si="226"/>
        <v>0</v>
      </c>
      <c r="V180" s="2054">
        <f>MAX(IF(OR('DATA INPUT'!$H$23=3),'DATA INPUT'!$J$23,0),
IF(OR('DATA INPUT'!$V$23=3),'DATA INPUT'!$X$23,0),
IF(OR('DATA INPUT'!$AD$23=3),'DATA INPUT'!$AF$23,0))</f>
        <v>0</v>
      </c>
      <c r="W180" s="1604">
        <f t="shared" ca="1" si="227"/>
        <v>0</v>
      </c>
      <c r="X180" s="2058">
        <f t="shared" ca="1" si="228"/>
        <v>0</v>
      </c>
      <c r="Y180" s="1489">
        <f t="shared" ca="1" si="229"/>
        <v>0</v>
      </c>
      <c r="Z180" s="2056">
        <f t="shared" ca="1" si="230"/>
        <v>0.52700000000000002</v>
      </c>
      <c r="AA180" s="1490">
        <f t="shared" ca="1" si="231"/>
        <v>0</v>
      </c>
      <c r="AB180" s="2057">
        <f t="shared" ca="1" si="232"/>
        <v>0</v>
      </c>
      <c r="AC180" s="1"/>
    </row>
    <row r="181" spans="1:29" x14ac:dyDescent="0.25">
      <c r="A181" s="50">
        <v>3</v>
      </c>
      <c r="B181" s="540">
        <f>'DATA INPUT'!$K$8</f>
        <v>0</v>
      </c>
      <c r="C181" s="2030">
        <f ca="1">MAX(IF($F$174=12,0),
IF($F$174&lt;12,IF('DATA INPUT'!$H$23=1,'DATA INPUT'!$K$23)))</f>
        <v>0</v>
      </c>
      <c r="D181" s="2031">
        <f>MAX(IF(OR('DATA INPUT'!$H$23=2),'DATA INPUT'!$K$23,0),
IF(OR('DATA INPUT'!$V$23=2),'DATA INPUT'!$Y$23,0),
IF(OR('DATA INPUT'!$AD$23=2),'DATA INPUT'!$AG$23,0))</f>
        <v>0</v>
      </c>
      <c r="E181" s="493">
        <f t="shared" ca="1" si="215"/>
        <v>0</v>
      </c>
      <c r="F181" s="2032">
        <f t="shared" ca="1" si="216"/>
        <v>0</v>
      </c>
      <c r="G181" s="2033">
        <f t="shared" ca="1" si="216"/>
        <v>0</v>
      </c>
      <c r="H181" s="461">
        <v>0.03</v>
      </c>
      <c r="I181" s="2914">
        <f t="shared" ca="1" si="217"/>
        <v>0</v>
      </c>
      <c r="J181" s="457">
        <f>(J180*H181)+J180</f>
        <v>0</v>
      </c>
      <c r="K181" s="457">
        <f t="shared" ca="1" si="218"/>
        <v>0</v>
      </c>
      <c r="L181" s="457">
        <f t="shared" ca="1" si="219"/>
        <v>0</v>
      </c>
      <c r="M181" s="2398">
        <f t="shared" ca="1" si="220"/>
        <v>0</v>
      </c>
      <c r="N181" s="2034">
        <f t="shared" ca="1" si="221"/>
        <v>0</v>
      </c>
      <c r="O181" s="2035">
        <f t="shared" ca="1" si="222"/>
        <v>0</v>
      </c>
      <c r="P181" s="2036">
        <f ca="1">P180+$AA$4</f>
        <v>0.54700000000000004</v>
      </c>
      <c r="Q181" s="2037">
        <f t="shared" ca="1" si="223"/>
        <v>0</v>
      </c>
      <c r="R181" s="1758">
        <f ca="1">R180+$AA$4</f>
        <v>0.54700000000000004</v>
      </c>
      <c r="S181" s="2038">
        <f t="shared" ca="1" si="224"/>
        <v>0</v>
      </c>
      <c r="T181" s="2403">
        <f t="shared" ca="1" si="225"/>
        <v>0</v>
      </c>
      <c r="U181" s="2404">
        <f t="shared" ca="1" si="226"/>
        <v>0</v>
      </c>
      <c r="V181" s="2054">
        <f>MAX(IF(OR('DATA INPUT'!$H$23=3),'DATA INPUT'!$K$23,0),
IF(OR('DATA INPUT'!$V$23=3),'DATA INPUT'!$Y$23,0),
IF(OR('DATA INPUT'!$AD$23=3),'DATA INPUT'!$AG$23,0))</f>
        <v>0</v>
      </c>
      <c r="W181" s="1604">
        <f t="shared" ca="1" si="227"/>
        <v>0</v>
      </c>
      <c r="X181" s="2058">
        <f t="shared" ca="1" si="228"/>
        <v>0</v>
      </c>
      <c r="Y181" s="1489">
        <f t="shared" ca="1" si="229"/>
        <v>0</v>
      </c>
      <c r="Z181" s="2056">
        <f t="shared" ca="1" si="230"/>
        <v>0.54700000000000004</v>
      </c>
      <c r="AA181" s="1490">
        <f t="shared" ca="1" si="231"/>
        <v>0</v>
      </c>
      <c r="AB181" s="2057">
        <f t="shared" ca="1" si="232"/>
        <v>0</v>
      </c>
      <c r="AC181" s="1"/>
    </row>
    <row r="182" spans="1:29" x14ac:dyDescent="0.25">
      <c r="A182" s="50">
        <v>4</v>
      </c>
      <c r="B182" s="540">
        <f>'DATA INPUT'!$L$8</f>
        <v>0</v>
      </c>
      <c r="C182" s="2030">
        <f ca="1">MAX(IF($F$174=12,0),
IF($F$174&lt;12,IF('DATA INPUT'!$H$23=1,'DATA INPUT'!$L$23)))</f>
        <v>0</v>
      </c>
      <c r="D182" s="2031">
        <f>MAX(IF(OR('DATA INPUT'!$H$23=2),'DATA INPUT'!$L$23,0),
IF(OR('DATA INPUT'!$V$23=2),'DATA INPUT'!$Z$23,0),
IF(OR('DATA INPUT'!$AD$23=2),'DATA INPUT'!$AH$23,0))</f>
        <v>0</v>
      </c>
      <c r="E182" s="493">
        <f t="shared" ca="1" si="215"/>
        <v>0</v>
      </c>
      <c r="F182" s="2032">
        <f t="shared" ca="1" si="216"/>
        <v>0</v>
      </c>
      <c r="G182" s="2033">
        <f t="shared" ca="1" si="216"/>
        <v>0</v>
      </c>
      <c r="H182" s="461">
        <v>0.03</v>
      </c>
      <c r="I182" s="2914">
        <f t="shared" ca="1" si="217"/>
        <v>0</v>
      </c>
      <c r="J182" s="457">
        <f>(J181*H182)+J181</f>
        <v>0</v>
      </c>
      <c r="K182" s="457">
        <f t="shared" ca="1" si="218"/>
        <v>0</v>
      </c>
      <c r="L182" s="457">
        <f t="shared" ca="1" si="219"/>
        <v>0</v>
      </c>
      <c r="M182" s="2398">
        <f t="shared" ca="1" si="220"/>
        <v>0</v>
      </c>
      <c r="N182" s="2034">
        <f t="shared" ca="1" si="221"/>
        <v>0</v>
      </c>
      <c r="O182" s="2035">
        <f t="shared" ca="1" si="222"/>
        <v>0</v>
      </c>
      <c r="P182" s="2036">
        <f ca="1">P181+$AA$4</f>
        <v>0.56700000000000006</v>
      </c>
      <c r="Q182" s="2037">
        <f t="shared" ca="1" si="223"/>
        <v>0</v>
      </c>
      <c r="R182" s="1758">
        <f ca="1">R181+$AA$4</f>
        <v>0.56700000000000006</v>
      </c>
      <c r="S182" s="2038">
        <f t="shared" ca="1" si="224"/>
        <v>0</v>
      </c>
      <c r="T182" s="2403">
        <f t="shared" ca="1" si="225"/>
        <v>0</v>
      </c>
      <c r="U182" s="2404">
        <f t="shared" ca="1" si="226"/>
        <v>0</v>
      </c>
      <c r="V182" s="2054">
        <f>MAX(IF(OR('DATA INPUT'!$H$23=3),'DATA INPUT'!$L$23,0),
IF(OR('DATA INPUT'!$V$23=3),'DATA INPUT'!$Z$23,0),
IF(OR('DATA INPUT'!$AD$23=3),'DATA INPUT'!$AH$23,0))</f>
        <v>0</v>
      </c>
      <c r="W182" s="1604">
        <f t="shared" ca="1" si="227"/>
        <v>0</v>
      </c>
      <c r="X182" s="2058">
        <f t="shared" ca="1" si="228"/>
        <v>0</v>
      </c>
      <c r="Y182" s="1489">
        <f t="shared" ca="1" si="229"/>
        <v>0</v>
      </c>
      <c r="Z182" s="2059">
        <f t="shared" ca="1" si="230"/>
        <v>0.56700000000000006</v>
      </c>
      <c r="AA182" s="1490">
        <f t="shared" ca="1" si="231"/>
        <v>0</v>
      </c>
      <c r="AB182" s="2063">
        <f t="shared" ca="1" si="232"/>
        <v>0</v>
      </c>
      <c r="AC182" s="335"/>
    </row>
    <row r="183" spans="1:29" x14ac:dyDescent="0.25">
      <c r="A183" s="50">
        <v>5</v>
      </c>
      <c r="B183" s="540">
        <f>'DATA INPUT'!$M$8</f>
        <v>0</v>
      </c>
      <c r="C183" s="2030">
        <f ca="1">MAX(IF($F$174=12,0),
IF($F$174&lt;12,IF('DATA INPUT'!$H$23=1,'DATA INPUT'!$M$23)))</f>
        <v>0</v>
      </c>
      <c r="D183" s="2031">
        <f>MAX(IF(OR('DATA INPUT'!$H$23=2),'DATA INPUT'!$M$23,0),
IF(OR('DATA INPUT'!$V$23=2),'DATA INPUT'!$AA$23,0),
IF(OR('DATA INPUT'!$AD$23=2),'DATA INPUT'!$AI$23,0))</f>
        <v>0</v>
      </c>
      <c r="E183" s="493">
        <f t="shared" ca="1" si="215"/>
        <v>0</v>
      </c>
      <c r="F183" s="2032">
        <f t="shared" ca="1" si="216"/>
        <v>0</v>
      </c>
      <c r="G183" s="2033">
        <f t="shared" ca="1" si="216"/>
        <v>0</v>
      </c>
      <c r="H183" s="461">
        <v>0.03</v>
      </c>
      <c r="I183" s="2914">
        <f t="shared" ca="1" si="217"/>
        <v>0</v>
      </c>
      <c r="J183" s="457">
        <f>(J182*H183)+J182</f>
        <v>0</v>
      </c>
      <c r="K183" s="457">
        <f t="shared" ca="1" si="218"/>
        <v>0</v>
      </c>
      <c r="L183" s="457">
        <f t="shared" ca="1" si="219"/>
        <v>0</v>
      </c>
      <c r="M183" s="2398">
        <f t="shared" ca="1" si="220"/>
        <v>0</v>
      </c>
      <c r="N183" s="2034">
        <f t="shared" ca="1" si="221"/>
        <v>0</v>
      </c>
      <c r="O183" s="2035">
        <f t="shared" ca="1" si="222"/>
        <v>0</v>
      </c>
      <c r="P183" s="2036">
        <f ca="1">P182+$AA$4</f>
        <v>0.58700000000000008</v>
      </c>
      <c r="Q183" s="2037">
        <f t="shared" ca="1" si="223"/>
        <v>0</v>
      </c>
      <c r="R183" s="1758">
        <f ca="1">R182+$AA$4</f>
        <v>0.58700000000000008</v>
      </c>
      <c r="S183" s="2038">
        <f t="shared" ca="1" si="224"/>
        <v>0</v>
      </c>
      <c r="T183" s="2403">
        <f t="shared" ca="1" si="225"/>
        <v>0</v>
      </c>
      <c r="U183" s="2404">
        <f t="shared" ca="1" si="226"/>
        <v>0</v>
      </c>
      <c r="V183" s="2054">
        <f>MAX(IF(OR('DATA INPUT'!$H$23=3),'DATA INPUT'!$M$23,0),
IF(OR('DATA INPUT'!$V$23=3),'DATA INPUT'!$AA$23,0),
IF(OR('DATA INPUT'!$AD$23=3),'DATA INPUT'!$AI$23,0))</f>
        <v>0</v>
      </c>
      <c r="W183" s="1604">
        <f t="shared" ca="1" si="227"/>
        <v>0</v>
      </c>
      <c r="X183" s="2058">
        <f t="shared" ca="1" si="228"/>
        <v>0</v>
      </c>
      <c r="Y183" s="1489">
        <f t="shared" ca="1" si="229"/>
        <v>0</v>
      </c>
      <c r="Z183" s="2056">
        <f t="shared" ca="1" si="230"/>
        <v>0.58700000000000008</v>
      </c>
      <c r="AA183" s="1490">
        <f t="shared" ca="1" si="231"/>
        <v>0</v>
      </c>
      <c r="AB183" s="2057">
        <f t="shared" ca="1" si="232"/>
        <v>0</v>
      </c>
    </row>
    <row r="184" spans="1:29" ht="15.75" thickBot="1" x14ac:dyDescent="0.3">
      <c r="A184" s="623">
        <v>6</v>
      </c>
      <c r="B184" s="1591">
        <f>'DATA INPUT'!$N$8</f>
        <v>0</v>
      </c>
      <c r="C184" s="2039">
        <f ca="1">MAX(IF($F$174=12,0),
IF($F$174&lt;12,IF('DATA INPUT'!$H$23=1,'DATA INPUT'!$N$23)))</f>
        <v>0</v>
      </c>
      <c r="D184" s="2040">
        <f>MAX(IF(OR('DATA INPUT'!$H$23=2),'DATA INPUT'!$N$23,0),
IF(OR('DATA INPUT'!$V$23=2),'DATA INPUT'!$AB$23,0),
IF(OR('DATA INPUT'!$AD$23=2),'DATA INPUT'!$AJ$23,0))</f>
        <v>0</v>
      </c>
      <c r="E184" s="628">
        <f t="shared" ca="1" si="215"/>
        <v>0</v>
      </c>
      <c r="F184" s="2041">
        <f t="shared" ca="1" si="216"/>
        <v>0</v>
      </c>
      <c r="G184" s="2042">
        <f t="shared" ca="1" si="216"/>
        <v>0</v>
      </c>
      <c r="H184" s="494">
        <v>0.03</v>
      </c>
      <c r="I184" s="2915">
        <f t="shared" ca="1" si="217"/>
        <v>0</v>
      </c>
      <c r="J184" s="495">
        <f>(J183*H184)+J183</f>
        <v>0</v>
      </c>
      <c r="K184" s="495">
        <f t="shared" ca="1" si="218"/>
        <v>0</v>
      </c>
      <c r="L184" s="495">
        <f t="shared" ca="1" si="219"/>
        <v>0</v>
      </c>
      <c r="M184" s="2399">
        <f t="shared" ca="1" si="220"/>
        <v>0</v>
      </c>
      <c r="N184" s="2044">
        <f t="shared" ca="1" si="221"/>
        <v>0</v>
      </c>
      <c r="O184" s="2045">
        <f t="shared" ca="1" si="222"/>
        <v>0</v>
      </c>
      <c r="P184" s="2046">
        <f ca="1">P183+$AA$4</f>
        <v>0.6070000000000001</v>
      </c>
      <c r="Q184" s="2047">
        <f t="shared" ca="1" si="223"/>
        <v>0</v>
      </c>
      <c r="R184" s="1759">
        <f ca="1">R183+$AA$4</f>
        <v>0.6070000000000001</v>
      </c>
      <c r="S184" s="2048">
        <f t="shared" ca="1" si="224"/>
        <v>0</v>
      </c>
      <c r="T184" s="2405">
        <f t="shared" ca="1" si="225"/>
        <v>0</v>
      </c>
      <c r="U184" s="2406">
        <f t="shared" ca="1" si="226"/>
        <v>0</v>
      </c>
      <c r="V184" s="2060">
        <f>MAX(IF(OR('DATA INPUT'!$H$23=3),'DATA INPUT'!$N$23,0),
IF(OR('DATA INPUT'!$V$23=3),'DATA INPUT'!$AB$23,0),
IF(OR('DATA INPUT'!$AD$23=3),'DATA INPUT'!$AJ$23,0))</f>
        <v>0</v>
      </c>
      <c r="W184" s="1906">
        <f t="shared" ca="1" si="227"/>
        <v>0</v>
      </c>
      <c r="X184" s="2061">
        <f t="shared" ca="1" si="228"/>
        <v>0</v>
      </c>
      <c r="Y184" s="1513">
        <f t="shared" ca="1" si="229"/>
        <v>0</v>
      </c>
      <c r="Z184" s="2062">
        <f t="shared" ca="1" si="230"/>
        <v>0.6070000000000001</v>
      </c>
      <c r="AA184" s="2043">
        <f t="shared" ca="1" si="231"/>
        <v>0</v>
      </c>
      <c r="AB184" s="2064">
        <f t="shared" ca="1" si="232"/>
        <v>0</v>
      </c>
    </row>
    <row r="185" spans="1:29" ht="15.75" thickBot="1" x14ac:dyDescent="0.3">
      <c r="A185" s="614" t="s">
        <v>85</v>
      </c>
      <c r="B185" s="1674">
        <f>SUM(B179:B184)</f>
        <v>12</v>
      </c>
      <c r="C185" s="2736">
        <f ca="1">SUM(C179:C184)</f>
        <v>0</v>
      </c>
      <c r="D185" s="2737">
        <f>SUM(D179:D184)</f>
        <v>0</v>
      </c>
      <c r="E185" s="2738">
        <f ca="1">IFERROR(SUM(C185+D185)/B185,0)*$F175</f>
        <v>0</v>
      </c>
      <c r="F185" s="2739">
        <f ca="1">SUM(F179:F184)</f>
        <v>0</v>
      </c>
      <c r="G185" s="2740">
        <f ca="1">SUM(G179:G184)</f>
        <v>0</v>
      </c>
      <c r="H185"/>
      <c r="I185"/>
      <c r="K185" s="60"/>
      <c r="N185" s="2734">
        <f ca="1">SUM(N179:N184)</f>
        <v>0</v>
      </c>
      <c r="O185" s="2735">
        <f ca="1">SUM(O179:O184)</f>
        <v>0</v>
      </c>
      <c r="Q185" s="1592">
        <f ca="1">SUM(Q179:Q184)</f>
        <v>0</v>
      </c>
      <c r="S185" s="1593">
        <f ca="1">SUM(S179:S184)</f>
        <v>0</v>
      </c>
      <c r="T185" s="60"/>
      <c r="U185" s="60"/>
      <c r="V185" s="1692">
        <f>SUM(V179:V184)</f>
        <v>0</v>
      </c>
      <c r="W185" s="1692">
        <f ca="1">SUM(W179:W184)</f>
        <v>0</v>
      </c>
      <c r="X185" s="2050">
        <f t="shared" ca="1" si="228"/>
        <v>0</v>
      </c>
      <c r="Y185" s="2051">
        <f ca="1">SUM(Y179:Y184)</f>
        <v>0</v>
      </c>
      <c r="AA185" s="2051">
        <f ca="1">SUM(AA179:AA184)</f>
        <v>0</v>
      </c>
      <c r="AB185" s="2051">
        <f ca="1">SUM(AB179:AB184)</f>
        <v>0</v>
      </c>
    </row>
    <row r="186" spans="1:29" x14ac:dyDescent="0.25">
      <c r="B186" s="3073" t="s">
        <v>1074</v>
      </c>
      <c r="C186" s="2065">
        <f ca="1">(C185+D185+V185)*F175</f>
        <v>0</v>
      </c>
      <c r="D186" s="496" t="s">
        <v>256</v>
      </c>
      <c r="E186" s="497"/>
      <c r="F186" s="498">
        <f ca="1">E185</f>
        <v>0</v>
      </c>
      <c r="G186" s="499" t="s">
        <v>701</v>
      </c>
      <c r="H186" s="500"/>
      <c r="I186" s="500"/>
      <c r="J186" s="498">
        <f ca="1">X185</f>
        <v>0</v>
      </c>
      <c r="K186" s="499" t="s">
        <v>702</v>
      </c>
      <c r="L186" s="500"/>
      <c r="W186"/>
      <c r="X186"/>
    </row>
    <row r="187" spans="1:29" ht="24" thickBot="1" x14ac:dyDescent="0.4">
      <c r="A187" s="2749">
        <f>A173+1</f>
        <v>14</v>
      </c>
      <c r="B187" s="2749"/>
    </row>
    <row r="188" spans="1:29" ht="15.75" thickBot="1" x14ac:dyDescent="0.3">
      <c r="A188" s="401" t="s">
        <v>104</v>
      </c>
      <c r="B188" s="2741">
        <f ca="1">OFFSET('DATA INPUT'!$B$11,($A187-1),0)</f>
        <v>0</v>
      </c>
      <c r="C188" s="2746"/>
      <c r="E188" s="1736" t="s">
        <v>81</v>
      </c>
      <c r="F188" s="2743">
        <f ca="1">OFFSET('DATA INPUT'!$G$11,($A187-1),0)</f>
        <v>9</v>
      </c>
      <c r="G188" s="2744"/>
      <c r="H188"/>
      <c r="I188"/>
      <c r="J188" s="1596" t="s">
        <v>257</v>
      </c>
      <c r="K188" s="2755"/>
      <c r="L188" s="1742">
        <f>'DATA INPUT'!E24</f>
        <v>0</v>
      </c>
      <c r="N188" s="1596" t="s">
        <v>525</v>
      </c>
      <c r="O188" s="1755" t="str">
        <f ca="1">OFFSET('DATA INPUT'!$D$11,($A187-1),0)</f>
        <v>Professional &amp; Academic Faculty</v>
      </c>
      <c r="Q188" s="64">
        <f>'DATA INPUT'!S24</f>
        <v>0</v>
      </c>
      <c r="R188" s="1718"/>
      <c r="S188" s="1719"/>
      <c r="T188" s="1598"/>
      <c r="U188" s="333"/>
      <c r="Y188" s="1"/>
      <c r="Z188" s="1"/>
      <c r="AA188" s="1"/>
      <c r="AB188" s="1"/>
      <c r="AC188" s="1"/>
    </row>
    <row r="189" spans="1:29" ht="15.75" thickBot="1" x14ac:dyDescent="0.3">
      <c r="A189" s="1737" t="s">
        <v>80</v>
      </c>
      <c r="B189" s="2753">
        <f ca="1">OFFSET('DATA INPUT'!$C$11,($A187-1),0)</f>
        <v>0</v>
      </c>
      <c r="C189" s="2754"/>
      <c r="E189" s="2617" t="s">
        <v>82</v>
      </c>
      <c r="F189" s="2745">
        <f ca="1">OFFSET('DATA INPUT'!$F$11,($A187-1),0)</f>
        <v>1</v>
      </c>
      <c r="G189" s="2742"/>
      <c r="J189" s="66" t="s">
        <v>529</v>
      </c>
      <c r="K189" s="1741"/>
      <c r="L189" s="334">
        <f ca="1">IFERROR(L188/F188,0)</f>
        <v>0</v>
      </c>
      <c r="N189" s="1743" t="s">
        <v>530</v>
      </c>
      <c r="O189" s="1754">
        <f>'DATA INPUT'!T24</f>
        <v>0</v>
      </c>
      <c r="Q189" s="66"/>
      <c r="R189" s="1715"/>
      <c r="S189" s="1713"/>
      <c r="T189" s="1746"/>
      <c r="U189" s="61"/>
      <c r="V189" s="401" t="s">
        <v>104</v>
      </c>
      <c r="W189" s="401">
        <f>'DATA INPUT'!$B$24</f>
        <v>0</v>
      </c>
      <c r="X189" s="1719"/>
      <c r="Y189" s="2235"/>
      <c r="Z189" s="2235"/>
      <c r="AA189" s="2235"/>
      <c r="AB189" s="2236"/>
      <c r="AC189" s="1"/>
    </row>
    <row r="190" spans="1:29" s="770" customFormat="1" ht="30" customHeight="1" thickBot="1" x14ac:dyDescent="0.3">
      <c r="A190" s="2751" t="s">
        <v>253</v>
      </c>
      <c r="B190" s="2750" t="s">
        <v>254</v>
      </c>
      <c r="C190" s="3529" t="s">
        <v>258</v>
      </c>
      <c r="D190" s="3530"/>
      <c r="E190" s="3531"/>
      <c r="F190" s="3529" t="s">
        <v>83</v>
      </c>
      <c r="G190" s="3531"/>
      <c r="H190" s="3529" t="s">
        <v>65</v>
      </c>
      <c r="I190" s="3544"/>
      <c r="J190" s="3544"/>
      <c r="K190" s="3544"/>
      <c r="L190" s="3544"/>
      <c r="M190" s="3545"/>
      <c r="N190" s="3529" t="s">
        <v>84</v>
      </c>
      <c r="O190" s="3531"/>
      <c r="P190" s="3529" t="s">
        <v>78</v>
      </c>
      <c r="Q190" s="3530"/>
      <c r="R190" s="3530"/>
      <c r="S190" s="3531"/>
      <c r="T190" s="3529" t="s">
        <v>87</v>
      </c>
      <c r="U190" s="3531"/>
      <c r="V190" s="3529" t="s">
        <v>623</v>
      </c>
      <c r="W190" s="3530"/>
      <c r="X190" s="3530"/>
      <c r="Y190" s="3530"/>
      <c r="Z190" s="3530"/>
      <c r="AA190" s="3530"/>
      <c r="AB190" s="3531"/>
      <c r="AC190" s="2618"/>
    </row>
    <row r="191" spans="1:29" ht="15.75" customHeight="1" x14ac:dyDescent="0.25">
      <c r="A191" s="2752"/>
      <c r="B191" s="2750"/>
      <c r="C191" s="3527" t="s">
        <v>252</v>
      </c>
      <c r="D191" s="2187" t="str">
        <f ca="1">IF($F$188=12,"CY","AY")</f>
        <v>AY</v>
      </c>
      <c r="E191" s="3444" t="s">
        <v>231</v>
      </c>
      <c r="F191" s="3525" t="s">
        <v>232</v>
      </c>
      <c r="G191" s="2185" t="str">
        <f ca="1">IF($F$188=12,"CY","AY")</f>
        <v>AY</v>
      </c>
      <c r="H191" s="3523" t="s">
        <v>86</v>
      </c>
      <c r="I191" s="3518" t="s">
        <v>922</v>
      </c>
      <c r="J191" s="2918" t="str">
        <f ca="1">IF(F188=12,"CY","AY")</f>
        <v>AY</v>
      </c>
      <c r="K191" s="3542" t="s">
        <v>485</v>
      </c>
      <c r="L191" s="3542" t="s">
        <v>255</v>
      </c>
      <c r="M191" s="3547" t="s">
        <v>66</v>
      </c>
      <c r="N191" s="3549" t="s">
        <v>64</v>
      </c>
      <c r="O191" s="3537" t="str">
        <f ca="1">IF($F$188=12,"CY","AY")</f>
        <v>AY</v>
      </c>
      <c r="P191" s="2014" t="s">
        <v>617</v>
      </c>
      <c r="Q191" s="2015">
        <f ca="1">IFERROR(VLOOKUP(O188,TableFringePool[],2,0),0)</f>
        <v>0.50700000000000001</v>
      </c>
      <c r="R191" s="2018" t="str">
        <f ca="1">IF($F$6=12,"CY Base % ","AY Base %")</f>
        <v xml:space="preserve">CY Base % </v>
      </c>
      <c r="S191" s="2016">
        <f ca="1">Q191</f>
        <v>0.50700000000000001</v>
      </c>
      <c r="T191" s="3539" t="s">
        <v>64</v>
      </c>
      <c r="U191" s="3537" t="str">
        <f ca="1">IF($F$188=12,"CY","AY")</f>
        <v>AY</v>
      </c>
      <c r="V191" s="3477" t="s">
        <v>618</v>
      </c>
      <c r="W191" s="3554" t="s">
        <v>619</v>
      </c>
      <c r="X191" s="3552" t="s">
        <v>620</v>
      </c>
      <c r="Y191" s="3560" t="s">
        <v>624</v>
      </c>
      <c r="Z191" s="2052" t="s">
        <v>621</v>
      </c>
      <c r="AA191" s="2053"/>
      <c r="AB191" s="3558" t="s">
        <v>625</v>
      </c>
      <c r="AC191" s="1"/>
    </row>
    <row r="192" spans="1:29" ht="15.75" customHeight="1" thickBot="1" x14ac:dyDescent="0.3">
      <c r="A192" s="2715"/>
      <c r="B192" s="2750"/>
      <c r="C192" s="3528"/>
      <c r="D192" s="2188" t="s">
        <v>636</v>
      </c>
      <c r="E192" s="3446"/>
      <c r="F192" s="3526"/>
      <c r="G192" s="2186" t="s">
        <v>637</v>
      </c>
      <c r="H192" s="3524"/>
      <c r="I192" s="3519"/>
      <c r="J192" s="2919" t="s">
        <v>1015</v>
      </c>
      <c r="K192" s="3543"/>
      <c r="L192" s="3543"/>
      <c r="M192" s="3548"/>
      <c r="N192" s="3550"/>
      <c r="O192" s="3538"/>
      <c r="P192" s="2010" t="s">
        <v>67</v>
      </c>
      <c r="Q192" s="1781" t="s">
        <v>68</v>
      </c>
      <c r="R192" s="2011" t="s">
        <v>67</v>
      </c>
      <c r="S192" s="2012" t="s">
        <v>68</v>
      </c>
      <c r="T192" s="3540"/>
      <c r="U192" s="3538"/>
      <c r="V192" s="3564"/>
      <c r="W192" s="3569"/>
      <c r="X192" s="3570"/>
      <c r="Y192" s="3565"/>
      <c r="Z192" s="2125" t="s">
        <v>622</v>
      </c>
      <c r="AA192" s="2126" t="s">
        <v>68</v>
      </c>
      <c r="AB192" s="3566"/>
      <c r="AC192" s="1"/>
    </row>
    <row r="193" spans="1:29" x14ac:dyDescent="0.25">
      <c r="A193" s="622">
        <v>1</v>
      </c>
      <c r="B193" s="782">
        <f>'DATA INPUT'!$I$8</f>
        <v>12</v>
      </c>
      <c r="C193" s="2021">
        <f ca="1">MAX(IF($F$188=12,0),
IF($F$188&lt;12,IF('DATA INPUT'!$H$24=1,'DATA INPUT'!$I$24)))</f>
        <v>0</v>
      </c>
      <c r="D193" s="2022">
        <f>MAX(IF(OR('DATA INPUT'!$H$24=2),'DATA INPUT'!$I$24,0),
IF(OR('DATA INPUT'!$V$24=2),'DATA INPUT'!$W$24,0),
IF(OR('DATA INPUT'!$AD$24=2,),'DATA INPUT'!$AE$24,0))</f>
        <v>0</v>
      </c>
      <c r="E193" s="491">
        <f t="shared" ref="E193:E198" ca="1" si="233">IFERROR(SUM(C193+D193)/B193,0)*$F$189</f>
        <v>0</v>
      </c>
      <c r="F193" s="2023">
        <f t="shared" ref="F193:G198" ca="1" si="234">C193*(2080/12)*$F$189</f>
        <v>0</v>
      </c>
      <c r="G193" s="2024">
        <f t="shared" ca="1" si="234"/>
        <v>0</v>
      </c>
      <c r="H193" s="2019">
        <v>0.03</v>
      </c>
      <c r="I193" s="2914">
        <f t="shared" ref="I193:I198" ca="1" si="235">IF($F$188&lt;12,K193*(12-$F$188),0)</f>
        <v>0</v>
      </c>
      <c r="J193" s="501">
        <f>(L188*H193)+L188</f>
        <v>0</v>
      </c>
      <c r="K193" s="501">
        <f t="shared" ref="K193:K198" ca="1" si="236">IFERROR(J193/$F$188,0)</f>
        <v>0</v>
      </c>
      <c r="L193" s="501">
        <f t="shared" ref="L193:L198" ca="1" si="237">IFERROR(J193/$F$188*$F$189,0)</f>
        <v>0</v>
      </c>
      <c r="M193" s="2397">
        <f t="shared" ref="M193:M198" ca="1" si="238">K193/(2080/12)</f>
        <v>0</v>
      </c>
      <c r="N193" s="2025">
        <f t="shared" ref="N193:N198" ca="1" si="239">MAX(IF($F$188=12,0),
IF($F$188&lt;12,C193*L193))</f>
        <v>0</v>
      </c>
      <c r="O193" s="2026">
        <f t="shared" ref="O193:O198" ca="1" si="240">(D193*L193)</f>
        <v>0</v>
      </c>
      <c r="P193" s="2027">
        <f ca="1">IF($V$4&lt;$U$4, $Q191, IF($V$4&gt;$X$4, $Q191+2*$AA$3, $Q191+$AA$3))</f>
        <v>0.50700000000000001</v>
      </c>
      <c r="Q193" s="2028">
        <f t="shared" ref="Q193:Q198" ca="1" si="241">IFERROR(P193*N193,0)</f>
        <v>0</v>
      </c>
      <c r="R193" s="2009">
        <f ca="1">IF($V$4&lt;$U$4, $Q191, IF($V$4&gt;$X$4, $Q191+2*$AA$3, $Q191+$AA$3))</f>
        <v>0.50700000000000001</v>
      </c>
      <c r="S193" s="2029">
        <f t="shared" ref="S193:S198" ca="1" si="242">R193*O193</f>
        <v>0</v>
      </c>
      <c r="T193" s="2401">
        <f t="shared" ref="T193:T198" ca="1" si="243">IFERROR((K193/(2080/12))+((K193*P193)/(2080/12)),"")</f>
        <v>0</v>
      </c>
      <c r="U193" s="2402">
        <f t="shared" ref="U193:U198" ca="1" si="244">(K193/(2080/12))+((K193*R193)/(2080/12))</f>
        <v>0</v>
      </c>
      <c r="V193" s="2130">
        <f>MAX(IF(OR('DATA INPUT'!$H$24=3),'DATA INPUT'!$I$24,0),
IF(OR('DATA INPUT'!$V$24=3),'DATA INPUT'!$W$24,0),
IF(OR('DATA INPUT'!$AD$24=3),'DATA INPUT'!$AE$24,0))</f>
        <v>0</v>
      </c>
      <c r="W193" s="1904">
        <f t="shared" ref="W193:W198" ca="1" si="245">V193*(2080/12)*$F$189</f>
        <v>0</v>
      </c>
      <c r="X193" s="2131">
        <f t="shared" ref="X193:X199" ca="1" si="246">IFERROR(V193/B193,0)*$F$189</f>
        <v>0</v>
      </c>
      <c r="Y193" s="1657">
        <f t="shared" ref="Y193:Y198" ca="1" si="247">V193*L193</f>
        <v>0</v>
      </c>
      <c r="Z193" s="2132">
        <f t="shared" ref="Z193:Z198" ca="1" si="248">R193</f>
        <v>0.50700000000000001</v>
      </c>
      <c r="AA193" s="2133">
        <f t="shared" ref="AA193:AA198" ca="1" si="249">Y193*Z193</f>
        <v>0</v>
      </c>
      <c r="AB193" s="2134">
        <f t="shared" ref="AB193:AB198" ca="1" si="250">SUM(Y193,AA193)</f>
        <v>0</v>
      </c>
      <c r="AC193" s="1"/>
    </row>
    <row r="194" spans="1:29" x14ac:dyDescent="0.25">
      <c r="A194" s="50">
        <v>2</v>
      </c>
      <c r="B194" s="540">
        <f>'DATA INPUT'!$J$8</f>
        <v>0</v>
      </c>
      <c r="C194" s="2030">
        <f ca="1">MAX(IF($F$188=12,0),
IF($F$188&lt;12,IF('DATA INPUT'!$H$24=1,'DATA INPUT'!$J$24)))</f>
        <v>0</v>
      </c>
      <c r="D194" s="2031">
        <f>MAX(IF(OR('DATA INPUT'!$H$24=2),'DATA INPUT'!$J$24,0),
IF(OR('DATA INPUT'!$V$24=2),'DATA INPUT'!$X$24,0),
IF(OR('DATA INPUT'!$AD$24=2),'DATA INPUT'!$AF$24,0))</f>
        <v>0</v>
      </c>
      <c r="E194" s="493">
        <f t="shared" ca="1" si="233"/>
        <v>0</v>
      </c>
      <c r="F194" s="2032">
        <f t="shared" ca="1" si="234"/>
        <v>0</v>
      </c>
      <c r="G194" s="2033">
        <f t="shared" ca="1" si="234"/>
        <v>0</v>
      </c>
      <c r="H194" s="461">
        <v>0.03</v>
      </c>
      <c r="I194" s="2914">
        <f t="shared" ca="1" si="235"/>
        <v>0</v>
      </c>
      <c r="J194" s="457">
        <f>(J193*H194)+J193</f>
        <v>0</v>
      </c>
      <c r="K194" s="457">
        <f t="shared" ca="1" si="236"/>
        <v>0</v>
      </c>
      <c r="L194" s="457">
        <f t="shared" ca="1" si="237"/>
        <v>0</v>
      </c>
      <c r="M194" s="2398">
        <f t="shared" ca="1" si="238"/>
        <v>0</v>
      </c>
      <c r="N194" s="2034">
        <f t="shared" ca="1" si="239"/>
        <v>0</v>
      </c>
      <c r="O194" s="2035">
        <f t="shared" ca="1" si="240"/>
        <v>0</v>
      </c>
      <c r="P194" s="2036">
        <f ca="1">P193+$AA$4</f>
        <v>0.52700000000000002</v>
      </c>
      <c r="Q194" s="2037">
        <f t="shared" ca="1" si="241"/>
        <v>0</v>
      </c>
      <c r="R194" s="1758">
        <f ca="1">R193+$AA$4</f>
        <v>0.52700000000000002</v>
      </c>
      <c r="S194" s="2038">
        <f t="shared" ca="1" si="242"/>
        <v>0</v>
      </c>
      <c r="T194" s="2403">
        <f t="shared" ca="1" si="243"/>
        <v>0</v>
      </c>
      <c r="U194" s="2404">
        <f t="shared" ca="1" si="244"/>
        <v>0</v>
      </c>
      <c r="V194" s="2054">
        <f>MAX(IF(OR('DATA INPUT'!$H$24=3),'DATA INPUT'!$J$24,0),
IF(OR('DATA INPUT'!$V$24=3),'DATA INPUT'!$X$24,0),
IF(OR('DATA INPUT'!$AD$24=3),'DATA INPUT'!$AF$24,0))</f>
        <v>0</v>
      </c>
      <c r="W194" s="1604">
        <f t="shared" ca="1" si="245"/>
        <v>0</v>
      </c>
      <c r="X194" s="2058">
        <f t="shared" ca="1" si="246"/>
        <v>0</v>
      </c>
      <c r="Y194" s="1489">
        <f t="shared" ca="1" si="247"/>
        <v>0</v>
      </c>
      <c r="Z194" s="2056">
        <f t="shared" ca="1" si="248"/>
        <v>0.52700000000000002</v>
      </c>
      <c r="AA194" s="1490">
        <f t="shared" ca="1" si="249"/>
        <v>0</v>
      </c>
      <c r="AB194" s="2057">
        <f t="shared" ca="1" si="250"/>
        <v>0</v>
      </c>
      <c r="AC194" s="1"/>
    </row>
    <row r="195" spans="1:29" x14ac:dyDescent="0.25">
      <c r="A195" s="50">
        <v>3</v>
      </c>
      <c r="B195" s="540">
        <f>'DATA INPUT'!$K$8</f>
        <v>0</v>
      </c>
      <c r="C195" s="2030">
        <f ca="1">MAX(IF($F$188=12,0),
IF($F$188&lt;12,IF('DATA INPUT'!$H$24=1,'DATA INPUT'!$K$24)))</f>
        <v>0</v>
      </c>
      <c r="D195" s="2031">
        <f>MAX(IF(OR('DATA INPUT'!$H$24=2),'DATA INPUT'!$K$24,0),
IF(OR('DATA INPUT'!$V$24=2),'DATA INPUT'!$Y$24,0),
IF(OR('DATA INPUT'!$AD$24=2),'DATA INPUT'!$AG$24,0))</f>
        <v>0</v>
      </c>
      <c r="E195" s="493">
        <f t="shared" ca="1" si="233"/>
        <v>0</v>
      </c>
      <c r="F195" s="2032">
        <f t="shared" ca="1" si="234"/>
        <v>0</v>
      </c>
      <c r="G195" s="2033">
        <f t="shared" ca="1" si="234"/>
        <v>0</v>
      </c>
      <c r="H195" s="461">
        <v>0.03</v>
      </c>
      <c r="I195" s="2914">
        <f t="shared" ca="1" si="235"/>
        <v>0</v>
      </c>
      <c r="J195" s="457">
        <f>(J194*H195)+J194</f>
        <v>0</v>
      </c>
      <c r="K195" s="457">
        <f t="shared" ca="1" si="236"/>
        <v>0</v>
      </c>
      <c r="L195" s="457">
        <f t="shared" ca="1" si="237"/>
        <v>0</v>
      </c>
      <c r="M195" s="2398">
        <f t="shared" ca="1" si="238"/>
        <v>0</v>
      </c>
      <c r="N195" s="2034">
        <f t="shared" ca="1" si="239"/>
        <v>0</v>
      </c>
      <c r="O195" s="2035">
        <f t="shared" ca="1" si="240"/>
        <v>0</v>
      </c>
      <c r="P195" s="2036">
        <f ca="1">P194+$AA$4</f>
        <v>0.54700000000000004</v>
      </c>
      <c r="Q195" s="2037">
        <f t="shared" ca="1" si="241"/>
        <v>0</v>
      </c>
      <c r="R195" s="1758">
        <f ca="1">R194+$AA$4</f>
        <v>0.54700000000000004</v>
      </c>
      <c r="S195" s="2038">
        <f t="shared" ca="1" si="242"/>
        <v>0</v>
      </c>
      <c r="T195" s="2403">
        <f t="shared" ca="1" si="243"/>
        <v>0</v>
      </c>
      <c r="U195" s="2404">
        <f t="shared" ca="1" si="244"/>
        <v>0</v>
      </c>
      <c r="V195" s="2054">
        <f>MAX(IF(OR('DATA INPUT'!$H$24=3),'DATA INPUT'!$K$24,0),
IF(OR('DATA INPUT'!$V$24=3),'DATA INPUT'!$Y$24,0),
IF(OR('DATA INPUT'!$AD$24=3),'DATA INPUT'!$AG$24,0))</f>
        <v>0</v>
      </c>
      <c r="W195" s="1604">
        <f t="shared" ca="1" si="245"/>
        <v>0</v>
      </c>
      <c r="X195" s="2058">
        <f t="shared" ca="1" si="246"/>
        <v>0</v>
      </c>
      <c r="Y195" s="1489">
        <f t="shared" ca="1" si="247"/>
        <v>0</v>
      </c>
      <c r="Z195" s="2056">
        <f t="shared" ca="1" si="248"/>
        <v>0.54700000000000004</v>
      </c>
      <c r="AA195" s="1490">
        <f t="shared" ca="1" si="249"/>
        <v>0</v>
      </c>
      <c r="AB195" s="2057">
        <f t="shared" ca="1" si="250"/>
        <v>0</v>
      </c>
      <c r="AC195" s="1"/>
    </row>
    <row r="196" spans="1:29" x14ac:dyDescent="0.25">
      <c r="A196" s="50">
        <v>4</v>
      </c>
      <c r="B196" s="540">
        <f>'DATA INPUT'!$L$8</f>
        <v>0</v>
      </c>
      <c r="C196" s="2030">
        <f ca="1">MAX(IF($F$188=12,0),
IF($F$188&lt;12,IF('DATA INPUT'!$H$24=1,'DATA INPUT'!$L$24)))</f>
        <v>0</v>
      </c>
      <c r="D196" s="2031">
        <f>MAX(IF(OR('DATA INPUT'!$H$24=2),'DATA INPUT'!$L$24,0),
IF(OR('DATA INPUT'!$V$24=2),'DATA INPUT'!$Z$24,0),
IF(OR('DATA INPUT'!$AD$24=2),'DATA INPUT'!$AH$24,0))</f>
        <v>0</v>
      </c>
      <c r="E196" s="493">
        <f t="shared" ca="1" si="233"/>
        <v>0</v>
      </c>
      <c r="F196" s="2032">
        <f t="shared" ca="1" si="234"/>
        <v>0</v>
      </c>
      <c r="G196" s="2033">
        <f t="shared" ca="1" si="234"/>
        <v>0</v>
      </c>
      <c r="H196" s="461">
        <v>0.03</v>
      </c>
      <c r="I196" s="2914">
        <f t="shared" ca="1" si="235"/>
        <v>0</v>
      </c>
      <c r="J196" s="457">
        <f>(J195*H196)+J195</f>
        <v>0</v>
      </c>
      <c r="K196" s="457">
        <f t="shared" ca="1" si="236"/>
        <v>0</v>
      </c>
      <c r="L196" s="457">
        <f t="shared" ca="1" si="237"/>
        <v>0</v>
      </c>
      <c r="M196" s="2398">
        <f t="shared" ca="1" si="238"/>
        <v>0</v>
      </c>
      <c r="N196" s="2034">
        <f t="shared" ca="1" si="239"/>
        <v>0</v>
      </c>
      <c r="O196" s="2035">
        <f t="shared" ca="1" si="240"/>
        <v>0</v>
      </c>
      <c r="P196" s="2036">
        <f ca="1">P195+$AA$4</f>
        <v>0.56700000000000006</v>
      </c>
      <c r="Q196" s="2037">
        <f t="shared" ca="1" si="241"/>
        <v>0</v>
      </c>
      <c r="R196" s="1758">
        <f ca="1">R195+$AA$4</f>
        <v>0.56700000000000006</v>
      </c>
      <c r="S196" s="2038">
        <f t="shared" ca="1" si="242"/>
        <v>0</v>
      </c>
      <c r="T196" s="2403">
        <f t="shared" ca="1" si="243"/>
        <v>0</v>
      </c>
      <c r="U196" s="2404">
        <f t="shared" ca="1" si="244"/>
        <v>0</v>
      </c>
      <c r="V196" s="2054">
        <f>MAX(IF(OR('DATA INPUT'!$H$24=3),'DATA INPUT'!$L$24,0),
IF(OR('DATA INPUT'!$V$24=3),'DATA INPUT'!$Z$24,0),
IF(OR('DATA INPUT'!$AD$24=3),'DATA INPUT'!$AH$24,0))</f>
        <v>0</v>
      </c>
      <c r="W196" s="1604">
        <f t="shared" ca="1" si="245"/>
        <v>0</v>
      </c>
      <c r="X196" s="2058">
        <f t="shared" ca="1" si="246"/>
        <v>0</v>
      </c>
      <c r="Y196" s="1489">
        <f t="shared" ca="1" si="247"/>
        <v>0</v>
      </c>
      <c r="Z196" s="2059">
        <f t="shared" ca="1" si="248"/>
        <v>0.56700000000000006</v>
      </c>
      <c r="AA196" s="1490">
        <f t="shared" ca="1" si="249"/>
        <v>0</v>
      </c>
      <c r="AB196" s="2063">
        <f t="shared" ca="1" si="250"/>
        <v>0</v>
      </c>
      <c r="AC196" s="335"/>
    </row>
    <row r="197" spans="1:29" x14ac:dyDescent="0.25">
      <c r="A197" s="50">
        <v>5</v>
      </c>
      <c r="B197" s="540">
        <f>'DATA INPUT'!$M$8</f>
        <v>0</v>
      </c>
      <c r="C197" s="2030">
        <f ca="1">MAX(IF($F$188=12,0),
IF($F$188&lt;12,IF('DATA INPUT'!$H$24=1,'DATA INPUT'!$M$24)))</f>
        <v>0</v>
      </c>
      <c r="D197" s="2031">
        <f>MAX(IF(OR('DATA INPUT'!$H$24=2),'DATA INPUT'!$M$24,0),
IF(OR('DATA INPUT'!$V$24=2),'DATA INPUT'!$AA$24,0),
IF(OR('DATA INPUT'!$AD$24=2),'DATA INPUT'!$AI$24,0))</f>
        <v>0</v>
      </c>
      <c r="E197" s="493">
        <f t="shared" ca="1" si="233"/>
        <v>0</v>
      </c>
      <c r="F197" s="2032">
        <f t="shared" ca="1" si="234"/>
        <v>0</v>
      </c>
      <c r="G197" s="2033">
        <f t="shared" ca="1" si="234"/>
        <v>0</v>
      </c>
      <c r="H197" s="461">
        <v>0.03</v>
      </c>
      <c r="I197" s="2914">
        <f t="shared" ca="1" si="235"/>
        <v>0</v>
      </c>
      <c r="J197" s="457">
        <f>(J196*H197)+J196</f>
        <v>0</v>
      </c>
      <c r="K197" s="457">
        <f t="shared" ca="1" si="236"/>
        <v>0</v>
      </c>
      <c r="L197" s="457">
        <f t="shared" ca="1" si="237"/>
        <v>0</v>
      </c>
      <c r="M197" s="2398">
        <f t="shared" ca="1" si="238"/>
        <v>0</v>
      </c>
      <c r="N197" s="2034">
        <f t="shared" ca="1" si="239"/>
        <v>0</v>
      </c>
      <c r="O197" s="2035">
        <f t="shared" ca="1" si="240"/>
        <v>0</v>
      </c>
      <c r="P197" s="2036">
        <f ca="1">P196+$AA$4</f>
        <v>0.58700000000000008</v>
      </c>
      <c r="Q197" s="2037">
        <f t="shared" ca="1" si="241"/>
        <v>0</v>
      </c>
      <c r="R197" s="1758">
        <f ca="1">R196+$AA$4</f>
        <v>0.58700000000000008</v>
      </c>
      <c r="S197" s="2038">
        <f t="shared" ca="1" si="242"/>
        <v>0</v>
      </c>
      <c r="T197" s="2403">
        <f t="shared" ca="1" si="243"/>
        <v>0</v>
      </c>
      <c r="U197" s="2404">
        <f t="shared" ca="1" si="244"/>
        <v>0</v>
      </c>
      <c r="V197" s="2054">
        <f>MAX(IF(OR('DATA INPUT'!$H$24=3),'DATA INPUT'!$M$24,0),
IF(OR('DATA INPUT'!$V$24=3),'DATA INPUT'!$AA$24,0),
IF(OR('DATA INPUT'!$AD$24=3),'DATA INPUT'!$AI$24,0))</f>
        <v>0</v>
      </c>
      <c r="W197" s="1604">
        <f t="shared" ca="1" si="245"/>
        <v>0</v>
      </c>
      <c r="X197" s="2058">
        <f t="shared" ca="1" si="246"/>
        <v>0</v>
      </c>
      <c r="Y197" s="1489">
        <f t="shared" ca="1" si="247"/>
        <v>0</v>
      </c>
      <c r="Z197" s="2056">
        <f t="shared" ca="1" si="248"/>
        <v>0.58700000000000008</v>
      </c>
      <c r="AA197" s="1490">
        <f t="shared" ca="1" si="249"/>
        <v>0</v>
      </c>
      <c r="AB197" s="2057">
        <f t="shared" ca="1" si="250"/>
        <v>0</v>
      </c>
    </row>
    <row r="198" spans="1:29" ht="15.75" thickBot="1" x14ac:dyDescent="0.3">
      <c r="A198" s="623">
        <v>6</v>
      </c>
      <c r="B198" s="1591">
        <f>'DATA INPUT'!$N$8</f>
        <v>0</v>
      </c>
      <c r="C198" s="2039">
        <f ca="1">MAX(IF($F$188=12,0),
IF($F$188&lt;12,IF('DATA INPUT'!$H$24=1,'DATA INPUT'!$N$24)))</f>
        <v>0</v>
      </c>
      <c r="D198" s="2040">
        <f>MAX(IF(OR('DATA INPUT'!$H$24=2),'DATA INPUT'!$N$24,0),
IF(OR('DATA INPUT'!$V$24=2),'DATA INPUT'!$AB$24,0),
IF(OR('DATA INPUT'!$AD$24=2),'DATA INPUT'!$AJ$24,0))</f>
        <v>0</v>
      </c>
      <c r="E198" s="628">
        <f t="shared" ca="1" si="233"/>
        <v>0</v>
      </c>
      <c r="F198" s="2041">
        <f t="shared" ca="1" si="234"/>
        <v>0</v>
      </c>
      <c r="G198" s="2042">
        <f t="shared" ca="1" si="234"/>
        <v>0</v>
      </c>
      <c r="H198" s="494">
        <v>0.03</v>
      </c>
      <c r="I198" s="2915">
        <f t="shared" ca="1" si="235"/>
        <v>0</v>
      </c>
      <c r="J198" s="495">
        <f>(J197*H198)+J197</f>
        <v>0</v>
      </c>
      <c r="K198" s="495">
        <f t="shared" ca="1" si="236"/>
        <v>0</v>
      </c>
      <c r="L198" s="495">
        <f t="shared" ca="1" si="237"/>
        <v>0</v>
      </c>
      <c r="M198" s="2399">
        <f t="shared" ca="1" si="238"/>
        <v>0</v>
      </c>
      <c r="N198" s="2044">
        <f t="shared" ca="1" si="239"/>
        <v>0</v>
      </c>
      <c r="O198" s="2045">
        <f t="shared" ca="1" si="240"/>
        <v>0</v>
      </c>
      <c r="P198" s="2046">
        <f ca="1">P197+$AA$4</f>
        <v>0.6070000000000001</v>
      </c>
      <c r="Q198" s="2047">
        <f t="shared" ca="1" si="241"/>
        <v>0</v>
      </c>
      <c r="R198" s="1759">
        <f ca="1">R197+$AA$4</f>
        <v>0.6070000000000001</v>
      </c>
      <c r="S198" s="2048">
        <f t="shared" ca="1" si="242"/>
        <v>0</v>
      </c>
      <c r="T198" s="2405">
        <f t="shared" ca="1" si="243"/>
        <v>0</v>
      </c>
      <c r="U198" s="2406">
        <f t="shared" ca="1" si="244"/>
        <v>0</v>
      </c>
      <c r="V198" s="2060">
        <f>MAX(IF(OR('DATA INPUT'!$H$24=3),'DATA INPUT'!$N$24,0),
IF(OR('DATA INPUT'!$V$24=3),'DATA INPUT'!$AB$24,0),
IF(OR('DATA INPUT'!$AD$24=3),'DATA INPUT'!$AJ$24,0))</f>
        <v>0</v>
      </c>
      <c r="W198" s="1906">
        <f t="shared" ca="1" si="245"/>
        <v>0</v>
      </c>
      <c r="X198" s="2061">
        <f t="shared" ca="1" si="246"/>
        <v>0</v>
      </c>
      <c r="Y198" s="1513">
        <f t="shared" ca="1" si="247"/>
        <v>0</v>
      </c>
      <c r="Z198" s="2062">
        <f t="shared" ca="1" si="248"/>
        <v>0.6070000000000001</v>
      </c>
      <c r="AA198" s="2043">
        <f t="shared" ca="1" si="249"/>
        <v>0</v>
      </c>
      <c r="AB198" s="2064">
        <f t="shared" ca="1" si="250"/>
        <v>0</v>
      </c>
    </row>
    <row r="199" spans="1:29" ht="15.75" thickBot="1" x14ac:dyDescent="0.3">
      <c r="A199" s="614" t="s">
        <v>85</v>
      </c>
      <c r="B199" s="1674">
        <f>SUM(B193:B198)</f>
        <v>12</v>
      </c>
      <c r="C199" s="2736">
        <f ca="1">SUM(C193:C198)</f>
        <v>0</v>
      </c>
      <c r="D199" s="2737">
        <f>SUM(D193:D198)</f>
        <v>0</v>
      </c>
      <c r="E199" s="2738">
        <f ca="1">IFERROR(SUM(C199+D199)/B199,0)*$F189</f>
        <v>0</v>
      </c>
      <c r="F199" s="2739">
        <f ca="1">SUM(F193:F198)</f>
        <v>0</v>
      </c>
      <c r="G199" s="2740">
        <f ca="1">SUM(G193:G198)</f>
        <v>0</v>
      </c>
      <c r="H199"/>
      <c r="I199"/>
      <c r="K199" s="60"/>
      <c r="N199" s="2734">
        <f ca="1">SUM(N193:N198)</f>
        <v>0</v>
      </c>
      <c r="O199" s="2735">
        <f ca="1">SUM(O193:O198)</f>
        <v>0</v>
      </c>
      <c r="Q199" s="1592">
        <f ca="1">SUM(Q193:Q198)</f>
        <v>0</v>
      </c>
      <c r="S199" s="1593">
        <f ca="1">SUM(S193:S198)</f>
        <v>0</v>
      </c>
      <c r="T199" s="60"/>
      <c r="U199" s="60"/>
      <c r="V199" s="1692">
        <f>SUM(V193:V198)</f>
        <v>0</v>
      </c>
      <c r="W199" s="1692">
        <f ca="1">SUM(W193:W198)</f>
        <v>0</v>
      </c>
      <c r="X199" s="2050">
        <f t="shared" ca="1" si="246"/>
        <v>0</v>
      </c>
      <c r="Y199" s="2051">
        <f ca="1">SUM(Y193:Y198)</f>
        <v>0</v>
      </c>
      <c r="AA199" s="2051">
        <f ca="1">SUM(AA193:AA198)</f>
        <v>0</v>
      </c>
      <c r="AB199" s="2051">
        <f ca="1">SUM(AB193:AB198)</f>
        <v>0</v>
      </c>
    </row>
    <row r="200" spans="1:29" x14ac:dyDescent="0.25">
      <c r="B200" s="3073" t="s">
        <v>1074</v>
      </c>
      <c r="C200" s="2065">
        <f ca="1">(C199+D199+V199)*F189</f>
        <v>0</v>
      </c>
      <c r="D200" s="496" t="s">
        <v>256</v>
      </c>
      <c r="E200" s="497"/>
      <c r="F200" s="498">
        <f ca="1">E199</f>
        <v>0</v>
      </c>
      <c r="G200" s="499" t="s">
        <v>701</v>
      </c>
      <c r="H200" s="500"/>
      <c r="I200" s="500"/>
      <c r="J200" s="498">
        <f ca="1">X199</f>
        <v>0</v>
      </c>
      <c r="K200" s="499" t="s">
        <v>702</v>
      </c>
      <c r="L200" s="500"/>
      <c r="W200"/>
      <c r="X200"/>
    </row>
    <row r="201" spans="1:29" ht="24" thickBot="1" x14ac:dyDescent="0.4">
      <c r="A201" s="2749">
        <f>A187+1</f>
        <v>15</v>
      </c>
      <c r="B201" s="2749"/>
    </row>
    <row r="202" spans="1:29" ht="15.75" thickBot="1" x14ac:dyDescent="0.3">
      <c r="A202" s="401" t="s">
        <v>104</v>
      </c>
      <c r="B202" s="2741">
        <f ca="1">OFFSET('DATA INPUT'!$B$11,($A201-1),0)</f>
        <v>0</v>
      </c>
      <c r="C202" s="2746"/>
      <c r="E202" s="1736" t="s">
        <v>81</v>
      </c>
      <c r="F202" s="2743">
        <f ca="1">OFFSET('DATA INPUT'!$G$11,($A201-1),0)</f>
        <v>9</v>
      </c>
      <c r="G202" s="2744"/>
      <c r="H202"/>
      <c r="I202"/>
      <c r="J202" s="1596" t="s">
        <v>257</v>
      </c>
      <c r="K202" s="2755"/>
      <c r="L202" s="1742">
        <f>'DATA INPUT'!E25</f>
        <v>0</v>
      </c>
      <c r="N202" s="1596" t="s">
        <v>525</v>
      </c>
      <c r="O202" s="1755" t="str">
        <f ca="1">OFFSET('DATA INPUT'!$D$11,($A201-1),0)</f>
        <v>Professional &amp; Academic Faculty</v>
      </c>
      <c r="Q202" s="64">
        <f>'DATA INPUT'!S25</f>
        <v>0</v>
      </c>
      <c r="R202" s="1718"/>
      <c r="S202" s="1719"/>
      <c r="T202" s="1598"/>
      <c r="U202" s="333"/>
      <c r="Y202" s="1"/>
      <c r="Z202" s="1"/>
      <c r="AA202" s="1"/>
      <c r="AB202" s="1"/>
      <c r="AC202" s="1"/>
    </row>
    <row r="203" spans="1:29" ht="15.75" thickBot="1" x14ac:dyDescent="0.3">
      <c r="A203" s="1737" t="s">
        <v>80</v>
      </c>
      <c r="B203" s="2753">
        <f ca="1">OFFSET('DATA INPUT'!$C$11,($A201-1),0)</f>
        <v>0</v>
      </c>
      <c r="C203" s="2754"/>
      <c r="E203" s="2617" t="s">
        <v>82</v>
      </c>
      <c r="F203" s="2745">
        <f ca="1">OFFSET('DATA INPUT'!$F$11,($A201-1),0)</f>
        <v>1</v>
      </c>
      <c r="G203" s="2742"/>
      <c r="J203" s="66" t="s">
        <v>529</v>
      </c>
      <c r="K203" s="1741"/>
      <c r="L203" s="334">
        <f ca="1">IFERROR(L202/F202,0)</f>
        <v>0</v>
      </c>
      <c r="N203" s="1743" t="s">
        <v>530</v>
      </c>
      <c r="O203" s="1754">
        <f>'DATA INPUT'!T25</f>
        <v>0</v>
      </c>
      <c r="Q203" s="66"/>
      <c r="R203" s="1715"/>
      <c r="S203" s="1713"/>
      <c r="T203" s="1746"/>
      <c r="U203" s="61"/>
      <c r="V203" s="401" t="s">
        <v>104</v>
      </c>
      <c r="W203" s="401">
        <f>'DATA INPUT'!$B$25</f>
        <v>0</v>
      </c>
      <c r="X203" s="1719"/>
      <c r="Y203" s="2235"/>
      <c r="Z203" s="2235"/>
      <c r="AA203" s="2235"/>
      <c r="AB203" s="2236"/>
      <c r="AC203" s="1"/>
    </row>
    <row r="204" spans="1:29" s="770" customFormat="1" ht="30" customHeight="1" thickBot="1" x14ac:dyDescent="0.3">
      <c r="A204" s="2751" t="s">
        <v>253</v>
      </c>
      <c r="B204" s="2750" t="s">
        <v>254</v>
      </c>
      <c r="C204" s="3529" t="s">
        <v>258</v>
      </c>
      <c r="D204" s="3530"/>
      <c r="E204" s="3531"/>
      <c r="F204" s="3529" t="s">
        <v>83</v>
      </c>
      <c r="G204" s="3531"/>
      <c r="H204" s="3529" t="s">
        <v>65</v>
      </c>
      <c r="I204" s="3544"/>
      <c r="J204" s="3544"/>
      <c r="K204" s="3544"/>
      <c r="L204" s="3544"/>
      <c r="M204" s="3545"/>
      <c r="N204" s="3529" t="s">
        <v>84</v>
      </c>
      <c r="O204" s="3531"/>
      <c r="P204" s="3529" t="s">
        <v>78</v>
      </c>
      <c r="Q204" s="3530"/>
      <c r="R204" s="3530"/>
      <c r="S204" s="3531"/>
      <c r="T204" s="3529" t="s">
        <v>87</v>
      </c>
      <c r="U204" s="3531"/>
      <c r="V204" s="3529" t="s">
        <v>623</v>
      </c>
      <c r="W204" s="3530"/>
      <c r="X204" s="3530"/>
      <c r="Y204" s="3530"/>
      <c r="Z204" s="3530"/>
      <c r="AA204" s="3530"/>
      <c r="AB204" s="3531"/>
      <c r="AC204" s="2618"/>
    </row>
    <row r="205" spans="1:29" ht="15.75" customHeight="1" x14ac:dyDescent="0.25">
      <c r="A205" s="2752"/>
      <c r="B205" s="2750"/>
      <c r="C205" s="3527" t="s">
        <v>252</v>
      </c>
      <c r="D205" s="2187" t="str">
        <f ca="1">IF($F$202=12,"CY","AY")</f>
        <v>AY</v>
      </c>
      <c r="E205" s="3444" t="s">
        <v>231</v>
      </c>
      <c r="F205" s="3525" t="s">
        <v>232</v>
      </c>
      <c r="G205" s="2185" t="str">
        <f ca="1">IF($F$202=12,"CY","AY")</f>
        <v>AY</v>
      </c>
      <c r="H205" s="3523" t="s">
        <v>86</v>
      </c>
      <c r="I205" s="3518" t="s">
        <v>922</v>
      </c>
      <c r="J205" s="2918" t="str">
        <f ca="1">IF(F202=12,"CY","AY")</f>
        <v>AY</v>
      </c>
      <c r="K205" s="3542" t="s">
        <v>485</v>
      </c>
      <c r="L205" s="3542" t="s">
        <v>255</v>
      </c>
      <c r="M205" s="3547" t="s">
        <v>66</v>
      </c>
      <c r="N205" s="3549" t="s">
        <v>64</v>
      </c>
      <c r="O205" s="3537" t="str">
        <f ca="1">IF($F$202=12,"CY","AY")</f>
        <v>AY</v>
      </c>
      <c r="P205" s="2014" t="s">
        <v>617</v>
      </c>
      <c r="Q205" s="2015">
        <f ca="1">IFERROR(VLOOKUP(O202,TableFringePool[],2,0),0)</f>
        <v>0.50700000000000001</v>
      </c>
      <c r="R205" s="2018" t="str">
        <f ca="1">IF($F$6=12,"CY Base % ","AY Base %")</f>
        <v xml:space="preserve">CY Base % </v>
      </c>
      <c r="S205" s="2016">
        <f ca="1">Q205</f>
        <v>0.50700000000000001</v>
      </c>
      <c r="T205" s="3539" t="s">
        <v>64</v>
      </c>
      <c r="U205" s="3537" t="str">
        <f ca="1">IF($F$202=12,"CY","AY")</f>
        <v>AY</v>
      </c>
      <c r="V205" s="3477" t="s">
        <v>618</v>
      </c>
      <c r="W205" s="3554" t="s">
        <v>619</v>
      </c>
      <c r="X205" s="3552" t="s">
        <v>620</v>
      </c>
      <c r="Y205" s="3560" t="s">
        <v>624</v>
      </c>
      <c r="Z205" s="2052" t="s">
        <v>621</v>
      </c>
      <c r="AA205" s="2053"/>
      <c r="AB205" s="3558" t="s">
        <v>625</v>
      </c>
      <c r="AC205" s="1"/>
    </row>
    <row r="206" spans="1:29" ht="15.75" customHeight="1" thickBot="1" x14ac:dyDescent="0.3">
      <c r="A206" s="2715"/>
      <c r="B206" s="2750"/>
      <c r="C206" s="3528"/>
      <c r="D206" s="2188" t="s">
        <v>636</v>
      </c>
      <c r="E206" s="3446"/>
      <c r="F206" s="3526"/>
      <c r="G206" s="2186" t="s">
        <v>637</v>
      </c>
      <c r="H206" s="3524"/>
      <c r="I206" s="3519"/>
      <c r="J206" s="2919" t="s">
        <v>1015</v>
      </c>
      <c r="K206" s="3543"/>
      <c r="L206" s="3543"/>
      <c r="M206" s="3548"/>
      <c r="N206" s="3550"/>
      <c r="O206" s="3538"/>
      <c r="P206" s="2010" t="s">
        <v>67</v>
      </c>
      <c r="Q206" s="1781" t="s">
        <v>68</v>
      </c>
      <c r="R206" s="2011" t="s">
        <v>67</v>
      </c>
      <c r="S206" s="2012" t="s">
        <v>68</v>
      </c>
      <c r="T206" s="3540"/>
      <c r="U206" s="3538"/>
      <c r="V206" s="3564"/>
      <c r="W206" s="3569"/>
      <c r="X206" s="3570"/>
      <c r="Y206" s="3565"/>
      <c r="Z206" s="2125" t="s">
        <v>622</v>
      </c>
      <c r="AA206" s="2126" t="s">
        <v>68</v>
      </c>
      <c r="AB206" s="3566"/>
      <c r="AC206" s="1"/>
    </row>
    <row r="207" spans="1:29" x14ac:dyDescent="0.25">
      <c r="A207" s="622">
        <v>1</v>
      </c>
      <c r="B207" s="782">
        <f>'DATA INPUT'!$I$8</f>
        <v>12</v>
      </c>
      <c r="C207" s="2021">
        <f ca="1">MAX(IF($F$202=12,0),
IF($F$202&lt;12,IF('DATA INPUT'!$H$25=1,'DATA INPUT'!$I$25)))</f>
        <v>0</v>
      </c>
      <c r="D207" s="2022">
        <f>MAX(IF(OR('DATA INPUT'!$H$25=2),'DATA INPUT'!$I$25,0),
IF(OR('DATA INPUT'!$V$25=2),'DATA INPUT'!$W$25,0),
IF(OR('DATA INPUT'!$AD$25=2,),'DATA INPUT'!$AE$25,0))</f>
        <v>0</v>
      </c>
      <c r="E207" s="491">
        <f t="shared" ref="E207:E212" ca="1" si="251">IFERROR(SUM(C207+D207)/B207,0)*$F$203</f>
        <v>0</v>
      </c>
      <c r="F207" s="2023">
        <f t="shared" ref="F207:G212" ca="1" si="252">C207*(2080/12)*$F$203</f>
        <v>0</v>
      </c>
      <c r="G207" s="2024">
        <f t="shared" ca="1" si="252"/>
        <v>0</v>
      </c>
      <c r="H207" s="2019">
        <v>0.03</v>
      </c>
      <c r="I207" s="2914">
        <f t="shared" ref="I207:I212" ca="1" si="253">IF($F$202&lt;12,K207*(12-$F$202),0)</f>
        <v>0</v>
      </c>
      <c r="J207" s="501">
        <f>(L202*H207)+L202</f>
        <v>0</v>
      </c>
      <c r="K207" s="501">
        <f t="shared" ref="K207:K212" ca="1" si="254">IFERROR(J207/$F$202,0)</f>
        <v>0</v>
      </c>
      <c r="L207" s="501">
        <f t="shared" ref="L207:L212" ca="1" si="255">IFERROR(J207/$F$202*$F$203,0)</f>
        <v>0</v>
      </c>
      <c r="M207" s="2397">
        <f t="shared" ref="M207:M212" ca="1" si="256">K207/(2080/12)</f>
        <v>0</v>
      </c>
      <c r="N207" s="2025">
        <f t="shared" ref="N207:N212" ca="1" si="257">MAX(IF($F$202=12,0),
IF($F$202&lt;12,C207*L207))</f>
        <v>0</v>
      </c>
      <c r="O207" s="2026">
        <f t="shared" ref="O207:O212" ca="1" si="258">(D207*L207)</f>
        <v>0</v>
      </c>
      <c r="P207" s="2027">
        <f ca="1">IF($V$4&lt;$U$4, $Q205, IF($V$4&gt;$X$4, $Q205+2*$AA$3, $Q205+$AA$3))</f>
        <v>0.50700000000000001</v>
      </c>
      <c r="Q207" s="2028">
        <f t="shared" ref="Q207:Q212" ca="1" si="259">IFERROR(P207*N207,0)</f>
        <v>0</v>
      </c>
      <c r="R207" s="2009">
        <f ca="1">IF($V$4&lt;$U$4, $Q205, IF($V$4&gt;$X$4, $Q205+2*$AA$3, $Q205+$AA$3))</f>
        <v>0.50700000000000001</v>
      </c>
      <c r="S207" s="2029">
        <f t="shared" ref="S207:S212" ca="1" si="260">R207*O207</f>
        <v>0</v>
      </c>
      <c r="T207" s="2401">
        <f t="shared" ref="T207:T212" ca="1" si="261">IFERROR((K207/(2080/12))+((K207*P207)/(2080/12)),"")</f>
        <v>0</v>
      </c>
      <c r="U207" s="2402">
        <f t="shared" ref="U207:U212" ca="1" si="262">(K207/(2080/12))+((K207*R207)/(2080/12))</f>
        <v>0</v>
      </c>
      <c r="V207" s="2130">
        <f>MAX(IF(OR('DATA INPUT'!$H$25=3),'DATA INPUT'!$I$25,0),
IF(OR('DATA INPUT'!$V$25=3),'DATA INPUT'!$W$25,0),
IF(OR('DATA INPUT'!$AD$25=3),'DATA INPUT'!$AE$25,0))</f>
        <v>0</v>
      </c>
      <c r="W207" s="1904">
        <f t="shared" ref="W207:W212" ca="1" si="263">V207*(2080/12)*$F$203</f>
        <v>0</v>
      </c>
      <c r="X207" s="2131">
        <f t="shared" ref="X207:X213" ca="1" si="264">IFERROR(V207/B207,0)*$F$203</f>
        <v>0</v>
      </c>
      <c r="Y207" s="1657">
        <f t="shared" ref="Y207:Y212" ca="1" si="265">V207*L207</f>
        <v>0</v>
      </c>
      <c r="Z207" s="2132">
        <f t="shared" ref="Z207:Z212" ca="1" si="266">R207</f>
        <v>0.50700000000000001</v>
      </c>
      <c r="AA207" s="2133">
        <f t="shared" ref="AA207:AA212" ca="1" si="267">Y207*Z207</f>
        <v>0</v>
      </c>
      <c r="AB207" s="2134">
        <f t="shared" ref="AB207:AB212" ca="1" si="268">SUM(Y207,AA207)</f>
        <v>0</v>
      </c>
      <c r="AC207" s="1"/>
    </row>
    <row r="208" spans="1:29" x14ac:dyDescent="0.25">
      <c r="A208" s="50">
        <v>2</v>
      </c>
      <c r="B208" s="540">
        <f>'DATA INPUT'!$J$8</f>
        <v>0</v>
      </c>
      <c r="C208" s="2030">
        <f ca="1">MAX(IF($F$202=12,0),
IF($F$202&lt;12,IF('DATA INPUT'!$H$25=1,'DATA INPUT'!$J$25)))</f>
        <v>0</v>
      </c>
      <c r="D208" s="2031">
        <f>MAX(IF(OR('DATA INPUT'!$H$25=2),'DATA INPUT'!$J$25,0),
IF(OR('DATA INPUT'!$V$25=2),'DATA INPUT'!$X$25,0),
IF(OR('DATA INPUT'!$AD$25=2),'DATA INPUT'!$AF$25,0))</f>
        <v>0</v>
      </c>
      <c r="E208" s="493">
        <f t="shared" ca="1" si="251"/>
        <v>0</v>
      </c>
      <c r="F208" s="2032">
        <f t="shared" ca="1" si="252"/>
        <v>0</v>
      </c>
      <c r="G208" s="2033">
        <f t="shared" ca="1" si="252"/>
        <v>0</v>
      </c>
      <c r="H208" s="461">
        <v>0.03</v>
      </c>
      <c r="I208" s="2914">
        <f t="shared" ca="1" si="253"/>
        <v>0</v>
      </c>
      <c r="J208" s="457">
        <f>(J207*H208)+J207</f>
        <v>0</v>
      </c>
      <c r="K208" s="457">
        <f t="shared" ca="1" si="254"/>
        <v>0</v>
      </c>
      <c r="L208" s="457">
        <f t="shared" ca="1" si="255"/>
        <v>0</v>
      </c>
      <c r="M208" s="2398">
        <f t="shared" ca="1" si="256"/>
        <v>0</v>
      </c>
      <c r="N208" s="2034">
        <f t="shared" ca="1" si="257"/>
        <v>0</v>
      </c>
      <c r="O208" s="2035">
        <f t="shared" ca="1" si="258"/>
        <v>0</v>
      </c>
      <c r="P208" s="2036">
        <f ca="1">P207+$AA$4</f>
        <v>0.52700000000000002</v>
      </c>
      <c r="Q208" s="2037">
        <f t="shared" ca="1" si="259"/>
        <v>0</v>
      </c>
      <c r="R208" s="1758">
        <f ca="1">R207+$AA$4</f>
        <v>0.52700000000000002</v>
      </c>
      <c r="S208" s="2038">
        <f t="shared" ca="1" si="260"/>
        <v>0</v>
      </c>
      <c r="T208" s="2403">
        <f t="shared" ca="1" si="261"/>
        <v>0</v>
      </c>
      <c r="U208" s="2404">
        <f t="shared" ca="1" si="262"/>
        <v>0</v>
      </c>
      <c r="V208" s="2054">
        <f>MAX(IF(OR('DATA INPUT'!$H$25=3),'DATA INPUT'!$J$25,0),
IF(OR('DATA INPUT'!$V$25=3),'DATA INPUT'!$X$25,0),
IF(OR('DATA INPUT'!$AD$25=3),'DATA INPUT'!$AF$25,0))</f>
        <v>0</v>
      </c>
      <c r="W208" s="1604">
        <f t="shared" ca="1" si="263"/>
        <v>0</v>
      </c>
      <c r="X208" s="2058">
        <f t="shared" ca="1" si="264"/>
        <v>0</v>
      </c>
      <c r="Y208" s="1489">
        <f t="shared" ca="1" si="265"/>
        <v>0</v>
      </c>
      <c r="Z208" s="2056">
        <f t="shared" ca="1" si="266"/>
        <v>0.52700000000000002</v>
      </c>
      <c r="AA208" s="1490">
        <f t="shared" ca="1" si="267"/>
        <v>0</v>
      </c>
      <c r="AB208" s="2057">
        <f t="shared" ca="1" si="268"/>
        <v>0</v>
      </c>
      <c r="AC208" s="1"/>
    </row>
    <row r="209" spans="1:29" x14ac:dyDescent="0.25">
      <c r="A209" s="50">
        <v>3</v>
      </c>
      <c r="B209" s="540">
        <f>'DATA INPUT'!$K$8</f>
        <v>0</v>
      </c>
      <c r="C209" s="2030">
        <f ca="1">MAX(IF($F$202=12,0),
IF($F$202&lt;12,IF('DATA INPUT'!$H$25=1,'DATA INPUT'!$K$25)))</f>
        <v>0</v>
      </c>
      <c r="D209" s="2031">
        <f>MAX(IF(OR('DATA INPUT'!$H$25=2),'DATA INPUT'!$K$25,0),
IF(OR('DATA INPUT'!$V$25=2),'DATA INPUT'!$Y$25,0),
IF(OR('DATA INPUT'!$AD$25=2),'DATA INPUT'!$AG$25,0))</f>
        <v>0</v>
      </c>
      <c r="E209" s="493">
        <f t="shared" ca="1" si="251"/>
        <v>0</v>
      </c>
      <c r="F209" s="2032">
        <f t="shared" ca="1" si="252"/>
        <v>0</v>
      </c>
      <c r="G209" s="2033">
        <f t="shared" ca="1" si="252"/>
        <v>0</v>
      </c>
      <c r="H209" s="461">
        <v>0.03</v>
      </c>
      <c r="I209" s="2914">
        <f t="shared" ca="1" si="253"/>
        <v>0</v>
      </c>
      <c r="J209" s="457">
        <f>(J208*H209)+J208</f>
        <v>0</v>
      </c>
      <c r="K209" s="457">
        <f t="shared" ca="1" si="254"/>
        <v>0</v>
      </c>
      <c r="L209" s="457">
        <f t="shared" ca="1" si="255"/>
        <v>0</v>
      </c>
      <c r="M209" s="2398">
        <f t="shared" ca="1" si="256"/>
        <v>0</v>
      </c>
      <c r="N209" s="2034">
        <f t="shared" ca="1" si="257"/>
        <v>0</v>
      </c>
      <c r="O209" s="2035">
        <f t="shared" ca="1" si="258"/>
        <v>0</v>
      </c>
      <c r="P209" s="2036">
        <f ca="1">P208+$AA$4</f>
        <v>0.54700000000000004</v>
      </c>
      <c r="Q209" s="2037">
        <f t="shared" ca="1" si="259"/>
        <v>0</v>
      </c>
      <c r="R209" s="1758">
        <f ca="1">R208+$AA$4</f>
        <v>0.54700000000000004</v>
      </c>
      <c r="S209" s="2038">
        <f t="shared" ca="1" si="260"/>
        <v>0</v>
      </c>
      <c r="T209" s="2403">
        <f t="shared" ca="1" si="261"/>
        <v>0</v>
      </c>
      <c r="U209" s="2404">
        <f t="shared" ca="1" si="262"/>
        <v>0</v>
      </c>
      <c r="V209" s="2054">
        <f>MAX(IF(OR('DATA INPUT'!$H$25=3),'DATA INPUT'!$K$25,0),
IF(OR('DATA INPUT'!$V$25=3),'DATA INPUT'!$Y$25,0),
IF(OR('DATA INPUT'!$AD$25=3),'DATA INPUT'!$AG$25,0))</f>
        <v>0</v>
      </c>
      <c r="W209" s="1604">
        <f t="shared" ca="1" si="263"/>
        <v>0</v>
      </c>
      <c r="X209" s="2058">
        <f t="shared" ca="1" si="264"/>
        <v>0</v>
      </c>
      <c r="Y209" s="1489">
        <f t="shared" ca="1" si="265"/>
        <v>0</v>
      </c>
      <c r="Z209" s="2056">
        <f t="shared" ca="1" si="266"/>
        <v>0.54700000000000004</v>
      </c>
      <c r="AA209" s="1490">
        <f t="shared" ca="1" si="267"/>
        <v>0</v>
      </c>
      <c r="AB209" s="2057">
        <f t="shared" ca="1" si="268"/>
        <v>0</v>
      </c>
      <c r="AC209" s="1"/>
    </row>
    <row r="210" spans="1:29" x14ac:dyDescent="0.25">
      <c r="A210" s="50">
        <v>4</v>
      </c>
      <c r="B210" s="540">
        <f>'DATA INPUT'!$L$8</f>
        <v>0</v>
      </c>
      <c r="C210" s="2030">
        <f ca="1">MAX(IF($F$202=12,0),
IF($F$202&lt;12,IF('DATA INPUT'!$H$25=1,'DATA INPUT'!$L$25)))</f>
        <v>0</v>
      </c>
      <c r="D210" s="2031">
        <f>MAX(IF(OR('DATA INPUT'!$H$25=2),'DATA INPUT'!$L$25,0),
IF(OR('DATA INPUT'!$V$25=2),'DATA INPUT'!$Z$25,0),
IF(OR('DATA INPUT'!$AD$25=2),'DATA INPUT'!$AH$25,0))</f>
        <v>0</v>
      </c>
      <c r="E210" s="493">
        <f t="shared" ca="1" si="251"/>
        <v>0</v>
      </c>
      <c r="F210" s="2032">
        <f t="shared" ca="1" si="252"/>
        <v>0</v>
      </c>
      <c r="G210" s="2033">
        <f t="shared" ca="1" si="252"/>
        <v>0</v>
      </c>
      <c r="H210" s="461">
        <v>0.03</v>
      </c>
      <c r="I210" s="2914">
        <f t="shared" ca="1" si="253"/>
        <v>0</v>
      </c>
      <c r="J210" s="457">
        <f>(J209*H210)+J209</f>
        <v>0</v>
      </c>
      <c r="K210" s="457">
        <f t="shared" ca="1" si="254"/>
        <v>0</v>
      </c>
      <c r="L210" s="457">
        <f t="shared" ca="1" si="255"/>
        <v>0</v>
      </c>
      <c r="M210" s="2398">
        <f t="shared" ca="1" si="256"/>
        <v>0</v>
      </c>
      <c r="N210" s="2034">
        <f t="shared" ca="1" si="257"/>
        <v>0</v>
      </c>
      <c r="O210" s="2035">
        <f t="shared" ca="1" si="258"/>
        <v>0</v>
      </c>
      <c r="P210" s="2036">
        <f ca="1">P209+$AA$4</f>
        <v>0.56700000000000006</v>
      </c>
      <c r="Q210" s="2037">
        <f t="shared" ca="1" si="259"/>
        <v>0</v>
      </c>
      <c r="R210" s="1758">
        <f ca="1">R209+$AA$4</f>
        <v>0.56700000000000006</v>
      </c>
      <c r="S210" s="2038">
        <f t="shared" ca="1" si="260"/>
        <v>0</v>
      </c>
      <c r="T210" s="2403">
        <f t="shared" ca="1" si="261"/>
        <v>0</v>
      </c>
      <c r="U210" s="2404">
        <f t="shared" ca="1" si="262"/>
        <v>0</v>
      </c>
      <c r="V210" s="2054">
        <f>MAX(IF(OR('DATA INPUT'!$H$25=3),'DATA INPUT'!$L$25,0),
IF(OR('DATA INPUT'!$V$25=3),'DATA INPUT'!$Z$25,0),
IF(OR('DATA INPUT'!$AD$25=3),'DATA INPUT'!$AH$25,0))</f>
        <v>0</v>
      </c>
      <c r="W210" s="1604">
        <f t="shared" ca="1" si="263"/>
        <v>0</v>
      </c>
      <c r="X210" s="2058">
        <f t="shared" ca="1" si="264"/>
        <v>0</v>
      </c>
      <c r="Y210" s="1489">
        <f t="shared" ca="1" si="265"/>
        <v>0</v>
      </c>
      <c r="Z210" s="2059">
        <f t="shared" ca="1" si="266"/>
        <v>0.56700000000000006</v>
      </c>
      <c r="AA210" s="1490">
        <f t="shared" ca="1" si="267"/>
        <v>0</v>
      </c>
      <c r="AB210" s="2063">
        <f t="shared" ca="1" si="268"/>
        <v>0</v>
      </c>
      <c r="AC210" s="335"/>
    </row>
    <row r="211" spans="1:29" x14ac:dyDescent="0.25">
      <c r="A211" s="50">
        <v>5</v>
      </c>
      <c r="B211" s="540">
        <f>'DATA INPUT'!$M$8</f>
        <v>0</v>
      </c>
      <c r="C211" s="2030">
        <f ca="1">MAX(IF($F$202=12,0),
IF($F$202&lt;12,IF('DATA INPUT'!$H$25=1,'DATA INPUT'!$M$25)))</f>
        <v>0</v>
      </c>
      <c r="D211" s="2031">
        <f>MAX(IF(OR('DATA INPUT'!$H$25=2),'DATA INPUT'!$M$25,0),
IF(OR('DATA INPUT'!$V$25=2),'DATA INPUT'!$AA$25,0),
IF(OR('DATA INPUT'!$AD$25=2),'DATA INPUT'!$AI$25,0))</f>
        <v>0</v>
      </c>
      <c r="E211" s="493">
        <f t="shared" ca="1" si="251"/>
        <v>0</v>
      </c>
      <c r="F211" s="2032">
        <f t="shared" ca="1" si="252"/>
        <v>0</v>
      </c>
      <c r="G211" s="2033">
        <f t="shared" ca="1" si="252"/>
        <v>0</v>
      </c>
      <c r="H211" s="461">
        <v>0.03</v>
      </c>
      <c r="I211" s="2914">
        <f t="shared" ca="1" si="253"/>
        <v>0</v>
      </c>
      <c r="J211" s="457">
        <f>(J210*H211)+J210</f>
        <v>0</v>
      </c>
      <c r="K211" s="457">
        <f t="shared" ca="1" si="254"/>
        <v>0</v>
      </c>
      <c r="L211" s="457">
        <f t="shared" ca="1" si="255"/>
        <v>0</v>
      </c>
      <c r="M211" s="2398">
        <f t="shared" ca="1" si="256"/>
        <v>0</v>
      </c>
      <c r="N211" s="2034">
        <f t="shared" ca="1" si="257"/>
        <v>0</v>
      </c>
      <c r="O211" s="2035">
        <f t="shared" ca="1" si="258"/>
        <v>0</v>
      </c>
      <c r="P211" s="2036">
        <f ca="1">P210+$AA$4</f>
        <v>0.58700000000000008</v>
      </c>
      <c r="Q211" s="2037">
        <f t="shared" ca="1" si="259"/>
        <v>0</v>
      </c>
      <c r="R211" s="1758">
        <f ca="1">R210+$AA$4</f>
        <v>0.58700000000000008</v>
      </c>
      <c r="S211" s="2038">
        <f t="shared" ca="1" si="260"/>
        <v>0</v>
      </c>
      <c r="T211" s="2403">
        <f t="shared" ca="1" si="261"/>
        <v>0</v>
      </c>
      <c r="U211" s="2404">
        <f t="shared" ca="1" si="262"/>
        <v>0</v>
      </c>
      <c r="V211" s="2054">
        <f>MAX(IF(OR('DATA INPUT'!$H$25=3),'DATA INPUT'!$M$25,0),
IF(OR('DATA INPUT'!$V$25=3),'DATA INPUT'!$AA$25,0),
IF(OR('DATA INPUT'!$AD$25=3),'DATA INPUT'!$AI$25,0))</f>
        <v>0</v>
      </c>
      <c r="W211" s="1604">
        <f t="shared" ca="1" si="263"/>
        <v>0</v>
      </c>
      <c r="X211" s="2058">
        <f t="shared" ca="1" si="264"/>
        <v>0</v>
      </c>
      <c r="Y211" s="1489">
        <f t="shared" ca="1" si="265"/>
        <v>0</v>
      </c>
      <c r="Z211" s="2056">
        <f t="shared" ca="1" si="266"/>
        <v>0.58700000000000008</v>
      </c>
      <c r="AA211" s="1490">
        <f t="shared" ca="1" si="267"/>
        <v>0</v>
      </c>
      <c r="AB211" s="2057">
        <f t="shared" ca="1" si="268"/>
        <v>0</v>
      </c>
    </row>
    <row r="212" spans="1:29" ht="15.75" thickBot="1" x14ac:dyDescent="0.3">
      <c r="A212" s="623">
        <v>6</v>
      </c>
      <c r="B212" s="1591">
        <f>'DATA INPUT'!$N$8</f>
        <v>0</v>
      </c>
      <c r="C212" s="2039">
        <f ca="1">MAX(IF($F$202=12,0),
IF($F$202&lt;12,IF('DATA INPUT'!$H$25=1,'DATA INPUT'!$N$25)))</f>
        <v>0</v>
      </c>
      <c r="D212" s="2040">
        <f>MAX(IF(OR('DATA INPUT'!$H$25=2),'DATA INPUT'!$N$25,0),
IF(OR('DATA INPUT'!$V$25=2),'DATA INPUT'!$AB$25,0),
IF(OR('DATA INPUT'!$AD$25=2),'DATA INPUT'!$AJ$25,0))</f>
        <v>0</v>
      </c>
      <c r="E212" s="628">
        <f t="shared" ca="1" si="251"/>
        <v>0</v>
      </c>
      <c r="F212" s="2041">
        <f t="shared" ca="1" si="252"/>
        <v>0</v>
      </c>
      <c r="G212" s="2042">
        <f t="shared" ca="1" si="252"/>
        <v>0</v>
      </c>
      <c r="H212" s="494">
        <v>0.03</v>
      </c>
      <c r="I212" s="2915">
        <f t="shared" ca="1" si="253"/>
        <v>0</v>
      </c>
      <c r="J212" s="495">
        <f>(J211*H212)+J211</f>
        <v>0</v>
      </c>
      <c r="K212" s="495">
        <f t="shared" ca="1" si="254"/>
        <v>0</v>
      </c>
      <c r="L212" s="495">
        <f t="shared" ca="1" si="255"/>
        <v>0</v>
      </c>
      <c r="M212" s="2399">
        <f t="shared" ca="1" si="256"/>
        <v>0</v>
      </c>
      <c r="N212" s="2044">
        <f t="shared" ca="1" si="257"/>
        <v>0</v>
      </c>
      <c r="O212" s="2045">
        <f t="shared" ca="1" si="258"/>
        <v>0</v>
      </c>
      <c r="P212" s="2046">
        <f ca="1">P211+$AA$4</f>
        <v>0.6070000000000001</v>
      </c>
      <c r="Q212" s="2047">
        <f t="shared" ca="1" si="259"/>
        <v>0</v>
      </c>
      <c r="R212" s="1759">
        <f ca="1">R211+$AA$4</f>
        <v>0.6070000000000001</v>
      </c>
      <c r="S212" s="2048">
        <f t="shared" ca="1" si="260"/>
        <v>0</v>
      </c>
      <c r="T212" s="2405">
        <f t="shared" ca="1" si="261"/>
        <v>0</v>
      </c>
      <c r="U212" s="2406">
        <f t="shared" ca="1" si="262"/>
        <v>0</v>
      </c>
      <c r="V212" s="2060">
        <f>MAX(IF(OR('DATA INPUT'!$H$25=3),'DATA INPUT'!$N$25,0),
IF(OR('DATA INPUT'!$V$25=3),'DATA INPUT'!$AB$25,0),
IF(OR('DATA INPUT'!$AD$25=3),'DATA INPUT'!$AJ$25,0))</f>
        <v>0</v>
      </c>
      <c r="W212" s="1906">
        <f t="shared" ca="1" si="263"/>
        <v>0</v>
      </c>
      <c r="X212" s="2061">
        <f t="shared" ca="1" si="264"/>
        <v>0</v>
      </c>
      <c r="Y212" s="1513">
        <f t="shared" ca="1" si="265"/>
        <v>0</v>
      </c>
      <c r="Z212" s="2062">
        <f t="shared" ca="1" si="266"/>
        <v>0.6070000000000001</v>
      </c>
      <c r="AA212" s="2043">
        <f t="shared" ca="1" si="267"/>
        <v>0</v>
      </c>
      <c r="AB212" s="2064">
        <f t="shared" ca="1" si="268"/>
        <v>0</v>
      </c>
    </row>
    <row r="213" spans="1:29" ht="15.75" thickBot="1" x14ac:dyDescent="0.3">
      <c r="A213" s="614" t="s">
        <v>85</v>
      </c>
      <c r="B213" s="1674">
        <f>SUM(B207:B212)</f>
        <v>12</v>
      </c>
      <c r="C213" s="2736">
        <f ca="1">SUM(C207:C212)</f>
        <v>0</v>
      </c>
      <c r="D213" s="2737">
        <f>SUM(D207:D212)</f>
        <v>0</v>
      </c>
      <c r="E213" s="2738">
        <f ca="1">IFERROR(SUM(C213+D213)/B213,0)*$F203</f>
        <v>0</v>
      </c>
      <c r="F213" s="2739">
        <f ca="1">SUM(F207:F212)</f>
        <v>0</v>
      </c>
      <c r="G213" s="2740">
        <f ca="1">SUM(G207:G212)</f>
        <v>0</v>
      </c>
      <c r="H213"/>
      <c r="I213"/>
      <c r="K213" s="60"/>
      <c r="N213" s="2734">
        <f ca="1">SUM(N207:N212)</f>
        <v>0</v>
      </c>
      <c r="O213" s="2735">
        <f ca="1">SUM(O207:O212)</f>
        <v>0</v>
      </c>
      <c r="Q213" s="1592">
        <f ca="1">SUM(Q207:Q212)</f>
        <v>0</v>
      </c>
      <c r="S213" s="1593">
        <f ca="1">SUM(S207:S212)</f>
        <v>0</v>
      </c>
      <c r="T213" s="60"/>
      <c r="U213" s="60"/>
      <c r="V213" s="1692">
        <f>SUM(V207:V212)</f>
        <v>0</v>
      </c>
      <c r="W213" s="1692">
        <f ca="1">SUM(W207:W212)</f>
        <v>0</v>
      </c>
      <c r="X213" s="2050">
        <f t="shared" ca="1" si="264"/>
        <v>0</v>
      </c>
      <c r="Y213" s="2051">
        <f ca="1">SUM(Y207:Y212)</f>
        <v>0</v>
      </c>
      <c r="AA213" s="2051">
        <f ca="1">SUM(AA207:AA212)</f>
        <v>0</v>
      </c>
      <c r="AB213" s="2051">
        <f ca="1">SUM(AB207:AB212)</f>
        <v>0</v>
      </c>
    </row>
    <row r="214" spans="1:29" x14ac:dyDescent="0.25">
      <c r="B214" s="3073" t="s">
        <v>1074</v>
      </c>
      <c r="C214" s="2065">
        <f ca="1">(C213+D213+V213)*F203</f>
        <v>0</v>
      </c>
      <c r="D214" s="496" t="s">
        <v>256</v>
      </c>
      <c r="E214" s="497"/>
      <c r="F214" s="498">
        <f ca="1">E213</f>
        <v>0</v>
      </c>
      <c r="G214" s="499" t="s">
        <v>701</v>
      </c>
      <c r="H214" s="500"/>
      <c r="I214" s="500"/>
      <c r="J214" s="498">
        <f ca="1">X213</f>
        <v>0</v>
      </c>
      <c r="K214" s="499" t="s">
        <v>702</v>
      </c>
      <c r="L214" s="500"/>
      <c r="W214"/>
      <c r="X214"/>
    </row>
  </sheetData>
  <mergeCells count="367">
    <mergeCell ref="C204:E204"/>
    <mergeCell ref="F204:G204"/>
    <mergeCell ref="F92:G92"/>
    <mergeCell ref="C64:E64"/>
    <mergeCell ref="F64:G64"/>
    <mergeCell ref="H204:M204"/>
    <mergeCell ref="C162:E162"/>
    <mergeCell ref="F162:G162"/>
    <mergeCell ref="H162:M162"/>
    <mergeCell ref="C176:E176"/>
    <mergeCell ref="F176:G176"/>
    <mergeCell ref="H176:M176"/>
    <mergeCell ref="E121:E122"/>
    <mergeCell ref="F121:F122"/>
    <mergeCell ref="H121:H122"/>
    <mergeCell ref="H64:M64"/>
    <mergeCell ref="C191:C192"/>
    <mergeCell ref="E191:E192"/>
    <mergeCell ref="F191:F192"/>
    <mergeCell ref="H191:H192"/>
    <mergeCell ref="K191:K192"/>
    <mergeCell ref="C190:E190"/>
    <mergeCell ref="F190:G190"/>
    <mergeCell ref="H107:H108"/>
    <mergeCell ref="Y149:Y150"/>
    <mergeCell ref="AB149:AB150"/>
    <mergeCell ref="V163:V164"/>
    <mergeCell ref="W163:W164"/>
    <mergeCell ref="X163:X164"/>
    <mergeCell ref="Y163:Y164"/>
    <mergeCell ref="W93:W94"/>
    <mergeCell ref="X93:X94"/>
    <mergeCell ref="W107:W108"/>
    <mergeCell ref="X107:X108"/>
    <mergeCell ref="W121:W122"/>
    <mergeCell ref="X121:X122"/>
    <mergeCell ref="W135:W136"/>
    <mergeCell ref="AB163:AB164"/>
    <mergeCell ref="X135:X136"/>
    <mergeCell ref="V93:V94"/>
    <mergeCell ref="Y93:Y94"/>
    <mergeCell ref="AB93:AB94"/>
    <mergeCell ref="Y107:Y108"/>
    <mergeCell ref="AB107:AB108"/>
    <mergeCell ref="Y121:Y122"/>
    <mergeCell ref="AB121:AB122"/>
    <mergeCell ref="Y135:Y136"/>
    <mergeCell ref="AB135:AB136"/>
    <mergeCell ref="N162:O162"/>
    <mergeCell ref="P162:S162"/>
    <mergeCell ref="T162:U162"/>
    <mergeCell ref="C163:C164"/>
    <mergeCell ref="E163:E164"/>
    <mergeCell ref="F163:F164"/>
    <mergeCell ref="V92:AB92"/>
    <mergeCell ref="V106:AB106"/>
    <mergeCell ref="V120:AB120"/>
    <mergeCell ref="V134:AB134"/>
    <mergeCell ref="V148:AB148"/>
    <mergeCell ref="V162:AB162"/>
    <mergeCell ref="C148:E148"/>
    <mergeCell ref="F148:G148"/>
    <mergeCell ref="H148:M148"/>
    <mergeCell ref="N148:O148"/>
    <mergeCell ref="P148:S148"/>
    <mergeCell ref="T148:U148"/>
    <mergeCell ref="O149:O150"/>
    <mergeCell ref="T149:T150"/>
    <mergeCell ref="U149:U150"/>
    <mergeCell ref="F106:G106"/>
    <mergeCell ref="C106:E106"/>
    <mergeCell ref="U93:U94"/>
    <mergeCell ref="K177:K178"/>
    <mergeCell ref="L177:L178"/>
    <mergeCell ref="M177:M178"/>
    <mergeCell ref="I163:I164"/>
    <mergeCell ref="L149:L150"/>
    <mergeCell ref="M149:M150"/>
    <mergeCell ref="E107:E108"/>
    <mergeCell ref="C135:C136"/>
    <mergeCell ref="E135:E136"/>
    <mergeCell ref="F135:F136"/>
    <mergeCell ref="C121:C122"/>
    <mergeCell ref="C134:E134"/>
    <mergeCell ref="F134:G134"/>
    <mergeCell ref="L135:L136"/>
    <mergeCell ref="I135:I136"/>
    <mergeCell ref="M135:M136"/>
    <mergeCell ref="P92:S92"/>
    <mergeCell ref="T92:U92"/>
    <mergeCell ref="C120:E120"/>
    <mergeCell ref="F120:G120"/>
    <mergeCell ref="H120:M120"/>
    <mergeCell ref="N120:O120"/>
    <mergeCell ref="P120:S120"/>
    <mergeCell ref="T120:U120"/>
    <mergeCell ref="O205:O206"/>
    <mergeCell ref="T205:T206"/>
    <mergeCell ref="U205:U206"/>
    <mergeCell ref="C177:C178"/>
    <mergeCell ref="C107:C108"/>
    <mergeCell ref="F107:F108"/>
    <mergeCell ref="L107:L108"/>
    <mergeCell ref="L93:L94"/>
    <mergeCell ref="C93:C94"/>
    <mergeCell ref="H205:H206"/>
    <mergeCell ref="K205:K206"/>
    <mergeCell ref="L205:L206"/>
    <mergeCell ref="M205:M206"/>
    <mergeCell ref="E177:E178"/>
    <mergeCell ref="F177:F178"/>
    <mergeCell ref="H177:H178"/>
    <mergeCell ref="P64:S64"/>
    <mergeCell ref="T64:U64"/>
    <mergeCell ref="C78:E78"/>
    <mergeCell ref="F78:G78"/>
    <mergeCell ref="H78:M78"/>
    <mergeCell ref="N78:O78"/>
    <mergeCell ref="P78:S78"/>
    <mergeCell ref="T78:U78"/>
    <mergeCell ref="E65:E66"/>
    <mergeCell ref="F65:F66"/>
    <mergeCell ref="Y177:Y178"/>
    <mergeCell ref="L191:L192"/>
    <mergeCell ref="M191:M192"/>
    <mergeCell ref="V205:V206"/>
    <mergeCell ref="W205:W206"/>
    <mergeCell ref="X205:X206"/>
    <mergeCell ref="Y205:Y206"/>
    <mergeCell ref="AB205:AB206"/>
    <mergeCell ref="N191:N192"/>
    <mergeCell ref="O191:O192"/>
    <mergeCell ref="T191:T192"/>
    <mergeCell ref="N204:O204"/>
    <mergeCell ref="P204:S204"/>
    <mergeCell ref="T204:U204"/>
    <mergeCell ref="X191:X192"/>
    <mergeCell ref="U191:U192"/>
    <mergeCell ref="V191:V192"/>
    <mergeCell ref="W191:W192"/>
    <mergeCell ref="V204:AB204"/>
    <mergeCell ref="AB191:AB192"/>
    <mergeCell ref="Y191:Y192"/>
    <mergeCell ref="N205:N206"/>
    <mergeCell ref="AB177:AB178"/>
    <mergeCell ref="N176:O176"/>
    <mergeCell ref="P176:S176"/>
    <mergeCell ref="T176:U176"/>
    <mergeCell ref="V176:AB176"/>
    <mergeCell ref="V190:AB190"/>
    <mergeCell ref="K163:K164"/>
    <mergeCell ref="L163:L164"/>
    <mergeCell ref="M163:M164"/>
    <mergeCell ref="N163:N164"/>
    <mergeCell ref="O163:O164"/>
    <mergeCell ref="T163:T164"/>
    <mergeCell ref="U163:U164"/>
    <mergeCell ref="H190:M190"/>
    <mergeCell ref="N190:O190"/>
    <mergeCell ref="P190:S190"/>
    <mergeCell ref="T190:U190"/>
    <mergeCell ref="I177:I178"/>
    <mergeCell ref="N177:N178"/>
    <mergeCell ref="O177:O178"/>
    <mergeCell ref="T177:T178"/>
    <mergeCell ref="U177:U178"/>
    <mergeCell ref="V177:V178"/>
    <mergeCell ref="W177:W178"/>
    <mergeCell ref="X177:X178"/>
    <mergeCell ref="T93:T94"/>
    <mergeCell ref="N149:N150"/>
    <mergeCell ref="V149:V150"/>
    <mergeCell ref="W149:W150"/>
    <mergeCell ref="X149:X150"/>
    <mergeCell ref="C149:C150"/>
    <mergeCell ref="E149:E150"/>
    <mergeCell ref="F149:F150"/>
    <mergeCell ref="H149:H150"/>
    <mergeCell ref="K149:K150"/>
    <mergeCell ref="I149:I150"/>
    <mergeCell ref="U135:U136"/>
    <mergeCell ref="V135:V136"/>
    <mergeCell ref="U107:U108"/>
    <mergeCell ref="V107:V108"/>
    <mergeCell ref="T121:T122"/>
    <mergeCell ref="U121:U122"/>
    <mergeCell ref="V121:V122"/>
    <mergeCell ref="T134:U134"/>
    <mergeCell ref="T135:T136"/>
    <mergeCell ref="N135:N136"/>
    <mergeCell ref="O135:O136"/>
    <mergeCell ref="H135:H136"/>
    <mergeCell ref="K135:K136"/>
    <mergeCell ref="X51:X52"/>
    <mergeCell ref="W65:W66"/>
    <mergeCell ref="X65:X66"/>
    <mergeCell ref="W79:W80"/>
    <mergeCell ref="X79:X80"/>
    <mergeCell ref="T51:T52"/>
    <mergeCell ref="U51:U52"/>
    <mergeCell ref="V51:V52"/>
    <mergeCell ref="U65:U66"/>
    <mergeCell ref="V65:V66"/>
    <mergeCell ref="V64:AB64"/>
    <mergeCell ref="V78:AB78"/>
    <mergeCell ref="Y65:Y66"/>
    <mergeCell ref="AB65:AB66"/>
    <mergeCell ref="T79:T80"/>
    <mergeCell ref="U79:U80"/>
    <mergeCell ref="V79:V80"/>
    <mergeCell ref="Y79:Y80"/>
    <mergeCell ref="AB79:AB80"/>
    <mergeCell ref="Y51:Y52"/>
    <mergeCell ref="AB51:AB52"/>
    <mergeCell ref="T65:T66"/>
    <mergeCell ref="W51:W52"/>
    <mergeCell ref="P106:S106"/>
    <mergeCell ref="T106:U106"/>
    <mergeCell ref="H134:M134"/>
    <mergeCell ref="N134:O134"/>
    <mergeCell ref="P134:S134"/>
    <mergeCell ref="T107:T108"/>
    <mergeCell ref="L121:L122"/>
    <mergeCell ref="M121:M122"/>
    <mergeCell ref="K107:K108"/>
    <mergeCell ref="M107:M108"/>
    <mergeCell ref="K121:K122"/>
    <mergeCell ref="I121:I122"/>
    <mergeCell ref="AB9:AB10"/>
    <mergeCell ref="Y9:Y10"/>
    <mergeCell ref="T23:T24"/>
    <mergeCell ref="U23:U24"/>
    <mergeCell ref="V23:V24"/>
    <mergeCell ref="Y23:Y24"/>
    <mergeCell ref="AB23:AB24"/>
    <mergeCell ref="T37:T38"/>
    <mergeCell ref="U37:U38"/>
    <mergeCell ref="V37:V38"/>
    <mergeCell ref="Y37:Y38"/>
    <mergeCell ref="AB37:AB38"/>
    <mergeCell ref="X23:X24"/>
    <mergeCell ref="W37:W38"/>
    <mergeCell ref="X37:X38"/>
    <mergeCell ref="T22:U22"/>
    <mergeCell ref="T36:U36"/>
    <mergeCell ref="V22:AB22"/>
    <mergeCell ref="V36:AB36"/>
    <mergeCell ref="K9:K10"/>
    <mergeCell ref="K23:K24"/>
    <mergeCell ref="H65:H66"/>
    <mergeCell ref="H51:H52"/>
    <mergeCell ref="K79:K80"/>
    <mergeCell ref="L79:L80"/>
    <mergeCell ref="N65:N66"/>
    <mergeCell ref="O65:O66"/>
    <mergeCell ref="L65:L66"/>
    <mergeCell ref="M65:M66"/>
    <mergeCell ref="K65:K66"/>
    <mergeCell ref="N64:O64"/>
    <mergeCell ref="H22:M22"/>
    <mergeCell ref="F22:G22"/>
    <mergeCell ref="N51:N52"/>
    <mergeCell ref="O51:O52"/>
    <mergeCell ref="N50:O50"/>
    <mergeCell ref="O121:O122"/>
    <mergeCell ref="N107:N108"/>
    <mergeCell ref="O107:O108"/>
    <mergeCell ref="M79:M80"/>
    <mergeCell ref="N79:N80"/>
    <mergeCell ref="O79:O80"/>
    <mergeCell ref="N93:N94"/>
    <mergeCell ref="O93:O94"/>
    <mergeCell ref="N121:N122"/>
    <mergeCell ref="H92:M92"/>
    <mergeCell ref="N92:O92"/>
    <mergeCell ref="M93:M94"/>
    <mergeCell ref="H106:M106"/>
    <mergeCell ref="N106:O106"/>
    <mergeCell ref="K93:K94"/>
    <mergeCell ref="C36:E36"/>
    <mergeCell ref="F36:G36"/>
    <mergeCell ref="H36:M36"/>
    <mergeCell ref="C65:C66"/>
    <mergeCell ref="C92:E92"/>
    <mergeCell ref="H79:H80"/>
    <mergeCell ref="E79:E80"/>
    <mergeCell ref="F79:F80"/>
    <mergeCell ref="M51:M52"/>
    <mergeCell ref="L51:L52"/>
    <mergeCell ref="C51:C52"/>
    <mergeCell ref="E51:E52"/>
    <mergeCell ref="F51:F52"/>
    <mergeCell ref="C37:C38"/>
    <mergeCell ref="E37:E38"/>
    <mergeCell ref="K51:K52"/>
    <mergeCell ref="K37:K38"/>
    <mergeCell ref="C50:E50"/>
    <mergeCell ref="F50:G50"/>
    <mergeCell ref="H50:M50"/>
    <mergeCell ref="F37:F38"/>
    <mergeCell ref="Y3:Y4"/>
    <mergeCell ref="M9:M10"/>
    <mergeCell ref="N9:N10"/>
    <mergeCell ref="O9:O10"/>
    <mergeCell ref="W3:W4"/>
    <mergeCell ref="L37:L38"/>
    <mergeCell ref="M23:M24"/>
    <mergeCell ref="M37:M38"/>
    <mergeCell ref="X9:X10"/>
    <mergeCell ref="N37:N38"/>
    <mergeCell ref="O37:O38"/>
    <mergeCell ref="N23:N24"/>
    <mergeCell ref="O23:O24"/>
    <mergeCell ref="L23:L24"/>
    <mergeCell ref="W9:W10"/>
    <mergeCell ref="P22:S22"/>
    <mergeCell ref="N22:O22"/>
    <mergeCell ref="N36:O36"/>
    <mergeCell ref="P36:S36"/>
    <mergeCell ref="V50:AB50"/>
    <mergeCell ref="C2:D2"/>
    <mergeCell ref="F2:G2"/>
    <mergeCell ref="W23:W24"/>
    <mergeCell ref="T2:U2"/>
    <mergeCell ref="E9:E10"/>
    <mergeCell ref="U9:U10"/>
    <mergeCell ref="T9:T10"/>
    <mergeCell ref="V9:V10"/>
    <mergeCell ref="F23:F24"/>
    <mergeCell ref="E23:E24"/>
    <mergeCell ref="C23:C24"/>
    <mergeCell ref="H23:H24"/>
    <mergeCell ref="L9:L10"/>
    <mergeCell ref="C8:E8"/>
    <mergeCell ref="F8:G8"/>
    <mergeCell ref="H8:M8"/>
    <mergeCell ref="N8:O8"/>
    <mergeCell ref="P8:S8"/>
    <mergeCell ref="T8:U8"/>
    <mergeCell ref="V8:AB8"/>
    <mergeCell ref="I9:I10"/>
    <mergeCell ref="P50:S50"/>
    <mergeCell ref="T50:U50"/>
    <mergeCell ref="I191:I192"/>
    <mergeCell ref="I205:I206"/>
    <mergeCell ref="A8:A10"/>
    <mergeCell ref="B8:B10"/>
    <mergeCell ref="I23:I24"/>
    <mergeCell ref="I37:I38"/>
    <mergeCell ref="I51:I52"/>
    <mergeCell ref="I65:I66"/>
    <mergeCell ref="I79:I80"/>
    <mergeCell ref="I93:I94"/>
    <mergeCell ref="I107:I108"/>
    <mergeCell ref="H37:H38"/>
    <mergeCell ref="E93:E94"/>
    <mergeCell ref="F93:F94"/>
    <mergeCell ref="H93:H94"/>
    <mergeCell ref="C79:C80"/>
    <mergeCell ref="C9:C10"/>
    <mergeCell ref="F9:F10"/>
    <mergeCell ref="H9:H10"/>
    <mergeCell ref="H163:H164"/>
    <mergeCell ref="C205:C206"/>
    <mergeCell ref="E205:E206"/>
    <mergeCell ref="F205:F206"/>
    <mergeCell ref="C22:E22"/>
  </mergeCells>
  <dataValidations disablePrompts="1" count="3">
    <dataValidation type="list" allowBlank="1" showInputMessage="1" sqref="Q20 Q132 Q118 Q104 Q90 Q76 Q62 Q48 Q34 Q6 Q146 Q160 Q174 Q188 Q202" xr:uid="{00000000-0002-0000-0500-000000000000}">
      <formula1>SP_Titles</formula1>
    </dataValidation>
    <dataValidation type="list" allowBlank="1" showInputMessage="1" sqref="F6 F188 F20 F34 F48 F62 F76 F90 F104 F118 F132 F146 F160 F174 F202" xr:uid="{00000000-0002-0000-0500-000001000000}">
      <formula1>ApptMonths</formula1>
    </dataValidation>
    <dataValidation type="list" allowBlank="1" showInputMessage="1" sqref="U35 F119 U63 F21 U91 F49 U119 F77 U21 F7 U49 U203 U77 F35 U105 F63 U133 F91 F105 F133 U147 F147 U161 F161 U175 F175 U189 F189 F203" xr:uid="{00000000-0002-0000-0500-000002000000}">
      <formula1>ApptFTE</formula1>
    </dataValidation>
  </dataValidations>
  <pageMargins left="0.7" right="0.7" top="0.75" bottom="0.75" header="0.3" footer="0.3"/>
  <pageSetup orientation="portrait" horizontalDpi="1200" verticalDpi="1200" r:id="rId1"/>
  <ignoredErrors>
    <ignoredError sqref="R9 Q11:Q16 P24:S30 P23 E17 X17 R203:S203 P203 P204:S204 R189:S189 P189 P190:S190 R175:S175 P175 P176:S176 R161:S161 P161 P162:S162 R147:S147 P147 P148:S148 R133:S133 P133 P134:S134 R119:S119 P119 P120:S120 R105:S105 P105 P106:S106 R91:S91 P91 P92:S92 R77:S77 P77 P78:S78 R63:S63 P63 P64:S64 R49:S49 P49 P50:S50 R35:S35 P35 P36:S36 P205 P206:S213 P191 P192:S202 P177 P178:S188 P163 P164:S174 P149 P150:S160 P135 P136:S146 P121 P122:S132 P107 P108:S118 P93 P94:S104 P79 P80:S90 P65 P66:S76 P51 P52:S62 P37 P38:S48 P31:S34 T131:U131 T103:U103 T89:U89 C35:O35 C91:O91 C89:O89 V89:AC89 C105:O105 C103:O103 V103:AC103 C133:O133 C131:O131 V131:AC131 C31:O34 T31:AC34 C49:O49 C38:O48 T38:AC48 C37:O37 Q37:AC37 C63:O63 C52:O62 T52:AC62 C51:O51 Q51:AC51 C77:O77 C66:O76 T66:AC76 C65:O65 Q65:AC65 C90:O90 T90:AC90 C80:O88 T80:AC88 C79:O79 Q79:AC79 C94:O102 T94:AC102 C104:O104 T104:AC104 C93:O93 Q93:AC93 C119:O119 C108:O118 T108:AC118 C107:O107 Q107:AC107 C132:O132 T132:AC132 C122:O130 T122:AC130 C121:O121 Q121:AC121 C147:O147 C136:O146 T136:AC146 C135:O135 Q135:AC135 C161:O161 C150:O160 T150:AC160 C149:O149 Q149:AC149 C175:O175 C164:O174 T164:AC174 C163:O163 Q163:AC163 C189:O189 C178:O188 T178:AC188 C177:O177 Q177:AC177 C203:O203 C192:O202 T192:AC202 C191:O191 Q191:AC191 C214:AC214 C206:O213 T206:AC213 C205:O205 Q205:AC205 C36:O36 T36:AC36 Q35 T35:AC35 C50:O50 T50:AC50 Q49 T49:AC49 C64:O64 T64:AC64 Q63 T63:AC63 C78:O78 T78:AC78 Q77 T77:AC77 C92:O92 T92:AC92 Q91 T91:AC91 C106:O106 T106:AC106 Q105 T105:AC105 C120:O120 T120:AC120 Q119 T119:AC119 C134:O134 T134:AC134 Q133 T133:AC133 C148:O148 T148:AC148 Q147 T147:AC147 C162:O162 T162:AC162 Q161 T161:AC161 C176:O176 T176:AC176 Q175 T175:AC175 C190:O190 T190:AC190 Q189 T189:AC189 C204:O204 T204:AC204 Q203 T203:AC203" formula="1"/>
  </ignoredErrors>
  <legacyDrawing r:id="rId2"/>
  <extLst>
    <ext xmlns:x14="http://schemas.microsoft.com/office/spreadsheetml/2009/9/main" uri="{CCE6A557-97BC-4b89-ADB6-D9C93CAAB3DF}">
      <x14:dataValidations xmlns:xm="http://schemas.microsoft.com/office/excel/2006/main" disablePrompts="1" count="1">
        <x14:dataValidation type="list" allowBlank="1" showInputMessage="1" prompt="Select COE School or other unit" xr:uid="{00000000-0002-0000-0500-000006000000}">
          <x14:formula1>
            <xm:f>'Reference Sheet'!$D$40:$D$56</xm:f>
          </x14:formula1>
          <xm:sqref>B7 B21 B35 B49 B63 B77 B91 B105 B119 B133 B147 B161 B175 B189 B203</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theme="9" tint="0.59999389629810485"/>
  </sheetPr>
  <dimension ref="A1:Y257"/>
  <sheetViews>
    <sheetView showGridLines="0" zoomScaleNormal="100" workbookViewId="0">
      <selection activeCell="E12" sqref="E12"/>
    </sheetView>
  </sheetViews>
  <sheetFormatPr defaultColWidth="9.140625" defaultRowHeight="15" x14ac:dyDescent="0.25"/>
  <cols>
    <col min="1" max="1" width="8.28515625" customWidth="1"/>
    <col min="2" max="2" width="10.42578125" style="226" customWidth="1"/>
    <col min="3" max="3" width="8.42578125" customWidth="1"/>
    <col min="4" max="4" width="11.140625" customWidth="1"/>
    <col min="5" max="5" width="9.140625" customWidth="1"/>
    <col min="6" max="7" width="11.7109375" customWidth="1"/>
    <col min="8" max="8" width="13.42578125" customWidth="1"/>
    <col min="9" max="9" width="8.85546875" customWidth="1"/>
    <col min="10" max="10" width="13.42578125" customWidth="1"/>
    <col min="11" max="11" width="12.28515625" customWidth="1"/>
    <col min="12" max="12" width="14.28515625" customWidth="1"/>
    <col min="13" max="16" width="12.7109375" customWidth="1"/>
    <col min="17" max="17" width="15.85546875" customWidth="1"/>
    <col min="18" max="18" width="12.7109375" customWidth="1"/>
    <col min="19" max="20" width="14.85546875" customWidth="1"/>
    <col min="21" max="21" width="9.140625" bestFit="1" customWidth="1"/>
    <col min="22" max="22" width="15" bestFit="1" customWidth="1"/>
    <col min="23" max="23" width="10.5703125" bestFit="1" customWidth="1"/>
    <col min="24" max="24" width="9.5703125" bestFit="1" customWidth="1"/>
    <col min="25" max="25" width="14.85546875" customWidth="1"/>
  </cols>
  <sheetData>
    <row r="1" spans="1:25" ht="15.75" thickBot="1" x14ac:dyDescent="0.3">
      <c r="L1" s="450" t="str">
        <f>Budget!D$12</f>
        <v>Period 1</v>
      </c>
      <c r="M1" s="450" t="str">
        <f>Budget!E$12</f>
        <v>Period 2</v>
      </c>
      <c r="N1" s="450" t="str">
        <f>Budget!F$12</f>
        <v>Period 3</v>
      </c>
      <c r="O1" s="450" t="str">
        <f>Budget!G$12</f>
        <v>Period 4</v>
      </c>
      <c r="P1" s="450" t="str">
        <f>Budget!H$12</f>
        <v>Period 5</v>
      </c>
      <c r="Q1" s="450" t="str">
        <f>Budget!I$12</f>
        <v>Period 6</v>
      </c>
      <c r="R1" s="331" t="str">
        <f>Budget!J$12</f>
        <v>Total</v>
      </c>
      <c r="S1" s="450"/>
      <c r="T1" s="450"/>
    </row>
    <row r="2" spans="1:25" ht="30.75" thickBot="1" x14ac:dyDescent="0.3">
      <c r="A2" s="3604" t="s">
        <v>94</v>
      </c>
      <c r="B2" s="3605"/>
      <c r="C2" s="3532">
        <f>Budget!C4</f>
        <v>46478</v>
      </c>
      <c r="D2" s="3532"/>
      <c r="E2" s="70" t="s">
        <v>95</v>
      </c>
      <c r="F2" s="3532">
        <f>Budget!C5</f>
        <v>46843</v>
      </c>
      <c r="G2" s="3533"/>
      <c r="H2" s="61"/>
      <c r="I2" s="61"/>
      <c r="J2" s="1128" t="s">
        <v>467</v>
      </c>
      <c r="K2" s="1135"/>
      <c r="L2" s="449">
        <f ca="1">Budget!EL$295</f>
        <v>50000</v>
      </c>
      <c r="M2" s="449">
        <f ca="1">Budget!EM$295</f>
        <v>0</v>
      </c>
      <c r="N2" s="449">
        <f ca="1">Budget!EN$295</f>
        <v>0</v>
      </c>
      <c r="O2" s="449">
        <f ca="1">Budget!EO$295</f>
        <v>0</v>
      </c>
      <c r="P2" s="449">
        <f ca="1">Budget!EP$295</f>
        <v>0</v>
      </c>
      <c r="Q2" s="449">
        <f ca="1">Budget!EQ$295</f>
        <v>0</v>
      </c>
      <c r="R2" s="513">
        <f ca="1">SUM(L2:Q2)</f>
        <v>50000</v>
      </c>
      <c r="T2" s="3536" t="s">
        <v>291</v>
      </c>
      <c r="U2" s="3536"/>
      <c r="V2" s="508" t="s">
        <v>286</v>
      </c>
      <c r="X2" s="1749" t="s">
        <v>290</v>
      </c>
      <c r="Y2" s="51"/>
    </row>
    <row r="3" spans="1:25" ht="19.5" customHeight="1" thickBot="1" x14ac:dyDescent="0.3">
      <c r="A3" s="660"/>
      <c r="B3" s="660"/>
      <c r="C3" s="661"/>
      <c r="D3" s="661"/>
      <c r="E3" s="660"/>
      <c r="F3" s="661"/>
      <c r="G3" s="661"/>
      <c r="H3" s="61"/>
      <c r="I3" s="61"/>
      <c r="J3" s="3606" t="s">
        <v>302</v>
      </c>
      <c r="K3" s="3607"/>
      <c r="L3" s="654">
        <f>Budget!$D$11</f>
        <v>12</v>
      </c>
      <c r="M3" s="654">
        <f>Budget!$E$11</f>
        <v>0</v>
      </c>
      <c r="N3" s="654">
        <f>Budget!$F$11</f>
        <v>0</v>
      </c>
      <c r="O3" s="654">
        <f>Budget!$G$11</f>
        <v>0</v>
      </c>
      <c r="P3" s="654">
        <f>Budget!$H$11</f>
        <v>0</v>
      </c>
      <c r="Q3" s="654">
        <f>Budget!$I$11</f>
        <v>0</v>
      </c>
      <c r="R3" s="655">
        <f>SUM(L3:Q3)</f>
        <v>12</v>
      </c>
      <c r="T3" s="1747" t="s">
        <v>288</v>
      </c>
      <c r="U3" s="506">
        <f>'Reference Sheet'!$D$20</f>
        <v>46204</v>
      </c>
      <c r="V3" s="507" t="s">
        <v>287</v>
      </c>
      <c r="W3" s="3551" t="s">
        <v>285</v>
      </c>
      <c r="X3" s="1750" t="s">
        <v>475</v>
      </c>
      <c r="Y3" s="3546"/>
    </row>
    <row r="4" spans="1:25" ht="19.5" thickBot="1" x14ac:dyDescent="0.35">
      <c r="A4" s="451" t="s">
        <v>246</v>
      </c>
      <c r="B4" s="452"/>
      <c r="C4" s="452"/>
      <c r="D4" s="452"/>
      <c r="E4" s="452"/>
      <c r="F4" s="452"/>
      <c r="G4" s="667"/>
      <c r="H4" s="665"/>
      <c r="I4" s="665"/>
      <c r="T4" s="1747" t="s">
        <v>289</v>
      </c>
      <c r="U4" s="506">
        <f>'Reference Sheet'!$D$21</f>
        <v>46568</v>
      </c>
      <c r="V4" s="506">
        <f>'DATA INPUT'!$C$4</f>
        <v>46478</v>
      </c>
      <c r="W4" s="3551"/>
      <c r="X4" s="1751">
        <f>DATE(YEAR($U$4)+1, MONTH($U$4),DAY($U$4))</f>
        <v>46934</v>
      </c>
      <c r="Y4" s="3546"/>
    </row>
    <row r="5" spans="1:25" ht="15.75" customHeight="1" thickBot="1" x14ac:dyDescent="0.3">
      <c r="D5" s="58"/>
      <c r="J5" s="58"/>
    </row>
    <row r="6" spans="1:25" ht="15.75" customHeight="1" thickBot="1" x14ac:dyDescent="0.3">
      <c r="A6" s="1710" t="s">
        <v>247</v>
      </c>
      <c r="B6" s="1711"/>
      <c r="C6" s="1711" t="str">
        <f ca="1">OFFSET('DATA INPUT'!$B$51,(VALUE(RIGHT(LEFT($A6,LEN($A6)-1),1))-1),0)</f>
        <v>TBD</v>
      </c>
      <c r="D6" s="1711"/>
      <c r="E6" s="332" t="s">
        <v>525</v>
      </c>
      <c r="F6" s="1711" t="str">
        <f ca="1">OFFSET('DATA INPUT'!$H$51,(VALUE(RIGHT(LEFT($A6,LEN($A6)-1),1))-1),0)</f>
        <v>Part Time &amp; Temporary</v>
      </c>
      <c r="G6" s="1711"/>
      <c r="H6" s="1704" t="s">
        <v>81</v>
      </c>
      <c r="I6" s="1887">
        <f>'DATA INPUT'!G51</f>
        <v>12</v>
      </c>
      <c r="J6" s="1705" t="s">
        <v>82</v>
      </c>
      <c r="K6" s="1888">
        <f>'DATA INPUT'!F51</f>
        <v>1</v>
      </c>
      <c r="L6" s="1886"/>
      <c r="M6" s="1889"/>
      <c r="V6" s="3075" t="s">
        <v>839</v>
      </c>
      <c r="W6" s="2624"/>
    </row>
    <row r="7" spans="1:25" ht="19.5" customHeight="1" thickBot="1" x14ac:dyDescent="0.3">
      <c r="A7" s="66" t="s">
        <v>80</v>
      </c>
      <c r="B7" s="1709"/>
      <c r="C7" s="1712" t="str">
        <f>'DATA INPUT'!C51</f>
        <v>COE</v>
      </c>
      <c r="D7" s="1712"/>
      <c r="E7" s="3576" t="s">
        <v>257</v>
      </c>
      <c r="F7" s="3577"/>
      <c r="G7" s="1713">
        <f>'DATA INPUT'!E51</f>
        <v>65000</v>
      </c>
      <c r="H7" s="66" t="s">
        <v>528</v>
      </c>
      <c r="I7" s="1715"/>
      <c r="J7" s="334">
        <f>IFERROR(G7/I6,0)</f>
        <v>5416.666666666667</v>
      </c>
      <c r="K7" s="1737"/>
      <c r="L7" s="1890"/>
      <c r="M7" s="334"/>
      <c r="N7" s="1711" t="str">
        <f ca="1">C6</f>
        <v>TBD</v>
      </c>
      <c r="O7" s="1711"/>
      <c r="P7" s="1711"/>
      <c r="R7" s="332" t="s">
        <v>525</v>
      </c>
      <c r="S7" s="1711" t="str">
        <f ca="1">F6</f>
        <v>Part Time &amp; Temporary</v>
      </c>
      <c r="T7" s="1711"/>
      <c r="V7" s="1714" t="s">
        <v>527</v>
      </c>
      <c r="W7" s="3074">
        <f>'Reference Sheet'!$E$25</f>
        <v>0.02</v>
      </c>
    </row>
    <row r="8" spans="1:25" ht="16.350000000000001" customHeight="1" thickBot="1" x14ac:dyDescent="0.3">
      <c r="A8" s="2214"/>
      <c r="B8" s="3578" t="s">
        <v>254</v>
      </c>
      <c r="C8" s="3578" t="s">
        <v>92</v>
      </c>
      <c r="D8" s="3578" t="s">
        <v>93</v>
      </c>
      <c r="E8" s="3581" t="s">
        <v>65</v>
      </c>
      <c r="F8" s="3581"/>
      <c r="G8" s="3581"/>
      <c r="H8" s="3581"/>
      <c r="I8" s="3581"/>
      <c r="J8" s="3582" t="s">
        <v>84</v>
      </c>
      <c r="K8" s="3584" t="s">
        <v>78</v>
      </c>
      <c r="L8" s="3585"/>
      <c r="M8" s="1706"/>
      <c r="N8" s="1996" t="s">
        <v>623</v>
      </c>
      <c r="O8" s="2127"/>
      <c r="P8" s="2128"/>
      <c r="Q8" s="2128"/>
      <c r="R8" s="2129"/>
      <c r="S8" s="2128"/>
      <c r="T8" s="2129"/>
      <c r="V8" s="748" t="s">
        <v>531</v>
      </c>
      <c r="W8" s="3074">
        <f>'Reference Sheet'!$E$26</f>
        <v>0</v>
      </c>
    </row>
    <row r="9" spans="1:25" ht="15" customHeight="1" x14ac:dyDescent="0.25">
      <c r="A9" s="3579" t="s">
        <v>253</v>
      </c>
      <c r="B9" s="3579"/>
      <c r="C9" s="3579"/>
      <c r="D9" s="3579"/>
      <c r="E9" s="3444" t="s">
        <v>86</v>
      </c>
      <c r="F9" s="3444" t="s">
        <v>486</v>
      </c>
      <c r="G9" s="3444" t="s">
        <v>233</v>
      </c>
      <c r="H9" s="3444" t="s">
        <v>255</v>
      </c>
      <c r="I9" s="3450" t="s">
        <v>66</v>
      </c>
      <c r="J9" s="3583"/>
      <c r="K9" s="2212" t="s">
        <v>634</v>
      </c>
      <c r="L9" s="2213">
        <f ca="1">IFERROR(VLOOKUP(F6,TableFringePool[],2,0),0)</f>
        <v>0.312</v>
      </c>
      <c r="M9" s="1708"/>
      <c r="N9" s="3477" t="s">
        <v>618</v>
      </c>
      <c r="O9" s="3554" t="s">
        <v>619</v>
      </c>
      <c r="P9" s="3552" t="s">
        <v>620</v>
      </c>
      <c r="Q9" s="3560" t="s">
        <v>624</v>
      </c>
      <c r="R9" s="2052" t="s">
        <v>621</v>
      </c>
      <c r="S9" s="2053"/>
      <c r="T9" s="3558" t="s">
        <v>625</v>
      </c>
    </row>
    <row r="10" spans="1:25" ht="16.899999999999999" customHeight="1" thickBot="1" x14ac:dyDescent="0.3">
      <c r="A10" s="3587"/>
      <c r="B10" s="3587"/>
      <c r="C10" s="3587"/>
      <c r="D10" s="3587"/>
      <c r="E10" s="3446"/>
      <c r="F10" s="3446"/>
      <c r="G10" s="3446"/>
      <c r="H10" s="3446"/>
      <c r="I10" s="3586"/>
      <c r="J10" s="3591"/>
      <c r="K10" s="616" t="s">
        <v>67</v>
      </c>
      <c r="L10" s="664" t="s">
        <v>68</v>
      </c>
      <c r="M10" s="1707" t="s">
        <v>87</v>
      </c>
      <c r="N10" s="3541"/>
      <c r="O10" s="3555"/>
      <c r="P10" s="3553"/>
      <c r="Q10" s="3561"/>
      <c r="R10" s="2124" t="s">
        <v>622</v>
      </c>
      <c r="S10" s="540" t="s">
        <v>68</v>
      </c>
      <c r="T10" s="3559"/>
    </row>
    <row r="11" spans="1:25" x14ac:dyDescent="0.25">
      <c r="A11" s="1897">
        <v>1</v>
      </c>
      <c r="B11" s="1725">
        <f>'DATA INPUT'!$I$8</f>
        <v>12</v>
      </c>
      <c r="C11" s="1726">
        <f>'DATA INPUT'!I51</f>
        <v>3</v>
      </c>
      <c r="D11" s="1726">
        <f t="shared" ref="D11:D16" ca="1" si="0">(C11*(2080/12))*OFFSET($K$6,(ROW()-(4+A11)-ROW($K$6)),0)</f>
        <v>520</v>
      </c>
      <c r="E11" s="618">
        <v>0</v>
      </c>
      <c r="F11" s="492">
        <f>(G7*E11)+G7</f>
        <v>65000</v>
      </c>
      <c r="G11" s="492">
        <f t="shared" ref="G11:G16" ca="1" si="1">IFERROR(F11/OFFSET($I$6,(ROW()-(4+A11)-ROW($I$6)),0),0)</f>
        <v>5416.666666666667</v>
      </c>
      <c r="H11" s="492">
        <f t="shared" ref="H11:H16" ca="1" si="2">IFERROR(F11/OFFSET($I$6,(ROW()-(4+A11)-ROW($I$6)),0)*OFFSET($K$6,(ROW()-(4+A11)-ROW($K$6)),0),0)</f>
        <v>5416.666666666667</v>
      </c>
      <c r="I11" s="2407">
        <f t="shared" ref="I11:I16" ca="1" si="3">G11/(2080/12)</f>
        <v>31.25</v>
      </c>
      <c r="J11" s="1921">
        <f t="shared" ref="J11:J16" ca="1" si="4">H11*C11</f>
        <v>16250</v>
      </c>
      <c r="K11" s="1912">
        <f ca="1">IF(F6='Reference Sheet'!$D$13, L9, IF($V$4&lt;$U$4, L9, IF($V$4&gt;$X$4, L9+2*$W$7, L9+$W$7)))</f>
        <v>0.312</v>
      </c>
      <c r="L11" s="68">
        <f t="shared" ref="L11:L16" ca="1" si="5">K11*J11</f>
        <v>5070</v>
      </c>
      <c r="M11" s="2410">
        <f t="shared" ref="M11:M16" ca="1" si="6">G11/(2080/12)+(G11*K11)/(2080/12)</f>
        <v>41</v>
      </c>
      <c r="N11" s="2054">
        <f>IF('DATA INPUT'!V51=3,'DATA INPUT'!W51,0)</f>
        <v>0</v>
      </c>
      <c r="O11" s="1604">
        <f t="shared" ref="O11:O16" ca="1" si="7">N11*(2080/12)*OFFSET($K$6,(ROW()-(4+A11)-ROW($K$6)),0)</f>
        <v>0</v>
      </c>
      <c r="P11" s="2055">
        <f t="shared" ref="P11:P16" ca="1" si="8">IFERROR(N11/B11,0)*OFFSET($K$6,(ROW()-(4+A11)-ROW($K$6)),0)</f>
        <v>0</v>
      </c>
      <c r="Q11" s="1489">
        <f t="shared" ref="Q11:Q16" ca="1" si="9">N11*H11</f>
        <v>0</v>
      </c>
      <c r="R11" s="2056">
        <f t="shared" ref="R11:R16" ca="1" si="10">K11</f>
        <v>0.312</v>
      </c>
      <c r="S11" s="1490">
        <f t="shared" ref="S11:S16" ca="1" si="11">Q11*R11</f>
        <v>0</v>
      </c>
      <c r="T11" s="2057">
        <f t="shared" ref="T11:T16" ca="1" si="12">SUM(Q11,S11)</f>
        <v>0</v>
      </c>
    </row>
    <row r="12" spans="1:25" x14ac:dyDescent="0.25">
      <c r="A12" s="619">
        <v>2</v>
      </c>
      <c r="B12" s="1720">
        <f>'DATA INPUT'!$J$8</f>
        <v>0</v>
      </c>
      <c r="C12" s="1721">
        <f>'DATA INPUT'!J51</f>
        <v>0</v>
      </c>
      <c r="D12" s="1721">
        <f t="shared" ca="1" si="0"/>
        <v>0</v>
      </c>
      <c r="E12" s="617">
        <v>0.03</v>
      </c>
      <c r="F12" s="457">
        <f>(F11*E12)+F11</f>
        <v>66950</v>
      </c>
      <c r="G12" s="457">
        <f t="shared" ca="1" si="1"/>
        <v>5579.166666666667</v>
      </c>
      <c r="H12" s="457">
        <f t="shared" ca="1" si="2"/>
        <v>5579.166666666667</v>
      </c>
      <c r="I12" s="2408">
        <f t="shared" ca="1" si="3"/>
        <v>32.1875</v>
      </c>
      <c r="J12" s="1922">
        <f t="shared" ca="1" si="4"/>
        <v>0</v>
      </c>
      <c r="K12" s="1912">
        <f ca="1" xml:space="preserve"> IF(F6='Reference Sheet'!$D$13, L9, K11+$W$7)</f>
        <v>0.33200000000000002</v>
      </c>
      <c r="L12" s="69">
        <f t="shared" ca="1" si="5"/>
        <v>0</v>
      </c>
      <c r="M12" s="2411">
        <f t="shared" ca="1" si="6"/>
        <v>42.873750000000001</v>
      </c>
      <c r="N12" s="2054">
        <f>IF('DATA INPUT'!V51=3,'DATA INPUT'!X51,0)</f>
        <v>0</v>
      </c>
      <c r="O12" s="1604">
        <f t="shared" ca="1" si="7"/>
        <v>0</v>
      </c>
      <c r="P12" s="2058">
        <f t="shared" ca="1" si="8"/>
        <v>0</v>
      </c>
      <c r="Q12" s="1489">
        <f t="shared" ca="1" si="9"/>
        <v>0</v>
      </c>
      <c r="R12" s="2056">
        <f t="shared" ca="1" si="10"/>
        <v>0.33200000000000002</v>
      </c>
      <c r="S12" s="1490">
        <f t="shared" ca="1" si="11"/>
        <v>0</v>
      </c>
      <c r="T12" s="2057">
        <f t="shared" ca="1" si="12"/>
        <v>0</v>
      </c>
    </row>
    <row r="13" spans="1:25" x14ac:dyDescent="0.25">
      <c r="A13" s="619">
        <v>3</v>
      </c>
      <c r="B13" s="1720">
        <f>'DATA INPUT'!$K$8</f>
        <v>0</v>
      </c>
      <c r="C13" s="1721">
        <f>'DATA INPUT'!K51</f>
        <v>0</v>
      </c>
      <c r="D13" s="1721">
        <f t="shared" ca="1" si="0"/>
        <v>0</v>
      </c>
      <c r="E13" s="617">
        <v>0.03</v>
      </c>
      <c r="F13" s="457">
        <f>(F12*E13)+F12</f>
        <v>68958.5</v>
      </c>
      <c r="G13" s="457">
        <f t="shared" ca="1" si="1"/>
        <v>5746.541666666667</v>
      </c>
      <c r="H13" s="457">
        <f t="shared" ca="1" si="2"/>
        <v>5746.541666666667</v>
      </c>
      <c r="I13" s="2408">
        <f t="shared" ca="1" si="3"/>
        <v>33.153125000000003</v>
      </c>
      <c r="J13" s="1922">
        <f t="shared" ca="1" si="4"/>
        <v>0</v>
      </c>
      <c r="K13" s="1912">
        <f ca="1" xml:space="preserve"> IF(F6='Reference Sheet'!$D$13, L9, K12+$W$7)</f>
        <v>0.35200000000000004</v>
      </c>
      <c r="L13" s="69">
        <f t="shared" ca="1" si="5"/>
        <v>0</v>
      </c>
      <c r="M13" s="2411">
        <f t="shared" ca="1" si="6"/>
        <v>44.823025000000001</v>
      </c>
      <c r="N13" s="2054">
        <f>IF('DATA INPUT'!V51=3,'DATA INPUT'!Y51,0)</f>
        <v>0</v>
      </c>
      <c r="O13" s="1604">
        <f t="shared" ca="1" si="7"/>
        <v>0</v>
      </c>
      <c r="P13" s="2058">
        <f t="shared" ca="1" si="8"/>
        <v>0</v>
      </c>
      <c r="Q13" s="1489">
        <f t="shared" ca="1" si="9"/>
        <v>0</v>
      </c>
      <c r="R13" s="2056">
        <f t="shared" ca="1" si="10"/>
        <v>0.35200000000000004</v>
      </c>
      <c r="S13" s="1490">
        <f t="shared" ca="1" si="11"/>
        <v>0</v>
      </c>
      <c r="T13" s="2057">
        <f t="shared" ca="1" si="12"/>
        <v>0</v>
      </c>
    </row>
    <row r="14" spans="1:25" x14ac:dyDescent="0.25">
      <c r="A14" s="619">
        <v>4</v>
      </c>
      <c r="B14" s="1720">
        <f>'DATA INPUT'!$L$8</f>
        <v>0</v>
      </c>
      <c r="C14" s="1721">
        <f>'DATA INPUT'!L51</f>
        <v>0</v>
      </c>
      <c r="D14" s="1721">
        <f t="shared" ca="1" si="0"/>
        <v>0</v>
      </c>
      <c r="E14" s="617">
        <v>0.03</v>
      </c>
      <c r="F14" s="457">
        <f>(F13*E14)+F13</f>
        <v>71027.255000000005</v>
      </c>
      <c r="G14" s="457">
        <f t="shared" ca="1" si="1"/>
        <v>5918.9379166666668</v>
      </c>
      <c r="H14" s="457">
        <f t="shared" ca="1" si="2"/>
        <v>5918.9379166666668</v>
      </c>
      <c r="I14" s="2408">
        <f t="shared" ca="1" si="3"/>
        <v>34.147718749999996</v>
      </c>
      <c r="J14" s="1922">
        <f t="shared" ca="1" si="4"/>
        <v>0</v>
      </c>
      <c r="K14" s="1912">
        <f ca="1" xml:space="preserve"> IF(F6='Reference Sheet'!$D$13, L9, K13+$W$7)</f>
        <v>0.37200000000000005</v>
      </c>
      <c r="L14" s="69">
        <f t="shared" ca="1" si="5"/>
        <v>0</v>
      </c>
      <c r="M14" s="2411">
        <f t="shared" ca="1" si="6"/>
        <v>46.850670124999994</v>
      </c>
      <c r="N14" s="2054">
        <f>IF('DATA INPUT'!V51=3,'DATA INPUT'!Z51,0)</f>
        <v>0</v>
      </c>
      <c r="O14" s="1604">
        <f t="shared" ca="1" si="7"/>
        <v>0</v>
      </c>
      <c r="P14" s="2058">
        <f t="shared" ca="1" si="8"/>
        <v>0</v>
      </c>
      <c r="Q14" s="2237">
        <f t="shared" ca="1" si="9"/>
        <v>0</v>
      </c>
      <c r="R14" s="2059">
        <f t="shared" ca="1" si="10"/>
        <v>0.37200000000000005</v>
      </c>
      <c r="S14" s="1490">
        <f t="shared" ca="1" si="11"/>
        <v>0</v>
      </c>
      <c r="T14" s="2063">
        <f t="shared" ca="1" si="12"/>
        <v>0</v>
      </c>
    </row>
    <row r="15" spans="1:25" x14ac:dyDescent="0.25">
      <c r="A15" s="619">
        <v>5</v>
      </c>
      <c r="B15" s="1720">
        <f>'DATA INPUT'!$M$8</f>
        <v>0</v>
      </c>
      <c r="C15" s="1721">
        <f>'DATA INPUT'!M51</f>
        <v>0</v>
      </c>
      <c r="D15" s="1721">
        <f t="shared" ca="1" si="0"/>
        <v>0</v>
      </c>
      <c r="E15" s="617">
        <v>0.03</v>
      </c>
      <c r="F15" s="457">
        <f>(F14*E15)+F14</f>
        <v>73158.072650000002</v>
      </c>
      <c r="G15" s="457">
        <f t="shared" ca="1" si="1"/>
        <v>6096.5060541666671</v>
      </c>
      <c r="H15" s="457">
        <f t="shared" ca="1" si="2"/>
        <v>6096.5060541666671</v>
      </c>
      <c r="I15" s="2408">
        <f t="shared" ca="1" si="3"/>
        <v>35.172150312500001</v>
      </c>
      <c r="J15" s="1922">
        <f t="shared" ca="1" si="4"/>
        <v>0</v>
      </c>
      <c r="K15" s="1912">
        <f ca="1" xml:space="preserve"> IF(F6='Reference Sheet'!$D$13, L9, K14+$W$7)</f>
        <v>0.39200000000000007</v>
      </c>
      <c r="L15" s="69">
        <f t="shared" ca="1" si="5"/>
        <v>0</v>
      </c>
      <c r="M15" s="2411">
        <f t="shared" ca="1" si="6"/>
        <v>48.959633235000005</v>
      </c>
      <c r="N15" s="2054">
        <f>IF('DATA INPUT'!V51=3,'DATA INPUT'!AA51,0)</f>
        <v>0</v>
      </c>
      <c r="O15" s="1604">
        <f t="shared" ca="1" si="7"/>
        <v>0</v>
      </c>
      <c r="P15" s="2058">
        <f t="shared" ca="1" si="8"/>
        <v>0</v>
      </c>
      <c r="Q15" s="1489">
        <f t="shared" ca="1" si="9"/>
        <v>0</v>
      </c>
      <c r="R15" s="2056">
        <f t="shared" ca="1" si="10"/>
        <v>0.39200000000000007</v>
      </c>
      <c r="S15" s="1490">
        <f t="shared" ca="1" si="11"/>
        <v>0</v>
      </c>
      <c r="T15" s="2057">
        <f t="shared" ca="1" si="12"/>
        <v>0</v>
      </c>
    </row>
    <row r="16" spans="1:25" ht="15.75" customHeight="1" thickBot="1" x14ac:dyDescent="0.3">
      <c r="A16" s="620">
        <v>6</v>
      </c>
      <c r="B16" s="1722">
        <f>'DATA INPUT'!$N$8</f>
        <v>0</v>
      </c>
      <c r="C16" s="1723">
        <f>'DATA INPUT'!N51</f>
        <v>0</v>
      </c>
      <c r="D16" s="1723">
        <f t="shared" ca="1" si="0"/>
        <v>0</v>
      </c>
      <c r="E16" s="621">
        <v>0.03</v>
      </c>
      <c r="F16" s="495">
        <f>(F15*E16)+F15</f>
        <v>75352.814829499999</v>
      </c>
      <c r="G16" s="495">
        <f t="shared" ca="1" si="1"/>
        <v>6279.4012357916663</v>
      </c>
      <c r="H16" s="495">
        <f t="shared" ca="1" si="2"/>
        <v>6279.4012357916663</v>
      </c>
      <c r="I16" s="2409">
        <f t="shared" ca="1" si="3"/>
        <v>36.227314821874998</v>
      </c>
      <c r="J16" s="1923">
        <f t="shared" ca="1" si="4"/>
        <v>0</v>
      </c>
      <c r="K16" s="1913">
        <f ca="1" xml:space="preserve"> IF(F6='Reference Sheet'!$D$13, L9, K15+$W$7)</f>
        <v>0.41200000000000009</v>
      </c>
      <c r="L16" s="1914">
        <f t="shared" ca="1" si="5"/>
        <v>0</v>
      </c>
      <c r="M16" s="2412">
        <f t="shared" ca="1" si="6"/>
        <v>51.152968528487499</v>
      </c>
      <c r="N16" s="2060">
        <f>IF('DATA INPUT'!V51=3,'DATA INPUT'!AB51,0)</f>
        <v>0</v>
      </c>
      <c r="O16" s="1906">
        <f t="shared" ca="1" si="7"/>
        <v>0</v>
      </c>
      <c r="P16" s="2061">
        <f t="shared" ca="1" si="8"/>
        <v>0</v>
      </c>
      <c r="Q16" s="1513">
        <f t="shared" ca="1" si="9"/>
        <v>0</v>
      </c>
      <c r="R16" s="2062">
        <f t="shared" ca="1" si="10"/>
        <v>0.41200000000000009</v>
      </c>
      <c r="S16" s="2043">
        <f t="shared" ca="1" si="11"/>
        <v>0</v>
      </c>
      <c r="T16" s="2064">
        <f t="shared" ca="1" si="12"/>
        <v>0</v>
      </c>
    </row>
    <row r="17" spans="1:20" ht="15.75" customHeight="1" thickBot="1" x14ac:dyDescent="0.3">
      <c r="A17" s="1896" t="s">
        <v>85</v>
      </c>
      <c r="B17" s="1732">
        <f>SUM(B11:B16)</f>
        <v>12</v>
      </c>
      <c r="C17" s="1894">
        <f>SUM(C11:C16)</f>
        <v>3</v>
      </c>
      <c r="D17" s="1733">
        <f ca="1">SUM(D11:D16)</f>
        <v>520</v>
      </c>
      <c r="J17" s="1895">
        <f ca="1">SUM(J11:J16)</f>
        <v>16250</v>
      </c>
      <c r="L17" s="1466">
        <f ca="1">SUM(L11:L16)</f>
        <v>5070</v>
      </c>
      <c r="M17" s="60"/>
      <c r="N17" s="1692">
        <f>SUM(N11:N16)</f>
        <v>0</v>
      </c>
      <c r="O17" s="1692">
        <f ca="1">SUM(O11:O16)</f>
        <v>0</v>
      </c>
      <c r="P17" s="2050">
        <f>IFERROR(N17/B17,0)*K6</f>
        <v>0</v>
      </c>
      <c r="Q17" s="2459">
        <f ca="1">SUM(Q11:Q16)</f>
        <v>0</v>
      </c>
      <c r="R17" s="60"/>
      <c r="S17" s="2459">
        <f ca="1">SUM(S11:S16)</f>
        <v>0</v>
      </c>
      <c r="T17" s="2459">
        <f ca="1">SUM(T11:T16)</f>
        <v>0</v>
      </c>
    </row>
    <row r="18" spans="1:20" ht="15.75" customHeight="1" x14ac:dyDescent="0.25">
      <c r="A18" s="1730"/>
      <c r="B18" s="3073" t="s">
        <v>1074</v>
      </c>
      <c r="C18" s="2065">
        <f>(C17+N17)*K6</f>
        <v>3</v>
      </c>
      <c r="D18" s="496" t="s">
        <v>256</v>
      </c>
      <c r="E18" s="497"/>
      <c r="F18" s="498">
        <f>IFERROR(C17/B17,0)*K6</f>
        <v>0.25</v>
      </c>
      <c r="G18" s="499" t="s">
        <v>701</v>
      </c>
      <c r="H18" s="500"/>
      <c r="I18" s="498">
        <f>IFERROR(N17/B17,0)*K6</f>
        <v>0</v>
      </c>
      <c r="J18" s="499" t="s">
        <v>702</v>
      </c>
      <c r="K18" s="500"/>
      <c r="L18" s="329"/>
      <c r="M18" s="60"/>
      <c r="N18" s="60"/>
      <c r="O18" s="60"/>
      <c r="P18" s="60"/>
      <c r="Q18" s="60"/>
      <c r="R18" s="60"/>
      <c r="S18" s="60"/>
    </row>
    <row r="19" spans="1:20" ht="15.75" thickBot="1" x14ac:dyDescent="0.3"/>
    <row r="20" spans="1:20" ht="15.75" hidden="1" thickBot="1" x14ac:dyDescent="0.3">
      <c r="A20" s="1710" t="s">
        <v>248</v>
      </c>
      <c r="B20" s="1711"/>
      <c r="C20" s="1711">
        <f ca="1">OFFSET('DATA INPUT'!$B$51,(VALUE(RIGHT(LEFT($A20,LEN($A20)-1),1))-1),0)</f>
        <v>0</v>
      </c>
      <c r="D20" s="1711"/>
      <c r="E20" s="332" t="s">
        <v>525</v>
      </c>
      <c r="F20" s="1711">
        <f ca="1">OFFSET('DATA INPUT'!$H$51,(VALUE(RIGHT(LEFT($A20,LEN($A20)-1),1))-1),0)</f>
        <v>0</v>
      </c>
      <c r="G20" s="1711"/>
      <c r="H20" s="1704" t="s">
        <v>81</v>
      </c>
      <c r="I20" s="1887">
        <f>'DATA INPUT'!G52</f>
        <v>12</v>
      </c>
      <c r="J20" s="1705" t="s">
        <v>82</v>
      </c>
      <c r="K20" s="1887">
        <f>'DATA INPUT'!F52</f>
        <v>1</v>
      </c>
      <c r="L20" s="1886"/>
      <c r="M20" s="1889"/>
    </row>
    <row r="21" spans="1:20" ht="21" hidden="1" customHeight="1" thickBot="1" x14ac:dyDescent="0.3">
      <c r="A21" s="66" t="s">
        <v>80</v>
      </c>
      <c r="B21" s="1709"/>
      <c r="C21" s="1712">
        <f>'DATA INPUT'!C52</f>
        <v>0</v>
      </c>
      <c r="D21" s="1712"/>
      <c r="E21" s="3576" t="s">
        <v>257</v>
      </c>
      <c r="F21" s="3577"/>
      <c r="G21" s="334">
        <f>'DATA INPUT'!E52</f>
        <v>0</v>
      </c>
      <c r="H21" s="66" t="s">
        <v>528</v>
      </c>
      <c r="I21" s="1715"/>
      <c r="J21" s="334">
        <f>IFERROR(G21/I20,0)</f>
        <v>0</v>
      </c>
      <c r="K21" s="1737"/>
      <c r="L21" s="1890"/>
      <c r="M21" s="334"/>
      <c r="N21" s="1711">
        <f ca="1">C20</f>
        <v>0</v>
      </c>
      <c r="O21" s="1711"/>
      <c r="P21" s="1711"/>
      <c r="R21" s="332" t="s">
        <v>525</v>
      </c>
      <c r="S21" s="1711">
        <f ca="1">F20</f>
        <v>0</v>
      </c>
      <c r="T21" s="1711"/>
    </row>
    <row r="22" spans="1:20" ht="15" hidden="1" customHeight="1" thickBot="1" x14ac:dyDescent="0.3">
      <c r="A22" s="1716"/>
      <c r="B22" s="3579" t="s">
        <v>254</v>
      </c>
      <c r="C22" s="3579" t="s">
        <v>92</v>
      </c>
      <c r="D22" s="3579" t="s">
        <v>93</v>
      </c>
      <c r="E22" s="3580" t="s">
        <v>65</v>
      </c>
      <c r="F22" s="3580"/>
      <c r="G22" s="3580"/>
      <c r="H22" s="3581"/>
      <c r="I22" s="3581"/>
      <c r="J22" s="3588" t="s">
        <v>84</v>
      </c>
      <c r="K22" s="3584" t="s">
        <v>78</v>
      </c>
      <c r="L22" s="3585"/>
      <c r="M22" s="1706"/>
      <c r="N22" s="1996" t="s">
        <v>623</v>
      </c>
      <c r="O22" s="2127"/>
      <c r="P22" s="2128"/>
      <c r="Q22" s="2128"/>
      <c r="R22" s="2129"/>
      <c r="S22" s="2128"/>
      <c r="T22" s="2129"/>
    </row>
    <row r="23" spans="1:20" ht="15" hidden="1" customHeight="1" x14ac:dyDescent="0.25">
      <c r="A23" s="3445" t="s">
        <v>253</v>
      </c>
      <c r="B23" s="3579"/>
      <c r="C23" s="3579"/>
      <c r="D23" s="3579"/>
      <c r="E23" s="3444" t="s">
        <v>86</v>
      </c>
      <c r="F23" s="3444" t="s">
        <v>486</v>
      </c>
      <c r="G23" s="3444" t="s">
        <v>233</v>
      </c>
      <c r="H23" s="3444" t="s">
        <v>255</v>
      </c>
      <c r="I23" s="3450" t="s">
        <v>66</v>
      </c>
      <c r="J23" s="3589"/>
      <c r="K23" s="2212" t="s">
        <v>634</v>
      </c>
      <c r="L23" s="2213">
        <f ca="1">IFERROR(VLOOKUP(F20,TableFringePool[],2,0),0)</f>
        <v>0</v>
      </c>
      <c r="M23" s="1708"/>
      <c r="N23" s="3477" t="s">
        <v>618</v>
      </c>
      <c r="O23" s="3554" t="s">
        <v>619</v>
      </c>
      <c r="P23" s="3552" t="s">
        <v>620</v>
      </c>
      <c r="Q23" s="3560" t="s">
        <v>624</v>
      </c>
      <c r="R23" s="2052" t="s">
        <v>621</v>
      </c>
      <c r="S23" s="2053"/>
      <c r="T23" s="3558" t="s">
        <v>625</v>
      </c>
    </row>
    <row r="24" spans="1:20" ht="15.75" hidden="1" thickBot="1" x14ac:dyDescent="0.3">
      <c r="A24" s="3446"/>
      <c r="B24" s="3587"/>
      <c r="C24" s="3587"/>
      <c r="D24" s="3587"/>
      <c r="E24" s="3446"/>
      <c r="F24" s="3446"/>
      <c r="G24" s="3446"/>
      <c r="H24" s="3446"/>
      <c r="I24" s="3586"/>
      <c r="J24" s="3590"/>
      <c r="K24" s="616" t="s">
        <v>67</v>
      </c>
      <c r="L24" s="664" t="s">
        <v>68</v>
      </c>
      <c r="M24" s="1707" t="s">
        <v>87</v>
      </c>
      <c r="N24" s="3541"/>
      <c r="O24" s="3555"/>
      <c r="P24" s="3553"/>
      <c r="Q24" s="3561"/>
      <c r="R24" s="2124" t="s">
        <v>622</v>
      </c>
      <c r="S24" s="540" t="s">
        <v>68</v>
      </c>
      <c r="T24" s="3559"/>
    </row>
    <row r="25" spans="1:20" hidden="1" x14ac:dyDescent="0.25">
      <c r="A25" s="622">
        <v>1</v>
      </c>
      <c r="B25" s="1725">
        <f>'DATA INPUT'!$I$8</f>
        <v>12</v>
      </c>
      <c r="C25" s="1726">
        <f>'DATA INPUT'!I52</f>
        <v>0</v>
      </c>
      <c r="D25" s="1726">
        <f t="shared" ref="D25:D30" ca="1" si="13">(C25*(2080/12))*OFFSET($K$6,(ROW()-(4+A25)-ROW($K$6)),0)</f>
        <v>0</v>
      </c>
      <c r="E25" s="618">
        <v>0.03</v>
      </c>
      <c r="F25" s="492">
        <f>(G21*E25)+G21</f>
        <v>0</v>
      </c>
      <c r="G25" s="492">
        <f t="shared" ref="G25:G30" ca="1" si="14">IFERROR(F25/OFFSET($I$6,(ROW()-(4+A25)-ROW($I$6)),0),0)</f>
        <v>0</v>
      </c>
      <c r="H25" s="492">
        <f t="shared" ref="H25:H30" ca="1" si="15">IFERROR(F25/OFFSET($I$6,(ROW()-(4+A25)-ROW($I$6)),0)*OFFSET($K$6,(ROW()-(4+A25)-ROW($K$6)),0),0)</f>
        <v>0</v>
      </c>
      <c r="I25" s="2407">
        <f t="shared" ref="I25:I30" ca="1" si="16">G25/(2080/12)</f>
        <v>0</v>
      </c>
      <c r="J25" s="1921">
        <f t="shared" ref="J25:J30" ca="1" si="17">H25*C25</f>
        <v>0</v>
      </c>
      <c r="K25" s="1912">
        <f ca="1">IF(F20='Reference Sheet'!$D$13, L23, IF($V$4&lt;$U$4, L23, IF($V$4&gt;$X$4, L23+2*$W$7, L23+$W$7)))</f>
        <v>0</v>
      </c>
      <c r="L25" s="68">
        <f t="shared" ref="L25" ca="1" si="18">K25*J25</f>
        <v>0</v>
      </c>
      <c r="M25" s="2410">
        <f t="shared" ref="M25" ca="1" si="19">G25/(2080/12)+(G25*K25)/(2080/12)</f>
        <v>0</v>
      </c>
      <c r="N25" s="2054">
        <f>IF('DATA INPUT'!V52=3,'DATA INPUT'!W52,0)</f>
        <v>0</v>
      </c>
      <c r="O25" s="1604">
        <f t="shared" ref="O25:O30" ca="1" si="20">N25*(2080/12)*OFFSET($K$6,(ROW()-(4+A25)-ROW($K$6)),0)</f>
        <v>0</v>
      </c>
      <c r="P25" s="2055">
        <f t="shared" ref="P25:P30" ca="1" si="21">IFERROR(N25/B25,0)*OFFSET($K$6,(ROW()-(4+A25)-ROW($K$6)),0)</f>
        <v>0</v>
      </c>
      <c r="Q25" s="1489">
        <f t="shared" ref="Q25:Q30" ca="1" si="22">N25*H25</f>
        <v>0</v>
      </c>
      <c r="R25" s="2056">
        <f t="shared" ref="R25:R30" ca="1" si="23">K25</f>
        <v>0</v>
      </c>
      <c r="S25" s="1490">
        <f t="shared" ref="S25:S30" ca="1" si="24">Q25*R25</f>
        <v>0</v>
      </c>
      <c r="T25" s="2057">
        <f t="shared" ref="T25:T30" ca="1" si="25">SUM(Q25,S25)</f>
        <v>0</v>
      </c>
    </row>
    <row r="26" spans="1:20" hidden="1" x14ac:dyDescent="0.25">
      <c r="A26" s="50">
        <v>2</v>
      </c>
      <c r="B26" s="1720">
        <f>'DATA INPUT'!$J$8</f>
        <v>0</v>
      </c>
      <c r="C26" s="1721">
        <f>'DATA INPUT'!J52</f>
        <v>0</v>
      </c>
      <c r="D26" s="1721">
        <f t="shared" ca="1" si="13"/>
        <v>0</v>
      </c>
      <c r="E26" s="617">
        <v>0.03</v>
      </c>
      <c r="F26" s="457">
        <f>(F25*E26)+F25</f>
        <v>0</v>
      </c>
      <c r="G26" s="457">
        <f t="shared" ca="1" si="14"/>
        <v>0</v>
      </c>
      <c r="H26" s="457">
        <f t="shared" ca="1" si="15"/>
        <v>0</v>
      </c>
      <c r="I26" s="2408">
        <f t="shared" ca="1" si="16"/>
        <v>0</v>
      </c>
      <c r="J26" s="1922">
        <f t="shared" ca="1" si="17"/>
        <v>0</v>
      </c>
      <c r="K26" s="1912">
        <f ca="1" xml:space="preserve"> IF(F20='Reference Sheet'!$D$13, L23, K25+$W$7)</f>
        <v>0.02</v>
      </c>
      <c r="L26" s="69">
        <f t="shared" ref="L26:L30" ca="1" si="26">K26*J26</f>
        <v>0</v>
      </c>
      <c r="M26" s="2411">
        <f t="shared" ref="M26:M30" ca="1" si="27">G26/(2080/12)+(G26*K26)/(2080/12)</f>
        <v>0</v>
      </c>
      <c r="N26" s="2054">
        <f>IF('DATA INPUT'!V52=3,'DATA INPUT'!X52,0)</f>
        <v>0</v>
      </c>
      <c r="O26" s="1604">
        <f t="shared" ca="1" si="20"/>
        <v>0</v>
      </c>
      <c r="P26" s="2058">
        <f t="shared" ca="1" si="21"/>
        <v>0</v>
      </c>
      <c r="Q26" s="1489">
        <f t="shared" ca="1" si="22"/>
        <v>0</v>
      </c>
      <c r="R26" s="2056">
        <f t="shared" ca="1" si="23"/>
        <v>0.02</v>
      </c>
      <c r="S26" s="1490">
        <f t="shared" ca="1" si="24"/>
        <v>0</v>
      </c>
      <c r="T26" s="2057">
        <f t="shared" ca="1" si="25"/>
        <v>0</v>
      </c>
    </row>
    <row r="27" spans="1:20" hidden="1" x14ac:dyDescent="0.25">
      <c r="A27" s="50">
        <v>3</v>
      </c>
      <c r="B27" s="1720">
        <f>'DATA INPUT'!$K$8</f>
        <v>0</v>
      </c>
      <c r="C27" s="1721">
        <f>'DATA INPUT'!K52</f>
        <v>0</v>
      </c>
      <c r="D27" s="1721">
        <f t="shared" ca="1" si="13"/>
        <v>0</v>
      </c>
      <c r="E27" s="617">
        <v>0.03</v>
      </c>
      <c r="F27" s="457">
        <f>(F26*E27)+F26</f>
        <v>0</v>
      </c>
      <c r="G27" s="457">
        <f t="shared" ca="1" si="14"/>
        <v>0</v>
      </c>
      <c r="H27" s="457">
        <f t="shared" ca="1" si="15"/>
        <v>0</v>
      </c>
      <c r="I27" s="2408">
        <f t="shared" ca="1" si="16"/>
        <v>0</v>
      </c>
      <c r="J27" s="1922">
        <f t="shared" ca="1" si="17"/>
        <v>0</v>
      </c>
      <c r="K27" s="1912">
        <f ca="1" xml:space="preserve"> IF(F20='Reference Sheet'!$D$13, L23, K26+$W$7)</f>
        <v>0.04</v>
      </c>
      <c r="L27" s="69">
        <f t="shared" ca="1" si="26"/>
        <v>0</v>
      </c>
      <c r="M27" s="2411">
        <f t="shared" ca="1" si="27"/>
        <v>0</v>
      </c>
      <c r="N27" s="2054">
        <f>IF('DATA INPUT'!V52=3,'DATA INPUT'!Y52,0)</f>
        <v>0</v>
      </c>
      <c r="O27" s="1604">
        <f t="shared" ca="1" si="20"/>
        <v>0</v>
      </c>
      <c r="P27" s="2058">
        <f t="shared" ca="1" si="21"/>
        <v>0</v>
      </c>
      <c r="Q27" s="1489">
        <f t="shared" ca="1" si="22"/>
        <v>0</v>
      </c>
      <c r="R27" s="2056">
        <f t="shared" ca="1" si="23"/>
        <v>0.04</v>
      </c>
      <c r="S27" s="1490">
        <f t="shared" ca="1" si="24"/>
        <v>0</v>
      </c>
      <c r="T27" s="2057">
        <f t="shared" ca="1" si="25"/>
        <v>0</v>
      </c>
    </row>
    <row r="28" spans="1:20" hidden="1" x14ac:dyDescent="0.25">
      <c r="A28" s="50">
        <v>4</v>
      </c>
      <c r="B28" s="1720">
        <f>'DATA INPUT'!$L$8</f>
        <v>0</v>
      </c>
      <c r="C28" s="1721">
        <f>'DATA INPUT'!L52</f>
        <v>0</v>
      </c>
      <c r="D28" s="1721">
        <f t="shared" ca="1" si="13"/>
        <v>0</v>
      </c>
      <c r="E28" s="617">
        <v>0.03</v>
      </c>
      <c r="F28" s="457">
        <f>(F27*E28)+F27</f>
        <v>0</v>
      </c>
      <c r="G28" s="457">
        <f t="shared" ca="1" si="14"/>
        <v>0</v>
      </c>
      <c r="H28" s="457">
        <f t="shared" ca="1" si="15"/>
        <v>0</v>
      </c>
      <c r="I28" s="2408">
        <f t="shared" ca="1" si="16"/>
        <v>0</v>
      </c>
      <c r="J28" s="1922">
        <f t="shared" ca="1" si="17"/>
        <v>0</v>
      </c>
      <c r="K28" s="1912">
        <f ca="1" xml:space="preserve"> IF(F20='Reference Sheet'!$D$13, L23, K27+$W$7)</f>
        <v>0.06</v>
      </c>
      <c r="L28" s="69">
        <f t="shared" ca="1" si="26"/>
        <v>0</v>
      </c>
      <c r="M28" s="2411">
        <f t="shared" ca="1" si="27"/>
        <v>0</v>
      </c>
      <c r="N28" s="2054">
        <f>IF('DATA INPUT'!V52=3,'DATA INPUT'!Z52,0)</f>
        <v>0</v>
      </c>
      <c r="O28" s="1604">
        <f t="shared" ca="1" si="20"/>
        <v>0</v>
      </c>
      <c r="P28" s="2058">
        <f t="shared" ca="1" si="21"/>
        <v>0</v>
      </c>
      <c r="Q28" s="1489">
        <f t="shared" ca="1" si="22"/>
        <v>0</v>
      </c>
      <c r="R28" s="2059">
        <f t="shared" ca="1" si="23"/>
        <v>0.06</v>
      </c>
      <c r="S28" s="1490">
        <f t="shared" ca="1" si="24"/>
        <v>0</v>
      </c>
      <c r="T28" s="2063">
        <f t="shared" ca="1" si="25"/>
        <v>0</v>
      </c>
    </row>
    <row r="29" spans="1:20" hidden="1" x14ac:dyDescent="0.25">
      <c r="A29" s="50">
        <v>5</v>
      </c>
      <c r="B29" s="1720">
        <f>'DATA INPUT'!$M$8</f>
        <v>0</v>
      </c>
      <c r="C29" s="1721">
        <f>'DATA INPUT'!M52</f>
        <v>0</v>
      </c>
      <c r="D29" s="1721">
        <f t="shared" ca="1" si="13"/>
        <v>0</v>
      </c>
      <c r="E29" s="617">
        <v>0.03</v>
      </c>
      <c r="F29" s="457">
        <f>(F28*E29)+F28</f>
        <v>0</v>
      </c>
      <c r="G29" s="457">
        <f t="shared" ca="1" si="14"/>
        <v>0</v>
      </c>
      <c r="H29" s="457">
        <f t="shared" ca="1" si="15"/>
        <v>0</v>
      </c>
      <c r="I29" s="2408">
        <f t="shared" ca="1" si="16"/>
        <v>0</v>
      </c>
      <c r="J29" s="1922">
        <f t="shared" ca="1" si="17"/>
        <v>0</v>
      </c>
      <c r="K29" s="1912">
        <f ca="1" xml:space="preserve"> IF(F20='Reference Sheet'!$D$13, L23, K28+$W$7)</f>
        <v>0.08</v>
      </c>
      <c r="L29" s="69">
        <f t="shared" ca="1" si="26"/>
        <v>0</v>
      </c>
      <c r="M29" s="2411">
        <f t="shared" ca="1" si="27"/>
        <v>0</v>
      </c>
      <c r="N29" s="2054">
        <f>IF('DATA INPUT'!V52=3,'DATA INPUT'!AA52,0)</f>
        <v>0</v>
      </c>
      <c r="O29" s="1604">
        <f t="shared" ca="1" si="20"/>
        <v>0</v>
      </c>
      <c r="P29" s="2058">
        <f t="shared" ca="1" si="21"/>
        <v>0</v>
      </c>
      <c r="Q29" s="1489">
        <f t="shared" ca="1" si="22"/>
        <v>0</v>
      </c>
      <c r="R29" s="2056">
        <f t="shared" ca="1" si="23"/>
        <v>0.08</v>
      </c>
      <c r="S29" s="1490">
        <f t="shared" ca="1" si="24"/>
        <v>0</v>
      </c>
      <c r="T29" s="2057">
        <f t="shared" ca="1" si="25"/>
        <v>0</v>
      </c>
    </row>
    <row r="30" spans="1:20" ht="15.75" hidden="1" thickBot="1" x14ac:dyDescent="0.3">
      <c r="A30" s="623">
        <v>6</v>
      </c>
      <c r="B30" s="1722">
        <f>'DATA INPUT'!$N$8</f>
        <v>0</v>
      </c>
      <c r="C30" s="1723">
        <f>'DATA INPUT'!N52</f>
        <v>0</v>
      </c>
      <c r="D30" s="1723">
        <f t="shared" ca="1" si="13"/>
        <v>0</v>
      </c>
      <c r="E30" s="621">
        <v>0.03</v>
      </c>
      <c r="F30" s="495">
        <f>(F29*E30)+F29</f>
        <v>0</v>
      </c>
      <c r="G30" s="495">
        <f t="shared" ca="1" si="14"/>
        <v>0</v>
      </c>
      <c r="H30" s="495">
        <f t="shared" ca="1" si="15"/>
        <v>0</v>
      </c>
      <c r="I30" s="2409">
        <f t="shared" ca="1" si="16"/>
        <v>0</v>
      </c>
      <c r="J30" s="1923">
        <f t="shared" ca="1" si="17"/>
        <v>0</v>
      </c>
      <c r="K30" s="1913">
        <f ca="1" xml:space="preserve"> IF(F20='Reference Sheet'!$D$13, L23, K29+$W$7)</f>
        <v>0.1</v>
      </c>
      <c r="L30" s="1914">
        <f t="shared" ca="1" si="26"/>
        <v>0</v>
      </c>
      <c r="M30" s="2412">
        <f t="shared" ca="1" si="27"/>
        <v>0</v>
      </c>
      <c r="N30" s="2060">
        <f>IF('DATA INPUT'!V52=3,'DATA INPUT'!AB52,0)</f>
        <v>0</v>
      </c>
      <c r="O30" s="1906">
        <f t="shared" ca="1" si="20"/>
        <v>0</v>
      </c>
      <c r="P30" s="2061">
        <f t="shared" ca="1" si="21"/>
        <v>0</v>
      </c>
      <c r="Q30" s="1513">
        <f t="shared" ca="1" si="22"/>
        <v>0</v>
      </c>
      <c r="R30" s="2062">
        <f t="shared" ca="1" si="23"/>
        <v>0.1</v>
      </c>
      <c r="S30" s="2043">
        <f t="shared" ca="1" si="24"/>
        <v>0</v>
      </c>
      <c r="T30" s="2064">
        <f t="shared" ca="1" si="25"/>
        <v>0</v>
      </c>
    </row>
    <row r="31" spans="1:20" ht="15.75" hidden="1" thickBot="1" x14ac:dyDescent="0.3">
      <c r="A31" s="1892" t="s">
        <v>85</v>
      </c>
      <c r="B31" s="1893">
        <f>SUM(B25:B30)</f>
        <v>12</v>
      </c>
      <c r="C31" s="1894">
        <f>SUM(C25:C30)</f>
        <v>0</v>
      </c>
      <c r="D31" s="1894">
        <f ca="1">SUM(D25:D30)</f>
        <v>0</v>
      </c>
      <c r="J31" s="1895">
        <f ca="1">SUM(J25:J30)</f>
        <v>0</v>
      </c>
      <c r="L31" s="1466">
        <f ca="1">SUM(L25:L30)</f>
        <v>0</v>
      </c>
      <c r="M31" s="60"/>
      <c r="N31" s="1692">
        <f>SUM(N25:N30)</f>
        <v>0</v>
      </c>
      <c r="O31" s="1692">
        <f ca="1">SUM(O25:O30)</f>
        <v>0</v>
      </c>
      <c r="P31" s="2050">
        <f>IFERROR(N31/B31,0)*K20</f>
        <v>0</v>
      </c>
      <c r="Q31" s="2051">
        <f ca="1">SUM(Q25:Q30)</f>
        <v>0</v>
      </c>
      <c r="S31" s="2051">
        <f ca="1">SUM(S25:S30)</f>
        <v>0</v>
      </c>
      <c r="T31" s="2051">
        <f ca="1">SUM(T25:T30)</f>
        <v>0</v>
      </c>
    </row>
    <row r="32" spans="1:20" hidden="1" x14ac:dyDescent="0.25">
      <c r="A32" s="1730"/>
      <c r="B32" s="3073" t="s">
        <v>1074</v>
      </c>
      <c r="C32" s="2065">
        <f>(C31+N31)*K20</f>
        <v>0</v>
      </c>
      <c r="D32" s="496" t="s">
        <v>256</v>
      </c>
      <c r="E32" s="497"/>
      <c r="F32" s="498">
        <f>IFERROR(C31/B31,0)*K20</f>
        <v>0</v>
      </c>
      <c r="G32" s="499" t="s">
        <v>701</v>
      </c>
      <c r="H32" s="500"/>
      <c r="I32" s="498">
        <f>IFERROR(N31/B31,0)*K20</f>
        <v>0</v>
      </c>
      <c r="J32" s="499" t="s">
        <v>702</v>
      </c>
      <c r="K32" s="500"/>
      <c r="L32" s="329"/>
      <c r="M32" s="60"/>
      <c r="N32" s="60"/>
      <c r="O32" s="60"/>
      <c r="P32" s="60"/>
      <c r="Q32" s="60"/>
      <c r="R32" s="60"/>
      <c r="S32" s="60"/>
    </row>
    <row r="33" spans="1:20" ht="15.75" hidden="1" customHeight="1" thickBot="1" x14ac:dyDescent="0.3"/>
    <row r="34" spans="1:20" ht="15.75" hidden="1" thickBot="1" x14ac:dyDescent="0.3">
      <c r="A34" s="401" t="s">
        <v>249</v>
      </c>
      <c r="B34" s="402"/>
      <c r="C34" s="1711">
        <f ca="1">OFFSET('DATA INPUT'!$B$51,(VALUE(RIGHT(LEFT($A34,LEN($A34)-1),1))-1),0)</f>
        <v>0</v>
      </c>
      <c r="D34" s="1711"/>
      <c r="E34" s="332" t="s">
        <v>525</v>
      </c>
      <c r="F34" s="1711">
        <f ca="1">OFFSET('DATA INPUT'!$H$51,(VALUE(RIGHT(LEFT($A34,LEN($A34)-1),1))-1),0)</f>
        <v>0</v>
      </c>
      <c r="G34" s="1711"/>
      <c r="H34" s="1704" t="s">
        <v>81</v>
      </c>
      <c r="I34" s="1887">
        <f>'DATA INPUT'!G53</f>
        <v>12</v>
      </c>
      <c r="J34" s="1705" t="s">
        <v>82</v>
      </c>
      <c r="K34" s="1887">
        <f>'DATA INPUT'!F53</f>
        <v>1</v>
      </c>
      <c r="L34" s="1886"/>
      <c r="M34" s="1898"/>
    </row>
    <row r="35" spans="1:20" ht="16.5" hidden="1" customHeight="1" thickBot="1" x14ac:dyDescent="0.3">
      <c r="A35" s="66" t="s">
        <v>80</v>
      </c>
      <c r="B35" s="67"/>
      <c r="C35" s="663">
        <f>'DATA INPUT'!C53</f>
        <v>0</v>
      </c>
      <c r="D35" s="1712"/>
      <c r="E35" s="3576" t="s">
        <v>257</v>
      </c>
      <c r="F35" s="3577"/>
      <c r="G35" s="334">
        <f>'DATA INPUT'!E53</f>
        <v>0</v>
      </c>
      <c r="H35" s="1709" t="s">
        <v>528</v>
      </c>
      <c r="I35" s="1715"/>
      <c r="J35" s="334">
        <f>IFERROR(G35/I34,0)</f>
        <v>0</v>
      </c>
      <c r="K35" s="1737"/>
      <c r="L35" s="1890"/>
      <c r="M35" s="334"/>
      <c r="N35" s="1711">
        <f ca="1">C34</f>
        <v>0</v>
      </c>
      <c r="O35" s="1711"/>
      <c r="P35" s="1711"/>
      <c r="R35" s="332" t="s">
        <v>525</v>
      </c>
      <c r="S35" s="1711">
        <f ca="1">F34</f>
        <v>0</v>
      </c>
      <c r="T35" s="1711"/>
    </row>
    <row r="36" spans="1:20" ht="15" hidden="1" customHeight="1" thickBot="1" x14ac:dyDescent="0.3">
      <c r="A36" s="459"/>
      <c r="B36" s="3578" t="s">
        <v>254</v>
      </c>
      <c r="C36" s="3578" t="s">
        <v>92</v>
      </c>
      <c r="D36" s="3578" t="s">
        <v>93</v>
      </c>
      <c r="E36" s="3580" t="s">
        <v>65</v>
      </c>
      <c r="F36" s="3580"/>
      <c r="G36" s="3580"/>
      <c r="H36" s="3581"/>
      <c r="I36" s="3581"/>
      <c r="J36" s="3582" t="s">
        <v>84</v>
      </c>
      <c r="K36" s="3584" t="s">
        <v>78</v>
      </c>
      <c r="L36" s="3585"/>
      <c r="M36" s="1706"/>
      <c r="N36" s="1996" t="s">
        <v>623</v>
      </c>
      <c r="O36" s="2127"/>
      <c r="P36" s="2128"/>
      <c r="Q36" s="2128"/>
      <c r="R36" s="2129"/>
      <c r="S36" s="2128"/>
      <c r="T36" s="2129"/>
    </row>
    <row r="37" spans="1:20" ht="15" hidden="1" customHeight="1" x14ac:dyDescent="0.25">
      <c r="A37" s="3445" t="s">
        <v>253</v>
      </c>
      <c r="B37" s="3579"/>
      <c r="C37" s="3579"/>
      <c r="D37" s="3579"/>
      <c r="E37" s="3444" t="s">
        <v>86</v>
      </c>
      <c r="F37" s="3444" t="s">
        <v>486</v>
      </c>
      <c r="G37" s="3444" t="s">
        <v>233</v>
      </c>
      <c r="H37" s="3444" t="s">
        <v>255</v>
      </c>
      <c r="I37" s="3450" t="s">
        <v>66</v>
      </c>
      <c r="J37" s="3583"/>
      <c r="K37" s="2212" t="s">
        <v>634</v>
      </c>
      <c r="L37" s="2213">
        <f ca="1">IFERROR(VLOOKUP(F34,TableFringePool[],2,0),0)</f>
        <v>0</v>
      </c>
      <c r="M37" s="1708"/>
      <c r="N37" s="3477" t="s">
        <v>618</v>
      </c>
      <c r="O37" s="3554" t="s">
        <v>619</v>
      </c>
      <c r="P37" s="3552" t="s">
        <v>620</v>
      </c>
      <c r="Q37" s="3560" t="s">
        <v>624</v>
      </c>
      <c r="R37" s="2052" t="s">
        <v>621</v>
      </c>
      <c r="S37" s="2053"/>
      <c r="T37" s="3558" t="s">
        <v>625</v>
      </c>
    </row>
    <row r="38" spans="1:20" ht="15.75" hidden="1" thickBot="1" x14ac:dyDescent="0.3">
      <c r="A38" s="3445"/>
      <c r="B38" s="3579"/>
      <c r="C38" s="3579"/>
      <c r="D38" s="3579"/>
      <c r="E38" s="3445"/>
      <c r="F38" s="3446"/>
      <c r="G38" s="3446"/>
      <c r="H38" s="3446"/>
      <c r="I38" s="3586"/>
      <c r="J38" s="3583"/>
      <c r="K38" s="616" t="s">
        <v>67</v>
      </c>
      <c r="L38" s="664" t="s">
        <v>68</v>
      </c>
      <c r="M38" s="1707" t="s">
        <v>87</v>
      </c>
      <c r="N38" s="3541"/>
      <c r="O38" s="3555"/>
      <c r="P38" s="3553"/>
      <c r="Q38" s="3561"/>
      <c r="R38" s="2124" t="s">
        <v>622</v>
      </c>
      <c r="S38" s="540" t="s">
        <v>68</v>
      </c>
      <c r="T38" s="3559"/>
    </row>
    <row r="39" spans="1:20" hidden="1" x14ac:dyDescent="0.25">
      <c r="A39" s="622">
        <v>1</v>
      </c>
      <c r="B39" s="1725">
        <f>'DATA INPUT'!$I$8</f>
        <v>12</v>
      </c>
      <c r="C39" s="1726">
        <f>'DATA INPUT'!I53</f>
        <v>0</v>
      </c>
      <c r="D39" s="1726">
        <f t="shared" ref="D39:D44" ca="1" si="28">(C39*(2080/12))*OFFSET($K$6,(ROW()-(4+A39)-ROW($K$6)),0)</f>
        <v>0</v>
      </c>
      <c r="E39" s="618">
        <v>0.03</v>
      </c>
      <c r="F39" s="492">
        <f>(G35*E39)+G35</f>
        <v>0</v>
      </c>
      <c r="G39" s="492">
        <f t="shared" ref="G39:G44" ca="1" si="29">IFERROR(F39/OFFSET($I$6,(ROW()-(4+A39)-ROW($I$6)),0),0)</f>
        <v>0</v>
      </c>
      <c r="H39" s="492">
        <f t="shared" ref="H39:H44" ca="1" si="30">IFERROR(F39/OFFSET($I$6,(ROW()-(4+A39)-ROW($I$6)),0)*OFFSET($K$6,(ROW()-(4+A39)-ROW($K$6)),0),0)</f>
        <v>0</v>
      </c>
      <c r="I39" s="2407">
        <f t="shared" ref="I39:I44" ca="1" si="31">G39/(2080/12)</f>
        <v>0</v>
      </c>
      <c r="J39" s="1921">
        <f t="shared" ref="J39:J44" ca="1" si="32">H39*C39</f>
        <v>0</v>
      </c>
      <c r="K39" s="1912">
        <f ca="1">IF(F34='Reference Sheet'!$D$13, L37, IF($V$4&lt;$U$4, L37, IF($V$4&gt;$X$4, L37+2*$W$7, L37+$W$7)))</f>
        <v>0</v>
      </c>
      <c r="L39" s="68">
        <f t="shared" ref="L39" ca="1" si="33">K39*J39</f>
        <v>0</v>
      </c>
      <c r="M39" s="2410">
        <f t="shared" ref="M39" ca="1" si="34">G39/(2080/12)+(G39*K39)/(2080/12)</f>
        <v>0</v>
      </c>
      <c r="N39" s="2054">
        <f>IF('DATA INPUT'!V53=3,'DATA INPUT'!W53,0)</f>
        <v>0</v>
      </c>
      <c r="O39" s="1604">
        <f t="shared" ref="O39:O44" ca="1" si="35">N39*(2080/12)*OFFSET($K$6,(ROW()-(4+A39)-ROW($K$6)),0)</f>
        <v>0</v>
      </c>
      <c r="P39" s="2055">
        <f t="shared" ref="P39:P44" ca="1" si="36">IFERROR(N39/B39,0)*OFFSET($K$6,(ROW()-(4+A39)-ROW($K$6)),0)</f>
        <v>0</v>
      </c>
      <c r="Q39" s="1489">
        <f t="shared" ref="Q39:Q44" ca="1" si="37">N39*H39</f>
        <v>0</v>
      </c>
      <c r="R39" s="2056">
        <f t="shared" ref="R39:R44" ca="1" si="38">K39</f>
        <v>0</v>
      </c>
      <c r="S39" s="1490">
        <f t="shared" ref="S39:S44" ca="1" si="39">Q39*R39</f>
        <v>0</v>
      </c>
      <c r="T39" s="2057">
        <f t="shared" ref="T39:T44" ca="1" si="40">SUM(Q39,S39)</f>
        <v>0</v>
      </c>
    </row>
    <row r="40" spans="1:20" hidden="1" x14ac:dyDescent="0.25">
      <c r="A40" s="50">
        <v>2</v>
      </c>
      <c r="B40" s="1720">
        <f>'DATA INPUT'!$J$8</f>
        <v>0</v>
      </c>
      <c r="C40" s="1721">
        <f>'DATA INPUT'!J53</f>
        <v>0</v>
      </c>
      <c r="D40" s="1721">
        <f t="shared" ca="1" si="28"/>
        <v>0</v>
      </c>
      <c r="E40" s="617">
        <v>0.03</v>
      </c>
      <c r="F40" s="457">
        <f>(F39*E40)+F39</f>
        <v>0</v>
      </c>
      <c r="G40" s="457">
        <f t="shared" ca="1" si="29"/>
        <v>0</v>
      </c>
      <c r="H40" s="457">
        <f t="shared" ca="1" si="30"/>
        <v>0</v>
      </c>
      <c r="I40" s="2408">
        <f t="shared" ca="1" si="31"/>
        <v>0</v>
      </c>
      <c r="J40" s="1922">
        <f t="shared" ca="1" si="32"/>
        <v>0</v>
      </c>
      <c r="K40" s="1912">
        <f ca="1" xml:space="preserve"> IF(F34='Reference Sheet'!$D$13, L37, K39+$W$7)</f>
        <v>0.02</v>
      </c>
      <c r="L40" s="69">
        <f t="shared" ref="L40:L44" ca="1" si="41">K40*J40</f>
        <v>0</v>
      </c>
      <c r="M40" s="2411">
        <f t="shared" ref="M40:M44" ca="1" si="42">G40/(2080/12)+(G40*K40)/(2080/12)</f>
        <v>0</v>
      </c>
      <c r="N40" s="2054">
        <f>IF('DATA INPUT'!V53=3,'DATA INPUT'!X53,0)</f>
        <v>0</v>
      </c>
      <c r="O40" s="1604">
        <f t="shared" ca="1" si="35"/>
        <v>0</v>
      </c>
      <c r="P40" s="2058">
        <f t="shared" ca="1" si="36"/>
        <v>0</v>
      </c>
      <c r="Q40" s="1489">
        <f t="shared" ca="1" si="37"/>
        <v>0</v>
      </c>
      <c r="R40" s="2056">
        <f t="shared" ca="1" si="38"/>
        <v>0.02</v>
      </c>
      <c r="S40" s="1490">
        <f t="shared" ca="1" si="39"/>
        <v>0</v>
      </c>
      <c r="T40" s="2057">
        <f t="shared" ca="1" si="40"/>
        <v>0</v>
      </c>
    </row>
    <row r="41" spans="1:20" hidden="1" x14ac:dyDescent="0.25">
      <c r="A41" s="50">
        <v>3</v>
      </c>
      <c r="B41" s="1720">
        <f>'DATA INPUT'!$K$8</f>
        <v>0</v>
      </c>
      <c r="C41" s="1721">
        <f>'DATA INPUT'!K53</f>
        <v>0</v>
      </c>
      <c r="D41" s="1721">
        <f t="shared" ca="1" si="28"/>
        <v>0</v>
      </c>
      <c r="E41" s="617">
        <v>0.03</v>
      </c>
      <c r="F41" s="457">
        <f>(F40*E41)+F40</f>
        <v>0</v>
      </c>
      <c r="G41" s="457">
        <f t="shared" ca="1" si="29"/>
        <v>0</v>
      </c>
      <c r="H41" s="457">
        <f t="shared" ca="1" si="30"/>
        <v>0</v>
      </c>
      <c r="I41" s="2408">
        <f t="shared" ca="1" si="31"/>
        <v>0</v>
      </c>
      <c r="J41" s="1922">
        <f t="shared" ca="1" si="32"/>
        <v>0</v>
      </c>
      <c r="K41" s="1912">
        <f ca="1" xml:space="preserve"> IF(F34='Reference Sheet'!$D$13, L37, K40+$W$7)</f>
        <v>0.04</v>
      </c>
      <c r="L41" s="69">
        <f t="shared" ca="1" si="41"/>
        <v>0</v>
      </c>
      <c r="M41" s="2411">
        <f t="shared" ca="1" si="42"/>
        <v>0</v>
      </c>
      <c r="N41" s="2054">
        <f>IF('DATA INPUT'!V53=3,'DATA INPUT'!Y53,0)</f>
        <v>0</v>
      </c>
      <c r="O41" s="1604">
        <f t="shared" ca="1" si="35"/>
        <v>0</v>
      </c>
      <c r="P41" s="2058">
        <f t="shared" ca="1" si="36"/>
        <v>0</v>
      </c>
      <c r="Q41" s="1489">
        <f t="shared" ca="1" si="37"/>
        <v>0</v>
      </c>
      <c r="R41" s="2056">
        <f t="shared" ca="1" si="38"/>
        <v>0.04</v>
      </c>
      <c r="S41" s="1490">
        <f t="shared" ca="1" si="39"/>
        <v>0</v>
      </c>
      <c r="T41" s="2057">
        <f t="shared" ca="1" si="40"/>
        <v>0</v>
      </c>
    </row>
    <row r="42" spans="1:20" hidden="1" x14ac:dyDescent="0.25">
      <c r="A42" s="50">
        <v>4</v>
      </c>
      <c r="B42" s="1720">
        <f>'DATA INPUT'!$L$8</f>
        <v>0</v>
      </c>
      <c r="C42" s="1721">
        <f>'DATA INPUT'!L53</f>
        <v>0</v>
      </c>
      <c r="D42" s="1721">
        <f t="shared" ca="1" si="28"/>
        <v>0</v>
      </c>
      <c r="E42" s="617">
        <v>0.03</v>
      </c>
      <c r="F42" s="457">
        <f>(F41*E42)+F41</f>
        <v>0</v>
      </c>
      <c r="G42" s="457">
        <f t="shared" ca="1" si="29"/>
        <v>0</v>
      </c>
      <c r="H42" s="457">
        <f t="shared" ca="1" si="30"/>
        <v>0</v>
      </c>
      <c r="I42" s="2408">
        <f t="shared" ca="1" si="31"/>
        <v>0</v>
      </c>
      <c r="J42" s="1922">
        <f t="shared" ca="1" si="32"/>
        <v>0</v>
      </c>
      <c r="K42" s="1912">
        <f ca="1" xml:space="preserve"> IF(F34='Reference Sheet'!$D$13, L37, K41+$W$7)</f>
        <v>0.06</v>
      </c>
      <c r="L42" s="69">
        <f t="shared" ca="1" si="41"/>
        <v>0</v>
      </c>
      <c r="M42" s="2411">
        <f t="shared" ca="1" si="42"/>
        <v>0</v>
      </c>
      <c r="N42" s="2054">
        <f>IF('DATA INPUT'!V53=3,'DATA INPUT'!Z53,0)</f>
        <v>0</v>
      </c>
      <c r="O42" s="1604">
        <f t="shared" ca="1" si="35"/>
        <v>0</v>
      </c>
      <c r="P42" s="2058">
        <f t="shared" ca="1" si="36"/>
        <v>0</v>
      </c>
      <c r="Q42" s="1489">
        <f t="shared" ca="1" si="37"/>
        <v>0</v>
      </c>
      <c r="R42" s="2059">
        <f t="shared" ca="1" si="38"/>
        <v>0.06</v>
      </c>
      <c r="S42" s="1490">
        <f t="shared" ca="1" si="39"/>
        <v>0</v>
      </c>
      <c r="T42" s="2063">
        <f t="shared" ca="1" si="40"/>
        <v>0</v>
      </c>
    </row>
    <row r="43" spans="1:20" hidden="1" x14ac:dyDescent="0.25">
      <c r="A43" s="50">
        <v>5</v>
      </c>
      <c r="B43" s="1720">
        <f>'DATA INPUT'!$M$8</f>
        <v>0</v>
      </c>
      <c r="C43" s="1721">
        <f>'DATA INPUT'!M53</f>
        <v>0</v>
      </c>
      <c r="D43" s="1721">
        <f t="shared" ca="1" si="28"/>
        <v>0</v>
      </c>
      <c r="E43" s="617">
        <v>0.03</v>
      </c>
      <c r="F43" s="457">
        <f>(F42*E43)+F42</f>
        <v>0</v>
      </c>
      <c r="G43" s="457">
        <f t="shared" ca="1" si="29"/>
        <v>0</v>
      </c>
      <c r="H43" s="457">
        <f t="shared" ca="1" si="30"/>
        <v>0</v>
      </c>
      <c r="I43" s="2408">
        <f t="shared" ca="1" si="31"/>
        <v>0</v>
      </c>
      <c r="J43" s="1922">
        <f t="shared" ca="1" si="32"/>
        <v>0</v>
      </c>
      <c r="K43" s="1912">
        <f ca="1" xml:space="preserve"> IF(F34='Reference Sheet'!$D$13, L37, K42+$W$7)</f>
        <v>0.08</v>
      </c>
      <c r="L43" s="69">
        <f t="shared" ca="1" si="41"/>
        <v>0</v>
      </c>
      <c r="M43" s="2411">
        <f t="shared" ca="1" si="42"/>
        <v>0</v>
      </c>
      <c r="N43" s="2054">
        <f>IF('DATA INPUT'!V53=3,'DATA INPUT'!AA53,0)</f>
        <v>0</v>
      </c>
      <c r="O43" s="1604">
        <f t="shared" ca="1" si="35"/>
        <v>0</v>
      </c>
      <c r="P43" s="2058">
        <f t="shared" ca="1" si="36"/>
        <v>0</v>
      </c>
      <c r="Q43" s="1489">
        <f t="shared" ca="1" si="37"/>
        <v>0</v>
      </c>
      <c r="R43" s="2056">
        <f t="shared" ca="1" si="38"/>
        <v>0.08</v>
      </c>
      <c r="S43" s="1490">
        <f t="shared" ca="1" si="39"/>
        <v>0</v>
      </c>
      <c r="T43" s="2057">
        <f t="shared" ca="1" si="40"/>
        <v>0</v>
      </c>
    </row>
    <row r="44" spans="1:20" ht="15.75" hidden="1" thickBot="1" x14ac:dyDescent="0.3">
      <c r="A44" s="623">
        <v>6</v>
      </c>
      <c r="B44" s="1722">
        <f>'DATA INPUT'!$N$8</f>
        <v>0</v>
      </c>
      <c r="C44" s="1723">
        <f>'DATA INPUT'!N53</f>
        <v>0</v>
      </c>
      <c r="D44" s="1723">
        <f t="shared" ca="1" si="28"/>
        <v>0</v>
      </c>
      <c r="E44" s="621">
        <v>0.03</v>
      </c>
      <c r="F44" s="495">
        <f>(F43*E44)+F43</f>
        <v>0</v>
      </c>
      <c r="G44" s="495">
        <f t="shared" ca="1" si="29"/>
        <v>0</v>
      </c>
      <c r="H44" s="495">
        <f t="shared" ca="1" si="30"/>
        <v>0</v>
      </c>
      <c r="I44" s="2409">
        <f t="shared" ca="1" si="31"/>
        <v>0</v>
      </c>
      <c r="J44" s="1923">
        <f t="shared" ca="1" si="32"/>
        <v>0</v>
      </c>
      <c r="K44" s="1913">
        <f ca="1" xml:space="preserve"> IF(F34='Reference Sheet'!$D$13, L37, K43+$W$7)</f>
        <v>0.1</v>
      </c>
      <c r="L44" s="1914">
        <f t="shared" ca="1" si="41"/>
        <v>0</v>
      </c>
      <c r="M44" s="2412">
        <f t="shared" ca="1" si="42"/>
        <v>0</v>
      </c>
      <c r="N44" s="2060">
        <f>IF('DATA INPUT'!V53=3,'DATA INPUT'!AB53,0)</f>
        <v>0</v>
      </c>
      <c r="O44" s="1906">
        <f t="shared" ca="1" si="35"/>
        <v>0</v>
      </c>
      <c r="P44" s="2061">
        <f t="shared" ca="1" si="36"/>
        <v>0</v>
      </c>
      <c r="Q44" s="1513">
        <f t="shared" ca="1" si="37"/>
        <v>0</v>
      </c>
      <c r="R44" s="2062">
        <f t="shared" ca="1" si="38"/>
        <v>0.1</v>
      </c>
      <c r="S44" s="2043">
        <f t="shared" ca="1" si="39"/>
        <v>0</v>
      </c>
      <c r="T44" s="2064">
        <f t="shared" ca="1" si="40"/>
        <v>0</v>
      </c>
    </row>
    <row r="45" spans="1:20" ht="15.75" hidden="1" thickBot="1" x14ac:dyDescent="0.3">
      <c r="A45" s="624" t="s">
        <v>85</v>
      </c>
      <c r="B45" s="1724">
        <f>SUM(B39:B44)</f>
        <v>12</v>
      </c>
      <c r="C45" s="1727">
        <f>SUM(C39:C44)</f>
        <v>0</v>
      </c>
      <c r="D45" s="1727">
        <f ca="1">SUM(D39:D44)</f>
        <v>0</v>
      </c>
      <c r="J45" s="1728">
        <f ca="1">SUM(J39:J44)</f>
        <v>0</v>
      </c>
      <c r="L45" s="1466">
        <f ca="1">SUM(L39:L44)</f>
        <v>0</v>
      </c>
      <c r="M45" s="60"/>
      <c r="N45" s="1692">
        <f>SUM(N39:N44)</f>
        <v>0</v>
      </c>
      <c r="O45" s="1692">
        <f ca="1">SUM(O39:O44)</f>
        <v>0</v>
      </c>
      <c r="P45" s="2050">
        <f>IFERROR(N45/B45,0)*K34</f>
        <v>0</v>
      </c>
      <c r="Q45" s="2051">
        <f ca="1">SUM(Q39:Q44)</f>
        <v>0</v>
      </c>
      <c r="S45" s="2051">
        <f ca="1">SUM(S39:S44)</f>
        <v>0</v>
      </c>
      <c r="T45" s="2051">
        <f ca="1">SUM(T39:T44)</f>
        <v>0</v>
      </c>
    </row>
    <row r="46" spans="1:20" hidden="1" x14ac:dyDescent="0.25">
      <c r="A46" s="1730"/>
      <c r="B46" s="3073" t="s">
        <v>1074</v>
      </c>
      <c r="C46" s="2065">
        <f>(C45+N45)*K34</f>
        <v>0</v>
      </c>
      <c r="D46" s="496" t="s">
        <v>256</v>
      </c>
      <c r="E46" s="497"/>
      <c r="F46" s="498">
        <f>IFERROR(C45/B45,0)*K34</f>
        <v>0</v>
      </c>
      <c r="G46" s="499" t="s">
        <v>701</v>
      </c>
      <c r="H46" s="500"/>
      <c r="I46" s="498">
        <f>IFERROR(N45/B45,0)*K34</f>
        <v>0</v>
      </c>
      <c r="J46" s="499" t="s">
        <v>702</v>
      </c>
      <c r="K46" s="500"/>
      <c r="L46" s="329"/>
      <c r="M46" s="60"/>
      <c r="N46" s="60"/>
      <c r="O46" s="60"/>
      <c r="P46" s="60"/>
      <c r="Q46" s="60"/>
      <c r="R46" s="60"/>
      <c r="S46" s="60"/>
    </row>
    <row r="47" spans="1:20" ht="15.75" hidden="1" thickBot="1" x14ac:dyDescent="0.3"/>
    <row r="48" spans="1:20" ht="15.75" hidden="1" thickBot="1" x14ac:dyDescent="0.3">
      <c r="A48" s="401" t="s">
        <v>250</v>
      </c>
      <c r="B48" s="402"/>
      <c r="C48" s="1711">
        <f ca="1">OFFSET('DATA INPUT'!$B$51,(VALUE(RIGHT(LEFT($A48,LEN($A48)-1),1))-1),0)</f>
        <v>0</v>
      </c>
      <c r="D48" s="1711"/>
      <c r="E48" s="332" t="s">
        <v>525</v>
      </c>
      <c r="F48" s="1711">
        <f ca="1">OFFSET('DATA INPUT'!$H$51,(VALUE(RIGHT(LEFT($A48,LEN($A48)-1),1))-1),0)</f>
        <v>0</v>
      </c>
      <c r="G48" s="1711"/>
      <c r="H48" s="1704" t="s">
        <v>81</v>
      </c>
      <c r="I48" s="1887">
        <f>'DATA INPUT'!G54</f>
        <v>12</v>
      </c>
      <c r="J48" s="1705" t="s">
        <v>82</v>
      </c>
      <c r="K48" s="1887">
        <f>'DATA INPUT'!F54</f>
        <v>1</v>
      </c>
      <c r="L48" s="1886"/>
      <c r="M48" s="1899"/>
    </row>
    <row r="49" spans="1:20" ht="15.75" hidden="1" customHeight="1" thickBot="1" x14ac:dyDescent="0.3">
      <c r="A49" s="66" t="s">
        <v>80</v>
      </c>
      <c r="B49" s="67"/>
      <c r="C49" s="663">
        <f>'DATA INPUT'!C54</f>
        <v>0</v>
      </c>
      <c r="D49" s="1712"/>
      <c r="E49" s="3576" t="s">
        <v>257</v>
      </c>
      <c r="F49" s="3577"/>
      <c r="G49" s="334">
        <f>'DATA INPUT'!E54</f>
        <v>0</v>
      </c>
      <c r="H49" s="1709" t="s">
        <v>528</v>
      </c>
      <c r="I49" s="1715"/>
      <c r="J49" s="334">
        <f>IFERROR(G49/I48,0)</f>
        <v>0</v>
      </c>
      <c r="K49" s="1737"/>
      <c r="L49" s="1890"/>
      <c r="M49" s="334"/>
      <c r="N49" s="1711">
        <f ca="1">C48</f>
        <v>0</v>
      </c>
      <c r="O49" s="1711"/>
      <c r="P49" s="1711"/>
      <c r="R49" s="332" t="s">
        <v>525</v>
      </c>
      <c r="S49" s="1711">
        <f ca="1">F48</f>
        <v>0</v>
      </c>
      <c r="T49" s="1711"/>
    </row>
    <row r="50" spans="1:20" ht="15" hidden="1" customHeight="1" thickBot="1" x14ac:dyDescent="0.3">
      <c r="A50" s="459"/>
      <c r="B50" s="3578" t="s">
        <v>254</v>
      </c>
      <c r="C50" s="3578" t="s">
        <v>92</v>
      </c>
      <c r="D50" s="3578" t="s">
        <v>93</v>
      </c>
      <c r="E50" s="3580" t="s">
        <v>65</v>
      </c>
      <c r="F50" s="3580"/>
      <c r="G50" s="3580"/>
      <c r="H50" s="3581"/>
      <c r="I50" s="3581"/>
      <c r="J50" s="3588" t="s">
        <v>84</v>
      </c>
      <c r="K50" s="3584" t="s">
        <v>78</v>
      </c>
      <c r="L50" s="3585"/>
      <c r="M50" s="1706"/>
      <c r="N50" s="1996" t="s">
        <v>623</v>
      </c>
      <c r="O50" s="2127"/>
      <c r="P50" s="2128"/>
      <c r="Q50" s="2128"/>
      <c r="R50" s="2129"/>
      <c r="S50" s="2128"/>
      <c r="T50" s="2129"/>
    </row>
    <row r="51" spans="1:20" ht="15" hidden="1" customHeight="1" x14ac:dyDescent="0.25">
      <c r="A51" s="3445" t="s">
        <v>253</v>
      </c>
      <c r="B51" s="3579"/>
      <c r="C51" s="3579"/>
      <c r="D51" s="3579"/>
      <c r="E51" s="3444" t="s">
        <v>86</v>
      </c>
      <c r="F51" s="3444" t="s">
        <v>486</v>
      </c>
      <c r="G51" s="3444" t="s">
        <v>233</v>
      </c>
      <c r="H51" s="3444" t="s">
        <v>255</v>
      </c>
      <c r="I51" s="3450" t="s">
        <v>66</v>
      </c>
      <c r="J51" s="3589"/>
      <c r="K51" s="2212" t="s">
        <v>634</v>
      </c>
      <c r="L51" s="2213">
        <f ca="1">IFERROR(VLOOKUP(F48,TableFringePool[],2,0),0)</f>
        <v>0</v>
      </c>
      <c r="M51" s="1708"/>
      <c r="N51" s="3477" t="s">
        <v>618</v>
      </c>
      <c r="O51" s="3554" t="s">
        <v>619</v>
      </c>
      <c r="P51" s="3552" t="s">
        <v>620</v>
      </c>
      <c r="Q51" s="3560" t="s">
        <v>624</v>
      </c>
      <c r="R51" s="2052" t="s">
        <v>621</v>
      </c>
      <c r="S51" s="2053"/>
      <c r="T51" s="3558" t="s">
        <v>625</v>
      </c>
    </row>
    <row r="52" spans="1:20" ht="15.75" hidden="1" thickBot="1" x14ac:dyDescent="0.3">
      <c r="A52" s="3445"/>
      <c r="B52" s="3579"/>
      <c r="C52" s="3579"/>
      <c r="D52" s="3579"/>
      <c r="E52" s="3445"/>
      <c r="F52" s="3446"/>
      <c r="G52" s="3446"/>
      <c r="H52" s="3446"/>
      <c r="I52" s="3586"/>
      <c r="J52" s="3589"/>
      <c r="K52" s="616" t="s">
        <v>67</v>
      </c>
      <c r="L52" s="664" t="s">
        <v>68</v>
      </c>
      <c r="M52" s="1707" t="s">
        <v>87</v>
      </c>
      <c r="N52" s="3541"/>
      <c r="O52" s="3555"/>
      <c r="P52" s="3553"/>
      <c r="Q52" s="3561"/>
      <c r="R52" s="2124" t="s">
        <v>622</v>
      </c>
      <c r="S52" s="540" t="s">
        <v>68</v>
      </c>
      <c r="T52" s="3559"/>
    </row>
    <row r="53" spans="1:20" hidden="1" x14ac:dyDescent="0.25">
      <c r="A53" s="622">
        <v>1</v>
      </c>
      <c r="B53" s="1725">
        <f>'DATA INPUT'!$I$8</f>
        <v>12</v>
      </c>
      <c r="C53" s="1726">
        <f>'DATA INPUT'!I54</f>
        <v>0</v>
      </c>
      <c r="D53" s="1726">
        <f t="shared" ref="D53:D58" ca="1" si="43">(C53*(2080/12))*OFFSET($K$6,(ROW()-(4+A53)-ROW($K$6)),0)</f>
        <v>0</v>
      </c>
      <c r="E53" s="618">
        <v>0.03</v>
      </c>
      <c r="F53" s="492">
        <f>(G49*E53)+G49</f>
        <v>0</v>
      </c>
      <c r="G53" s="492">
        <f t="shared" ref="G53:G58" ca="1" si="44">IFERROR(F53/OFFSET($I$6,(ROW()-(4+A53)-ROW($I$6)),0),0)</f>
        <v>0</v>
      </c>
      <c r="H53" s="492">
        <f t="shared" ref="H53:H58" ca="1" si="45">IFERROR(F53/OFFSET($I$6,(ROW()-(4+A53)-ROW($I$6)),0)*OFFSET($K$6,(ROW()-(4+A53)-ROW($K$6)),0),0)</f>
        <v>0</v>
      </c>
      <c r="I53" s="2407">
        <f t="shared" ref="I53:I58" ca="1" si="46">G53/(2080/12)</f>
        <v>0</v>
      </c>
      <c r="J53" s="1921">
        <f t="shared" ref="J53:J58" ca="1" si="47">H53*C53</f>
        <v>0</v>
      </c>
      <c r="K53" s="1912">
        <f ca="1">IF(F48='Reference Sheet'!$D$13, L51, IF($V$4&lt;$U$4, L51, IF($V$4&gt;$X$4, L51+2*$W$7, L51+$W$7)))</f>
        <v>0</v>
      </c>
      <c r="L53" s="68">
        <f t="shared" ref="L53" ca="1" si="48">K53*J53</f>
        <v>0</v>
      </c>
      <c r="M53" s="2410">
        <f t="shared" ref="M53" ca="1" si="49">G53/(2080/12)+(G53*K53)/(2080/12)</f>
        <v>0</v>
      </c>
      <c r="N53" s="2054">
        <f>IF('DATA INPUT'!V54=3,'DATA INPUT'!W54,0)</f>
        <v>0</v>
      </c>
      <c r="O53" s="1604">
        <f t="shared" ref="O53:O58" ca="1" si="50">N53*(2080/12)*OFFSET($K$6,(ROW()-(4+A53)-ROW($K$6)),0)</f>
        <v>0</v>
      </c>
      <c r="P53" s="2055">
        <f t="shared" ref="P53:P58" ca="1" si="51">IFERROR(N53/B53,0)*OFFSET($K$6,(ROW()-(4+A53)-ROW($K$6)),0)</f>
        <v>0</v>
      </c>
      <c r="Q53" s="1489">
        <f t="shared" ref="Q53:Q58" ca="1" si="52">N53*H53</f>
        <v>0</v>
      </c>
      <c r="R53" s="2056">
        <f t="shared" ref="R53:R58" ca="1" si="53">K53</f>
        <v>0</v>
      </c>
      <c r="S53" s="1490">
        <f t="shared" ref="S53:S58" ca="1" si="54">Q53*R53</f>
        <v>0</v>
      </c>
      <c r="T53" s="2057">
        <f t="shared" ref="T53:T58" ca="1" si="55">SUM(Q53,S53)</f>
        <v>0</v>
      </c>
    </row>
    <row r="54" spans="1:20" hidden="1" x14ac:dyDescent="0.25">
      <c r="A54" s="50">
        <v>2</v>
      </c>
      <c r="B54" s="1720">
        <f>'DATA INPUT'!$J$8</f>
        <v>0</v>
      </c>
      <c r="C54" s="1721">
        <f>'DATA INPUT'!J54</f>
        <v>0</v>
      </c>
      <c r="D54" s="1721">
        <f t="shared" ca="1" si="43"/>
        <v>0</v>
      </c>
      <c r="E54" s="617">
        <v>0.03</v>
      </c>
      <c r="F54" s="457">
        <f>(F53*E54)+F53</f>
        <v>0</v>
      </c>
      <c r="G54" s="457">
        <f t="shared" ca="1" si="44"/>
        <v>0</v>
      </c>
      <c r="H54" s="457">
        <f t="shared" ca="1" si="45"/>
        <v>0</v>
      </c>
      <c r="I54" s="2408">
        <f t="shared" ca="1" si="46"/>
        <v>0</v>
      </c>
      <c r="J54" s="1922">
        <f t="shared" ca="1" si="47"/>
        <v>0</v>
      </c>
      <c r="K54" s="1912">
        <f ca="1" xml:space="preserve"> IF(F48='Reference Sheet'!$D$13, L51, K53+$W$7)</f>
        <v>0.02</v>
      </c>
      <c r="L54" s="69">
        <f t="shared" ref="L54:L58" ca="1" si="56">K54*J54</f>
        <v>0</v>
      </c>
      <c r="M54" s="2411">
        <f t="shared" ref="M54:M58" ca="1" si="57">G54/(2080/12)+(G54*K54)/(2080/12)</f>
        <v>0</v>
      </c>
      <c r="N54" s="2054">
        <f>IF('DATA INPUT'!V54=3,'DATA INPUT'!X54,0)</f>
        <v>0</v>
      </c>
      <c r="O54" s="1604">
        <f t="shared" ca="1" si="50"/>
        <v>0</v>
      </c>
      <c r="P54" s="2058">
        <f t="shared" ca="1" si="51"/>
        <v>0</v>
      </c>
      <c r="Q54" s="1489">
        <f t="shared" ca="1" si="52"/>
        <v>0</v>
      </c>
      <c r="R54" s="2056">
        <f t="shared" ca="1" si="53"/>
        <v>0.02</v>
      </c>
      <c r="S54" s="1490">
        <f t="shared" ca="1" si="54"/>
        <v>0</v>
      </c>
      <c r="T54" s="2057">
        <f t="shared" ca="1" si="55"/>
        <v>0</v>
      </c>
    </row>
    <row r="55" spans="1:20" hidden="1" x14ac:dyDescent="0.25">
      <c r="A55" s="50">
        <v>3</v>
      </c>
      <c r="B55" s="1720">
        <f>'DATA INPUT'!$K$8</f>
        <v>0</v>
      </c>
      <c r="C55" s="1721">
        <f>'DATA INPUT'!K54</f>
        <v>0</v>
      </c>
      <c r="D55" s="1721">
        <f t="shared" ca="1" si="43"/>
        <v>0</v>
      </c>
      <c r="E55" s="617">
        <v>0.03</v>
      </c>
      <c r="F55" s="457">
        <f>(F54*E55)+F54</f>
        <v>0</v>
      </c>
      <c r="G55" s="457">
        <f t="shared" ca="1" si="44"/>
        <v>0</v>
      </c>
      <c r="H55" s="457">
        <f t="shared" ca="1" si="45"/>
        <v>0</v>
      </c>
      <c r="I55" s="2408">
        <f t="shared" ca="1" si="46"/>
        <v>0</v>
      </c>
      <c r="J55" s="1922">
        <f t="shared" ca="1" si="47"/>
        <v>0</v>
      </c>
      <c r="K55" s="1912">
        <f ca="1" xml:space="preserve"> IF(F48='Reference Sheet'!$D$13, L51, K54+$W$7)</f>
        <v>0.04</v>
      </c>
      <c r="L55" s="69">
        <f t="shared" ca="1" si="56"/>
        <v>0</v>
      </c>
      <c r="M55" s="2411">
        <f t="shared" ca="1" si="57"/>
        <v>0</v>
      </c>
      <c r="N55" s="2054">
        <f>IF('DATA INPUT'!V54=3,'DATA INPUT'!Y54,0)</f>
        <v>0</v>
      </c>
      <c r="O55" s="1604">
        <f t="shared" ca="1" si="50"/>
        <v>0</v>
      </c>
      <c r="P55" s="2058">
        <f t="shared" ca="1" si="51"/>
        <v>0</v>
      </c>
      <c r="Q55" s="1489">
        <f t="shared" ca="1" si="52"/>
        <v>0</v>
      </c>
      <c r="R55" s="2056">
        <f t="shared" ca="1" si="53"/>
        <v>0.04</v>
      </c>
      <c r="S55" s="1490">
        <f t="shared" ca="1" si="54"/>
        <v>0</v>
      </c>
      <c r="T55" s="2057">
        <f t="shared" ca="1" si="55"/>
        <v>0</v>
      </c>
    </row>
    <row r="56" spans="1:20" hidden="1" x14ac:dyDescent="0.25">
      <c r="A56" s="50">
        <v>4</v>
      </c>
      <c r="B56" s="1720">
        <f>'DATA INPUT'!$L$8</f>
        <v>0</v>
      </c>
      <c r="C56" s="1721">
        <f>'DATA INPUT'!L54</f>
        <v>0</v>
      </c>
      <c r="D56" s="1721">
        <f t="shared" ca="1" si="43"/>
        <v>0</v>
      </c>
      <c r="E56" s="617">
        <v>0.03</v>
      </c>
      <c r="F56" s="457">
        <f>(F55*E56)+F55</f>
        <v>0</v>
      </c>
      <c r="G56" s="457">
        <f t="shared" ca="1" si="44"/>
        <v>0</v>
      </c>
      <c r="H56" s="457">
        <f t="shared" ca="1" si="45"/>
        <v>0</v>
      </c>
      <c r="I56" s="2408">
        <f t="shared" ca="1" si="46"/>
        <v>0</v>
      </c>
      <c r="J56" s="1922">
        <f t="shared" ca="1" si="47"/>
        <v>0</v>
      </c>
      <c r="K56" s="1912">
        <f ca="1" xml:space="preserve"> IF(F48='Reference Sheet'!$D$13, L51, K55+$W$7)</f>
        <v>0.06</v>
      </c>
      <c r="L56" s="69">
        <f t="shared" ca="1" si="56"/>
        <v>0</v>
      </c>
      <c r="M56" s="2411">
        <f t="shared" ca="1" si="57"/>
        <v>0</v>
      </c>
      <c r="N56" s="2054">
        <f>IF('DATA INPUT'!V54=3,'DATA INPUT'!Z54,0)</f>
        <v>0</v>
      </c>
      <c r="O56" s="1604">
        <f t="shared" ca="1" si="50"/>
        <v>0</v>
      </c>
      <c r="P56" s="2058">
        <f t="shared" ca="1" si="51"/>
        <v>0</v>
      </c>
      <c r="Q56" s="1489">
        <f t="shared" ca="1" si="52"/>
        <v>0</v>
      </c>
      <c r="R56" s="2059">
        <f t="shared" ca="1" si="53"/>
        <v>0.06</v>
      </c>
      <c r="S56" s="1490">
        <f t="shared" ca="1" si="54"/>
        <v>0</v>
      </c>
      <c r="T56" s="2063">
        <f t="shared" ca="1" si="55"/>
        <v>0</v>
      </c>
    </row>
    <row r="57" spans="1:20" hidden="1" x14ac:dyDescent="0.25">
      <c r="A57" s="50">
        <v>5</v>
      </c>
      <c r="B57" s="1720">
        <f>'DATA INPUT'!$M$8</f>
        <v>0</v>
      </c>
      <c r="C57" s="1721">
        <f>'DATA INPUT'!M54</f>
        <v>0</v>
      </c>
      <c r="D57" s="1721">
        <f t="shared" ca="1" si="43"/>
        <v>0</v>
      </c>
      <c r="E57" s="617">
        <v>0.03</v>
      </c>
      <c r="F57" s="457">
        <f>(F56*E57)+F56</f>
        <v>0</v>
      </c>
      <c r="G57" s="457">
        <f t="shared" ca="1" si="44"/>
        <v>0</v>
      </c>
      <c r="H57" s="457">
        <f t="shared" ca="1" si="45"/>
        <v>0</v>
      </c>
      <c r="I57" s="2408">
        <f t="shared" ca="1" si="46"/>
        <v>0</v>
      </c>
      <c r="J57" s="1922">
        <f t="shared" ca="1" si="47"/>
        <v>0</v>
      </c>
      <c r="K57" s="1912">
        <f ca="1" xml:space="preserve"> IF(F48='Reference Sheet'!$D$13, L51, K56+$W$7)</f>
        <v>0.08</v>
      </c>
      <c r="L57" s="69">
        <f t="shared" ca="1" si="56"/>
        <v>0</v>
      </c>
      <c r="M57" s="2411">
        <f t="shared" ca="1" si="57"/>
        <v>0</v>
      </c>
      <c r="N57" s="2054">
        <f>IF('DATA INPUT'!V54=3,'DATA INPUT'!AA54,0)</f>
        <v>0</v>
      </c>
      <c r="O57" s="1604">
        <f t="shared" ca="1" si="50"/>
        <v>0</v>
      </c>
      <c r="P57" s="2058">
        <f t="shared" ca="1" si="51"/>
        <v>0</v>
      </c>
      <c r="Q57" s="1489">
        <f t="shared" ca="1" si="52"/>
        <v>0</v>
      </c>
      <c r="R57" s="2056">
        <f t="shared" ca="1" si="53"/>
        <v>0.08</v>
      </c>
      <c r="S57" s="1490">
        <f t="shared" ca="1" si="54"/>
        <v>0</v>
      </c>
      <c r="T57" s="2057">
        <f t="shared" ca="1" si="55"/>
        <v>0</v>
      </c>
    </row>
    <row r="58" spans="1:20" ht="15.75" hidden="1" thickBot="1" x14ac:dyDescent="0.3">
      <c r="A58" s="623">
        <v>6</v>
      </c>
      <c r="B58" s="1722">
        <f>'DATA INPUT'!$N$8</f>
        <v>0</v>
      </c>
      <c r="C58" s="1723">
        <f>'DATA INPUT'!N54</f>
        <v>0</v>
      </c>
      <c r="D58" s="1723">
        <f t="shared" ca="1" si="43"/>
        <v>0</v>
      </c>
      <c r="E58" s="621">
        <v>0.03</v>
      </c>
      <c r="F58" s="495">
        <f>(F57*E58)+F57</f>
        <v>0</v>
      </c>
      <c r="G58" s="495">
        <f t="shared" ca="1" si="44"/>
        <v>0</v>
      </c>
      <c r="H58" s="495">
        <f t="shared" ca="1" si="45"/>
        <v>0</v>
      </c>
      <c r="I58" s="2409">
        <f t="shared" ca="1" si="46"/>
        <v>0</v>
      </c>
      <c r="J58" s="1923">
        <f t="shared" ca="1" si="47"/>
        <v>0</v>
      </c>
      <c r="K58" s="1913">
        <f ca="1" xml:space="preserve"> IF(F48='Reference Sheet'!$D$13, L51, K57+$W$7)</f>
        <v>0.1</v>
      </c>
      <c r="L58" s="1914">
        <f t="shared" ca="1" si="56"/>
        <v>0</v>
      </c>
      <c r="M58" s="2412">
        <f t="shared" ca="1" si="57"/>
        <v>0</v>
      </c>
      <c r="N58" s="2060">
        <f>IF('DATA INPUT'!V54=3,'DATA INPUT'!AB54,0)</f>
        <v>0</v>
      </c>
      <c r="O58" s="1906">
        <f t="shared" ca="1" si="50"/>
        <v>0</v>
      </c>
      <c r="P58" s="2061">
        <f t="shared" ca="1" si="51"/>
        <v>0</v>
      </c>
      <c r="Q58" s="1513">
        <f t="shared" ca="1" si="52"/>
        <v>0</v>
      </c>
      <c r="R58" s="2062">
        <f t="shared" ca="1" si="53"/>
        <v>0.1</v>
      </c>
      <c r="S58" s="2043">
        <f t="shared" ca="1" si="54"/>
        <v>0</v>
      </c>
      <c r="T58" s="2064">
        <f t="shared" ca="1" si="55"/>
        <v>0</v>
      </c>
    </row>
    <row r="59" spans="1:20" ht="15.75" hidden="1" thickBot="1" x14ac:dyDescent="0.3">
      <c r="A59" s="624" t="s">
        <v>85</v>
      </c>
      <c r="B59" s="1724">
        <f>SUM(B53:B58)</f>
        <v>12</v>
      </c>
      <c r="C59" s="1727">
        <f>SUM(C53:C58)</f>
        <v>0</v>
      </c>
      <c r="D59" s="1727">
        <f ca="1">SUM(D53:D58)</f>
        <v>0</v>
      </c>
      <c r="J59" s="1728">
        <f ca="1">SUM(J53:J58)</f>
        <v>0</v>
      </c>
      <c r="L59" s="1466">
        <f ca="1">SUM(L53:L58)</f>
        <v>0</v>
      </c>
      <c r="M59" s="60"/>
      <c r="N59" s="1692">
        <f>SUM(N53:N58)</f>
        <v>0</v>
      </c>
      <c r="O59" s="1692">
        <f ca="1">SUM(O53:O58)</f>
        <v>0</v>
      </c>
      <c r="P59" s="2050">
        <f>IFERROR(N59/B59,0)*K48</f>
        <v>0</v>
      </c>
      <c r="Q59" s="2051">
        <f ca="1">SUM(Q53:Q58)</f>
        <v>0</v>
      </c>
      <c r="S59" s="2051">
        <f ca="1">SUM(S53:S58)</f>
        <v>0</v>
      </c>
      <c r="T59" s="2051">
        <f ca="1">SUM(T53:T58)</f>
        <v>0</v>
      </c>
    </row>
    <row r="60" spans="1:20" hidden="1" x14ac:dyDescent="0.25">
      <c r="A60" s="1730"/>
      <c r="B60" s="3073" t="s">
        <v>1074</v>
      </c>
      <c r="C60" s="2065">
        <f>(C59+N59)*K48</f>
        <v>0</v>
      </c>
      <c r="D60" s="496" t="s">
        <v>256</v>
      </c>
      <c r="E60" s="497"/>
      <c r="F60" s="498">
        <f>IFERROR(C59/B59,0)*K48</f>
        <v>0</v>
      </c>
      <c r="G60" s="499" t="s">
        <v>701</v>
      </c>
      <c r="H60" s="500"/>
      <c r="I60" s="498">
        <f>IFERROR(N59/B59,0)*K48</f>
        <v>0</v>
      </c>
      <c r="J60" s="499" t="s">
        <v>702</v>
      </c>
      <c r="K60" s="500"/>
      <c r="L60" s="329"/>
      <c r="M60" s="60"/>
      <c r="N60" s="60"/>
      <c r="O60" s="60"/>
      <c r="P60" s="60"/>
      <c r="Q60" s="60"/>
      <c r="R60" s="60"/>
      <c r="S60" s="60"/>
    </row>
    <row r="61" spans="1:20" ht="15.75" hidden="1" thickBot="1" x14ac:dyDescent="0.3"/>
    <row r="62" spans="1:20" ht="15.75" hidden="1" customHeight="1" thickBot="1" x14ac:dyDescent="0.3">
      <c r="A62" s="1710" t="s">
        <v>703</v>
      </c>
      <c r="B62" s="1711"/>
      <c r="C62" s="1711">
        <f ca="1">OFFSET('DATA INPUT'!$B$51,(VALUE(RIGHT(LEFT($A62,LEN($A62)-1),1))-1),0)</f>
        <v>0</v>
      </c>
      <c r="D62" s="1711"/>
      <c r="E62" s="332" t="s">
        <v>525</v>
      </c>
      <c r="F62" s="1711">
        <f ca="1">OFFSET('DATA INPUT'!$H$51,(VALUE(RIGHT(LEFT($A62,LEN($A62)-1),1))-1),0)</f>
        <v>0</v>
      </c>
      <c r="G62" s="1711"/>
      <c r="H62" s="1704" t="s">
        <v>81</v>
      </c>
      <c r="I62" s="1887">
        <f>'DATA INPUT'!G55</f>
        <v>12</v>
      </c>
      <c r="J62" s="1705" t="s">
        <v>82</v>
      </c>
      <c r="K62" s="2382">
        <f>'DATA INPUT'!F55</f>
        <v>1</v>
      </c>
      <c r="L62" s="1886"/>
      <c r="M62" s="1889"/>
    </row>
    <row r="63" spans="1:20" ht="19.5" hidden="1" customHeight="1" thickBot="1" x14ac:dyDescent="0.3">
      <c r="A63" s="66" t="s">
        <v>80</v>
      </c>
      <c r="B63" s="1709"/>
      <c r="C63" s="1712">
        <f>'DATA INPUT'!C55</f>
        <v>0</v>
      </c>
      <c r="D63" s="1712"/>
      <c r="E63" s="3576" t="s">
        <v>257</v>
      </c>
      <c r="F63" s="3577"/>
      <c r="G63" s="1713">
        <f>'DATA INPUT'!E55</f>
        <v>0</v>
      </c>
      <c r="H63" s="66" t="s">
        <v>528</v>
      </c>
      <c r="I63" s="1715"/>
      <c r="J63" s="334">
        <f>IFERROR(G63/I62,0)</f>
        <v>0</v>
      </c>
      <c r="K63" s="1737"/>
      <c r="L63" s="1890"/>
      <c r="M63" s="334"/>
      <c r="N63" s="1711">
        <f ca="1">C62</f>
        <v>0</v>
      </c>
      <c r="O63" s="1711"/>
      <c r="P63" s="1711"/>
      <c r="R63" s="332" t="s">
        <v>525</v>
      </c>
      <c r="S63" s="1711">
        <f ca="1">F62</f>
        <v>0</v>
      </c>
      <c r="T63" s="1711"/>
    </row>
    <row r="64" spans="1:20" ht="16.350000000000001" hidden="1" customHeight="1" thickBot="1" x14ac:dyDescent="0.3">
      <c r="A64" s="2214"/>
      <c r="B64" s="3578" t="s">
        <v>254</v>
      </c>
      <c r="C64" s="3578" t="s">
        <v>92</v>
      </c>
      <c r="D64" s="3578" t="s">
        <v>93</v>
      </c>
      <c r="E64" s="3581" t="s">
        <v>65</v>
      </c>
      <c r="F64" s="3581"/>
      <c r="G64" s="3581"/>
      <c r="H64" s="3581"/>
      <c r="I64" s="3581"/>
      <c r="J64" s="3582" t="s">
        <v>84</v>
      </c>
      <c r="K64" s="3584" t="s">
        <v>78</v>
      </c>
      <c r="L64" s="3585"/>
      <c r="M64" s="1706"/>
      <c r="N64" s="1996" t="s">
        <v>623</v>
      </c>
      <c r="O64" s="2127"/>
      <c r="P64" s="2128"/>
      <c r="Q64" s="2128"/>
      <c r="R64" s="2129"/>
      <c r="S64" s="2128"/>
      <c r="T64" s="2129"/>
    </row>
    <row r="65" spans="1:20" ht="15" hidden="1" customHeight="1" x14ac:dyDescent="0.25">
      <c r="A65" s="3579" t="s">
        <v>253</v>
      </c>
      <c r="B65" s="3579"/>
      <c r="C65" s="3579"/>
      <c r="D65" s="3579"/>
      <c r="E65" s="3444" t="s">
        <v>86</v>
      </c>
      <c r="F65" s="3444" t="s">
        <v>486</v>
      </c>
      <c r="G65" s="3444" t="s">
        <v>233</v>
      </c>
      <c r="H65" s="3444" t="s">
        <v>255</v>
      </c>
      <c r="I65" s="3450" t="s">
        <v>66</v>
      </c>
      <c r="J65" s="3583"/>
      <c r="K65" s="2212" t="s">
        <v>634</v>
      </c>
      <c r="L65" s="2213">
        <f ca="1">IFERROR(VLOOKUP(F62,TableFringePool[],2,0),0)</f>
        <v>0</v>
      </c>
      <c r="M65" s="1708"/>
      <c r="N65" s="3477" t="s">
        <v>618</v>
      </c>
      <c r="O65" s="3554" t="s">
        <v>619</v>
      </c>
      <c r="P65" s="3552" t="s">
        <v>620</v>
      </c>
      <c r="Q65" s="3560" t="s">
        <v>624</v>
      </c>
      <c r="R65" s="2052" t="s">
        <v>621</v>
      </c>
      <c r="S65" s="2053"/>
      <c r="T65" s="3558" t="s">
        <v>625</v>
      </c>
    </row>
    <row r="66" spans="1:20" ht="16.899999999999999" hidden="1" customHeight="1" thickBot="1" x14ac:dyDescent="0.3">
      <c r="A66" s="3587"/>
      <c r="B66" s="3587"/>
      <c r="C66" s="3587"/>
      <c r="D66" s="3587"/>
      <c r="E66" s="3446"/>
      <c r="F66" s="3446"/>
      <c r="G66" s="3446"/>
      <c r="H66" s="3446"/>
      <c r="I66" s="3586"/>
      <c r="J66" s="3591"/>
      <c r="K66" s="616" t="s">
        <v>67</v>
      </c>
      <c r="L66" s="664" t="s">
        <v>68</v>
      </c>
      <c r="M66" s="1707" t="s">
        <v>87</v>
      </c>
      <c r="N66" s="3541"/>
      <c r="O66" s="3555"/>
      <c r="P66" s="3553"/>
      <c r="Q66" s="3561"/>
      <c r="R66" s="2124" t="s">
        <v>622</v>
      </c>
      <c r="S66" s="540" t="s">
        <v>68</v>
      </c>
      <c r="T66" s="3559"/>
    </row>
    <row r="67" spans="1:20" hidden="1" x14ac:dyDescent="0.25">
      <c r="A67" s="1897">
        <v>1</v>
      </c>
      <c r="B67" s="1725">
        <f>'DATA INPUT'!$I$8</f>
        <v>12</v>
      </c>
      <c r="C67" s="1726">
        <f>'DATA INPUT'!I55</f>
        <v>0</v>
      </c>
      <c r="D67" s="1726">
        <f t="shared" ref="D67:D72" ca="1" si="58">(C67*(2080/12))*OFFSET($K$6,(ROW()-(4+A67)-ROW($K$6)),0)</f>
        <v>0</v>
      </c>
      <c r="E67" s="618">
        <v>0.03</v>
      </c>
      <c r="F67" s="492">
        <f>(G63*E67)+G63</f>
        <v>0</v>
      </c>
      <c r="G67" s="492">
        <f t="shared" ref="G67:G72" ca="1" si="59">IFERROR(F67/OFFSET($I$6,(ROW()-(4+A67)-ROW($I$6)),0),0)</f>
        <v>0</v>
      </c>
      <c r="H67" s="492">
        <f t="shared" ref="H67:H72" ca="1" si="60">IFERROR(F67/OFFSET($I$6,(ROW()-(4+A67)-ROW($I$6)),0)*OFFSET($K$6,(ROW()-(4+A67)-ROW($K$6)),0),0)</f>
        <v>0</v>
      </c>
      <c r="I67" s="2407">
        <f t="shared" ref="I67:I72" ca="1" si="61">G67/(2080/12)</f>
        <v>0</v>
      </c>
      <c r="J67" s="1921">
        <f t="shared" ref="J67:J72" ca="1" si="62">H67*C67</f>
        <v>0</v>
      </c>
      <c r="K67" s="1912">
        <f ca="1">IF(F62='Reference Sheet'!$D$13, L65, IF($V$4&lt;$U$4, L65, IF($V$4&gt;$X$4, L65+2*$W$7, L65+$W$7)))</f>
        <v>0</v>
      </c>
      <c r="L67" s="68">
        <f t="shared" ref="L67" ca="1" si="63">K67*J67</f>
        <v>0</v>
      </c>
      <c r="M67" s="2410">
        <f t="shared" ref="M67" ca="1" si="64">G67/(2080/12)+(G67*K67)/(2080/12)</f>
        <v>0</v>
      </c>
      <c r="N67" s="2054">
        <f>IF('DATA INPUT'!V55=3,'DATA INPUT'!W55,0)</f>
        <v>0</v>
      </c>
      <c r="O67" s="1604">
        <f t="shared" ref="O67:O72" ca="1" si="65">N67*(2080/12)*OFFSET($K$6,(ROW()-(4+A67)-ROW($K$6)),0)</f>
        <v>0</v>
      </c>
      <c r="P67" s="2055">
        <f t="shared" ref="P67:P72" ca="1" si="66">IFERROR(N67/B67,0)*OFFSET($K$6,(ROW()-(4+A67)-ROW($K$6)),0)</f>
        <v>0</v>
      </c>
      <c r="Q67" s="1489">
        <f t="shared" ref="Q67:Q72" ca="1" si="67">N67*H67</f>
        <v>0</v>
      </c>
      <c r="R67" s="2056">
        <f t="shared" ref="R67:R72" ca="1" si="68">K67</f>
        <v>0</v>
      </c>
      <c r="S67" s="1490">
        <f t="shared" ref="S67:S72" ca="1" si="69">Q67*R67</f>
        <v>0</v>
      </c>
      <c r="T67" s="2057">
        <f t="shared" ref="T67:T72" ca="1" si="70">SUM(Q67,S67)</f>
        <v>0</v>
      </c>
    </row>
    <row r="68" spans="1:20" hidden="1" x14ac:dyDescent="0.25">
      <c r="A68" s="619">
        <v>2</v>
      </c>
      <c r="B68" s="1720">
        <f>'DATA INPUT'!$J$8</f>
        <v>0</v>
      </c>
      <c r="C68" s="1721">
        <f>'DATA INPUT'!J55</f>
        <v>0</v>
      </c>
      <c r="D68" s="1721">
        <f t="shared" ca="1" si="58"/>
        <v>0</v>
      </c>
      <c r="E68" s="617">
        <v>0.03</v>
      </c>
      <c r="F68" s="457">
        <f>(F67*E68)+F67</f>
        <v>0</v>
      </c>
      <c r="G68" s="457">
        <f t="shared" ca="1" si="59"/>
        <v>0</v>
      </c>
      <c r="H68" s="457">
        <f t="shared" ca="1" si="60"/>
        <v>0</v>
      </c>
      <c r="I68" s="2408">
        <f t="shared" ca="1" si="61"/>
        <v>0</v>
      </c>
      <c r="J68" s="1922">
        <f t="shared" ca="1" si="62"/>
        <v>0</v>
      </c>
      <c r="K68" s="1912">
        <f ca="1" xml:space="preserve"> IF(F62='Reference Sheet'!$D$13, L65, K67+$W$7)</f>
        <v>0.02</v>
      </c>
      <c r="L68" s="69">
        <f t="shared" ref="L68:L72" ca="1" si="71">K68*J68</f>
        <v>0</v>
      </c>
      <c r="M68" s="2411">
        <f t="shared" ref="M68:M72" ca="1" si="72">G68/(2080/12)+(G68*K68)/(2080/12)</f>
        <v>0</v>
      </c>
      <c r="N68" s="2054">
        <f>IF('DATA INPUT'!V55=3,'DATA INPUT'!X55,0)</f>
        <v>0</v>
      </c>
      <c r="O68" s="1604">
        <f t="shared" ca="1" si="65"/>
        <v>0</v>
      </c>
      <c r="P68" s="2058">
        <f t="shared" ca="1" si="66"/>
        <v>0</v>
      </c>
      <c r="Q68" s="1489">
        <f t="shared" ca="1" si="67"/>
        <v>0</v>
      </c>
      <c r="R68" s="2056">
        <f t="shared" ca="1" si="68"/>
        <v>0.02</v>
      </c>
      <c r="S68" s="1490">
        <f t="shared" ca="1" si="69"/>
        <v>0</v>
      </c>
      <c r="T68" s="2057">
        <f t="shared" ca="1" si="70"/>
        <v>0</v>
      </c>
    </row>
    <row r="69" spans="1:20" hidden="1" x14ac:dyDescent="0.25">
      <c r="A69" s="619">
        <v>3</v>
      </c>
      <c r="B69" s="1720">
        <f>'DATA INPUT'!$K$8</f>
        <v>0</v>
      </c>
      <c r="C69" s="1721">
        <f>'DATA INPUT'!K55</f>
        <v>0</v>
      </c>
      <c r="D69" s="1721">
        <f t="shared" ca="1" si="58"/>
        <v>0</v>
      </c>
      <c r="E69" s="617">
        <v>0.03</v>
      </c>
      <c r="F69" s="457">
        <f>(F68*E69)+F68</f>
        <v>0</v>
      </c>
      <c r="G69" s="457">
        <f t="shared" ca="1" si="59"/>
        <v>0</v>
      </c>
      <c r="H69" s="457">
        <f t="shared" ca="1" si="60"/>
        <v>0</v>
      </c>
      <c r="I69" s="2408">
        <f t="shared" ca="1" si="61"/>
        <v>0</v>
      </c>
      <c r="J69" s="1922">
        <f t="shared" ca="1" si="62"/>
        <v>0</v>
      </c>
      <c r="K69" s="1912">
        <f ca="1" xml:space="preserve"> IF(F62='Reference Sheet'!$D$13, L65, K68+$W$7)</f>
        <v>0.04</v>
      </c>
      <c r="L69" s="69">
        <f t="shared" ca="1" si="71"/>
        <v>0</v>
      </c>
      <c r="M69" s="2411">
        <f t="shared" ca="1" si="72"/>
        <v>0</v>
      </c>
      <c r="N69" s="2054">
        <f>IF('DATA INPUT'!V55=3,'DATA INPUT'!Y55,0)</f>
        <v>0</v>
      </c>
      <c r="O69" s="1604">
        <f t="shared" ca="1" si="65"/>
        <v>0</v>
      </c>
      <c r="P69" s="2058">
        <f t="shared" ca="1" si="66"/>
        <v>0</v>
      </c>
      <c r="Q69" s="1489">
        <f t="shared" ca="1" si="67"/>
        <v>0</v>
      </c>
      <c r="R69" s="2056">
        <f t="shared" ca="1" si="68"/>
        <v>0.04</v>
      </c>
      <c r="S69" s="1490">
        <f t="shared" ca="1" si="69"/>
        <v>0</v>
      </c>
      <c r="T69" s="2057">
        <f t="shared" ca="1" si="70"/>
        <v>0</v>
      </c>
    </row>
    <row r="70" spans="1:20" hidden="1" x14ac:dyDescent="0.25">
      <c r="A70" s="619">
        <v>4</v>
      </c>
      <c r="B70" s="1720">
        <f>'DATA INPUT'!$L$8</f>
        <v>0</v>
      </c>
      <c r="C70" s="1721">
        <f>'DATA INPUT'!L55</f>
        <v>0</v>
      </c>
      <c r="D70" s="1721">
        <f t="shared" ca="1" si="58"/>
        <v>0</v>
      </c>
      <c r="E70" s="617">
        <v>0.03</v>
      </c>
      <c r="F70" s="457">
        <f>(F69*E70)+F69</f>
        <v>0</v>
      </c>
      <c r="G70" s="457">
        <f t="shared" ca="1" si="59"/>
        <v>0</v>
      </c>
      <c r="H70" s="457">
        <f t="shared" ca="1" si="60"/>
        <v>0</v>
      </c>
      <c r="I70" s="2408">
        <f t="shared" ca="1" si="61"/>
        <v>0</v>
      </c>
      <c r="J70" s="1922">
        <f t="shared" ca="1" si="62"/>
        <v>0</v>
      </c>
      <c r="K70" s="1912">
        <f ca="1" xml:space="preserve"> IF(F62='Reference Sheet'!$D$13, L65, K69+$W$7)</f>
        <v>0.06</v>
      </c>
      <c r="L70" s="69">
        <f t="shared" ca="1" si="71"/>
        <v>0</v>
      </c>
      <c r="M70" s="2411">
        <f t="shared" ca="1" si="72"/>
        <v>0</v>
      </c>
      <c r="N70" s="2054">
        <f>IF('DATA INPUT'!V55=3,'DATA INPUT'!Z55,0)</f>
        <v>0</v>
      </c>
      <c r="O70" s="1604">
        <f t="shared" ca="1" si="65"/>
        <v>0</v>
      </c>
      <c r="P70" s="2058">
        <f t="shared" ca="1" si="66"/>
        <v>0</v>
      </c>
      <c r="Q70" s="2237">
        <f t="shared" ca="1" si="67"/>
        <v>0</v>
      </c>
      <c r="R70" s="2059">
        <f t="shared" ca="1" si="68"/>
        <v>0.06</v>
      </c>
      <c r="S70" s="1490">
        <f t="shared" ca="1" si="69"/>
        <v>0</v>
      </c>
      <c r="T70" s="2063">
        <f t="shared" ca="1" si="70"/>
        <v>0</v>
      </c>
    </row>
    <row r="71" spans="1:20" hidden="1" x14ac:dyDescent="0.25">
      <c r="A71" s="619">
        <v>5</v>
      </c>
      <c r="B71" s="1720">
        <f>'DATA INPUT'!$M$8</f>
        <v>0</v>
      </c>
      <c r="C71" s="1721">
        <f>'DATA INPUT'!M55</f>
        <v>0</v>
      </c>
      <c r="D71" s="1721">
        <f t="shared" ca="1" si="58"/>
        <v>0</v>
      </c>
      <c r="E71" s="617">
        <v>0.03</v>
      </c>
      <c r="F71" s="457">
        <f>(F70*E71)+F70</f>
        <v>0</v>
      </c>
      <c r="G71" s="457">
        <f t="shared" ca="1" si="59"/>
        <v>0</v>
      </c>
      <c r="H71" s="457">
        <f t="shared" ca="1" si="60"/>
        <v>0</v>
      </c>
      <c r="I71" s="2408">
        <f t="shared" ca="1" si="61"/>
        <v>0</v>
      </c>
      <c r="J71" s="1922">
        <f t="shared" ca="1" si="62"/>
        <v>0</v>
      </c>
      <c r="K71" s="1912">
        <f ca="1" xml:space="preserve"> IF(F62='Reference Sheet'!$D$13, L65, K70+$W$7)</f>
        <v>0.08</v>
      </c>
      <c r="L71" s="69">
        <f t="shared" ca="1" si="71"/>
        <v>0</v>
      </c>
      <c r="M71" s="2411">
        <f t="shared" ca="1" si="72"/>
        <v>0</v>
      </c>
      <c r="N71" s="2054">
        <f>IF('DATA INPUT'!V55=3,'DATA INPUT'!AA55,0)</f>
        <v>0</v>
      </c>
      <c r="O71" s="1604">
        <f t="shared" ca="1" si="65"/>
        <v>0</v>
      </c>
      <c r="P71" s="2058">
        <f t="shared" ca="1" si="66"/>
        <v>0</v>
      </c>
      <c r="Q71" s="1489">
        <f t="shared" ca="1" si="67"/>
        <v>0</v>
      </c>
      <c r="R71" s="2056">
        <f t="shared" ca="1" si="68"/>
        <v>0.08</v>
      </c>
      <c r="S71" s="1490">
        <f t="shared" ca="1" si="69"/>
        <v>0</v>
      </c>
      <c r="T71" s="2057">
        <f t="shared" ca="1" si="70"/>
        <v>0</v>
      </c>
    </row>
    <row r="72" spans="1:20" ht="15.75" hidden="1" customHeight="1" thickBot="1" x14ac:dyDescent="0.3">
      <c r="A72" s="620">
        <v>6</v>
      </c>
      <c r="B72" s="1722">
        <f>'DATA INPUT'!$N$8</f>
        <v>0</v>
      </c>
      <c r="C72" s="1723">
        <f>'DATA INPUT'!N55</f>
        <v>0</v>
      </c>
      <c r="D72" s="1723">
        <f t="shared" ca="1" si="58"/>
        <v>0</v>
      </c>
      <c r="E72" s="621">
        <v>0.03</v>
      </c>
      <c r="F72" s="495">
        <f>(F71*E72)+F71</f>
        <v>0</v>
      </c>
      <c r="G72" s="495">
        <f t="shared" ca="1" si="59"/>
        <v>0</v>
      </c>
      <c r="H72" s="495">
        <f t="shared" ca="1" si="60"/>
        <v>0</v>
      </c>
      <c r="I72" s="2409">
        <f t="shared" ca="1" si="61"/>
        <v>0</v>
      </c>
      <c r="J72" s="1923">
        <f t="shared" ca="1" si="62"/>
        <v>0</v>
      </c>
      <c r="K72" s="1913">
        <f ca="1" xml:space="preserve"> IF(F62='Reference Sheet'!$D$13, L65, K71+$W$7)</f>
        <v>0.1</v>
      </c>
      <c r="L72" s="1914">
        <f t="shared" ca="1" si="71"/>
        <v>0</v>
      </c>
      <c r="M72" s="2412">
        <f t="shared" ca="1" si="72"/>
        <v>0</v>
      </c>
      <c r="N72" s="2060">
        <f>IF('DATA INPUT'!V55=3,'DATA INPUT'!AB55,0)</f>
        <v>0</v>
      </c>
      <c r="O72" s="1906">
        <f t="shared" ca="1" si="65"/>
        <v>0</v>
      </c>
      <c r="P72" s="2061">
        <f t="shared" ca="1" si="66"/>
        <v>0</v>
      </c>
      <c r="Q72" s="1513">
        <f t="shared" ca="1" si="67"/>
        <v>0</v>
      </c>
      <c r="R72" s="2062">
        <f t="shared" ca="1" si="68"/>
        <v>0.1</v>
      </c>
      <c r="S72" s="2043">
        <f t="shared" ca="1" si="69"/>
        <v>0</v>
      </c>
      <c r="T72" s="2064">
        <f t="shared" ca="1" si="70"/>
        <v>0</v>
      </c>
    </row>
    <row r="73" spans="1:20" ht="15.75" hidden="1" customHeight="1" thickBot="1" x14ac:dyDescent="0.3">
      <c r="A73" s="1896" t="s">
        <v>85</v>
      </c>
      <c r="B73" s="1732">
        <f>SUM(B67:B72)</f>
        <v>12</v>
      </c>
      <c r="C73" s="1894">
        <f>SUM(C67:C72)</f>
        <v>0</v>
      </c>
      <c r="D73" s="1733">
        <f ca="1">SUM(D67:D72)</f>
        <v>0</v>
      </c>
      <c r="J73" s="1895">
        <f ca="1">SUM(J67:J72)</f>
        <v>0</v>
      </c>
      <c r="L73" s="1466">
        <f ca="1">SUM(L67:L72)</f>
        <v>0</v>
      </c>
      <c r="M73" s="60"/>
      <c r="N73" s="1692">
        <f>SUM(N67:N72)</f>
        <v>0</v>
      </c>
      <c r="O73" s="1692">
        <f ca="1">SUM(O67:O72)</f>
        <v>0</v>
      </c>
      <c r="P73" s="2050">
        <f>IFERROR(N73/B73,0)*K62</f>
        <v>0</v>
      </c>
      <c r="Q73" s="2051">
        <f ca="1">SUM(Q67:Q72)</f>
        <v>0</v>
      </c>
      <c r="S73" s="2051">
        <f ca="1">SUM(S67:S72)</f>
        <v>0</v>
      </c>
      <c r="T73" s="2051">
        <f ca="1">SUM(T67:T72)</f>
        <v>0</v>
      </c>
    </row>
    <row r="74" spans="1:20" ht="15.75" hidden="1" customHeight="1" x14ac:dyDescent="0.25">
      <c r="A74" s="1730"/>
      <c r="B74" s="3073" t="s">
        <v>1074</v>
      </c>
      <c r="C74" s="2065">
        <f>(C73+N73)*K62</f>
        <v>0</v>
      </c>
      <c r="D74" s="496" t="s">
        <v>256</v>
      </c>
      <c r="E74" s="497"/>
      <c r="F74" s="498">
        <f>IFERROR(C73/B73,0)*K62</f>
        <v>0</v>
      </c>
      <c r="G74" s="499" t="s">
        <v>701</v>
      </c>
      <c r="H74" s="500"/>
      <c r="I74" s="498">
        <f>IFERROR(N73/B73,0)*K62</f>
        <v>0</v>
      </c>
      <c r="J74" s="499" t="s">
        <v>702</v>
      </c>
      <c r="K74" s="500"/>
      <c r="L74" s="329"/>
      <c r="M74" s="60"/>
      <c r="N74" s="60"/>
      <c r="O74" s="60"/>
      <c r="P74" s="60"/>
      <c r="Q74" s="60"/>
      <c r="R74" s="60"/>
      <c r="S74" s="60"/>
    </row>
    <row r="75" spans="1:20" ht="15.75" hidden="1" thickBot="1" x14ac:dyDescent="0.3"/>
    <row r="76" spans="1:20" ht="15.75" hidden="1" thickBot="1" x14ac:dyDescent="0.3">
      <c r="A76" s="1710" t="s">
        <v>704</v>
      </c>
      <c r="B76" s="1711"/>
      <c r="C76" s="1711">
        <f ca="1">OFFSET('DATA INPUT'!$B$51,(VALUE(RIGHT(LEFT($A76,LEN($A76)-1),1))-1),0)</f>
        <v>0</v>
      </c>
      <c r="D76" s="1711"/>
      <c r="E76" s="332" t="s">
        <v>525</v>
      </c>
      <c r="F76" s="1711">
        <f ca="1">OFFSET('DATA INPUT'!$H$51,(VALUE(RIGHT(LEFT($A76,LEN($A76)-1),1))-1),0)</f>
        <v>0</v>
      </c>
      <c r="G76" s="1711"/>
      <c r="H76" s="1704" t="s">
        <v>81</v>
      </c>
      <c r="I76" s="1887">
        <f>'DATA INPUT'!G56</f>
        <v>12</v>
      </c>
      <c r="J76" s="1705" t="s">
        <v>82</v>
      </c>
      <c r="K76" s="2383">
        <f>'DATA INPUT'!F56</f>
        <v>1</v>
      </c>
      <c r="L76" s="1886"/>
      <c r="M76" s="1889"/>
    </row>
    <row r="77" spans="1:20" ht="21" hidden="1" customHeight="1" thickBot="1" x14ac:dyDescent="0.3">
      <c r="A77" s="66" t="s">
        <v>80</v>
      </c>
      <c r="B77" s="1709"/>
      <c r="C77" s="1712">
        <f>'DATA INPUT'!C56</f>
        <v>0</v>
      </c>
      <c r="D77" s="1712"/>
      <c r="E77" s="3576" t="s">
        <v>257</v>
      </c>
      <c r="F77" s="3577"/>
      <c r="G77" s="334">
        <f>'DATA INPUT'!E56</f>
        <v>0</v>
      </c>
      <c r="H77" s="66" t="s">
        <v>528</v>
      </c>
      <c r="I77" s="1715"/>
      <c r="J77" s="334">
        <f>IFERROR(G77/I76,0)</f>
        <v>0</v>
      </c>
      <c r="K77" s="1737"/>
      <c r="L77" s="1890"/>
      <c r="M77" s="334"/>
      <c r="N77" s="1711">
        <f ca="1">C76</f>
        <v>0</v>
      </c>
      <c r="O77" s="1711"/>
      <c r="P77" s="1711"/>
      <c r="R77" s="332" t="s">
        <v>525</v>
      </c>
      <c r="S77" s="1711">
        <f ca="1">F76</f>
        <v>0</v>
      </c>
      <c r="T77" s="1711"/>
    </row>
    <row r="78" spans="1:20" ht="15" hidden="1" customHeight="1" thickBot="1" x14ac:dyDescent="0.3">
      <c r="A78" s="1716"/>
      <c r="B78" s="3579" t="s">
        <v>254</v>
      </c>
      <c r="C78" s="3579" t="s">
        <v>92</v>
      </c>
      <c r="D78" s="3579" t="s">
        <v>93</v>
      </c>
      <c r="E78" s="3580" t="s">
        <v>65</v>
      </c>
      <c r="F78" s="3580"/>
      <c r="G78" s="3580"/>
      <c r="H78" s="3581"/>
      <c r="I78" s="3581"/>
      <c r="J78" s="3588" t="s">
        <v>84</v>
      </c>
      <c r="K78" s="3584" t="s">
        <v>78</v>
      </c>
      <c r="L78" s="3585"/>
      <c r="M78" s="1706"/>
      <c r="N78" s="1996" t="s">
        <v>623</v>
      </c>
      <c r="O78" s="2127"/>
      <c r="P78" s="2128"/>
      <c r="Q78" s="2128"/>
      <c r="R78" s="2129"/>
      <c r="S78" s="2128"/>
      <c r="T78" s="2129"/>
    </row>
    <row r="79" spans="1:20" ht="15" hidden="1" customHeight="1" x14ac:dyDescent="0.25">
      <c r="A79" s="3445" t="s">
        <v>253</v>
      </c>
      <c r="B79" s="3579"/>
      <c r="C79" s="3579"/>
      <c r="D79" s="3579"/>
      <c r="E79" s="3444" t="s">
        <v>86</v>
      </c>
      <c r="F79" s="3444" t="s">
        <v>486</v>
      </c>
      <c r="G79" s="3444" t="s">
        <v>233</v>
      </c>
      <c r="H79" s="3444" t="s">
        <v>255</v>
      </c>
      <c r="I79" s="3450" t="s">
        <v>66</v>
      </c>
      <c r="J79" s="3589"/>
      <c r="K79" s="2212" t="s">
        <v>634</v>
      </c>
      <c r="L79" s="2213">
        <f ca="1">IFERROR(VLOOKUP(F76,TableFringePool[],2,0),0)</f>
        <v>0</v>
      </c>
      <c r="M79" s="1708"/>
      <c r="N79" s="3477" t="s">
        <v>618</v>
      </c>
      <c r="O79" s="3554" t="s">
        <v>619</v>
      </c>
      <c r="P79" s="3552" t="s">
        <v>620</v>
      </c>
      <c r="Q79" s="3560" t="s">
        <v>624</v>
      </c>
      <c r="R79" s="2052" t="s">
        <v>621</v>
      </c>
      <c r="S79" s="2053"/>
      <c r="T79" s="3558" t="s">
        <v>625</v>
      </c>
    </row>
    <row r="80" spans="1:20" ht="15.75" hidden="1" thickBot="1" x14ac:dyDescent="0.3">
      <c r="A80" s="3446"/>
      <c r="B80" s="3587"/>
      <c r="C80" s="3587"/>
      <c r="D80" s="3587"/>
      <c r="E80" s="3446"/>
      <c r="F80" s="3446"/>
      <c r="G80" s="3446"/>
      <c r="H80" s="3446"/>
      <c r="I80" s="3586"/>
      <c r="J80" s="3590"/>
      <c r="K80" s="616" t="s">
        <v>67</v>
      </c>
      <c r="L80" s="664" t="s">
        <v>68</v>
      </c>
      <c r="M80" s="1707" t="s">
        <v>87</v>
      </c>
      <c r="N80" s="3541"/>
      <c r="O80" s="3555"/>
      <c r="P80" s="3553"/>
      <c r="Q80" s="3561"/>
      <c r="R80" s="2124" t="s">
        <v>622</v>
      </c>
      <c r="S80" s="540" t="s">
        <v>68</v>
      </c>
      <c r="T80" s="3559"/>
    </row>
    <row r="81" spans="1:20" hidden="1" x14ac:dyDescent="0.25">
      <c r="A81" s="622">
        <v>1</v>
      </c>
      <c r="B81" s="1725">
        <f>'DATA INPUT'!$I$8</f>
        <v>12</v>
      </c>
      <c r="C81" s="1726">
        <f>'DATA INPUT'!I56</f>
        <v>0</v>
      </c>
      <c r="D81" s="1726">
        <f t="shared" ref="D81:D86" ca="1" si="73">(C81*(2080/12))*OFFSET($K$6,(ROW()-(4+A81)-ROW($K$6)),0)</f>
        <v>0</v>
      </c>
      <c r="E81" s="618">
        <v>0.03</v>
      </c>
      <c r="F81" s="492">
        <f>(G77*E81)+G77</f>
        <v>0</v>
      </c>
      <c r="G81" s="492">
        <f t="shared" ref="G81:G86" ca="1" si="74">IFERROR(F81/OFFSET($I$6,(ROW()-(4+A81)-ROW($I$6)),0),0)</f>
        <v>0</v>
      </c>
      <c r="H81" s="492">
        <f t="shared" ref="H81:H86" ca="1" si="75">IFERROR(F81/OFFSET($I$6,(ROW()-(4+A81)-ROW($I$6)),0)*OFFSET($K$6,(ROW()-(4+A81)-ROW($K$6)),0),0)</f>
        <v>0</v>
      </c>
      <c r="I81" s="2407">
        <f t="shared" ref="I81:I86" ca="1" si="76">G81/(2080/12)</f>
        <v>0</v>
      </c>
      <c r="J81" s="1921">
        <f t="shared" ref="J81:J86" ca="1" si="77">H81*C81</f>
        <v>0</v>
      </c>
      <c r="K81" s="1912">
        <f ca="1">IF(F76='Reference Sheet'!$D$13, L79, IF($V$4&lt;$U$4, L79, IF($V$4&gt;$X$4, L79+2*$W$7, L79+$W$7)))</f>
        <v>0</v>
      </c>
      <c r="L81" s="68">
        <f t="shared" ref="L81" ca="1" si="78">K81*J81</f>
        <v>0</v>
      </c>
      <c r="M81" s="2410">
        <f t="shared" ref="M81" ca="1" si="79">G81/(2080/12)+(G81*K81)/(2080/12)</f>
        <v>0</v>
      </c>
      <c r="N81" s="2054">
        <f>IF('DATA INPUT'!V56=3,'DATA INPUT'!W56,0)</f>
        <v>0</v>
      </c>
      <c r="O81" s="1604">
        <f t="shared" ref="O81:O86" ca="1" si="80">N81*(2080/12)*OFFSET($K$6,(ROW()-(4+A81)-ROW($K$6)),0)</f>
        <v>0</v>
      </c>
      <c r="P81" s="2055">
        <f t="shared" ref="P81:P86" ca="1" si="81">IFERROR(N81/B81,0)*OFFSET($K$6,(ROW()-(4+A81)-ROW($K$6)),0)</f>
        <v>0</v>
      </c>
      <c r="Q81" s="1489">
        <f t="shared" ref="Q81:Q86" ca="1" si="82">N81*H81</f>
        <v>0</v>
      </c>
      <c r="R81" s="2056">
        <f t="shared" ref="R81:R86" ca="1" si="83">K81</f>
        <v>0</v>
      </c>
      <c r="S81" s="1490">
        <f t="shared" ref="S81:S86" ca="1" si="84">Q81*R81</f>
        <v>0</v>
      </c>
      <c r="T81" s="2057">
        <f t="shared" ref="T81:T86" ca="1" si="85">SUM(Q81,S81)</f>
        <v>0</v>
      </c>
    </row>
    <row r="82" spans="1:20" hidden="1" x14ac:dyDescent="0.25">
      <c r="A82" s="50">
        <v>2</v>
      </c>
      <c r="B82" s="1720">
        <f>'DATA INPUT'!$J$8</f>
        <v>0</v>
      </c>
      <c r="C82" s="1721">
        <f>'DATA INPUT'!J56</f>
        <v>0</v>
      </c>
      <c r="D82" s="1721">
        <f t="shared" ca="1" si="73"/>
        <v>0</v>
      </c>
      <c r="E82" s="617">
        <v>0.03</v>
      </c>
      <c r="F82" s="457">
        <f>(F81*E82)+F81</f>
        <v>0</v>
      </c>
      <c r="G82" s="457">
        <f t="shared" ca="1" si="74"/>
        <v>0</v>
      </c>
      <c r="H82" s="457">
        <f t="shared" ca="1" si="75"/>
        <v>0</v>
      </c>
      <c r="I82" s="2408">
        <f t="shared" ca="1" si="76"/>
        <v>0</v>
      </c>
      <c r="J82" s="1922">
        <f t="shared" ca="1" si="77"/>
        <v>0</v>
      </c>
      <c r="K82" s="1912">
        <f ca="1" xml:space="preserve"> IF(F76='Reference Sheet'!$D$13, L79, K81+$W$7)</f>
        <v>0.02</v>
      </c>
      <c r="L82" s="69">
        <f t="shared" ref="L82:L86" ca="1" si="86">K82*J82</f>
        <v>0</v>
      </c>
      <c r="M82" s="2411">
        <f t="shared" ref="M82:M86" ca="1" si="87">G82/(2080/12)+(G82*K82)/(2080/12)</f>
        <v>0</v>
      </c>
      <c r="N82" s="2054">
        <f>IF('DATA INPUT'!V56=3,'DATA INPUT'!X56,0)</f>
        <v>0</v>
      </c>
      <c r="O82" s="1604">
        <f t="shared" ca="1" si="80"/>
        <v>0</v>
      </c>
      <c r="P82" s="2058">
        <f t="shared" ca="1" si="81"/>
        <v>0</v>
      </c>
      <c r="Q82" s="1489">
        <f t="shared" ca="1" si="82"/>
        <v>0</v>
      </c>
      <c r="R82" s="2056">
        <f t="shared" ca="1" si="83"/>
        <v>0.02</v>
      </c>
      <c r="S82" s="1490">
        <f t="shared" ca="1" si="84"/>
        <v>0</v>
      </c>
      <c r="T82" s="2057">
        <f t="shared" ca="1" si="85"/>
        <v>0</v>
      </c>
    </row>
    <row r="83" spans="1:20" hidden="1" x14ac:dyDescent="0.25">
      <c r="A83" s="50">
        <v>3</v>
      </c>
      <c r="B83" s="1720">
        <f>'DATA INPUT'!$K$8</f>
        <v>0</v>
      </c>
      <c r="C83" s="1721">
        <f>'DATA INPUT'!K56</f>
        <v>0</v>
      </c>
      <c r="D83" s="1721">
        <f t="shared" ca="1" si="73"/>
        <v>0</v>
      </c>
      <c r="E83" s="617">
        <v>0.03</v>
      </c>
      <c r="F83" s="457">
        <f>(F82*E83)+F82</f>
        <v>0</v>
      </c>
      <c r="G83" s="457">
        <f t="shared" ca="1" si="74"/>
        <v>0</v>
      </c>
      <c r="H83" s="457">
        <f t="shared" ca="1" si="75"/>
        <v>0</v>
      </c>
      <c r="I83" s="2408">
        <f t="shared" ca="1" si="76"/>
        <v>0</v>
      </c>
      <c r="J83" s="1922">
        <f t="shared" ca="1" si="77"/>
        <v>0</v>
      </c>
      <c r="K83" s="1912">
        <f ca="1" xml:space="preserve"> IF(F76='Reference Sheet'!$D$13, L79, K82+$W$7)</f>
        <v>0.04</v>
      </c>
      <c r="L83" s="69">
        <f t="shared" ca="1" si="86"/>
        <v>0</v>
      </c>
      <c r="M83" s="2411">
        <f t="shared" ca="1" si="87"/>
        <v>0</v>
      </c>
      <c r="N83" s="2054">
        <f>IF('DATA INPUT'!V56=3,'DATA INPUT'!Y56,0)</f>
        <v>0</v>
      </c>
      <c r="O83" s="1604">
        <f t="shared" ca="1" si="80"/>
        <v>0</v>
      </c>
      <c r="P83" s="2058">
        <f t="shared" ca="1" si="81"/>
        <v>0</v>
      </c>
      <c r="Q83" s="1489">
        <f t="shared" ca="1" si="82"/>
        <v>0</v>
      </c>
      <c r="R83" s="2056">
        <f t="shared" ca="1" si="83"/>
        <v>0.04</v>
      </c>
      <c r="S83" s="1490">
        <f t="shared" ca="1" si="84"/>
        <v>0</v>
      </c>
      <c r="T83" s="2057">
        <f t="shared" ca="1" si="85"/>
        <v>0</v>
      </c>
    </row>
    <row r="84" spans="1:20" hidden="1" x14ac:dyDescent="0.25">
      <c r="A84" s="50">
        <v>4</v>
      </c>
      <c r="B84" s="1720">
        <f>'DATA INPUT'!$L$8</f>
        <v>0</v>
      </c>
      <c r="C84" s="1721">
        <f>'DATA INPUT'!L56</f>
        <v>0</v>
      </c>
      <c r="D84" s="1721">
        <f t="shared" ca="1" si="73"/>
        <v>0</v>
      </c>
      <c r="E84" s="617">
        <v>0.03</v>
      </c>
      <c r="F84" s="457">
        <f>(F83*E84)+F83</f>
        <v>0</v>
      </c>
      <c r="G84" s="457">
        <f t="shared" ca="1" si="74"/>
        <v>0</v>
      </c>
      <c r="H84" s="457">
        <f t="shared" ca="1" si="75"/>
        <v>0</v>
      </c>
      <c r="I84" s="2408">
        <f t="shared" ca="1" si="76"/>
        <v>0</v>
      </c>
      <c r="J84" s="1922">
        <f t="shared" ca="1" si="77"/>
        <v>0</v>
      </c>
      <c r="K84" s="1912">
        <f ca="1" xml:space="preserve"> IF(F76='Reference Sheet'!$D$13, L79, K83+$W$7)</f>
        <v>0.06</v>
      </c>
      <c r="L84" s="69">
        <f t="shared" ca="1" si="86"/>
        <v>0</v>
      </c>
      <c r="M84" s="2411">
        <f t="shared" ca="1" si="87"/>
        <v>0</v>
      </c>
      <c r="N84" s="2054">
        <f>IF('DATA INPUT'!V56=3,'DATA INPUT'!Z56,0)</f>
        <v>0</v>
      </c>
      <c r="O84" s="1604">
        <f t="shared" ca="1" si="80"/>
        <v>0</v>
      </c>
      <c r="P84" s="2058">
        <f t="shared" ca="1" si="81"/>
        <v>0</v>
      </c>
      <c r="Q84" s="1489">
        <f t="shared" ca="1" si="82"/>
        <v>0</v>
      </c>
      <c r="R84" s="2059">
        <f t="shared" ca="1" si="83"/>
        <v>0.06</v>
      </c>
      <c r="S84" s="1490">
        <f t="shared" ca="1" si="84"/>
        <v>0</v>
      </c>
      <c r="T84" s="2063">
        <f t="shared" ca="1" si="85"/>
        <v>0</v>
      </c>
    </row>
    <row r="85" spans="1:20" hidden="1" x14ac:dyDescent="0.25">
      <c r="A85" s="50">
        <v>5</v>
      </c>
      <c r="B85" s="1720">
        <f>'DATA INPUT'!$M$8</f>
        <v>0</v>
      </c>
      <c r="C85" s="1721">
        <f>'DATA INPUT'!M56</f>
        <v>0</v>
      </c>
      <c r="D85" s="1721">
        <f t="shared" ca="1" si="73"/>
        <v>0</v>
      </c>
      <c r="E85" s="617">
        <v>0.03</v>
      </c>
      <c r="F85" s="457">
        <f>(F84*E85)+F84</f>
        <v>0</v>
      </c>
      <c r="G85" s="457">
        <f t="shared" ca="1" si="74"/>
        <v>0</v>
      </c>
      <c r="H85" s="457">
        <f t="shared" ca="1" si="75"/>
        <v>0</v>
      </c>
      <c r="I85" s="2408">
        <f t="shared" ca="1" si="76"/>
        <v>0</v>
      </c>
      <c r="J85" s="1922">
        <f t="shared" ca="1" si="77"/>
        <v>0</v>
      </c>
      <c r="K85" s="1912">
        <f ca="1" xml:space="preserve"> IF(F76='Reference Sheet'!$D$13, L79, K84+$W$7)</f>
        <v>0.08</v>
      </c>
      <c r="L85" s="69">
        <f t="shared" ca="1" si="86"/>
        <v>0</v>
      </c>
      <c r="M85" s="2411">
        <f t="shared" ca="1" si="87"/>
        <v>0</v>
      </c>
      <c r="N85" s="2054">
        <f>IF('DATA INPUT'!V56=3,'DATA INPUT'!AA56,0)</f>
        <v>0</v>
      </c>
      <c r="O85" s="1604">
        <f t="shared" ca="1" si="80"/>
        <v>0</v>
      </c>
      <c r="P85" s="2058">
        <f t="shared" ca="1" si="81"/>
        <v>0</v>
      </c>
      <c r="Q85" s="1489">
        <f t="shared" ca="1" si="82"/>
        <v>0</v>
      </c>
      <c r="R85" s="2056">
        <f t="shared" ca="1" si="83"/>
        <v>0.08</v>
      </c>
      <c r="S85" s="1490">
        <f t="shared" ca="1" si="84"/>
        <v>0</v>
      </c>
      <c r="T85" s="2057">
        <f t="shared" ca="1" si="85"/>
        <v>0</v>
      </c>
    </row>
    <row r="86" spans="1:20" ht="15.75" hidden="1" thickBot="1" x14ac:dyDescent="0.3">
      <c r="A86" s="623">
        <v>6</v>
      </c>
      <c r="B86" s="1722">
        <f>'DATA INPUT'!$N$8</f>
        <v>0</v>
      </c>
      <c r="C86" s="1723">
        <f>'DATA INPUT'!N56</f>
        <v>0</v>
      </c>
      <c r="D86" s="1723">
        <f t="shared" ca="1" si="73"/>
        <v>0</v>
      </c>
      <c r="E86" s="621">
        <v>0.03</v>
      </c>
      <c r="F86" s="495">
        <f>(F85*E86)+F85</f>
        <v>0</v>
      </c>
      <c r="G86" s="495">
        <f t="shared" ca="1" si="74"/>
        <v>0</v>
      </c>
      <c r="H86" s="495">
        <f t="shared" ca="1" si="75"/>
        <v>0</v>
      </c>
      <c r="I86" s="2409">
        <f t="shared" ca="1" si="76"/>
        <v>0</v>
      </c>
      <c r="J86" s="1923">
        <f t="shared" ca="1" si="77"/>
        <v>0</v>
      </c>
      <c r="K86" s="1913">
        <f ca="1" xml:space="preserve"> IF(F76='Reference Sheet'!$D$13, L79, K85+$W$7)</f>
        <v>0.1</v>
      </c>
      <c r="L86" s="1914">
        <f t="shared" ca="1" si="86"/>
        <v>0</v>
      </c>
      <c r="M86" s="2412">
        <f t="shared" ca="1" si="87"/>
        <v>0</v>
      </c>
      <c r="N86" s="2060">
        <f>IF('DATA INPUT'!V56=3,'DATA INPUT'!AB56,0)</f>
        <v>0</v>
      </c>
      <c r="O86" s="1906">
        <f t="shared" ca="1" si="80"/>
        <v>0</v>
      </c>
      <c r="P86" s="2061">
        <f t="shared" ca="1" si="81"/>
        <v>0</v>
      </c>
      <c r="Q86" s="1513">
        <f t="shared" ca="1" si="82"/>
        <v>0</v>
      </c>
      <c r="R86" s="2062">
        <f t="shared" ca="1" si="83"/>
        <v>0.1</v>
      </c>
      <c r="S86" s="2043">
        <f t="shared" ca="1" si="84"/>
        <v>0</v>
      </c>
      <c r="T86" s="2064">
        <f t="shared" ca="1" si="85"/>
        <v>0</v>
      </c>
    </row>
    <row r="87" spans="1:20" ht="15.75" hidden="1" thickBot="1" x14ac:dyDescent="0.3">
      <c r="A87" s="1892" t="s">
        <v>85</v>
      </c>
      <c r="B87" s="1893">
        <f>SUM(B81:B86)</f>
        <v>12</v>
      </c>
      <c r="C87" s="1894">
        <f>SUM(C81:C86)</f>
        <v>0</v>
      </c>
      <c r="D87" s="1894">
        <f ca="1">SUM(D81:D86)</f>
        <v>0</v>
      </c>
      <c r="J87" s="1895">
        <f ca="1">SUM(J81:J86)</f>
        <v>0</v>
      </c>
      <c r="L87" s="1466">
        <f ca="1">SUM(L81:L86)</f>
        <v>0</v>
      </c>
      <c r="M87" s="60"/>
      <c r="N87" s="1692">
        <f>SUM(N81:N86)</f>
        <v>0</v>
      </c>
      <c r="O87" s="1692">
        <f ca="1">SUM(O81:O86)</f>
        <v>0</v>
      </c>
      <c r="P87" s="2050">
        <f>IFERROR(N87/B87,0)*K76</f>
        <v>0</v>
      </c>
      <c r="Q87" s="2051">
        <f ca="1">SUM(Q81:Q86)</f>
        <v>0</v>
      </c>
      <c r="S87" s="2051">
        <f ca="1">SUM(S81:S86)</f>
        <v>0</v>
      </c>
      <c r="T87" s="2051">
        <f ca="1">SUM(T81:T86)</f>
        <v>0</v>
      </c>
    </row>
    <row r="88" spans="1:20" hidden="1" x14ac:dyDescent="0.25">
      <c r="A88" s="1730"/>
      <c r="B88" s="3073" t="s">
        <v>1074</v>
      </c>
      <c r="C88" s="2065">
        <f>(C87+N87)*K76</f>
        <v>0</v>
      </c>
      <c r="D88" s="496" t="s">
        <v>256</v>
      </c>
      <c r="E88" s="497"/>
      <c r="F88" s="498">
        <f>IFERROR(C87/B87,0)*K76</f>
        <v>0</v>
      </c>
      <c r="G88" s="499" t="s">
        <v>701</v>
      </c>
      <c r="H88" s="500"/>
      <c r="I88" s="498">
        <f>IFERROR(N87/B87,0)*K76</f>
        <v>0</v>
      </c>
      <c r="J88" s="499" t="s">
        <v>702</v>
      </c>
      <c r="K88" s="500"/>
      <c r="L88" s="329"/>
      <c r="M88" s="60"/>
      <c r="N88" s="60"/>
      <c r="O88" s="60"/>
      <c r="P88" s="60"/>
      <c r="Q88" s="60"/>
      <c r="R88" s="60"/>
      <c r="S88" s="60"/>
    </row>
    <row r="89" spans="1:20" ht="15.75" hidden="1" customHeight="1" thickBot="1" x14ac:dyDescent="0.3"/>
    <row r="90" spans="1:20" ht="15.75" hidden="1" thickBot="1" x14ac:dyDescent="0.3">
      <c r="A90" s="401" t="s">
        <v>705</v>
      </c>
      <c r="B90" s="402"/>
      <c r="C90" s="1711">
        <f ca="1">OFFSET('DATA INPUT'!$B$51,(VALUE(RIGHT(LEFT($A90,LEN($A90)-1),1))-1),0)</f>
        <v>0</v>
      </c>
      <c r="D90" s="1711"/>
      <c r="E90" s="332" t="s">
        <v>525</v>
      </c>
      <c r="F90" s="1711">
        <f ca="1">OFFSET('DATA INPUT'!$H$51,(VALUE(RIGHT(LEFT($A90,LEN($A90)-1),1))-1),0)</f>
        <v>0</v>
      </c>
      <c r="G90" s="1711"/>
      <c r="H90" s="1704" t="s">
        <v>81</v>
      </c>
      <c r="I90" s="1887">
        <f>'DATA INPUT'!G57</f>
        <v>12</v>
      </c>
      <c r="J90" s="1705" t="s">
        <v>82</v>
      </c>
      <c r="K90" s="2383">
        <f>'DATA INPUT'!F57</f>
        <v>1</v>
      </c>
      <c r="L90" s="1886"/>
      <c r="M90" s="1898"/>
    </row>
    <row r="91" spans="1:20" ht="16.5" hidden="1" customHeight="1" thickBot="1" x14ac:dyDescent="0.3">
      <c r="A91" s="66" t="s">
        <v>80</v>
      </c>
      <c r="B91" s="67"/>
      <c r="C91" s="663">
        <f>'DATA INPUT'!C57</f>
        <v>0</v>
      </c>
      <c r="D91" s="1712"/>
      <c r="E91" s="3576" t="s">
        <v>257</v>
      </c>
      <c r="F91" s="3577"/>
      <c r="G91" s="334">
        <f>'DATA INPUT'!E57</f>
        <v>0</v>
      </c>
      <c r="H91" s="1709" t="s">
        <v>528</v>
      </c>
      <c r="I91" s="1715"/>
      <c r="J91" s="334">
        <f>IFERROR(G91/I90,0)</f>
        <v>0</v>
      </c>
      <c r="K91" s="1737"/>
      <c r="L91" s="1890"/>
      <c r="M91" s="334"/>
      <c r="N91" s="1711">
        <f ca="1">C90</f>
        <v>0</v>
      </c>
      <c r="O91" s="1711"/>
      <c r="P91" s="1711"/>
      <c r="R91" s="332" t="s">
        <v>525</v>
      </c>
      <c r="S91" s="1711">
        <f ca="1">F90</f>
        <v>0</v>
      </c>
      <c r="T91" s="1711"/>
    </row>
    <row r="92" spans="1:20" ht="15" hidden="1" customHeight="1" thickBot="1" x14ac:dyDescent="0.3">
      <c r="A92" s="459"/>
      <c r="B92" s="3578" t="s">
        <v>254</v>
      </c>
      <c r="C92" s="3578" t="s">
        <v>92</v>
      </c>
      <c r="D92" s="3578" t="s">
        <v>93</v>
      </c>
      <c r="E92" s="3580" t="s">
        <v>65</v>
      </c>
      <c r="F92" s="3580"/>
      <c r="G92" s="3580"/>
      <c r="H92" s="3581"/>
      <c r="I92" s="3581"/>
      <c r="J92" s="3582" t="s">
        <v>84</v>
      </c>
      <c r="K92" s="3584" t="s">
        <v>78</v>
      </c>
      <c r="L92" s="3585"/>
      <c r="M92" s="1706"/>
      <c r="N92" s="1996" t="s">
        <v>623</v>
      </c>
      <c r="O92" s="2127"/>
      <c r="P92" s="2128"/>
      <c r="Q92" s="2128"/>
      <c r="R92" s="2129"/>
      <c r="S92" s="2128"/>
      <c r="T92" s="2129"/>
    </row>
    <row r="93" spans="1:20" ht="15" hidden="1" customHeight="1" x14ac:dyDescent="0.25">
      <c r="A93" s="3445" t="s">
        <v>253</v>
      </c>
      <c r="B93" s="3579"/>
      <c r="C93" s="3579"/>
      <c r="D93" s="3579"/>
      <c r="E93" s="3444" t="s">
        <v>86</v>
      </c>
      <c r="F93" s="3444" t="s">
        <v>486</v>
      </c>
      <c r="G93" s="3444" t="s">
        <v>233</v>
      </c>
      <c r="H93" s="3444" t="s">
        <v>255</v>
      </c>
      <c r="I93" s="3450" t="s">
        <v>66</v>
      </c>
      <c r="J93" s="3583"/>
      <c r="K93" s="2212" t="s">
        <v>634</v>
      </c>
      <c r="L93" s="2213">
        <f ca="1">IFERROR(VLOOKUP(F90,TableFringePool[],2,0),0)</f>
        <v>0</v>
      </c>
      <c r="M93" s="1708"/>
      <c r="N93" s="3477" t="s">
        <v>618</v>
      </c>
      <c r="O93" s="3554" t="s">
        <v>619</v>
      </c>
      <c r="P93" s="3552" t="s">
        <v>620</v>
      </c>
      <c r="Q93" s="3560" t="s">
        <v>624</v>
      </c>
      <c r="R93" s="2052" t="s">
        <v>621</v>
      </c>
      <c r="S93" s="2053"/>
      <c r="T93" s="3558" t="s">
        <v>625</v>
      </c>
    </row>
    <row r="94" spans="1:20" ht="15.75" hidden="1" thickBot="1" x14ac:dyDescent="0.3">
      <c r="A94" s="3445"/>
      <c r="B94" s="3579"/>
      <c r="C94" s="3579"/>
      <c r="D94" s="3579"/>
      <c r="E94" s="3445"/>
      <c r="F94" s="3446"/>
      <c r="G94" s="3446"/>
      <c r="H94" s="3446"/>
      <c r="I94" s="3586"/>
      <c r="J94" s="3583"/>
      <c r="K94" s="616" t="s">
        <v>67</v>
      </c>
      <c r="L94" s="664" t="s">
        <v>68</v>
      </c>
      <c r="M94" s="1707" t="s">
        <v>87</v>
      </c>
      <c r="N94" s="3541"/>
      <c r="O94" s="3555"/>
      <c r="P94" s="3553"/>
      <c r="Q94" s="3561"/>
      <c r="R94" s="2124" t="s">
        <v>622</v>
      </c>
      <c r="S94" s="540" t="s">
        <v>68</v>
      </c>
      <c r="T94" s="3559"/>
    </row>
    <row r="95" spans="1:20" hidden="1" x14ac:dyDescent="0.25">
      <c r="A95" s="622">
        <v>1</v>
      </c>
      <c r="B95" s="1725">
        <f>'DATA INPUT'!$I$8</f>
        <v>12</v>
      </c>
      <c r="C95" s="1726">
        <f>'DATA INPUT'!I57</f>
        <v>0</v>
      </c>
      <c r="D95" s="1726">
        <f t="shared" ref="D95:D100" ca="1" si="88">(C95*(2080/12))*OFFSET($K$6,(ROW()-(4+A95)-ROW($K$6)),0)</f>
        <v>0</v>
      </c>
      <c r="E95" s="618">
        <v>0.03</v>
      </c>
      <c r="F95" s="492">
        <f>(G91*E95)+G91</f>
        <v>0</v>
      </c>
      <c r="G95" s="492">
        <f t="shared" ref="G95:G100" ca="1" si="89">IFERROR(F95/OFFSET($I$6,(ROW()-(4+A95)-ROW($I$6)),0),0)</f>
        <v>0</v>
      </c>
      <c r="H95" s="492">
        <f t="shared" ref="H95:H100" ca="1" si="90">IFERROR(F95/OFFSET($I$6,(ROW()-(4+A95)-ROW($I$6)),0)*OFFSET($K$6,(ROW()-(4+A95)-ROW($K$6)),0),0)</f>
        <v>0</v>
      </c>
      <c r="I95" s="2407">
        <f t="shared" ref="I95:I100" ca="1" si="91">G95/(2080/12)</f>
        <v>0</v>
      </c>
      <c r="J95" s="1921">
        <f t="shared" ref="J95:J100" ca="1" si="92">H95*C95</f>
        <v>0</v>
      </c>
      <c r="K95" s="1912">
        <f ca="1">IF(F90='Reference Sheet'!$D$13, L93, IF($V$4&lt;$U$4, L93, IF($V$4&gt;$X$4, L93+2*$W$7, L93+$W$7)))</f>
        <v>0</v>
      </c>
      <c r="L95" s="68">
        <f t="shared" ref="L95" ca="1" si="93">K95*J95</f>
        <v>0</v>
      </c>
      <c r="M95" s="2410">
        <f t="shared" ref="M95" ca="1" si="94">G95/(2080/12)+(G95*K95)/(2080/12)</f>
        <v>0</v>
      </c>
      <c r="N95" s="2054">
        <f>IF('DATA INPUT'!V57=3,'DATA INPUT'!W57,0)</f>
        <v>0</v>
      </c>
      <c r="O95" s="1604">
        <f t="shared" ref="O95:O100" ca="1" si="95">N95*(2080/12)*OFFSET($K$6,(ROW()-(4+A95)-ROW($K$6)),0)</f>
        <v>0</v>
      </c>
      <c r="P95" s="2055">
        <f t="shared" ref="P95:P100" ca="1" si="96">IFERROR(N95/B95,0)*OFFSET($K$6,(ROW()-(4+A95)-ROW($K$6)),0)</f>
        <v>0</v>
      </c>
      <c r="Q95" s="1489">
        <f t="shared" ref="Q95:Q100" ca="1" si="97">N95*H95</f>
        <v>0</v>
      </c>
      <c r="R95" s="2056">
        <f t="shared" ref="R95:R100" ca="1" si="98">K95</f>
        <v>0</v>
      </c>
      <c r="S95" s="1490">
        <f t="shared" ref="S95:S100" ca="1" si="99">Q95*R95</f>
        <v>0</v>
      </c>
      <c r="T95" s="2057">
        <f t="shared" ref="T95:T100" ca="1" si="100">SUM(Q95,S95)</f>
        <v>0</v>
      </c>
    </row>
    <row r="96" spans="1:20" hidden="1" x14ac:dyDescent="0.25">
      <c r="A96" s="50">
        <v>2</v>
      </c>
      <c r="B96" s="1720">
        <f>'DATA INPUT'!$J$8</f>
        <v>0</v>
      </c>
      <c r="C96" s="1721">
        <f>'DATA INPUT'!J57</f>
        <v>0</v>
      </c>
      <c r="D96" s="1721">
        <f t="shared" ca="1" si="88"/>
        <v>0</v>
      </c>
      <c r="E96" s="617">
        <v>0.03</v>
      </c>
      <c r="F96" s="457">
        <f>(F95*E96)+F95</f>
        <v>0</v>
      </c>
      <c r="G96" s="457">
        <f t="shared" ca="1" si="89"/>
        <v>0</v>
      </c>
      <c r="H96" s="457">
        <f t="shared" ca="1" si="90"/>
        <v>0</v>
      </c>
      <c r="I96" s="2408">
        <f t="shared" ca="1" si="91"/>
        <v>0</v>
      </c>
      <c r="J96" s="1922">
        <f t="shared" ca="1" si="92"/>
        <v>0</v>
      </c>
      <c r="K96" s="1912">
        <f ca="1" xml:space="preserve"> IF(F90='Reference Sheet'!$D$13, L93, K95+$W$7)</f>
        <v>0.02</v>
      </c>
      <c r="L96" s="69">
        <f t="shared" ref="L96:L100" ca="1" si="101">K96*J96</f>
        <v>0</v>
      </c>
      <c r="M96" s="2411">
        <f t="shared" ref="M96:M100" ca="1" si="102">G96/(2080/12)+(G96*K96)/(2080/12)</f>
        <v>0</v>
      </c>
      <c r="N96" s="2054">
        <f>IF('DATA INPUT'!V57=3,'DATA INPUT'!X57,0)</f>
        <v>0</v>
      </c>
      <c r="O96" s="1604">
        <f t="shared" ca="1" si="95"/>
        <v>0</v>
      </c>
      <c r="P96" s="2058">
        <f t="shared" ca="1" si="96"/>
        <v>0</v>
      </c>
      <c r="Q96" s="1489">
        <f t="shared" ca="1" si="97"/>
        <v>0</v>
      </c>
      <c r="R96" s="2056">
        <f t="shared" ca="1" si="98"/>
        <v>0.02</v>
      </c>
      <c r="S96" s="1490">
        <f t="shared" ca="1" si="99"/>
        <v>0</v>
      </c>
      <c r="T96" s="2057">
        <f t="shared" ca="1" si="100"/>
        <v>0</v>
      </c>
    </row>
    <row r="97" spans="1:20" hidden="1" x14ac:dyDescent="0.25">
      <c r="A97" s="50">
        <v>3</v>
      </c>
      <c r="B97" s="1720">
        <f>'DATA INPUT'!$K$8</f>
        <v>0</v>
      </c>
      <c r="C97" s="1721">
        <f>'DATA INPUT'!K57</f>
        <v>0</v>
      </c>
      <c r="D97" s="1721">
        <f t="shared" ca="1" si="88"/>
        <v>0</v>
      </c>
      <c r="E97" s="617">
        <v>0.03</v>
      </c>
      <c r="F97" s="457">
        <f>(F96*E97)+F96</f>
        <v>0</v>
      </c>
      <c r="G97" s="457">
        <f t="shared" ca="1" si="89"/>
        <v>0</v>
      </c>
      <c r="H97" s="457">
        <f t="shared" ca="1" si="90"/>
        <v>0</v>
      </c>
      <c r="I97" s="2408">
        <f t="shared" ca="1" si="91"/>
        <v>0</v>
      </c>
      <c r="J97" s="1922">
        <f t="shared" ca="1" si="92"/>
        <v>0</v>
      </c>
      <c r="K97" s="1912">
        <f ca="1" xml:space="preserve"> IF(F90='Reference Sheet'!$D$13, L93, K96+$W$7)</f>
        <v>0.04</v>
      </c>
      <c r="L97" s="69">
        <f t="shared" ca="1" si="101"/>
        <v>0</v>
      </c>
      <c r="M97" s="2411">
        <f t="shared" ca="1" si="102"/>
        <v>0</v>
      </c>
      <c r="N97" s="2054">
        <f>IF('DATA INPUT'!V57=3,'DATA INPUT'!Y57,0)</f>
        <v>0</v>
      </c>
      <c r="O97" s="1604">
        <f t="shared" ca="1" si="95"/>
        <v>0</v>
      </c>
      <c r="P97" s="2058">
        <f t="shared" ca="1" si="96"/>
        <v>0</v>
      </c>
      <c r="Q97" s="1489">
        <f t="shared" ca="1" si="97"/>
        <v>0</v>
      </c>
      <c r="R97" s="2056">
        <f t="shared" ca="1" si="98"/>
        <v>0.04</v>
      </c>
      <c r="S97" s="1490">
        <f t="shared" ca="1" si="99"/>
        <v>0</v>
      </c>
      <c r="T97" s="2057">
        <f t="shared" ca="1" si="100"/>
        <v>0</v>
      </c>
    </row>
    <row r="98" spans="1:20" hidden="1" x14ac:dyDescent="0.25">
      <c r="A98" s="50">
        <v>4</v>
      </c>
      <c r="B98" s="1720">
        <f>'DATA INPUT'!$L$8</f>
        <v>0</v>
      </c>
      <c r="C98" s="1721">
        <f>'DATA INPUT'!L57</f>
        <v>0</v>
      </c>
      <c r="D98" s="1721">
        <f t="shared" ca="1" si="88"/>
        <v>0</v>
      </c>
      <c r="E98" s="617">
        <v>0.03</v>
      </c>
      <c r="F98" s="457">
        <f>(F97*E98)+F97</f>
        <v>0</v>
      </c>
      <c r="G98" s="457">
        <f t="shared" ca="1" si="89"/>
        <v>0</v>
      </c>
      <c r="H98" s="457">
        <f t="shared" ca="1" si="90"/>
        <v>0</v>
      </c>
      <c r="I98" s="2408">
        <f t="shared" ca="1" si="91"/>
        <v>0</v>
      </c>
      <c r="J98" s="1922">
        <f t="shared" ca="1" si="92"/>
        <v>0</v>
      </c>
      <c r="K98" s="1912">
        <f ca="1" xml:space="preserve"> IF(F90='Reference Sheet'!$D$13, L93, K97+$W$7)</f>
        <v>0.06</v>
      </c>
      <c r="L98" s="69">
        <f t="shared" ca="1" si="101"/>
        <v>0</v>
      </c>
      <c r="M98" s="2411">
        <f t="shared" ca="1" si="102"/>
        <v>0</v>
      </c>
      <c r="N98" s="2054">
        <f>IF('DATA INPUT'!V57=3,'DATA INPUT'!Z57,0)</f>
        <v>0</v>
      </c>
      <c r="O98" s="1604">
        <f t="shared" ca="1" si="95"/>
        <v>0</v>
      </c>
      <c r="P98" s="2058">
        <f t="shared" ca="1" si="96"/>
        <v>0</v>
      </c>
      <c r="Q98" s="1489">
        <f t="shared" ca="1" si="97"/>
        <v>0</v>
      </c>
      <c r="R98" s="2059">
        <f t="shared" ca="1" si="98"/>
        <v>0.06</v>
      </c>
      <c r="S98" s="1490">
        <f t="shared" ca="1" si="99"/>
        <v>0</v>
      </c>
      <c r="T98" s="2063">
        <f t="shared" ca="1" si="100"/>
        <v>0</v>
      </c>
    </row>
    <row r="99" spans="1:20" hidden="1" x14ac:dyDescent="0.25">
      <c r="A99" s="50">
        <v>5</v>
      </c>
      <c r="B99" s="1720">
        <f>'DATA INPUT'!$M$8</f>
        <v>0</v>
      </c>
      <c r="C99" s="1721">
        <f>'DATA INPUT'!M57</f>
        <v>0</v>
      </c>
      <c r="D99" s="1721">
        <f t="shared" ca="1" si="88"/>
        <v>0</v>
      </c>
      <c r="E99" s="617">
        <v>0.03</v>
      </c>
      <c r="F99" s="457">
        <f>(F98*E99)+F98</f>
        <v>0</v>
      </c>
      <c r="G99" s="457">
        <f t="shared" ca="1" si="89"/>
        <v>0</v>
      </c>
      <c r="H99" s="457">
        <f t="shared" ca="1" si="90"/>
        <v>0</v>
      </c>
      <c r="I99" s="2408">
        <f t="shared" ca="1" si="91"/>
        <v>0</v>
      </c>
      <c r="J99" s="1922">
        <f t="shared" ca="1" si="92"/>
        <v>0</v>
      </c>
      <c r="K99" s="1912">
        <f ca="1" xml:space="preserve"> IF(F90='Reference Sheet'!$D$13, L93, K98+$W$7)</f>
        <v>0.08</v>
      </c>
      <c r="L99" s="69">
        <f t="shared" ca="1" si="101"/>
        <v>0</v>
      </c>
      <c r="M99" s="2411">
        <f t="shared" ca="1" si="102"/>
        <v>0</v>
      </c>
      <c r="N99" s="2054">
        <f>IF('DATA INPUT'!V57=3,'DATA INPUT'!AA57,0)</f>
        <v>0</v>
      </c>
      <c r="O99" s="1604">
        <f t="shared" ca="1" si="95"/>
        <v>0</v>
      </c>
      <c r="P99" s="2058">
        <f t="shared" ca="1" si="96"/>
        <v>0</v>
      </c>
      <c r="Q99" s="1489">
        <f t="shared" ca="1" si="97"/>
        <v>0</v>
      </c>
      <c r="R99" s="2056">
        <f t="shared" ca="1" si="98"/>
        <v>0.08</v>
      </c>
      <c r="S99" s="1490">
        <f t="shared" ca="1" si="99"/>
        <v>0</v>
      </c>
      <c r="T99" s="2057">
        <f t="shared" ca="1" si="100"/>
        <v>0</v>
      </c>
    </row>
    <row r="100" spans="1:20" ht="15.75" hidden="1" thickBot="1" x14ac:dyDescent="0.3">
      <c r="A100" s="623">
        <v>6</v>
      </c>
      <c r="B100" s="1722">
        <f>'DATA INPUT'!$N$8</f>
        <v>0</v>
      </c>
      <c r="C100" s="1723">
        <f>'DATA INPUT'!N57</f>
        <v>0</v>
      </c>
      <c r="D100" s="1723">
        <f t="shared" ca="1" si="88"/>
        <v>0</v>
      </c>
      <c r="E100" s="621">
        <v>0.03</v>
      </c>
      <c r="F100" s="495">
        <f>(F99*E100)+F99</f>
        <v>0</v>
      </c>
      <c r="G100" s="495">
        <f t="shared" ca="1" si="89"/>
        <v>0</v>
      </c>
      <c r="H100" s="495">
        <f t="shared" ca="1" si="90"/>
        <v>0</v>
      </c>
      <c r="I100" s="2409">
        <f t="shared" ca="1" si="91"/>
        <v>0</v>
      </c>
      <c r="J100" s="1923">
        <f t="shared" ca="1" si="92"/>
        <v>0</v>
      </c>
      <c r="K100" s="1913">
        <f ca="1" xml:space="preserve"> IF(F90='Reference Sheet'!$D$13, L93, K99+$W$7)</f>
        <v>0.1</v>
      </c>
      <c r="L100" s="1914">
        <f t="shared" ca="1" si="101"/>
        <v>0</v>
      </c>
      <c r="M100" s="2412">
        <f t="shared" ca="1" si="102"/>
        <v>0</v>
      </c>
      <c r="N100" s="2060">
        <f>IF('DATA INPUT'!V57=3,'DATA INPUT'!AB57,0)</f>
        <v>0</v>
      </c>
      <c r="O100" s="1906">
        <f t="shared" ca="1" si="95"/>
        <v>0</v>
      </c>
      <c r="P100" s="2061">
        <f t="shared" ca="1" si="96"/>
        <v>0</v>
      </c>
      <c r="Q100" s="1513">
        <f t="shared" ca="1" si="97"/>
        <v>0</v>
      </c>
      <c r="R100" s="2062">
        <f t="shared" ca="1" si="98"/>
        <v>0.1</v>
      </c>
      <c r="S100" s="2043">
        <f t="shared" ca="1" si="99"/>
        <v>0</v>
      </c>
      <c r="T100" s="2064">
        <f t="shared" ca="1" si="100"/>
        <v>0</v>
      </c>
    </row>
    <row r="101" spans="1:20" ht="15.75" hidden="1" thickBot="1" x14ac:dyDescent="0.3">
      <c r="A101" s="624" t="s">
        <v>85</v>
      </c>
      <c r="B101" s="1724">
        <f>SUM(B95:B100)</f>
        <v>12</v>
      </c>
      <c r="C101" s="1727">
        <f>SUM(C95:C100)</f>
        <v>0</v>
      </c>
      <c r="D101" s="1727">
        <f ca="1">SUM(D95:D100)</f>
        <v>0</v>
      </c>
      <c r="J101" s="1728">
        <f ca="1">SUM(J95:J100)</f>
        <v>0</v>
      </c>
      <c r="L101" s="1466">
        <f ca="1">SUM(L95:L100)</f>
        <v>0</v>
      </c>
      <c r="M101" s="60"/>
      <c r="N101" s="1692">
        <f>SUM(N95:N100)</f>
        <v>0</v>
      </c>
      <c r="O101" s="1692">
        <f ca="1">SUM(O95:O100)</f>
        <v>0</v>
      </c>
      <c r="P101" s="2050">
        <f>IFERROR(N101/B101,0)*K90</f>
        <v>0</v>
      </c>
      <c r="Q101" s="2051">
        <f ca="1">SUM(Q95:Q100)</f>
        <v>0</v>
      </c>
      <c r="S101" s="2051">
        <f ca="1">SUM(S95:S100)</f>
        <v>0</v>
      </c>
      <c r="T101" s="2051">
        <f ca="1">SUM(T95:T100)</f>
        <v>0</v>
      </c>
    </row>
    <row r="102" spans="1:20" hidden="1" x14ac:dyDescent="0.25">
      <c r="A102" s="1730"/>
      <c r="B102" s="3073" t="s">
        <v>1074</v>
      </c>
      <c r="C102" s="2065">
        <f>(C101+N101)*K90</f>
        <v>0</v>
      </c>
      <c r="D102" s="496" t="s">
        <v>256</v>
      </c>
      <c r="E102" s="497"/>
      <c r="F102" s="498">
        <f>IFERROR(C101/B101,0)*K90</f>
        <v>0</v>
      </c>
      <c r="G102" s="499" t="s">
        <v>701</v>
      </c>
      <c r="H102" s="500"/>
      <c r="I102" s="498">
        <f>IFERROR(N101/B101,0)*K90</f>
        <v>0</v>
      </c>
      <c r="J102" s="499" t="s">
        <v>702</v>
      </c>
      <c r="K102" s="500"/>
      <c r="L102" s="329"/>
      <c r="M102" s="60"/>
      <c r="N102" s="60"/>
      <c r="O102" s="60"/>
      <c r="P102" s="60"/>
      <c r="Q102" s="60"/>
      <c r="R102" s="60"/>
      <c r="S102" s="60"/>
    </row>
    <row r="103" spans="1:20" ht="15.75" hidden="1" thickBot="1" x14ac:dyDescent="0.3"/>
    <row r="104" spans="1:20" ht="15.75" hidden="1" thickBot="1" x14ac:dyDescent="0.3">
      <c r="A104" s="401" t="s">
        <v>706</v>
      </c>
      <c r="B104" s="402"/>
      <c r="C104" s="1711">
        <f ca="1">OFFSET('DATA INPUT'!$B$51,(VALUE(RIGHT(LEFT($A104,LEN($A104)-1),1))-1),0)</f>
        <v>0</v>
      </c>
      <c r="D104" s="1711"/>
      <c r="E104" s="332" t="s">
        <v>525</v>
      </c>
      <c r="F104" s="1711">
        <f ca="1">OFFSET('DATA INPUT'!$H$51,(VALUE(RIGHT(LEFT($A104,LEN($A104)-1),1))-1),0)</f>
        <v>0</v>
      </c>
      <c r="G104" s="1711"/>
      <c r="H104" s="1704" t="s">
        <v>81</v>
      </c>
      <c r="I104" s="1887">
        <f>'DATA INPUT'!G58</f>
        <v>12</v>
      </c>
      <c r="J104" s="1705" t="s">
        <v>82</v>
      </c>
      <c r="K104" s="2383">
        <f>'DATA INPUT'!F58</f>
        <v>1</v>
      </c>
      <c r="L104" s="1886"/>
      <c r="M104" s="1899"/>
    </row>
    <row r="105" spans="1:20" ht="15.75" hidden="1" customHeight="1" thickBot="1" x14ac:dyDescent="0.3">
      <c r="A105" s="66" t="s">
        <v>80</v>
      </c>
      <c r="B105" s="67"/>
      <c r="C105" s="663">
        <f>'DATA INPUT'!C58</f>
        <v>0</v>
      </c>
      <c r="D105" s="1712"/>
      <c r="E105" s="3576" t="s">
        <v>257</v>
      </c>
      <c r="F105" s="3577"/>
      <c r="G105" s="334">
        <f>'DATA INPUT'!E58</f>
        <v>0</v>
      </c>
      <c r="H105" s="1709" t="s">
        <v>528</v>
      </c>
      <c r="I105" s="1715"/>
      <c r="J105" s="334">
        <f>IFERROR(G105/I104,0)</f>
        <v>0</v>
      </c>
      <c r="K105" s="1737"/>
      <c r="L105" s="1890"/>
      <c r="M105" s="334"/>
      <c r="N105" s="1711">
        <f ca="1">C104</f>
        <v>0</v>
      </c>
      <c r="O105" s="1711"/>
      <c r="P105" s="1711"/>
      <c r="R105" s="332" t="s">
        <v>525</v>
      </c>
      <c r="S105" s="1711">
        <f ca="1">F104</f>
        <v>0</v>
      </c>
      <c r="T105" s="1711"/>
    </row>
    <row r="106" spans="1:20" ht="15" hidden="1" customHeight="1" thickBot="1" x14ac:dyDescent="0.3">
      <c r="A106" s="459"/>
      <c r="B106" s="3578" t="s">
        <v>254</v>
      </c>
      <c r="C106" s="3578" t="s">
        <v>92</v>
      </c>
      <c r="D106" s="3578" t="s">
        <v>93</v>
      </c>
      <c r="E106" s="3580" t="s">
        <v>65</v>
      </c>
      <c r="F106" s="3580"/>
      <c r="G106" s="3580"/>
      <c r="H106" s="3581"/>
      <c r="I106" s="3581"/>
      <c r="J106" s="3588" t="s">
        <v>84</v>
      </c>
      <c r="K106" s="3584" t="s">
        <v>78</v>
      </c>
      <c r="L106" s="3585"/>
      <c r="M106" s="1706"/>
      <c r="N106" s="1996" t="s">
        <v>623</v>
      </c>
      <c r="O106" s="2127"/>
      <c r="P106" s="2128"/>
      <c r="Q106" s="2128"/>
      <c r="R106" s="2129"/>
      <c r="S106" s="2128"/>
      <c r="T106" s="2129"/>
    </row>
    <row r="107" spans="1:20" ht="15" hidden="1" customHeight="1" x14ac:dyDescent="0.25">
      <c r="A107" s="3445" t="s">
        <v>253</v>
      </c>
      <c r="B107" s="3579"/>
      <c r="C107" s="3579"/>
      <c r="D107" s="3579"/>
      <c r="E107" s="3444" t="s">
        <v>86</v>
      </c>
      <c r="F107" s="3444" t="s">
        <v>486</v>
      </c>
      <c r="G107" s="3444" t="s">
        <v>233</v>
      </c>
      <c r="H107" s="3444" t="s">
        <v>255</v>
      </c>
      <c r="I107" s="3450" t="s">
        <v>66</v>
      </c>
      <c r="J107" s="3589"/>
      <c r="K107" s="2212" t="s">
        <v>634</v>
      </c>
      <c r="L107" s="2213">
        <f ca="1">IFERROR(VLOOKUP(F104,TableFringePool[],2,0),0)</f>
        <v>0</v>
      </c>
      <c r="M107" s="1708"/>
      <c r="N107" s="3477" t="s">
        <v>618</v>
      </c>
      <c r="O107" s="3554" t="s">
        <v>619</v>
      </c>
      <c r="P107" s="3552" t="s">
        <v>620</v>
      </c>
      <c r="Q107" s="3560" t="s">
        <v>624</v>
      </c>
      <c r="R107" s="2052" t="s">
        <v>621</v>
      </c>
      <c r="S107" s="2053"/>
      <c r="T107" s="3558" t="s">
        <v>625</v>
      </c>
    </row>
    <row r="108" spans="1:20" ht="15.75" hidden="1" thickBot="1" x14ac:dyDescent="0.3">
      <c r="A108" s="3445"/>
      <c r="B108" s="3579"/>
      <c r="C108" s="3579"/>
      <c r="D108" s="3579"/>
      <c r="E108" s="3445"/>
      <c r="F108" s="3446"/>
      <c r="G108" s="3446"/>
      <c r="H108" s="3446"/>
      <c r="I108" s="3586"/>
      <c r="J108" s="3589"/>
      <c r="K108" s="616" t="s">
        <v>67</v>
      </c>
      <c r="L108" s="664" t="s">
        <v>68</v>
      </c>
      <c r="M108" s="1707" t="s">
        <v>87</v>
      </c>
      <c r="N108" s="3541"/>
      <c r="O108" s="3555"/>
      <c r="P108" s="3553"/>
      <c r="Q108" s="3561"/>
      <c r="R108" s="2124" t="s">
        <v>622</v>
      </c>
      <c r="S108" s="540" t="s">
        <v>68</v>
      </c>
      <c r="T108" s="3559"/>
    </row>
    <row r="109" spans="1:20" hidden="1" x14ac:dyDescent="0.25">
      <c r="A109" s="622">
        <v>1</v>
      </c>
      <c r="B109" s="1725">
        <f>'DATA INPUT'!$I$8</f>
        <v>12</v>
      </c>
      <c r="C109" s="1726">
        <f>'DATA INPUT'!I58</f>
        <v>0</v>
      </c>
      <c r="D109" s="1726">
        <f t="shared" ref="D109:D114" ca="1" si="103">(C109*(2080/12))*OFFSET($K$6,(ROW()-(4+A109)-ROW($K$6)),0)</f>
        <v>0</v>
      </c>
      <c r="E109" s="618">
        <v>0.03</v>
      </c>
      <c r="F109" s="492">
        <f>(G105*E109)+G105</f>
        <v>0</v>
      </c>
      <c r="G109" s="492">
        <f t="shared" ref="G109:G114" ca="1" si="104">IFERROR(F109/OFFSET($I$6,(ROW()-(4+A109)-ROW($I$6)),0),0)</f>
        <v>0</v>
      </c>
      <c r="H109" s="492">
        <f t="shared" ref="H109:H114" ca="1" si="105">IFERROR(F109/OFFSET($I$6,(ROW()-(4+A109)-ROW($I$6)),0)*OFFSET($K$6,(ROW()-(4+A109)-ROW($K$6)),0),0)</f>
        <v>0</v>
      </c>
      <c r="I109" s="2407">
        <f t="shared" ref="I109:I114" ca="1" si="106">G109/(2080/12)</f>
        <v>0</v>
      </c>
      <c r="J109" s="1921">
        <f t="shared" ref="J109:J114" ca="1" si="107">H109*C109</f>
        <v>0</v>
      </c>
      <c r="K109" s="1912">
        <f ca="1">IF(F104='Reference Sheet'!$D$13, L107, IF($V$4&lt;$U$4, L107, IF($V$4&gt;$X$4, L107+2*$W$7, L107+$W$7)))</f>
        <v>0</v>
      </c>
      <c r="L109" s="68">
        <f t="shared" ref="L109" ca="1" si="108">K109*J109</f>
        <v>0</v>
      </c>
      <c r="M109" s="2410">
        <f t="shared" ref="M109" ca="1" si="109">G109/(2080/12)+(G109*K109)/(2080/12)</f>
        <v>0</v>
      </c>
      <c r="N109" s="2054">
        <f>IF('DATA INPUT'!V58=3,'DATA INPUT'!W58,0)</f>
        <v>0</v>
      </c>
      <c r="O109" s="1604">
        <f t="shared" ref="O109:O114" ca="1" si="110">N109*(2080/12)*OFFSET($K$6,(ROW()-(4+A109)-ROW($K$6)),0)</f>
        <v>0</v>
      </c>
      <c r="P109" s="2055">
        <f t="shared" ref="P109:P114" ca="1" si="111">IFERROR(N109/B109,0)*OFFSET($K$6,(ROW()-(4+A109)-ROW($K$6)),0)</f>
        <v>0</v>
      </c>
      <c r="Q109" s="1489">
        <f t="shared" ref="Q109:Q114" ca="1" si="112">N109*H109</f>
        <v>0</v>
      </c>
      <c r="R109" s="2056">
        <f t="shared" ref="R109:R114" ca="1" si="113">K109</f>
        <v>0</v>
      </c>
      <c r="S109" s="1490">
        <f t="shared" ref="S109:S114" ca="1" si="114">Q109*R109</f>
        <v>0</v>
      </c>
      <c r="T109" s="2057">
        <f t="shared" ref="T109:T114" ca="1" si="115">SUM(Q109,S109)</f>
        <v>0</v>
      </c>
    </row>
    <row r="110" spans="1:20" hidden="1" x14ac:dyDescent="0.25">
      <c r="A110" s="50">
        <v>2</v>
      </c>
      <c r="B110" s="1720">
        <f>'DATA INPUT'!$J$8</f>
        <v>0</v>
      </c>
      <c r="C110" s="1721">
        <f>'DATA INPUT'!J58</f>
        <v>0</v>
      </c>
      <c r="D110" s="1721">
        <f t="shared" ca="1" si="103"/>
        <v>0</v>
      </c>
      <c r="E110" s="617">
        <v>0.03</v>
      </c>
      <c r="F110" s="457">
        <f>(F109*E110)+F109</f>
        <v>0</v>
      </c>
      <c r="G110" s="457">
        <f t="shared" ca="1" si="104"/>
        <v>0</v>
      </c>
      <c r="H110" s="457">
        <f t="shared" ca="1" si="105"/>
        <v>0</v>
      </c>
      <c r="I110" s="2408">
        <f t="shared" ca="1" si="106"/>
        <v>0</v>
      </c>
      <c r="J110" s="1922">
        <f t="shared" ca="1" si="107"/>
        <v>0</v>
      </c>
      <c r="K110" s="1912">
        <f ca="1" xml:space="preserve"> IF(F104='Reference Sheet'!$D$13, L107, K109+$W$7)</f>
        <v>0.02</v>
      </c>
      <c r="L110" s="69">
        <f t="shared" ref="L110:L114" ca="1" si="116">K110*J110</f>
        <v>0</v>
      </c>
      <c r="M110" s="2411">
        <f t="shared" ref="M110:M114" ca="1" si="117">G110/(2080/12)+(G110*K110)/(2080/12)</f>
        <v>0</v>
      </c>
      <c r="N110" s="2054">
        <f>IF('DATA INPUT'!V58=3,'DATA INPUT'!X58,0)</f>
        <v>0</v>
      </c>
      <c r="O110" s="1604">
        <f t="shared" ca="1" si="110"/>
        <v>0</v>
      </c>
      <c r="P110" s="2058">
        <f t="shared" ca="1" si="111"/>
        <v>0</v>
      </c>
      <c r="Q110" s="1489">
        <f t="shared" ca="1" si="112"/>
        <v>0</v>
      </c>
      <c r="R110" s="2056">
        <f t="shared" ca="1" si="113"/>
        <v>0.02</v>
      </c>
      <c r="S110" s="1490">
        <f t="shared" ca="1" si="114"/>
        <v>0</v>
      </c>
      <c r="T110" s="2057">
        <f t="shared" ca="1" si="115"/>
        <v>0</v>
      </c>
    </row>
    <row r="111" spans="1:20" hidden="1" x14ac:dyDescent="0.25">
      <c r="A111" s="50">
        <v>3</v>
      </c>
      <c r="B111" s="1720">
        <f>'DATA INPUT'!$K$8</f>
        <v>0</v>
      </c>
      <c r="C111" s="1721">
        <f>'DATA INPUT'!K58</f>
        <v>0</v>
      </c>
      <c r="D111" s="1721">
        <f t="shared" ca="1" si="103"/>
        <v>0</v>
      </c>
      <c r="E111" s="617">
        <v>0.03</v>
      </c>
      <c r="F111" s="457">
        <f>(F110*E111)+F110</f>
        <v>0</v>
      </c>
      <c r="G111" s="457">
        <f t="shared" ca="1" si="104"/>
        <v>0</v>
      </c>
      <c r="H111" s="457">
        <f t="shared" ca="1" si="105"/>
        <v>0</v>
      </c>
      <c r="I111" s="2408">
        <f t="shared" ca="1" si="106"/>
        <v>0</v>
      </c>
      <c r="J111" s="1922">
        <f t="shared" ca="1" si="107"/>
        <v>0</v>
      </c>
      <c r="K111" s="1912">
        <f ca="1" xml:space="preserve"> IF(F104='Reference Sheet'!$D$13, L107, K110+$W$7)</f>
        <v>0.04</v>
      </c>
      <c r="L111" s="69">
        <f t="shared" ca="1" si="116"/>
        <v>0</v>
      </c>
      <c r="M111" s="2411">
        <f t="shared" ca="1" si="117"/>
        <v>0</v>
      </c>
      <c r="N111" s="2054">
        <f>IF('DATA INPUT'!V58=3,'DATA INPUT'!Y58,0)</f>
        <v>0</v>
      </c>
      <c r="O111" s="1604">
        <f t="shared" ca="1" si="110"/>
        <v>0</v>
      </c>
      <c r="P111" s="2058">
        <f t="shared" ca="1" si="111"/>
        <v>0</v>
      </c>
      <c r="Q111" s="1489">
        <f t="shared" ca="1" si="112"/>
        <v>0</v>
      </c>
      <c r="R111" s="2056">
        <f t="shared" ca="1" si="113"/>
        <v>0.04</v>
      </c>
      <c r="S111" s="1490">
        <f t="shared" ca="1" si="114"/>
        <v>0</v>
      </c>
      <c r="T111" s="2057">
        <f t="shared" ca="1" si="115"/>
        <v>0</v>
      </c>
    </row>
    <row r="112" spans="1:20" hidden="1" x14ac:dyDescent="0.25">
      <c r="A112" s="50">
        <v>4</v>
      </c>
      <c r="B112" s="1720">
        <f>'DATA INPUT'!$L$8</f>
        <v>0</v>
      </c>
      <c r="C112" s="1721">
        <f>'DATA INPUT'!L58</f>
        <v>0</v>
      </c>
      <c r="D112" s="1721">
        <f t="shared" ca="1" si="103"/>
        <v>0</v>
      </c>
      <c r="E112" s="617">
        <v>0.03</v>
      </c>
      <c r="F112" s="457">
        <f>(F111*E112)+F111</f>
        <v>0</v>
      </c>
      <c r="G112" s="457">
        <f t="shared" ca="1" si="104"/>
        <v>0</v>
      </c>
      <c r="H112" s="457">
        <f t="shared" ca="1" si="105"/>
        <v>0</v>
      </c>
      <c r="I112" s="2408">
        <f t="shared" ca="1" si="106"/>
        <v>0</v>
      </c>
      <c r="J112" s="1922">
        <f t="shared" ca="1" si="107"/>
        <v>0</v>
      </c>
      <c r="K112" s="1912">
        <f ca="1" xml:space="preserve"> IF(F104='Reference Sheet'!$D$13, L107, K111+$W$7)</f>
        <v>0.06</v>
      </c>
      <c r="L112" s="69">
        <f t="shared" ca="1" si="116"/>
        <v>0</v>
      </c>
      <c r="M112" s="2411">
        <f t="shared" ca="1" si="117"/>
        <v>0</v>
      </c>
      <c r="N112" s="2054">
        <f>IF('DATA INPUT'!V58=3,'DATA INPUT'!Z58,0)</f>
        <v>0</v>
      </c>
      <c r="O112" s="1604">
        <f t="shared" ca="1" si="110"/>
        <v>0</v>
      </c>
      <c r="P112" s="2058">
        <f t="shared" ca="1" si="111"/>
        <v>0</v>
      </c>
      <c r="Q112" s="1489">
        <f t="shared" ca="1" si="112"/>
        <v>0</v>
      </c>
      <c r="R112" s="2059">
        <f t="shared" ca="1" si="113"/>
        <v>0.06</v>
      </c>
      <c r="S112" s="1490">
        <f t="shared" ca="1" si="114"/>
        <v>0</v>
      </c>
      <c r="T112" s="2063">
        <f t="shared" ca="1" si="115"/>
        <v>0</v>
      </c>
    </row>
    <row r="113" spans="1:20" hidden="1" x14ac:dyDescent="0.25">
      <c r="A113" s="50">
        <v>5</v>
      </c>
      <c r="B113" s="1720">
        <f>'DATA INPUT'!$M$8</f>
        <v>0</v>
      </c>
      <c r="C113" s="1721">
        <f>'DATA INPUT'!M58</f>
        <v>0</v>
      </c>
      <c r="D113" s="1721">
        <f t="shared" ca="1" si="103"/>
        <v>0</v>
      </c>
      <c r="E113" s="617">
        <v>0.03</v>
      </c>
      <c r="F113" s="457">
        <f>(F112*E113)+F112</f>
        <v>0</v>
      </c>
      <c r="G113" s="457">
        <f t="shared" ca="1" si="104"/>
        <v>0</v>
      </c>
      <c r="H113" s="457">
        <f t="shared" ca="1" si="105"/>
        <v>0</v>
      </c>
      <c r="I113" s="2408">
        <f t="shared" ca="1" si="106"/>
        <v>0</v>
      </c>
      <c r="J113" s="1922">
        <f t="shared" ca="1" si="107"/>
        <v>0</v>
      </c>
      <c r="K113" s="1912">
        <f ca="1" xml:space="preserve"> IF(F104='Reference Sheet'!$D$13, L107, K112+$W$7)</f>
        <v>0.08</v>
      </c>
      <c r="L113" s="69">
        <f t="shared" ca="1" si="116"/>
        <v>0</v>
      </c>
      <c r="M113" s="2411">
        <f t="shared" ca="1" si="117"/>
        <v>0</v>
      </c>
      <c r="N113" s="2054">
        <f>IF('DATA INPUT'!V58=3,'DATA INPUT'!AA58,0)</f>
        <v>0</v>
      </c>
      <c r="O113" s="1604">
        <f t="shared" ca="1" si="110"/>
        <v>0</v>
      </c>
      <c r="P113" s="2058">
        <f t="shared" ca="1" si="111"/>
        <v>0</v>
      </c>
      <c r="Q113" s="1489">
        <f t="shared" ca="1" si="112"/>
        <v>0</v>
      </c>
      <c r="R113" s="2056">
        <f t="shared" ca="1" si="113"/>
        <v>0.08</v>
      </c>
      <c r="S113" s="1490">
        <f t="shared" ca="1" si="114"/>
        <v>0</v>
      </c>
      <c r="T113" s="2057">
        <f t="shared" ca="1" si="115"/>
        <v>0</v>
      </c>
    </row>
    <row r="114" spans="1:20" ht="15.75" hidden="1" thickBot="1" x14ac:dyDescent="0.3">
      <c r="A114" s="623">
        <v>6</v>
      </c>
      <c r="B114" s="1722">
        <f>'DATA INPUT'!$N$8</f>
        <v>0</v>
      </c>
      <c r="C114" s="1723">
        <f>'DATA INPUT'!N58</f>
        <v>0</v>
      </c>
      <c r="D114" s="1723">
        <f t="shared" ca="1" si="103"/>
        <v>0</v>
      </c>
      <c r="E114" s="621">
        <v>0.03</v>
      </c>
      <c r="F114" s="495">
        <f>(F113*E114)+F113</f>
        <v>0</v>
      </c>
      <c r="G114" s="495">
        <f t="shared" ca="1" si="104"/>
        <v>0</v>
      </c>
      <c r="H114" s="495">
        <f t="shared" ca="1" si="105"/>
        <v>0</v>
      </c>
      <c r="I114" s="2409">
        <f t="shared" ca="1" si="106"/>
        <v>0</v>
      </c>
      <c r="J114" s="1923">
        <f t="shared" ca="1" si="107"/>
        <v>0</v>
      </c>
      <c r="K114" s="1913">
        <f ca="1" xml:space="preserve"> IF(F104='Reference Sheet'!$D$13, L107, K113+$W$7)</f>
        <v>0.1</v>
      </c>
      <c r="L114" s="1914">
        <f t="shared" ca="1" si="116"/>
        <v>0</v>
      </c>
      <c r="M114" s="2412">
        <f t="shared" ca="1" si="117"/>
        <v>0</v>
      </c>
      <c r="N114" s="2060">
        <f>IF('DATA INPUT'!V58=3,'DATA INPUT'!AB58,0)</f>
        <v>0</v>
      </c>
      <c r="O114" s="1906">
        <f t="shared" ca="1" si="110"/>
        <v>0</v>
      </c>
      <c r="P114" s="2061">
        <f t="shared" ca="1" si="111"/>
        <v>0</v>
      </c>
      <c r="Q114" s="1513">
        <f t="shared" ca="1" si="112"/>
        <v>0</v>
      </c>
      <c r="R114" s="2062">
        <f t="shared" ca="1" si="113"/>
        <v>0.1</v>
      </c>
      <c r="S114" s="2043">
        <f t="shared" ca="1" si="114"/>
        <v>0</v>
      </c>
      <c r="T114" s="2064">
        <f t="shared" ca="1" si="115"/>
        <v>0</v>
      </c>
    </row>
    <row r="115" spans="1:20" ht="15.75" hidden="1" thickBot="1" x14ac:dyDescent="0.3">
      <c r="A115" s="624" t="s">
        <v>85</v>
      </c>
      <c r="B115" s="1724">
        <f>SUM(B109:B114)</f>
        <v>12</v>
      </c>
      <c r="C115" s="1727">
        <f>SUM(C109:C114)</f>
        <v>0</v>
      </c>
      <c r="D115" s="1727">
        <f ca="1">SUM(D109:D114)</f>
        <v>0</v>
      </c>
      <c r="J115" s="1728">
        <f ca="1">SUM(J109:J114)</f>
        <v>0</v>
      </c>
      <c r="L115" s="1466">
        <f ca="1">SUM(L109:L114)</f>
        <v>0</v>
      </c>
      <c r="M115" s="60"/>
      <c r="N115" s="1692">
        <f>SUM(N109:N114)</f>
        <v>0</v>
      </c>
      <c r="O115" s="1692">
        <f ca="1">SUM(O109:O114)</f>
        <v>0</v>
      </c>
      <c r="P115" s="2050">
        <f>IFERROR(N115/B115,0)*K104</f>
        <v>0</v>
      </c>
      <c r="Q115" s="2051">
        <f ca="1">SUM(Q109:Q114)</f>
        <v>0</v>
      </c>
      <c r="S115" s="2051">
        <f ca="1">SUM(S109:S114)</f>
        <v>0</v>
      </c>
      <c r="T115" s="2051">
        <f ca="1">SUM(T109:T114)</f>
        <v>0</v>
      </c>
    </row>
    <row r="116" spans="1:20" hidden="1" x14ac:dyDescent="0.25">
      <c r="A116" s="1730"/>
      <c r="B116" s="3073" t="s">
        <v>1074</v>
      </c>
      <c r="C116" s="2065">
        <f>(C115+N115)*K104</f>
        <v>0</v>
      </c>
      <c r="D116" s="496" t="s">
        <v>256</v>
      </c>
      <c r="E116" s="497"/>
      <c r="F116" s="498">
        <f>IFERROR(C115/B115,0)*K104</f>
        <v>0</v>
      </c>
      <c r="G116" s="499" t="s">
        <v>701</v>
      </c>
      <c r="H116" s="500"/>
      <c r="I116" s="498">
        <f>IFERROR(N115/B115,0)*K104</f>
        <v>0</v>
      </c>
      <c r="J116" s="499" t="s">
        <v>702</v>
      </c>
      <c r="K116" s="500"/>
      <c r="L116" s="329"/>
      <c r="M116" s="60"/>
      <c r="N116" s="60"/>
      <c r="O116" s="60"/>
      <c r="P116" s="60"/>
      <c r="Q116" s="60"/>
      <c r="R116" s="60"/>
      <c r="S116" s="60"/>
    </row>
    <row r="117" spans="1:20" ht="15.75" hidden="1" thickBot="1" x14ac:dyDescent="0.3">
      <c r="N117" s="941"/>
      <c r="O117" s="225"/>
      <c r="Q117" s="2381"/>
      <c r="R117" s="226"/>
      <c r="S117" s="51"/>
    </row>
    <row r="118" spans="1:20" ht="15.75" hidden="1" customHeight="1" thickBot="1" x14ac:dyDescent="0.3">
      <c r="A118" s="1710" t="s">
        <v>707</v>
      </c>
      <c r="B118" s="1711"/>
      <c r="C118" s="1711">
        <f ca="1">OFFSET('DATA INPUT'!$B$51,(VALUE(RIGHT(LEFT($A118,LEN($A118)-1),1))-1),0)</f>
        <v>0</v>
      </c>
      <c r="D118" s="1711"/>
      <c r="E118" s="332" t="s">
        <v>525</v>
      </c>
      <c r="F118" s="1711">
        <f ca="1">OFFSET('DATA INPUT'!$H$51,(VALUE(RIGHT(LEFT($A118,LEN($A118)-1),1))-1),0)</f>
        <v>0</v>
      </c>
      <c r="G118" s="1711"/>
      <c r="H118" s="1704" t="s">
        <v>81</v>
      </c>
      <c r="I118" s="1887">
        <f>'DATA INPUT'!G59</f>
        <v>12</v>
      </c>
      <c r="J118" s="1705" t="s">
        <v>82</v>
      </c>
      <c r="K118" s="2382">
        <f>'DATA INPUT'!F59</f>
        <v>1</v>
      </c>
      <c r="L118" s="1886"/>
      <c r="M118" s="1889"/>
    </row>
    <row r="119" spans="1:20" ht="19.5" hidden="1" customHeight="1" thickBot="1" x14ac:dyDescent="0.3">
      <c r="A119" s="66" t="s">
        <v>80</v>
      </c>
      <c r="B119" s="1709"/>
      <c r="C119" s="1712">
        <f>'DATA INPUT'!C59</f>
        <v>0</v>
      </c>
      <c r="D119" s="1712"/>
      <c r="E119" s="3576" t="s">
        <v>257</v>
      </c>
      <c r="F119" s="3577"/>
      <c r="G119" s="1713">
        <f>'DATA INPUT'!E59</f>
        <v>0</v>
      </c>
      <c r="H119" s="66" t="s">
        <v>528</v>
      </c>
      <c r="I119" s="1715"/>
      <c r="J119" s="334">
        <f>IFERROR(G119/I118,0)</f>
        <v>0</v>
      </c>
      <c r="K119" s="1737"/>
      <c r="L119" s="1890"/>
      <c r="M119" s="334"/>
      <c r="N119" s="1711">
        <f ca="1">C118</f>
        <v>0</v>
      </c>
      <c r="O119" s="1711"/>
      <c r="P119" s="1711"/>
      <c r="R119" s="332" t="s">
        <v>525</v>
      </c>
      <c r="S119" s="1711">
        <f ca="1">F118</f>
        <v>0</v>
      </c>
      <c r="T119" s="1711"/>
    </row>
    <row r="120" spans="1:20" ht="16.350000000000001" hidden="1" customHeight="1" thickBot="1" x14ac:dyDescent="0.3">
      <c r="A120" s="2214"/>
      <c r="B120" s="3578" t="s">
        <v>254</v>
      </c>
      <c r="C120" s="3578" t="s">
        <v>92</v>
      </c>
      <c r="D120" s="3578" t="s">
        <v>93</v>
      </c>
      <c r="E120" s="3581" t="s">
        <v>65</v>
      </c>
      <c r="F120" s="3581"/>
      <c r="G120" s="3581"/>
      <c r="H120" s="3581"/>
      <c r="I120" s="3581"/>
      <c r="J120" s="3582" t="s">
        <v>84</v>
      </c>
      <c r="K120" s="3584" t="s">
        <v>78</v>
      </c>
      <c r="L120" s="3585"/>
      <c r="M120" s="1706"/>
      <c r="N120" s="1996" t="s">
        <v>623</v>
      </c>
      <c r="O120" s="2127"/>
      <c r="P120" s="2128"/>
      <c r="Q120" s="2128"/>
      <c r="R120" s="2129"/>
      <c r="S120" s="2128"/>
      <c r="T120" s="2129"/>
    </row>
    <row r="121" spans="1:20" ht="15" hidden="1" customHeight="1" x14ac:dyDescent="0.25">
      <c r="A121" s="3579" t="s">
        <v>253</v>
      </c>
      <c r="B121" s="3579"/>
      <c r="C121" s="3579"/>
      <c r="D121" s="3579"/>
      <c r="E121" s="3444" t="s">
        <v>86</v>
      </c>
      <c r="F121" s="3444" t="s">
        <v>486</v>
      </c>
      <c r="G121" s="3444" t="s">
        <v>233</v>
      </c>
      <c r="H121" s="3444" t="s">
        <v>255</v>
      </c>
      <c r="I121" s="3450" t="s">
        <v>66</v>
      </c>
      <c r="J121" s="3583"/>
      <c r="K121" s="2212" t="s">
        <v>634</v>
      </c>
      <c r="L121" s="2213">
        <f ca="1">IFERROR(VLOOKUP(F118,TableFringePool[],2,0),0)</f>
        <v>0</v>
      </c>
      <c r="M121" s="1708"/>
      <c r="N121" s="3477" t="s">
        <v>618</v>
      </c>
      <c r="O121" s="3554" t="s">
        <v>619</v>
      </c>
      <c r="P121" s="3552" t="s">
        <v>620</v>
      </c>
      <c r="Q121" s="3560" t="s">
        <v>624</v>
      </c>
      <c r="R121" s="2052" t="s">
        <v>621</v>
      </c>
      <c r="S121" s="2053"/>
      <c r="T121" s="3558" t="s">
        <v>625</v>
      </c>
    </row>
    <row r="122" spans="1:20" ht="16.899999999999999" hidden="1" customHeight="1" thickBot="1" x14ac:dyDescent="0.3">
      <c r="A122" s="3587"/>
      <c r="B122" s="3587"/>
      <c r="C122" s="3587"/>
      <c r="D122" s="3587"/>
      <c r="E122" s="3446"/>
      <c r="F122" s="3446"/>
      <c r="G122" s="3446"/>
      <c r="H122" s="3446"/>
      <c r="I122" s="3586"/>
      <c r="J122" s="3591"/>
      <c r="K122" s="616" t="s">
        <v>67</v>
      </c>
      <c r="L122" s="664" t="s">
        <v>68</v>
      </c>
      <c r="M122" s="1707" t="s">
        <v>87</v>
      </c>
      <c r="N122" s="3541"/>
      <c r="O122" s="3555"/>
      <c r="P122" s="3553"/>
      <c r="Q122" s="3561"/>
      <c r="R122" s="2124" t="s">
        <v>622</v>
      </c>
      <c r="S122" s="540" t="s">
        <v>68</v>
      </c>
      <c r="T122" s="3559"/>
    </row>
    <row r="123" spans="1:20" hidden="1" x14ac:dyDescent="0.25">
      <c r="A123" s="1897">
        <v>1</v>
      </c>
      <c r="B123" s="1725">
        <f>'DATA INPUT'!$I$8</f>
        <v>12</v>
      </c>
      <c r="C123" s="1726">
        <f>'DATA INPUT'!I59</f>
        <v>0</v>
      </c>
      <c r="D123" s="1726">
        <f t="shared" ref="D123:D128" ca="1" si="118">(C123*(2080/12))*OFFSET($K$6,(ROW()-(4+A123)-ROW($K$6)),0)</f>
        <v>0</v>
      </c>
      <c r="E123" s="618">
        <v>0.03</v>
      </c>
      <c r="F123" s="492">
        <f>(G119*E123)+G119</f>
        <v>0</v>
      </c>
      <c r="G123" s="492">
        <f t="shared" ref="G123:G128" ca="1" si="119">IFERROR(F123/OFFSET($I$6,(ROW()-(4+A123)-ROW($I$6)),0),0)</f>
        <v>0</v>
      </c>
      <c r="H123" s="492">
        <f t="shared" ref="H123:H128" ca="1" si="120">IFERROR(F123/OFFSET($I$6,(ROW()-(4+A123)-ROW($I$6)),0)*OFFSET($K$6,(ROW()-(4+A123)-ROW($K$6)),0),0)</f>
        <v>0</v>
      </c>
      <c r="I123" s="2407">
        <f t="shared" ref="I123:I128" ca="1" si="121">G123/(2080/12)</f>
        <v>0</v>
      </c>
      <c r="J123" s="1921">
        <f t="shared" ref="J123:J128" ca="1" si="122">H123*C123</f>
        <v>0</v>
      </c>
      <c r="K123" s="1912">
        <f ca="1">IF(F118='Reference Sheet'!$D$13, L121, IF($V$4&lt;$U$4, L121, IF($V$4&gt;$X$4, L121+2*$W$7, L121+$W$7)))</f>
        <v>0</v>
      </c>
      <c r="L123" s="68">
        <f t="shared" ref="L123" ca="1" si="123">K123*J123</f>
        <v>0</v>
      </c>
      <c r="M123" s="2410">
        <f t="shared" ref="M123" ca="1" si="124">G123/(2080/12)+(G123*K123)/(2080/12)</f>
        <v>0</v>
      </c>
      <c r="N123" s="2054">
        <f>IF('DATA INPUT'!V59=3,'DATA INPUT'!W59,0)</f>
        <v>0</v>
      </c>
      <c r="O123" s="1604">
        <f t="shared" ref="O123:O128" ca="1" si="125">N123*(2080/12)*OFFSET($K$6,(ROW()-(4+A123)-ROW($K$6)),0)</f>
        <v>0</v>
      </c>
      <c r="P123" s="2055">
        <f t="shared" ref="P123:P128" ca="1" si="126">IFERROR(N123/B123,0)*OFFSET($K$6,(ROW()-(4+A123)-ROW($K$6)),0)</f>
        <v>0</v>
      </c>
      <c r="Q123" s="1489">
        <f t="shared" ref="Q123:Q128" ca="1" si="127">N123*H123</f>
        <v>0</v>
      </c>
      <c r="R123" s="2056">
        <f t="shared" ref="R123:R128" ca="1" si="128">K123</f>
        <v>0</v>
      </c>
      <c r="S123" s="1490">
        <f t="shared" ref="S123:S128" ca="1" si="129">Q123*R123</f>
        <v>0</v>
      </c>
      <c r="T123" s="2057">
        <f t="shared" ref="T123:T128" ca="1" si="130">SUM(Q123,S123)</f>
        <v>0</v>
      </c>
    </row>
    <row r="124" spans="1:20" hidden="1" x14ac:dyDescent="0.25">
      <c r="A124" s="619">
        <v>2</v>
      </c>
      <c r="B124" s="1720">
        <f>'DATA INPUT'!$J$8</f>
        <v>0</v>
      </c>
      <c r="C124" s="1721">
        <f>'DATA INPUT'!J59</f>
        <v>0</v>
      </c>
      <c r="D124" s="1721">
        <f t="shared" ca="1" si="118"/>
        <v>0</v>
      </c>
      <c r="E124" s="617">
        <v>0.03</v>
      </c>
      <c r="F124" s="457">
        <f>(F123*E124)+F123</f>
        <v>0</v>
      </c>
      <c r="G124" s="457">
        <f t="shared" ca="1" si="119"/>
        <v>0</v>
      </c>
      <c r="H124" s="457">
        <f t="shared" ca="1" si="120"/>
        <v>0</v>
      </c>
      <c r="I124" s="2408">
        <f t="shared" ca="1" si="121"/>
        <v>0</v>
      </c>
      <c r="J124" s="1922">
        <f t="shared" ca="1" si="122"/>
        <v>0</v>
      </c>
      <c r="K124" s="1912">
        <f ca="1" xml:space="preserve"> IF(F118='Reference Sheet'!$D$13, L121, K123+$W$7)</f>
        <v>0.02</v>
      </c>
      <c r="L124" s="69">
        <f t="shared" ref="L124:L128" ca="1" si="131">K124*J124</f>
        <v>0</v>
      </c>
      <c r="M124" s="2411">
        <f t="shared" ref="M124:M128" ca="1" si="132">G124/(2080/12)+(G124*K124)/(2080/12)</f>
        <v>0</v>
      </c>
      <c r="N124" s="2054">
        <f>IF('DATA INPUT'!V59=3,'DATA INPUT'!X59,0)</f>
        <v>0</v>
      </c>
      <c r="O124" s="1604">
        <f t="shared" ca="1" si="125"/>
        <v>0</v>
      </c>
      <c r="P124" s="2058">
        <f t="shared" ca="1" si="126"/>
        <v>0</v>
      </c>
      <c r="Q124" s="1489">
        <f t="shared" ca="1" si="127"/>
        <v>0</v>
      </c>
      <c r="R124" s="2056">
        <f t="shared" ca="1" si="128"/>
        <v>0.02</v>
      </c>
      <c r="S124" s="1490">
        <f t="shared" ca="1" si="129"/>
        <v>0</v>
      </c>
      <c r="T124" s="2057">
        <f t="shared" ca="1" si="130"/>
        <v>0</v>
      </c>
    </row>
    <row r="125" spans="1:20" hidden="1" x14ac:dyDescent="0.25">
      <c r="A125" s="619">
        <v>3</v>
      </c>
      <c r="B125" s="1720">
        <f>'DATA INPUT'!$K$8</f>
        <v>0</v>
      </c>
      <c r="C125" s="1721">
        <f>'DATA INPUT'!K59</f>
        <v>0</v>
      </c>
      <c r="D125" s="1721">
        <f t="shared" ca="1" si="118"/>
        <v>0</v>
      </c>
      <c r="E125" s="617">
        <v>0.03</v>
      </c>
      <c r="F125" s="457">
        <f>(F124*E125)+F124</f>
        <v>0</v>
      </c>
      <c r="G125" s="457">
        <f t="shared" ca="1" si="119"/>
        <v>0</v>
      </c>
      <c r="H125" s="457">
        <f t="shared" ca="1" si="120"/>
        <v>0</v>
      </c>
      <c r="I125" s="2408">
        <f t="shared" ca="1" si="121"/>
        <v>0</v>
      </c>
      <c r="J125" s="1922">
        <f t="shared" ca="1" si="122"/>
        <v>0</v>
      </c>
      <c r="K125" s="1912">
        <f ca="1" xml:space="preserve"> IF(F118='Reference Sheet'!$D$13, L121, K124+$W$7)</f>
        <v>0.04</v>
      </c>
      <c r="L125" s="69">
        <f t="shared" ca="1" si="131"/>
        <v>0</v>
      </c>
      <c r="M125" s="2411">
        <f t="shared" ca="1" si="132"/>
        <v>0</v>
      </c>
      <c r="N125" s="2054">
        <f>IF('DATA INPUT'!V59=3,'DATA INPUT'!Y59,0)</f>
        <v>0</v>
      </c>
      <c r="O125" s="1604">
        <f t="shared" ca="1" si="125"/>
        <v>0</v>
      </c>
      <c r="P125" s="2058">
        <f t="shared" ca="1" si="126"/>
        <v>0</v>
      </c>
      <c r="Q125" s="1489">
        <f t="shared" ca="1" si="127"/>
        <v>0</v>
      </c>
      <c r="R125" s="2056">
        <f t="shared" ca="1" si="128"/>
        <v>0.04</v>
      </c>
      <c r="S125" s="1490">
        <f t="shared" ca="1" si="129"/>
        <v>0</v>
      </c>
      <c r="T125" s="2057">
        <f t="shared" ca="1" si="130"/>
        <v>0</v>
      </c>
    </row>
    <row r="126" spans="1:20" hidden="1" x14ac:dyDescent="0.25">
      <c r="A126" s="619">
        <v>4</v>
      </c>
      <c r="B126" s="1720">
        <f>'DATA INPUT'!$L$8</f>
        <v>0</v>
      </c>
      <c r="C126" s="1721">
        <f>'DATA INPUT'!L59</f>
        <v>0</v>
      </c>
      <c r="D126" s="1721">
        <f t="shared" ca="1" si="118"/>
        <v>0</v>
      </c>
      <c r="E126" s="617">
        <v>0.03</v>
      </c>
      <c r="F126" s="457">
        <f>(F125*E126)+F125</f>
        <v>0</v>
      </c>
      <c r="G126" s="457">
        <f t="shared" ca="1" si="119"/>
        <v>0</v>
      </c>
      <c r="H126" s="457">
        <f t="shared" ca="1" si="120"/>
        <v>0</v>
      </c>
      <c r="I126" s="2408">
        <f t="shared" ca="1" si="121"/>
        <v>0</v>
      </c>
      <c r="J126" s="1922">
        <f t="shared" ca="1" si="122"/>
        <v>0</v>
      </c>
      <c r="K126" s="1912">
        <f ca="1" xml:space="preserve"> IF(F118='Reference Sheet'!$D$13, L121, K125+$W$7)</f>
        <v>0.06</v>
      </c>
      <c r="L126" s="69">
        <f t="shared" ca="1" si="131"/>
        <v>0</v>
      </c>
      <c r="M126" s="2411">
        <f t="shared" ca="1" si="132"/>
        <v>0</v>
      </c>
      <c r="N126" s="2054">
        <f>IF('DATA INPUT'!V59=3,'DATA INPUT'!Z59,0)</f>
        <v>0</v>
      </c>
      <c r="O126" s="1604">
        <f t="shared" ca="1" si="125"/>
        <v>0</v>
      </c>
      <c r="P126" s="2058">
        <f t="shared" ca="1" si="126"/>
        <v>0</v>
      </c>
      <c r="Q126" s="2237">
        <f t="shared" ca="1" si="127"/>
        <v>0</v>
      </c>
      <c r="R126" s="2059">
        <f t="shared" ca="1" si="128"/>
        <v>0.06</v>
      </c>
      <c r="S126" s="1490">
        <f t="shared" ca="1" si="129"/>
        <v>0</v>
      </c>
      <c r="T126" s="2063">
        <f t="shared" ca="1" si="130"/>
        <v>0</v>
      </c>
    </row>
    <row r="127" spans="1:20" hidden="1" x14ac:dyDescent="0.25">
      <c r="A127" s="619">
        <v>5</v>
      </c>
      <c r="B127" s="1720">
        <f>'DATA INPUT'!$M$8</f>
        <v>0</v>
      </c>
      <c r="C127" s="1721">
        <f>'DATA INPUT'!M59</f>
        <v>0</v>
      </c>
      <c r="D127" s="1721">
        <f t="shared" ca="1" si="118"/>
        <v>0</v>
      </c>
      <c r="E127" s="617">
        <v>0.03</v>
      </c>
      <c r="F127" s="457">
        <f>(F126*E127)+F126</f>
        <v>0</v>
      </c>
      <c r="G127" s="457">
        <f t="shared" ca="1" si="119"/>
        <v>0</v>
      </c>
      <c r="H127" s="457">
        <f t="shared" ca="1" si="120"/>
        <v>0</v>
      </c>
      <c r="I127" s="2408">
        <f t="shared" ca="1" si="121"/>
        <v>0</v>
      </c>
      <c r="J127" s="1922">
        <f t="shared" ca="1" si="122"/>
        <v>0</v>
      </c>
      <c r="K127" s="1912">
        <f ca="1" xml:space="preserve"> IF(F118='Reference Sheet'!$D$13, L121, K126+$W$7)</f>
        <v>0.08</v>
      </c>
      <c r="L127" s="69">
        <f t="shared" ca="1" si="131"/>
        <v>0</v>
      </c>
      <c r="M127" s="2411">
        <f t="shared" ca="1" si="132"/>
        <v>0</v>
      </c>
      <c r="N127" s="2054">
        <f>IF('DATA INPUT'!V59=3,'DATA INPUT'!AA59,0)</f>
        <v>0</v>
      </c>
      <c r="O127" s="1604">
        <f t="shared" ca="1" si="125"/>
        <v>0</v>
      </c>
      <c r="P127" s="2058">
        <f t="shared" ca="1" si="126"/>
        <v>0</v>
      </c>
      <c r="Q127" s="1489">
        <f t="shared" ca="1" si="127"/>
        <v>0</v>
      </c>
      <c r="R127" s="2056">
        <f t="shared" ca="1" si="128"/>
        <v>0.08</v>
      </c>
      <c r="S127" s="1490">
        <f t="shared" ca="1" si="129"/>
        <v>0</v>
      </c>
      <c r="T127" s="2057">
        <f t="shared" ca="1" si="130"/>
        <v>0</v>
      </c>
    </row>
    <row r="128" spans="1:20" ht="15.75" hidden="1" customHeight="1" thickBot="1" x14ac:dyDescent="0.3">
      <c r="A128" s="620">
        <v>6</v>
      </c>
      <c r="B128" s="1722">
        <f>'DATA INPUT'!$N$8</f>
        <v>0</v>
      </c>
      <c r="C128" s="1723">
        <f>'DATA INPUT'!N59</f>
        <v>0</v>
      </c>
      <c r="D128" s="1723">
        <f t="shared" ca="1" si="118"/>
        <v>0</v>
      </c>
      <c r="E128" s="621">
        <v>0.03</v>
      </c>
      <c r="F128" s="495">
        <f>(F127*E128)+F127</f>
        <v>0</v>
      </c>
      <c r="G128" s="495">
        <f t="shared" ca="1" si="119"/>
        <v>0</v>
      </c>
      <c r="H128" s="495">
        <f t="shared" ca="1" si="120"/>
        <v>0</v>
      </c>
      <c r="I128" s="2409">
        <f t="shared" ca="1" si="121"/>
        <v>0</v>
      </c>
      <c r="J128" s="1923">
        <f t="shared" ca="1" si="122"/>
        <v>0</v>
      </c>
      <c r="K128" s="1913">
        <f ca="1" xml:space="preserve"> IF(F118='Reference Sheet'!$D$13, L121, K127+$W$7)</f>
        <v>0.1</v>
      </c>
      <c r="L128" s="1914">
        <f t="shared" ca="1" si="131"/>
        <v>0</v>
      </c>
      <c r="M128" s="2412">
        <f t="shared" ca="1" si="132"/>
        <v>0</v>
      </c>
      <c r="N128" s="2060">
        <f>IF('DATA INPUT'!V59=3,'DATA INPUT'!AB59,0)</f>
        <v>0</v>
      </c>
      <c r="O128" s="1906">
        <f t="shared" ca="1" si="125"/>
        <v>0</v>
      </c>
      <c r="P128" s="2061">
        <f t="shared" ca="1" si="126"/>
        <v>0</v>
      </c>
      <c r="Q128" s="1513">
        <f t="shared" ca="1" si="127"/>
        <v>0</v>
      </c>
      <c r="R128" s="2062">
        <f t="shared" ca="1" si="128"/>
        <v>0.1</v>
      </c>
      <c r="S128" s="2043">
        <f t="shared" ca="1" si="129"/>
        <v>0</v>
      </c>
      <c r="T128" s="2064">
        <f t="shared" ca="1" si="130"/>
        <v>0</v>
      </c>
    </row>
    <row r="129" spans="1:20" ht="15.75" hidden="1" customHeight="1" thickBot="1" x14ac:dyDescent="0.3">
      <c r="A129" s="1896" t="s">
        <v>85</v>
      </c>
      <c r="B129" s="1732">
        <f>SUM(B123:B128)</f>
        <v>12</v>
      </c>
      <c r="C129" s="1894">
        <f>SUM(C123:C128)</f>
        <v>0</v>
      </c>
      <c r="D129" s="1733">
        <f ca="1">SUM(D123:D128)</f>
        <v>0</v>
      </c>
      <c r="J129" s="1895">
        <f ca="1">SUM(J123:J128)</f>
        <v>0</v>
      </c>
      <c r="L129" s="1466">
        <f ca="1">SUM(L123:L128)</f>
        <v>0</v>
      </c>
      <c r="M129" s="60"/>
      <c r="N129" s="1692">
        <f>SUM(N123:N128)</f>
        <v>0</v>
      </c>
      <c r="O129" s="1692">
        <f ca="1">SUM(O123:O128)</f>
        <v>0</v>
      </c>
      <c r="P129" s="2050">
        <f>IFERROR(N129/B129,0)*K118</f>
        <v>0</v>
      </c>
      <c r="Q129" s="2051">
        <f ca="1">SUM(Q123:Q128)</f>
        <v>0</v>
      </c>
      <c r="S129" s="2051">
        <f ca="1">SUM(S123:S128)</f>
        <v>0</v>
      </c>
      <c r="T129" s="2051">
        <f ca="1">SUM(T123:T128)</f>
        <v>0</v>
      </c>
    </row>
    <row r="130" spans="1:20" ht="15.75" hidden="1" customHeight="1" x14ac:dyDescent="0.25">
      <c r="A130" s="1730"/>
      <c r="B130" s="3073" t="s">
        <v>1074</v>
      </c>
      <c r="C130" s="2065">
        <f>(C129+N129)*K118</f>
        <v>0</v>
      </c>
      <c r="D130" s="496" t="s">
        <v>256</v>
      </c>
      <c r="E130" s="497"/>
      <c r="F130" s="498">
        <f>IFERROR(C129/B129,0)*K118</f>
        <v>0</v>
      </c>
      <c r="G130" s="499" t="s">
        <v>701</v>
      </c>
      <c r="H130" s="500"/>
      <c r="I130" s="498">
        <f>IFERROR(N129/B129,0)*K118</f>
        <v>0</v>
      </c>
      <c r="J130" s="499" t="s">
        <v>702</v>
      </c>
      <c r="K130" s="500"/>
      <c r="L130" s="329"/>
      <c r="M130" s="60"/>
      <c r="N130" s="60"/>
      <c r="O130" s="60"/>
      <c r="P130" s="60"/>
      <c r="Q130" s="60"/>
      <c r="R130" s="60"/>
      <c r="S130" s="60"/>
    </row>
    <row r="131" spans="1:20" ht="15.75" hidden="1" thickBot="1" x14ac:dyDescent="0.3"/>
    <row r="132" spans="1:20" ht="15.75" hidden="1" thickBot="1" x14ac:dyDescent="0.3">
      <c r="A132" s="1710" t="s">
        <v>708</v>
      </c>
      <c r="B132" s="1711"/>
      <c r="C132" s="1711">
        <f ca="1">OFFSET('DATA INPUT'!$B$51,(VALUE(RIGHT(LEFT($A132,LEN($A132)-1),2))-1),0)</f>
        <v>0</v>
      </c>
      <c r="D132" s="1711"/>
      <c r="E132" s="332" t="s">
        <v>525</v>
      </c>
      <c r="F132" s="1711">
        <f ca="1">OFFSET('DATA INPUT'!$H$51,(VALUE(RIGHT(LEFT($A132,LEN($A132)-1),2))-1),0)</f>
        <v>0</v>
      </c>
      <c r="G132" s="1711"/>
      <c r="H132" s="1704" t="s">
        <v>81</v>
      </c>
      <c r="I132" s="1887">
        <f>'DATA INPUT'!G60</f>
        <v>12</v>
      </c>
      <c r="J132" s="1705" t="s">
        <v>82</v>
      </c>
      <c r="K132" s="2383">
        <f>'DATA INPUT'!F60</f>
        <v>1</v>
      </c>
      <c r="L132" s="1886"/>
      <c r="M132" s="1889"/>
    </row>
    <row r="133" spans="1:20" ht="21" hidden="1" customHeight="1" thickBot="1" x14ac:dyDescent="0.3">
      <c r="A133" s="66" t="s">
        <v>80</v>
      </c>
      <c r="B133" s="1709"/>
      <c r="C133" s="1712">
        <f>'DATA INPUT'!C60</f>
        <v>0</v>
      </c>
      <c r="D133" s="1712"/>
      <c r="E133" s="3576" t="s">
        <v>257</v>
      </c>
      <c r="F133" s="3577"/>
      <c r="G133" s="334">
        <f>'DATA INPUT'!E60</f>
        <v>0</v>
      </c>
      <c r="H133" s="66" t="s">
        <v>528</v>
      </c>
      <c r="I133" s="1715"/>
      <c r="J133" s="334">
        <f>IFERROR(G133/I132,0)</f>
        <v>0</v>
      </c>
      <c r="K133" s="1737"/>
      <c r="L133" s="1890"/>
      <c r="M133" s="334"/>
      <c r="N133" s="1711">
        <f ca="1">C132</f>
        <v>0</v>
      </c>
      <c r="O133" s="1711"/>
      <c r="P133" s="1711"/>
      <c r="R133" s="332" t="s">
        <v>525</v>
      </c>
      <c r="S133" s="1711">
        <f ca="1">F132</f>
        <v>0</v>
      </c>
      <c r="T133" s="1711"/>
    </row>
    <row r="134" spans="1:20" ht="15" hidden="1" customHeight="1" thickBot="1" x14ac:dyDescent="0.3">
      <c r="A134" s="1716"/>
      <c r="B134" s="3579" t="s">
        <v>254</v>
      </c>
      <c r="C134" s="3579" t="s">
        <v>92</v>
      </c>
      <c r="D134" s="3579" t="s">
        <v>93</v>
      </c>
      <c r="E134" s="3580" t="s">
        <v>65</v>
      </c>
      <c r="F134" s="3580"/>
      <c r="G134" s="3580"/>
      <c r="H134" s="3581"/>
      <c r="I134" s="3581"/>
      <c r="J134" s="3588" t="s">
        <v>84</v>
      </c>
      <c r="K134" s="3584" t="s">
        <v>78</v>
      </c>
      <c r="L134" s="3585"/>
      <c r="M134" s="1706"/>
      <c r="N134" s="1996" t="s">
        <v>623</v>
      </c>
      <c r="O134" s="2127"/>
      <c r="P134" s="2128"/>
      <c r="Q134" s="2128"/>
      <c r="R134" s="2129"/>
      <c r="S134" s="2128"/>
      <c r="T134" s="2129"/>
    </row>
    <row r="135" spans="1:20" ht="15" hidden="1" customHeight="1" x14ac:dyDescent="0.25">
      <c r="A135" s="3445" t="s">
        <v>253</v>
      </c>
      <c r="B135" s="3579"/>
      <c r="C135" s="3579"/>
      <c r="D135" s="3579"/>
      <c r="E135" s="3444" t="s">
        <v>86</v>
      </c>
      <c r="F135" s="3444" t="s">
        <v>486</v>
      </c>
      <c r="G135" s="3444" t="s">
        <v>233</v>
      </c>
      <c r="H135" s="3444" t="s">
        <v>255</v>
      </c>
      <c r="I135" s="3450" t="s">
        <v>66</v>
      </c>
      <c r="J135" s="3589"/>
      <c r="K135" s="2212" t="s">
        <v>634</v>
      </c>
      <c r="L135" s="2213">
        <f ca="1">IFERROR(VLOOKUP(F132,TableFringePool[],2,0),0)</f>
        <v>0</v>
      </c>
      <c r="M135" s="1708"/>
      <c r="N135" s="3477" t="s">
        <v>618</v>
      </c>
      <c r="O135" s="3554" t="s">
        <v>619</v>
      </c>
      <c r="P135" s="3552" t="s">
        <v>620</v>
      </c>
      <c r="Q135" s="3560" t="s">
        <v>624</v>
      </c>
      <c r="R135" s="2052" t="s">
        <v>621</v>
      </c>
      <c r="S135" s="2053"/>
      <c r="T135" s="3558" t="s">
        <v>625</v>
      </c>
    </row>
    <row r="136" spans="1:20" ht="15.75" hidden="1" thickBot="1" x14ac:dyDescent="0.3">
      <c r="A136" s="3446"/>
      <c r="B136" s="3587"/>
      <c r="C136" s="3587"/>
      <c r="D136" s="3587"/>
      <c r="E136" s="3446"/>
      <c r="F136" s="3446"/>
      <c r="G136" s="3446"/>
      <c r="H136" s="3446"/>
      <c r="I136" s="3586"/>
      <c r="J136" s="3590"/>
      <c r="K136" s="616" t="s">
        <v>67</v>
      </c>
      <c r="L136" s="664" t="s">
        <v>68</v>
      </c>
      <c r="M136" s="1707" t="s">
        <v>87</v>
      </c>
      <c r="N136" s="3541"/>
      <c r="O136" s="3555"/>
      <c r="P136" s="3553"/>
      <c r="Q136" s="3561"/>
      <c r="R136" s="2124" t="s">
        <v>622</v>
      </c>
      <c r="S136" s="540" t="s">
        <v>68</v>
      </c>
      <c r="T136" s="3559"/>
    </row>
    <row r="137" spans="1:20" hidden="1" x14ac:dyDescent="0.25">
      <c r="A137" s="622">
        <v>1</v>
      </c>
      <c r="B137" s="1725">
        <f>'DATA INPUT'!$I$8</f>
        <v>12</v>
      </c>
      <c r="C137" s="1726">
        <f>'DATA INPUT'!I60</f>
        <v>0</v>
      </c>
      <c r="D137" s="1726">
        <f t="shared" ref="D137:D142" ca="1" si="133">(C137*(2080/12))*OFFSET($K$6,(ROW()-(4+A137)-ROW($K$6)),0)</f>
        <v>0</v>
      </c>
      <c r="E137" s="618">
        <v>0.03</v>
      </c>
      <c r="F137" s="492">
        <f>(G133*E137)+G133</f>
        <v>0</v>
      </c>
      <c r="G137" s="492">
        <f t="shared" ref="G137:G142" ca="1" si="134">IFERROR(F137/OFFSET($I$6,(ROW()-(4+A137)-ROW($I$6)),0),0)</f>
        <v>0</v>
      </c>
      <c r="H137" s="492">
        <f t="shared" ref="H137:H142" ca="1" si="135">IFERROR(F137/OFFSET($I$6,(ROW()-(4+A137)-ROW($I$6)),0)*OFFSET($K$6,(ROW()-(4+A137)-ROW($K$6)),0),0)</f>
        <v>0</v>
      </c>
      <c r="I137" s="2407">
        <f t="shared" ref="I137:I142" ca="1" si="136">G137/(2080/12)</f>
        <v>0</v>
      </c>
      <c r="J137" s="1921">
        <f t="shared" ref="J137:J142" ca="1" si="137">H137*C137</f>
        <v>0</v>
      </c>
      <c r="K137" s="1912">
        <f ca="1">IF(F132='Reference Sheet'!$D$13, L135, IF($V$4&lt;$U$4, L135, IF($V$4&gt;$X$4, L135+2*$W$7, L135+$W$7)))</f>
        <v>0</v>
      </c>
      <c r="L137" s="68">
        <f t="shared" ref="L137" ca="1" si="138">K137*J137</f>
        <v>0</v>
      </c>
      <c r="M137" s="2410">
        <f t="shared" ref="M137" ca="1" si="139">G137/(2080/12)+(G137*K137)/(2080/12)</f>
        <v>0</v>
      </c>
      <c r="N137" s="2054">
        <f>IF('DATA INPUT'!V60=3,'DATA INPUT'!W60,0)</f>
        <v>0</v>
      </c>
      <c r="O137" s="1604">
        <f t="shared" ref="O137:O142" ca="1" si="140">N137*(2080/12)*OFFSET($K$6,(ROW()-(4+A137)-ROW($K$6)),0)</f>
        <v>0</v>
      </c>
      <c r="P137" s="2055">
        <f t="shared" ref="P137:P142" ca="1" si="141">IFERROR(N137/B137,0)*OFFSET($K$6,(ROW()-(4+A137)-ROW($K$6)),0)</f>
        <v>0</v>
      </c>
      <c r="Q137" s="1489">
        <f t="shared" ref="Q137:Q142" ca="1" si="142">N137*H137</f>
        <v>0</v>
      </c>
      <c r="R137" s="2056">
        <f t="shared" ref="R137:R142" ca="1" si="143">K137</f>
        <v>0</v>
      </c>
      <c r="S137" s="1490">
        <f t="shared" ref="S137:S142" ca="1" si="144">Q137*R137</f>
        <v>0</v>
      </c>
      <c r="T137" s="2057">
        <f t="shared" ref="T137:T142" ca="1" si="145">SUM(Q137,S137)</f>
        <v>0</v>
      </c>
    </row>
    <row r="138" spans="1:20" hidden="1" x14ac:dyDescent="0.25">
      <c r="A138" s="50">
        <v>2</v>
      </c>
      <c r="B138" s="1720">
        <f>'DATA INPUT'!$J$8</f>
        <v>0</v>
      </c>
      <c r="C138" s="1721">
        <f>'DATA INPUT'!J60</f>
        <v>0</v>
      </c>
      <c r="D138" s="1721">
        <f t="shared" ca="1" si="133"/>
        <v>0</v>
      </c>
      <c r="E138" s="617">
        <v>0.03</v>
      </c>
      <c r="F138" s="457">
        <f>(F137*E138)+F137</f>
        <v>0</v>
      </c>
      <c r="G138" s="457">
        <f t="shared" ca="1" si="134"/>
        <v>0</v>
      </c>
      <c r="H138" s="457">
        <f t="shared" ca="1" si="135"/>
        <v>0</v>
      </c>
      <c r="I138" s="2408">
        <f t="shared" ca="1" si="136"/>
        <v>0</v>
      </c>
      <c r="J138" s="1922">
        <f t="shared" ca="1" si="137"/>
        <v>0</v>
      </c>
      <c r="K138" s="1912">
        <f ca="1" xml:space="preserve"> IF(F132='Reference Sheet'!$D$13, L135, K137+$W$7)</f>
        <v>0.02</v>
      </c>
      <c r="L138" s="69">
        <f t="shared" ref="L138:L142" ca="1" si="146">K138*J138</f>
        <v>0</v>
      </c>
      <c r="M138" s="2411">
        <f t="shared" ref="M138:M142" ca="1" si="147">G138/(2080/12)+(G138*K138)/(2080/12)</f>
        <v>0</v>
      </c>
      <c r="N138" s="2054">
        <f>IF('DATA INPUT'!V60=3,'DATA INPUT'!X60,0)</f>
        <v>0</v>
      </c>
      <c r="O138" s="1604">
        <f t="shared" ca="1" si="140"/>
        <v>0</v>
      </c>
      <c r="P138" s="2058">
        <f t="shared" ca="1" si="141"/>
        <v>0</v>
      </c>
      <c r="Q138" s="1489">
        <f t="shared" ca="1" si="142"/>
        <v>0</v>
      </c>
      <c r="R138" s="2056">
        <f t="shared" ca="1" si="143"/>
        <v>0.02</v>
      </c>
      <c r="S138" s="1490">
        <f t="shared" ca="1" si="144"/>
        <v>0</v>
      </c>
      <c r="T138" s="2057">
        <f t="shared" ca="1" si="145"/>
        <v>0</v>
      </c>
    </row>
    <row r="139" spans="1:20" hidden="1" x14ac:dyDescent="0.25">
      <c r="A139" s="50">
        <v>3</v>
      </c>
      <c r="B139" s="1720">
        <f>'DATA INPUT'!$K$8</f>
        <v>0</v>
      </c>
      <c r="C139" s="1721">
        <f>'DATA INPUT'!K60</f>
        <v>0</v>
      </c>
      <c r="D139" s="1721">
        <f t="shared" ca="1" si="133"/>
        <v>0</v>
      </c>
      <c r="E139" s="617">
        <v>0.03</v>
      </c>
      <c r="F139" s="457">
        <f>(F138*E139)+F138</f>
        <v>0</v>
      </c>
      <c r="G139" s="457">
        <f t="shared" ca="1" si="134"/>
        <v>0</v>
      </c>
      <c r="H139" s="457">
        <f t="shared" ca="1" si="135"/>
        <v>0</v>
      </c>
      <c r="I139" s="2408">
        <f t="shared" ca="1" si="136"/>
        <v>0</v>
      </c>
      <c r="J139" s="1922">
        <f t="shared" ca="1" si="137"/>
        <v>0</v>
      </c>
      <c r="K139" s="1912">
        <f ca="1" xml:space="preserve"> IF(F132='Reference Sheet'!$D$13, L135, K138+$W$7)</f>
        <v>0.04</v>
      </c>
      <c r="L139" s="69">
        <f t="shared" ca="1" si="146"/>
        <v>0</v>
      </c>
      <c r="M139" s="2411">
        <f t="shared" ca="1" si="147"/>
        <v>0</v>
      </c>
      <c r="N139" s="2054">
        <f>IF('DATA INPUT'!V60=3,'DATA INPUT'!Y60,0)</f>
        <v>0</v>
      </c>
      <c r="O139" s="1604">
        <f t="shared" ca="1" si="140"/>
        <v>0</v>
      </c>
      <c r="P139" s="2058">
        <f t="shared" ca="1" si="141"/>
        <v>0</v>
      </c>
      <c r="Q139" s="1489">
        <f t="shared" ca="1" si="142"/>
        <v>0</v>
      </c>
      <c r="R139" s="2056">
        <f t="shared" ca="1" si="143"/>
        <v>0.04</v>
      </c>
      <c r="S139" s="1490">
        <f t="shared" ca="1" si="144"/>
        <v>0</v>
      </c>
      <c r="T139" s="2057">
        <f t="shared" ca="1" si="145"/>
        <v>0</v>
      </c>
    </row>
    <row r="140" spans="1:20" hidden="1" x14ac:dyDescent="0.25">
      <c r="A140" s="50">
        <v>4</v>
      </c>
      <c r="B140" s="1720">
        <f>'DATA INPUT'!$L$8</f>
        <v>0</v>
      </c>
      <c r="C140" s="1721">
        <f>'DATA INPUT'!L60</f>
        <v>0</v>
      </c>
      <c r="D140" s="1721">
        <f t="shared" ca="1" si="133"/>
        <v>0</v>
      </c>
      <c r="E140" s="617">
        <v>0.03</v>
      </c>
      <c r="F140" s="457">
        <f>(F139*E140)+F139</f>
        <v>0</v>
      </c>
      <c r="G140" s="457">
        <f t="shared" ca="1" si="134"/>
        <v>0</v>
      </c>
      <c r="H140" s="457">
        <f t="shared" ca="1" si="135"/>
        <v>0</v>
      </c>
      <c r="I140" s="2408">
        <f t="shared" ca="1" si="136"/>
        <v>0</v>
      </c>
      <c r="J140" s="1922">
        <f t="shared" ca="1" si="137"/>
        <v>0</v>
      </c>
      <c r="K140" s="1912">
        <f ca="1" xml:space="preserve"> IF(F132='Reference Sheet'!$D$13, L135, K139+$W$7)</f>
        <v>0.06</v>
      </c>
      <c r="L140" s="69">
        <f t="shared" ca="1" si="146"/>
        <v>0</v>
      </c>
      <c r="M140" s="2411">
        <f t="shared" ca="1" si="147"/>
        <v>0</v>
      </c>
      <c r="N140" s="2054">
        <f>IF('DATA INPUT'!V60=3,'DATA INPUT'!Z60,0)</f>
        <v>0</v>
      </c>
      <c r="O140" s="1604">
        <f t="shared" ca="1" si="140"/>
        <v>0</v>
      </c>
      <c r="P140" s="2058">
        <f t="shared" ca="1" si="141"/>
        <v>0</v>
      </c>
      <c r="Q140" s="1489">
        <f t="shared" ca="1" si="142"/>
        <v>0</v>
      </c>
      <c r="R140" s="2059">
        <f t="shared" ca="1" si="143"/>
        <v>0.06</v>
      </c>
      <c r="S140" s="1490">
        <f t="shared" ca="1" si="144"/>
        <v>0</v>
      </c>
      <c r="T140" s="2063">
        <f t="shared" ca="1" si="145"/>
        <v>0</v>
      </c>
    </row>
    <row r="141" spans="1:20" hidden="1" x14ac:dyDescent="0.25">
      <c r="A141" s="50">
        <v>5</v>
      </c>
      <c r="B141" s="1720">
        <f>'DATA INPUT'!$M$8</f>
        <v>0</v>
      </c>
      <c r="C141" s="1721">
        <f>'DATA INPUT'!M60</f>
        <v>0</v>
      </c>
      <c r="D141" s="1721">
        <f t="shared" ca="1" si="133"/>
        <v>0</v>
      </c>
      <c r="E141" s="617">
        <v>0.03</v>
      </c>
      <c r="F141" s="457">
        <f>(F140*E141)+F140</f>
        <v>0</v>
      </c>
      <c r="G141" s="457">
        <f t="shared" ca="1" si="134"/>
        <v>0</v>
      </c>
      <c r="H141" s="457">
        <f t="shared" ca="1" si="135"/>
        <v>0</v>
      </c>
      <c r="I141" s="2408">
        <f t="shared" ca="1" si="136"/>
        <v>0</v>
      </c>
      <c r="J141" s="1922">
        <f t="shared" ca="1" si="137"/>
        <v>0</v>
      </c>
      <c r="K141" s="1912">
        <f ca="1" xml:space="preserve"> IF(F132='Reference Sheet'!$D$13, L135, K140+$W$7)</f>
        <v>0.08</v>
      </c>
      <c r="L141" s="69">
        <f t="shared" ca="1" si="146"/>
        <v>0</v>
      </c>
      <c r="M141" s="2411">
        <f t="shared" ca="1" si="147"/>
        <v>0</v>
      </c>
      <c r="N141" s="2054">
        <f>IF('DATA INPUT'!V60=3,'DATA INPUT'!AA60,0)</f>
        <v>0</v>
      </c>
      <c r="O141" s="1604">
        <f t="shared" ca="1" si="140"/>
        <v>0</v>
      </c>
      <c r="P141" s="2058">
        <f t="shared" ca="1" si="141"/>
        <v>0</v>
      </c>
      <c r="Q141" s="1489">
        <f t="shared" ca="1" si="142"/>
        <v>0</v>
      </c>
      <c r="R141" s="2056">
        <f t="shared" ca="1" si="143"/>
        <v>0.08</v>
      </c>
      <c r="S141" s="1490">
        <f t="shared" ca="1" si="144"/>
        <v>0</v>
      </c>
      <c r="T141" s="2057">
        <f t="shared" ca="1" si="145"/>
        <v>0</v>
      </c>
    </row>
    <row r="142" spans="1:20" ht="15.75" hidden="1" thickBot="1" x14ac:dyDescent="0.3">
      <c r="A142" s="623">
        <v>6</v>
      </c>
      <c r="B142" s="1722">
        <f>'DATA INPUT'!$N$8</f>
        <v>0</v>
      </c>
      <c r="C142" s="1723">
        <f>'DATA INPUT'!N60</f>
        <v>0</v>
      </c>
      <c r="D142" s="1723">
        <f t="shared" ca="1" si="133"/>
        <v>0</v>
      </c>
      <c r="E142" s="621">
        <v>0.03</v>
      </c>
      <c r="F142" s="495">
        <f>(F141*E142)+F141</f>
        <v>0</v>
      </c>
      <c r="G142" s="495">
        <f t="shared" ca="1" si="134"/>
        <v>0</v>
      </c>
      <c r="H142" s="495">
        <f t="shared" ca="1" si="135"/>
        <v>0</v>
      </c>
      <c r="I142" s="2409">
        <f t="shared" ca="1" si="136"/>
        <v>0</v>
      </c>
      <c r="J142" s="1923">
        <f t="shared" ca="1" si="137"/>
        <v>0</v>
      </c>
      <c r="K142" s="1913">
        <f ca="1" xml:space="preserve"> IF(F132='Reference Sheet'!$D$13, L135, K141+$W$7)</f>
        <v>0.1</v>
      </c>
      <c r="L142" s="1914">
        <f t="shared" ca="1" si="146"/>
        <v>0</v>
      </c>
      <c r="M142" s="2412">
        <f t="shared" ca="1" si="147"/>
        <v>0</v>
      </c>
      <c r="N142" s="2060">
        <f>IF('DATA INPUT'!V60=3,'DATA INPUT'!AB60,0)</f>
        <v>0</v>
      </c>
      <c r="O142" s="1906">
        <f t="shared" ca="1" si="140"/>
        <v>0</v>
      </c>
      <c r="P142" s="2061">
        <f t="shared" ca="1" si="141"/>
        <v>0</v>
      </c>
      <c r="Q142" s="1513">
        <f t="shared" ca="1" si="142"/>
        <v>0</v>
      </c>
      <c r="R142" s="2062">
        <f t="shared" ca="1" si="143"/>
        <v>0.1</v>
      </c>
      <c r="S142" s="2043">
        <f t="shared" ca="1" si="144"/>
        <v>0</v>
      </c>
      <c r="T142" s="2064">
        <f t="shared" ca="1" si="145"/>
        <v>0</v>
      </c>
    </row>
    <row r="143" spans="1:20" ht="15.75" hidden="1" thickBot="1" x14ac:dyDescent="0.3">
      <c r="A143" s="1892" t="s">
        <v>85</v>
      </c>
      <c r="B143" s="1893">
        <f>SUM(B137:B142)</f>
        <v>12</v>
      </c>
      <c r="C143" s="1894">
        <f>SUM(C137:C142)</f>
        <v>0</v>
      </c>
      <c r="D143" s="1894">
        <f ca="1">SUM(D137:D142)</f>
        <v>0</v>
      </c>
      <c r="J143" s="1895">
        <f ca="1">SUM(J137:J142)</f>
        <v>0</v>
      </c>
      <c r="L143" s="1466">
        <f ca="1">SUM(L137:L142)</f>
        <v>0</v>
      </c>
      <c r="M143" s="60"/>
      <c r="N143" s="1692">
        <f>SUM(N137:N142)</f>
        <v>0</v>
      </c>
      <c r="O143" s="1692">
        <f ca="1">SUM(O137:O142)</f>
        <v>0</v>
      </c>
      <c r="P143" s="2050">
        <f>IFERROR(N143/B143,0)*K132</f>
        <v>0</v>
      </c>
      <c r="Q143" s="2051">
        <f ca="1">SUM(Q137:Q142)</f>
        <v>0</v>
      </c>
      <c r="S143" s="2051">
        <f ca="1">SUM(S137:S142)</f>
        <v>0</v>
      </c>
      <c r="T143" s="2051">
        <f ca="1">SUM(T137:T142)</f>
        <v>0</v>
      </c>
    </row>
    <row r="144" spans="1:20" hidden="1" x14ac:dyDescent="0.25">
      <c r="A144" s="1730"/>
      <c r="B144" s="3073" t="s">
        <v>1074</v>
      </c>
      <c r="C144" s="2065">
        <f>(C143+N143)*K132</f>
        <v>0</v>
      </c>
      <c r="D144" s="496" t="s">
        <v>256</v>
      </c>
      <c r="E144" s="497"/>
      <c r="F144" s="498">
        <f>IFERROR(C143/B143,0)*K132</f>
        <v>0</v>
      </c>
      <c r="G144" s="499" t="s">
        <v>701</v>
      </c>
      <c r="H144" s="500"/>
      <c r="I144" s="498">
        <f>IFERROR(N143/B143,0)*K132</f>
        <v>0</v>
      </c>
      <c r="J144" s="499" t="s">
        <v>702</v>
      </c>
      <c r="K144" s="500"/>
      <c r="L144" s="329"/>
      <c r="M144" s="60"/>
      <c r="N144" s="60"/>
      <c r="O144" s="60"/>
      <c r="P144" s="60"/>
      <c r="Q144" s="60"/>
      <c r="R144" s="60"/>
      <c r="S144" s="60"/>
    </row>
    <row r="145" spans="1:20" ht="15.75" hidden="1" customHeight="1" thickBot="1" x14ac:dyDescent="0.3"/>
    <row r="146" spans="1:20" ht="15.75" hidden="1" thickBot="1" x14ac:dyDescent="0.3">
      <c r="A146" s="401" t="s">
        <v>709</v>
      </c>
      <c r="B146" s="402"/>
      <c r="C146" s="1711">
        <f ca="1">OFFSET('DATA INPUT'!$B$51,(VALUE(RIGHT(LEFT($A146,LEN($A146)-1),2))-1),0)</f>
        <v>0</v>
      </c>
      <c r="D146" s="1711"/>
      <c r="E146" s="332" t="s">
        <v>525</v>
      </c>
      <c r="F146" s="1711">
        <f ca="1">OFFSET('DATA INPUT'!$H$51,(VALUE(RIGHT(LEFT($A146,LEN($A146)-1),2))-1),0)</f>
        <v>0</v>
      </c>
      <c r="G146" s="1711"/>
      <c r="H146" s="1704" t="s">
        <v>81</v>
      </c>
      <c r="I146" s="1887">
        <f>'DATA INPUT'!G61</f>
        <v>12</v>
      </c>
      <c r="J146" s="1705" t="s">
        <v>82</v>
      </c>
      <c r="K146" s="2383">
        <f>'DATA INPUT'!F61</f>
        <v>1</v>
      </c>
      <c r="L146" s="1886"/>
      <c r="M146" s="1898"/>
    </row>
    <row r="147" spans="1:20" ht="16.5" hidden="1" customHeight="1" thickBot="1" x14ac:dyDescent="0.3">
      <c r="A147" s="66" t="s">
        <v>80</v>
      </c>
      <c r="B147" s="67"/>
      <c r="C147" s="663">
        <f>'DATA INPUT'!C61</f>
        <v>0</v>
      </c>
      <c r="D147" s="1712"/>
      <c r="E147" s="3576" t="s">
        <v>257</v>
      </c>
      <c r="F147" s="3577"/>
      <c r="G147" s="334">
        <f>'DATA INPUT'!E61</f>
        <v>0</v>
      </c>
      <c r="H147" s="1709" t="s">
        <v>528</v>
      </c>
      <c r="I147" s="1715"/>
      <c r="J147" s="334">
        <f>IFERROR(G147/I146,0)</f>
        <v>0</v>
      </c>
      <c r="K147" s="1737"/>
      <c r="L147" s="1890"/>
      <c r="M147" s="334"/>
      <c r="N147" s="1711">
        <f ca="1">C146</f>
        <v>0</v>
      </c>
      <c r="O147" s="1711"/>
      <c r="P147" s="1711"/>
      <c r="R147" s="332" t="s">
        <v>525</v>
      </c>
      <c r="S147" s="1711">
        <f ca="1">F146</f>
        <v>0</v>
      </c>
      <c r="T147" s="1711"/>
    </row>
    <row r="148" spans="1:20" ht="15" hidden="1" customHeight="1" thickBot="1" x14ac:dyDescent="0.3">
      <c r="A148" s="459"/>
      <c r="B148" s="3578" t="s">
        <v>254</v>
      </c>
      <c r="C148" s="3578" t="s">
        <v>92</v>
      </c>
      <c r="D148" s="3578" t="s">
        <v>93</v>
      </c>
      <c r="E148" s="3580" t="s">
        <v>65</v>
      </c>
      <c r="F148" s="3580"/>
      <c r="G148" s="3580"/>
      <c r="H148" s="3581"/>
      <c r="I148" s="3581"/>
      <c r="J148" s="3582" t="s">
        <v>84</v>
      </c>
      <c r="K148" s="3584" t="s">
        <v>78</v>
      </c>
      <c r="L148" s="3585"/>
      <c r="M148" s="1706"/>
      <c r="N148" s="1996" t="s">
        <v>623</v>
      </c>
      <c r="O148" s="2127"/>
      <c r="P148" s="2128"/>
      <c r="Q148" s="2128"/>
      <c r="R148" s="2129"/>
      <c r="S148" s="2128"/>
      <c r="T148" s="2129"/>
    </row>
    <row r="149" spans="1:20" ht="15" hidden="1" customHeight="1" x14ac:dyDescent="0.25">
      <c r="A149" s="3445" t="s">
        <v>253</v>
      </c>
      <c r="B149" s="3579"/>
      <c r="C149" s="3579"/>
      <c r="D149" s="3579"/>
      <c r="E149" s="3444" t="s">
        <v>86</v>
      </c>
      <c r="F149" s="3444" t="s">
        <v>486</v>
      </c>
      <c r="G149" s="3444" t="s">
        <v>233</v>
      </c>
      <c r="H149" s="3444" t="s">
        <v>255</v>
      </c>
      <c r="I149" s="3450" t="s">
        <v>66</v>
      </c>
      <c r="J149" s="3583"/>
      <c r="K149" s="2212" t="s">
        <v>634</v>
      </c>
      <c r="L149" s="2213">
        <f ca="1">IFERROR(VLOOKUP(F146,TableFringePool[],2,0),0)</f>
        <v>0</v>
      </c>
      <c r="M149" s="1708"/>
      <c r="N149" s="3477" t="s">
        <v>618</v>
      </c>
      <c r="O149" s="3554" t="s">
        <v>619</v>
      </c>
      <c r="P149" s="3552" t="s">
        <v>620</v>
      </c>
      <c r="Q149" s="3560" t="s">
        <v>624</v>
      </c>
      <c r="R149" s="2052" t="s">
        <v>621</v>
      </c>
      <c r="S149" s="2053"/>
      <c r="T149" s="3558" t="s">
        <v>625</v>
      </c>
    </row>
    <row r="150" spans="1:20" ht="15.75" hidden="1" thickBot="1" x14ac:dyDescent="0.3">
      <c r="A150" s="3445"/>
      <c r="B150" s="3579"/>
      <c r="C150" s="3579"/>
      <c r="D150" s="3579"/>
      <c r="E150" s="3445"/>
      <c r="F150" s="3446"/>
      <c r="G150" s="3446"/>
      <c r="H150" s="3446"/>
      <c r="I150" s="3586"/>
      <c r="J150" s="3583"/>
      <c r="K150" s="616" t="s">
        <v>67</v>
      </c>
      <c r="L150" s="664" t="s">
        <v>68</v>
      </c>
      <c r="M150" s="1707" t="s">
        <v>87</v>
      </c>
      <c r="N150" s="3541"/>
      <c r="O150" s="3555"/>
      <c r="P150" s="3553"/>
      <c r="Q150" s="3561"/>
      <c r="R150" s="2124" t="s">
        <v>622</v>
      </c>
      <c r="S150" s="540" t="s">
        <v>68</v>
      </c>
      <c r="T150" s="3559"/>
    </row>
    <row r="151" spans="1:20" hidden="1" x14ac:dyDescent="0.25">
      <c r="A151" s="622">
        <v>1</v>
      </c>
      <c r="B151" s="1725">
        <f>'DATA INPUT'!$I$8</f>
        <v>12</v>
      </c>
      <c r="C151" s="1726">
        <f>'DATA INPUT'!I61</f>
        <v>0</v>
      </c>
      <c r="D151" s="1726">
        <f t="shared" ref="D151:D156" ca="1" si="148">(C151*(2080/12))*OFFSET($K$6,(ROW()-(4+A151)-ROW($K$6)),0)</f>
        <v>0</v>
      </c>
      <c r="E151" s="618">
        <v>0.03</v>
      </c>
      <c r="F151" s="492">
        <f>(G147*E151)+G147</f>
        <v>0</v>
      </c>
      <c r="G151" s="492">
        <f t="shared" ref="G151:G156" ca="1" si="149">IFERROR(F151/OFFSET($I$6,(ROW()-(4+A151)-ROW($I$6)),0),0)</f>
        <v>0</v>
      </c>
      <c r="H151" s="492">
        <f t="shared" ref="H151:H156" ca="1" si="150">IFERROR(F151/OFFSET($I$6,(ROW()-(4+A151)-ROW($I$6)),0)*OFFSET($K$6,(ROW()-(4+A151)-ROW($K$6)),0),0)</f>
        <v>0</v>
      </c>
      <c r="I151" s="2407">
        <f t="shared" ref="I151:I156" ca="1" si="151">G151/(2080/12)</f>
        <v>0</v>
      </c>
      <c r="J151" s="1921">
        <f t="shared" ref="J151:J156" ca="1" si="152">H151*C151</f>
        <v>0</v>
      </c>
      <c r="K151" s="1912">
        <f ca="1">IF(F146='Reference Sheet'!$D$13, L149, IF($V$4&lt;$U$4, L149, IF($V$4&gt;$X$4, L149+2*$W$7, L149+$W$7)))</f>
        <v>0</v>
      </c>
      <c r="L151" s="68">
        <f t="shared" ref="L151" ca="1" si="153">K151*J151</f>
        <v>0</v>
      </c>
      <c r="M151" s="2410">
        <f t="shared" ref="M151" ca="1" si="154">G151/(2080/12)+(G151*K151)/(2080/12)</f>
        <v>0</v>
      </c>
      <c r="N151" s="2054">
        <f>IF('DATA INPUT'!V61=3,'DATA INPUT'!W61,0)</f>
        <v>0</v>
      </c>
      <c r="O151" s="1604">
        <f t="shared" ref="O151:O156" ca="1" si="155">N151*(2080/12)*OFFSET($K$6,(ROW()-(4+A151)-ROW($K$6)),0)</f>
        <v>0</v>
      </c>
      <c r="P151" s="2055">
        <f t="shared" ref="P151:P156" ca="1" si="156">IFERROR(N151/B151,0)*OFFSET($K$6,(ROW()-(4+A151)-ROW($K$6)),0)</f>
        <v>0</v>
      </c>
      <c r="Q151" s="1489">
        <f t="shared" ref="Q151:Q156" ca="1" si="157">N151*H151</f>
        <v>0</v>
      </c>
      <c r="R151" s="2056">
        <f t="shared" ref="R151:R156" ca="1" si="158">K151</f>
        <v>0</v>
      </c>
      <c r="S151" s="1490">
        <f t="shared" ref="S151:S156" ca="1" si="159">Q151*R151</f>
        <v>0</v>
      </c>
      <c r="T151" s="2057">
        <f t="shared" ref="T151:T156" ca="1" si="160">SUM(Q151,S151)</f>
        <v>0</v>
      </c>
    </row>
    <row r="152" spans="1:20" hidden="1" x14ac:dyDescent="0.25">
      <c r="A152" s="50">
        <v>2</v>
      </c>
      <c r="B152" s="1720">
        <f>'DATA INPUT'!$J$8</f>
        <v>0</v>
      </c>
      <c r="C152" s="1721">
        <f>'DATA INPUT'!J61</f>
        <v>0</v>
      </c>
      <c r="D152" s="1721">
        <f t="shared" ca="1" si="148"/>
        <v>0</v>
      </c>
      <c r="E152" s="617">
        <v>0.03</v>
      </c>
      <c r="F152" s="457">
        <f>(F151*E152)+F151</f>
        <v>0</v>
      </c>
      <c r="G152" s="457">
        <f t="shared" ca="1" si="149"/>
        <v>0</v>
      </c>
      <c r="H152" s="457">
        <f t="shared" ca="1" si="150"/>
        <v>0</v>
      </c>
      <c r="I152" s="2408">
        <f t="shared" ca="1" si="151"/>
        <v>0</v>
      </c>
      <c r="J152" s="1922">
        <f t="shared" ca="1" si="152"/>
        <v>0</v>
      </c>
      <c r="K152" s="1912">
        <f ca="1" xml:space="preserve"> IF(F146='Reference Sheet'!$D$13, L149, K151+$W$7)</f>
        <v>0.02</v>
      </c>
      <c r="L152" s="69">
        <f t="shared" ref="L152:L156" ca="1" si="161">K152*J152</f>
        <v>0</v>
      </c>
      <c r="M152" s="2411">
        <f t="shared" ref="M152:M156" ca="1" si="162">G152/(2080/12)+(G152*K152)/(2080/12)</f>
        <v>0</v>
      </c>
      <c r="N152" s="2054">
        <f>IF('DATA INPUT'!V61=3,'DATA INPUT'!X61,0)</f>
        <v>0</v>
      </c>
      <c r="O152" s="1604">
        <f t="shared" ca="1" si="155"/>
        <v>0</v>
      </c>
      <c r="P152" s="2058">
        <f t="shared" ca="1" si="156"/>
        <v>0</v>
      </c>
      <c r="Q152" s="1489">
        <f t="shared" ca="1" si="157"/>
        <v>0</v>
      </c>
      <c r="R152" s="2056">
        <f t="shared" ca="1" si="158"/>
        <v>0.02</v>
      </c>
      <c r="S152" s="1490">
        <f t="shared" ca="1" si="159"/>
        <v>0</v>
      </c>
      <c r="T152" s="2057">
        <f t="shared" ca="1" si="160"/>
        <v>0</v>
      </c>
    </row>
    <row r="153" spans="1:20" hidden="1" x14ac:dyDescent="0.25">
      <c r="A153" s="50">
        <v>3</v>
      </c>
      <c r="B153" s="1720">
        <f>'DATA INPUT'!$K$8</f>
        <v>0</v>
      </c>
      <c r="C153" s="1721">
        <f>'DATA INPUT'!K61</f>
        <v>0</v>
      </c>
      <c r="D153" s="1721">
        <f t="shared" ca="1" si="148"/>
        <v>0</v>
      </c>
      <c r="E153" s="617">
        <v>0.03</v>
      </c>
      <c r="F153" s="457">
        <f>(F152*E153)+F152</f>
        <v>0</v>
      </c>
      <c r="G153" s="457">
        <f t="shared" ca="1" si="149"/>
        <v>0</v>
      </c>
      <c r="H153" s="457">
        <f t="shared" ca="1" si="150"/>
        <v>0</v>
      </c>
      <c r="I153" s="2408">
        <f t="shared" ca="1" si="151"/>
        <v>0</v>
      </c>
      <c r="J153" s="1922">
        <f t="shared" ca="1" si="152"/>
        <v>0</v>
      </c>
      <c r="K153" s="1912">
        <f ca="1" xml:space="preserve"> IF(F146='Reference Sheet'!$D$13, L149, K152+$W$7)</f>
        <v>0.04</v>
      </c>
      <c r="L153" s="69">
        <f t="shared" ca="1" si="161"/>
        <v>0</v>
      </c>
      <c r="M153" s="2411">
        <f t="shared" ca="1" si="162"/>
        <v>0</v>
      </c>
      <c r="N153" s="2054">
        <f>IF('DATA INPUT'!V61=3,'DATA INPUT'!Y61,0)</f>
        <v>0</v>
      </c>
      <c r="O153" s="1604">
        <f t="shared" ca="1" si="155"/>
        <v>0</v>
      </c>
      <c r="P153" s="2058">
        <f t="shared" ca="1" si="156"/>
        <v>0</v>
      </c>
      <c r="Q153" s="1489">
        <f t="shared" ca="1" si="157"/>
        <v>0</v>
      </c>
      <c r="R153" s="2056">
        <f t="shared" ca="1" si="158"/>
        <v>0.04</v>
      </c>
      <c r="S153" s="1490">
        <f t="shared" ca="1" si="159"/>
        <v>0</v>
      </c>
      <c r="T153" s="2057">
        <f t="shared" ca="1" si="160"/>
        <v>0</v>
      </c>
    </row>
    <row r="154" spans="1:20" hidden="1" x14ac:dyDescent="0.25">
      <c r="A154" s="50">
        <v>4</v>
      </c>
      <c r="B154" s="1720">
        <f>'DATA INPUT'!$L$8</f>
        <v>0</v>
      </c>
      <c r="C154" s="1721">
        <f>'DATA INPUT'!L61</f>
        <v>0</v>
      </c>
      <c r="D154" s="1721">
        <f t="shared" ca="1" si="148"/>
        <v>0</v>
      </c>
      <c r="E154" s="617">
        <v>0.03</v>
      </c>
      <c r="F154" s="457">
        <f>(F153*E154)+F153</f>
        <v>0</v>
      </c>
      <c r="G154" s="457">
        <f t="shared" ca="1" si="149"/>
        <v>0</v>
      </c>
      <c r="H154" s="457">
        <f t="shared" ca="1" si="150"/>
        <v>0</v>
      </c>
      <c r="I154" s="2408">
        <f t="shared" ca="1" si="151"/>
        <v>0</v>
      </c>
      <c r="J154" s="1922">
        <f t="shared" ca="1" si="152"/>
        <v>0</v>
      </c>
      <c r="K154" s="1912">
        <f ca="1" xml:space="preserve"> IF(F146='Reference Sheet'!$D$13, L149, K153+$W$7)</f>
        <v>0.06</v>
      </c>
      <c r="L154" s="69">
        <f t="shared" ca="1" si="161"/>
        <v>0</v>
      </c>
      <c r="M154" s="2411">
        <f t="shared" ca="1" si="162"/>
        <v>0</v>
      </c>
      <c r="N154" s="2054">
        <f>IF('DATA INPUT'!V61=3,'DATA INPUT'!Z61,0)</f>
        <v>0</v>
      </c>
      <c r="O154" s="1604">
        <f t="shared" ca="1" si="155"/>
        <v>0</v>
      </c>
      <c r="P154" s="2058">
        <f t="shared" ca="1" si="156"/>
        <v>0</v>
      </c>
      <c r="Q154" s="1489">
        <f t="shared" ca="1" si="157"/>
        <v>0</v>
      </c>
      <c r="R154" s="2059">
        <f t="shared" ca="1" si="158"/>
        <v>0.06</v>
      </c>
      <c r="S154" s="1490">
        <f t="shared" ca="1" si="159"/>
        <v>0</v>
      </c>
      <c r="T154" s="2063">
        <f t="shared" ca="1" si="160"/>
        <v>0</v>
      </c>
    </row>
    <row r="155" spans="1:20" hidden="1" x14ac:dyDescent="0.25">
      <c r="A155" s="50">
        <v>5</v>
      </c>
      <c r="B155" s="1720">
        <f>'DATA INPUT'!$M$8</f>
        <v>0</v>
      </c>
      <c r="C155" s="1721">
        <f>'DATA INPUT'!M61</f>
        <v>0</v>
      </c>
      <c r="D155" s="1721">
        <f t="shared" ca="1" si="148"/>
        <v>0</v>
      </c>
      <c r="E155" s="617">
        <v>0.03</v>
      </c>
      <c r="F155" s="457">
        <f>(F154*E155)+F154</f>
        <v>0</v>
      </c>
      <c r="G155" s="457">
        <f t="shared" ca="1" si="149"/>
        <v>0</v>
      </c>
      <c r="H155" s="457">
        <f t="shared" ca="1" si="150"/>
        <v>0</v>
      </c>
      <c r="I155" s="2408">
        <f t="shared" ca="1" si="151"/>
        <v>0</v>
      </c>
      <c r="J155" s="1922">
        <f t="shared" ca="1" si="152"/>
        <v>0</v>
      </c>
      <c r="K155" s="1912">
        <f ca="1" xml:space="preserve"> IF(F146='Reference Sheet'!$D$13, L149, K154+$W$7)</f>
        <v>0.08</v>
      </c>
      <c r="L155" s="69">
        <f t="shared" ca="1" si="161"/>
        <v>0</v>
      </c>
      <c r="M155" s="2411">
        <f t="shared" ca="1" si="162"/>
        <v>0</v>
      </c>
      <c r="N155" s="2054">
        <f>IF('DATA INPUT'!V61=3,'DATA INPUT'!AA61,0)</f>
        <v>0</v>
      </c>
      <c r="O155" s="1604">
        <f t="shared" ca="1" si="155"/>
        <v>0</v>
      </c>
      <c r="P155" s="2058">
        <f t="shared" ca="1" si="156"/>
        <v>0</v>
      </c>
      <c r="Q155" s="1489">
        <f t="shared" ca="1" si="157"/>
        <v>0</v>
      </c>
      <c r="R155" s="2056">
        <f t="shared" ca="1" si="158"/>
        <v>0.08</v>
      </c>
      <c r="S155" s="1490">
        <f t="shared" ca="1" si="159"/>
        <v>0</v>
      </c>
      <c r="T155" s="2057">
        <f t="shared" ca="1" si="160"/>
        <v>0</v>
      </c>
    </row>
    <row r="156" spans="1:20" ht="15.75" hidden="1" thickBot="1" x14ac:dyDescent="0.3">
      <c r="A156" s="623">
        <v>6</v>
      </c>
      <c r="B156" s="1722">
        <f>'DATA INPUT'!$N$8</f>
        <v>0</v>
      </c>
      <c r="C156" s="1723">
        <f>'DATA INPUT'!N61</f>
        <v>0</v>
      </c>
      <c r="D156" s="1723">
        <f t="shared" ca="1" si="148"/>
        <v>0</v>
      </c>
      <c r="E156" s="621">
        <v>0.03</v>
      </c>
      <c r="F156" s="495">
        <f>(F155*E156)+F155</f>
        <v>0</v>
      </c>
      <c r="G156" s="495">
        <f t="shared" ca="1" si="149"/>
        <v>0</v>
      </c>
      <c r="H156" s="495">
        <f t="shared" ca="1" si="150"/>
        <v>0</v>
      </c>
      <c r="I156" s="2409">
        <f t="shared" ca="1" si="151"/>
        <v>0</v>
      </c>
      <c r="J156" s="1923">
        <f t="shared" ca="1" si="152"/>
        <v>0</v>
      </c>
      <c r="K156" s="1913">
        <f ca="1" xml:space="preserve"> IF(F146='Reference Sheet'!$D$13, L149, K155+$W$7)</f>
        <v>0.1</v>
      </c>
      <c r="L156" s="1914">
        <f t="shared" ca="1" si="161"/>
        <v>0</v>
      </c>
      <c r="M156" s="2412">
        <f t="shared" ca="1" si="162"/>
        <v>0</v>
      </c>
      <c r="N156" s="2060">
        <f>IF('DATA INPUT'!V61=3,'DATA INPUT'!AB61,0)</f>
        <v>0</v>
      </c>
      <c r="O156" s="1906">
        <f t="shared" ca="1" si="155"/>
        <v>0</v>
      </c>
      <c r="P156" s="2061">
        <f t="shared" ca="1" si="156"/>
        <v>0</v>
      </c>
      <c r="Q156" s="1513">
        <f t="shared" ca="1" si="157"/>
        <v>0</v>
      </c>
      <c r="R156" s="2062">
        <f t="shared" ca="1" si="158"/>
        <v>0.1</v>
      </c>
      <c r="S156" s="2043">
        <f t="shared" ca="1" si="159"/>
        <v>0</v>
      </c>
      <c r="T156" s="2064">
        <f t="shared" ca="1" si="160"/>
        <v>0</v>
      </c>
    </row>
    <row r="157" spans="1:20" ht="15.75" hidden="1" thickBot="1" x14ac:dyDescent="0.3">
      <c r="A157" s="624" t="s">
        <v>85</v>
      </c>
      <c r="B157" s="1724">
        <f>SUM(B151:B156)</f>
        <v>12</v>
      </c>
      <c r="C157" s="1727">
        <f>SUM(C151:C156)</f>
        <v>0</v>
      </c>
      <c r="D157" s="1727">
        <f ca="1">SUM(D151:D156)</f>
        <v>0</v>
      </c>
      <c r="J157" s="1728">
        <f ca="1">SUM(J151:J156)</f>
        <v>0</v>
      </c>
      <c r="L157" s="1466">
        <f ca="1">SUM(L151:L156)</f>
        <v>0</v>
      </c>
      <c r="M157" s="60"/>
      <c r="N157" s="1692">
        <f>SUM(N151:N156)</f>
        <v>0</v>
      </c>
      <c r="O157" s="1692">
        <f ca="1">SUM(O151:O156)</f>
        <v>0</v>
      </c>
      <c r="P157" s="2050">
        <f>IFERROR(N157/B157,0)*K146</f>
        <v>0</v>
      </c>
      <c r="Q157" s="2051">
        <f ca="1">SUM(Q151:Q156)</f>
        <v>0</v>
      </c>
      <c r="S157" s="2051">
        <f ca="1">SUM(S151:S156)</f>
        <v>0</v>
      </c>
      <c r="T157" s="2051">
        <f ca="1">SUM(T151:T156)</f>
        <v>0</v>
      </c>
    </row>
    <row r="158" spans="1:20" hidden="1" x14ac:dyDescent="0.25">
      <c r="A158" s="1730"/>
      <c r="B158" s="3073" t="s">
        <v>1074</v>
      </c>
      <c r="C158" s="2065">
        <f>(C157+N157)*K146</f>
        <v>0</v>
      </c>
      <c r="D158" s="496" t="s">
        <v>256</v>
      </c>
      <c r="E158" s="497"/>
      <c r="F158" s="498">
        <f>IFERROR(C157/B157,0)*K146</f>
        <v>0</v>
      </c>
      <c r="G158" s="499" t="s">
        <v>701</v>
      </c>
      <c r="H158" s="500"/>
      <c r="I158" s="498">
        <f>IFERROR(N157/B157,0)*K146</f>
        <v>0</v>
      </c>
      <c r="J158" s="499" t="s">
        <v>702</v>
      </c>
      <c r="K158" s="500"/>
      <c r="L158" s="329"/>
      <c r="M158" s="60"/>
      <c r="N158" s="60"/>
      <c r="O158" s="60"/>
      <c r="P158" s="60"/>
      <c r="Q158" s="60"/>
      <c r="R158" s="60"/>
      <c r="S158" s="60"/>
    </row>
    <row r="159" spans="1:20" ht="15.75" hidden="1" thickBot="1" x14ac:dyDescent="0.3"/>
    <row r="160" spans="1:20" ht="15.75" hidden="1" thickBot="1" x14ac:dyDescent="0.3">
      <c r="A160" s="401" t="s">
        <v>710</v>
      </c>
      <c r="B160" s="402"/>
      <c r="C160" s="1711">
        <f ca="1">OFFSET('DATA INPUT'!$B$51,(VALUE(RIGHT(LEFT($A160,LEN($A160)-1),2))-1),0)</f>
        <v>0</v>
      </c>
      <c r="D160" s="1711"/>
      <c r="E160" s="332" t="s">
        <v>525</v>
      </c>
      <c r="F160" s="1711">
        <f ca="1">OFFSET('DATA INPUT'!$H$51,(VALUE(RIGHT(LEFT($A160,LEN($A160)-1),2))-1),0)</f>
        <v>0</v>
      </c>
      <c r="G160" s="1711"/>
      <c r="H160" s="1704" t="s">
        <v>81</v>
      </c>
      <c r="I160" s="1887">
        <f>'DATA INPUT'!G62</f>
        <v>12</v>
      </c>
      <c r="J160" s="1705" t="s">
        <v>82</v>
      </c>
      <c r="K160" s="2383">
        <f>'DATA INPUT'!F62</f>
        <v>1</v>
      </c>
      <c r="L160" s="1886"/>
      <c r="M160" s="1899"/>
    </row>
    <row r="161" spans="1:20" ht="15.75" hidden="1" customHeight="1" thickBot="1" x14ac:dyDescent="0.3">
      <c r="A161" s="66" t="s">
        <v>80</v>
      </c>
      <c r="B161" s="67"/>
      <c r="C161" s="663">
        <f>'DATA INPUT'!C62</f>
        <v>0</v>
      </c>
      <c r="D161" s="1712"/>
      <c r="E161" s="3576" t="s">
        <v>257</v>
      </c>
      <c r="F161" s="3577"/>
      <c r="G161" s="334">
        <f>'DATA INPUT'!E62</f>
        <v>0</v>
      </c>
      <c r="H161" s="1709" t="s">
        <v>528</v>
      </c>
      <c r="I161" s="1715"/>
      <c r="J161" s="334">
        <f>IFERROR(G161/I160,0)</f>
        <v>0</v>
      </c>
      <c r="K161" s="1737"/>
      <c r="L161" s="1890"/>
      <c r="M161" s="334"/>
      <c r="N161" s="1711">
        <f ca="1">C160</f>
        <v>0</v>
      </c>
      <c r="O161" s="1711"/>
      <c r="P161" s="1711"/>
      <c r="R161" s="332" t="s">
        <v>525</v>
      </c>
      <c r="S161" s="1711">
        <f ca="1">F160</f>
        <v>0</v>
      </c>
      <c r="T161" s="1711"/>
    </row>
    <row r="162" spans="1:20" ht="15" hidden="1" customHeight="1" thickBot="1" x14ac:dyDescent="0.3">
      <c r="A162" s="459"/>
      <c r="B162" s="3578" t="s">
        <v>254</v>
      </c>
      <c r="C162" s="3578" t="s">
        <v>92</v>
      </c>
      <c r="D162" s="3578" t="s">
        <v>93</v>
      </c>
      <c r="E162" s="3580" t="s">
        <v>65</v>
      </c>
      <c r="F162" s="3580"/>
      <c r="G162" s="3580"/>
      <c r="H162" s="3581"/>
      <c r="I162" s="3581"/>
      <c r="J162" s="3588" t="s">
        <v>84</v>
      </c>
      <c r="K162" s="3584" t="s">
        <v>78</v>
      </c>
      <c r="L162" s="3585"/>
      <c r="M162" s="1706"/>
      <c r="N162" s="1996" t="s">
        <v>623</v>
      </c>
      <c r="O162" s="2127"/>
      <c r="P162" s="2128"/>
      <c r="Q162" s="2128"/>
      <c r="R162" s="2129"/>
      <c r="S162" s="2128"/>
      <c r="T162" s="2129"/>
    </row>
    <row r="163" spans="1:20" ht="15" hidden="1" customHeight="1" x14ac:dyDescent="0.25">
      <c r="A163" s="3445" t="s">
        <v>253</v>
      </c>
      <c r="B163" s="3579"/>
      <c r="C163" s="3579"/>
      <c r="D163" s="3579"/>
      <c r="E163" s="3444" t="s">
        <v>86</v>
      </c>
      <c r="F163" s="3444" t="s">
        <v>486</v>
      </c>
      <c r="G163" s="3444" t="s">
        <v>233</v>
      </c>
      <c r="H163" s="3444" t="s">
        <v>255</v>
      </c>
      <c r="I163" s="3450" t="s">
        <v>66</v>
      </c>
      <c r="J163" s="3589"/>
      <c r="K163" s="2212" t="s">
        <v>634</v>
      </c>
      <c r="L163" s="2213">
        <f ca="1">IFERROR(VLOOKUP(F160,TableFringePool[],2,0),0)</f>
        <v>0</v>
      </c>
      <c r="M163" s="1708"/>
      <c r="N163" s="3477" t="s">
        <v>618</v>
      </c>
      <c r="O163" s="3554" t="s">
        <v>619</v>
      </c>
      <c r="P163" s="3552" t="s">
        <v>620</v>
      </c>
      <c r="Q163" s="3560" t="s">
        <v>624</v>
      </c>
      <c r="R163" s="2052" t="s">
        <v>621</v>
      </c>
      <c r="S163" s="2053"/>
      <c r="T163" s="3558" t="s">
        <v>625</v>
      </c>
    </row>
    <row r="164" spans="1:20" ht="15.75" hidden="1" thickBot="1" x14ac:dyDescent="0.3">
      <c r="A164" s="3445"/>
      <c r="B164" s="3579"/>
      <c r="C164" s="3579"/>
      <c r="D164" s="3579"/>
      <c r="E164" s="3445"/>
      <c r="F164" s="3446"/>
      <c r="G164" s="3446"/>
      <c r="H164" s="3446"/>
      <c r="I164" s="3586"/>
      <c r="J164" s="3589"/>
      <c r="K164" s="616" t="s">
        <v>67</v>
      </c>
      <c r="L164" s="664" t="s">
        <v>68</v>
      </c>
      <c r="M164" s="1707" t="s">
        <v>87</v>
      </c>
      <c r="N164" s="3541"/>
      <c r="O164" s="3555"/>
      <c r="P164" s="3553"/>
      <c r="Q164" s="3561"/>
      <c r="R164" s="2124" t="s">
        <v>622</v>
      </c>
      <c r="S164" s="540" t="s">
        <v>68</v>
      </c>
      <c r="T164" s="3559"/>
    </row>
    <row r="165" spans="1:20" hidden="1" x14ac:dyDescent="0.25">
      <c r="A165" s="622">
        <v>1</v>
      </c>
      <c r="B165" s="1725">
        <f>'DATA INPUT'!$I$8</f>
        <v>12</v>
      </c>
      <c r="C165" s="1726">
        <f>'DATA INPUT'!I62</f>
        <v>0</v>
      </c>
      <c r="D165" s="1726">
        <f t="shared" ref="D165:D170" ca="1" si="163">(C165*(2080/12))*OFFSET($K$6,(ROW()-(4+A165)-ROW($K$6)),0)</f>
        <v>0</v>
      </c>
      <c r="E165" s="618">
        <v>0.03</v>
      </c>
      <c r="F165" s="492">
        <f>(G161*E165)+G161</f>
        <v>0</v>
      </c>
      <c r="G165" s="492">
        <f t="shared" ref="G165:G170" ca="1" si="164">IFERROR(F165/OFFSET($I$6,(ROW()-(4+A165)-ROW($I$6)),0),0)</f>
        <v>0</v>
      </c>
      <c r="H165" s="492">
        <f t="shared" ref="H165:H170" ca="1" si="165">IFERROR(F165/OFFSET($I$6,(ROW()-(4+A165)-ROW($I$6)),0)*OFFSET($K$6,(ROW()-(4+A165)-ROW($K$6)),0),0)</f>
        <v>0</v>
      </c>
      <c r="I165" s="2407">
        <f t="shared" ref="I165:I170" ca="1" si="166">G165/(2080/12)</f>
        <v>0</v>
      </c>
      <c r="J165" s="1921">
        <f t="shared" ref="J165:J170" ca="1" si="167">H165*C165</f>
        <v>0</v>
      </c>
      <c r="K165" s="1912">
        <f ca="1">IF(F160='Reference Sheet'!$D$13, L163, IF($V$4&lt;$U$4, L163, IF($V$4&gt;$X$4, L163+2*$W$7, L163+$W$7)))</f>
        <v>0</v>
      </c>
      <c r="L165" s="68">
        <f t="shared" ref="L165" ca="1" si="168">K165*J165</f>
        <v>0</v>
      </c>
      <c r="M165" s="2410">
        <f t="shared" ref="M165" ca="1" si="169">G165/(2080/12)+(G165*K165)/(2080/12)</f>
        <v>0</v>
      </c>
      <c r="N165" s="2054">
        <f>IF('DATA INPUT'!V62=3,'DATA INPUT'!W62,0)</f>
        <v>0</v>
      </c>
      <c r="O165" s="1604">
        <f t="shared" ref="O165:O170" ca="1" si="170">N165*(2080/12)*OFFSET($K$6,(ROW()-(4+A165)-ROW($K$6)),0)</f>
        <v>0</v>
      </c>
      <c r="P165" s="2055">
        <f t="shared" ref="P165:P170" ca="1" si="171">IFERROR(N165/B165,0)*OFFSET($K$6,(ROW()-(4+A165)-ROW($K$6)),0)</f>
        <v>0</v>
      </c>
      <c r="Q165" s="1489">
        <f t="shared" ref="Q165:Q170" ca="1" si="172">N165*H165</f>
        <v>0</v>
      </c>
      <c r="R165" s="2056">
        <f t="shared" ref="R165:R170" ca="1" si="173">K165</f>
        <v>0</v>
      </c>
      <c r="S165" s="1490">
        <f t="shared" ref="S165:S170" ca="1" si="174">Q165*R165</f>
        <v>0</v>
      </c>
      <c r="T165" s="2057">
        <f t="shared" ref="T165:T170" ca="1" si="175">SUM(Q165,S165)</f>
        <v>0</v>
      </c>
    </row>
    <row r="166" spans="1:20" hidden="1" x14ac:dyDescent="0.25">
      <c r="A166" s="50">
        <v>2</v>
      </c>
      <c r="B166" s="1720">
        <f>'DATA INPUT'!$J$8</f>
        <v>0</v>
      </c>
      <c r="C166" s="1721">
        <f>'DATA INPUT'!J62</f>
        <v>0</v>
      </c>
      <c r="D166" s="1721">
        <f t="shared" ca="1" si="163"/>
        <v>0</v>
      </c>
      <c r="E166" s="617">
        <v>0.03</v>
      </c>
      <c r="F166" s="457">
        <f>(F165*E166)+F165</f>
        <v>0</v>
      </c>
      <c r="G166" s="457">
        <f t="shared" ca="1" si="164"/>
        <v>0</v>
      </c>
      <c r="H166" s="457">
        <f t="shared" ca="1" si="165"/>
        <v>0</v>
      </c>
      <c r="I166" s="2408">
        <f t="shared" ca="1" si="166"/>
        <v>0</v>
      </c>
      <c r="J166" s="1922">
        <f t="shared" ca="1" si="167"/>
        <v>0</v>
      </c>
      <c r="K166" s="1912">
        <f ca="1" xml:space="preserve"> IF(F160='Reference Sheet'!$D$13, L163, K165+$W$7)</f>
        <v>0.02</v>
      </c>
      <c r="L166" s="69">
        <f t="shared" ref="L166:L170" ca="1" si="176">K166*J166</f>
        <v>0</v>
      </c>
      <c r="M166" s="2411">
        <f t="shared" ref="M166:M170" ca="1" si="177">G166/(2080/12)+(G166*K166)/(2080/12)</f>
        <v>0</v>
      </c>
      <c r="N166" s="2054">
        <f>IF('DATA INPUT'!V62=3,'DATA INPUT'!X62,0)</f>
        <v>0</v>
      </c>
      <c r="O166" s="1604">
        <f t="shared" ca="1" si="170"/>
        <v>0</v>
      </c>
      <c r="P166" s="2058">
        <f t="shared" ca="1" si="171"/>
        <v>0</v>
      </c>
      <c r="Q166" s="1489">
        <f t="shared" ca="1" si="172"/>
        <v>0</v>
      </c>
      <c r="R166" s="2056">
        <f t="shared" ca="1" si="173"/>
        <v>0.02</v>
      </c>
      <c r="S166" s="1490">
        <f t="shared" ca="1" si="174"/>
        <v>0</v>
      </c>
      <c r="T166" s="2057">
        <f t="shared" ca="1" si="175"/>
        <v>0</v>
      </c>
    </row>
    <row r="167" spans="1:20" hidden="1" x14ac:dyDescent="0.25">
      <c r="A167" s="50">
        <v>3</v>
      </c>
      <c r="B167" s="1720">
        <f>'DATA INPUT'!$K$8</f>
        <v>0</v>
      </c>
      <c r="C167" s="1721">
        <f>'DATA INPUT'!K62</f>
        <v>0</v>
      </c>
      <c r="D167" s="1721">
        <f t="shared" ca="1" si="163"/>
        <v>0</v>
      </c>
      <c r="E167" s="617">
        <v>0.03</v>
      </c>
      <c r="F167" s="457">
        <f>(F166*E167)+F166</f>
        <v>0</v>
      </c>
      <c r="G167" s="457">
        <f t="shared" ca="1" si="164"/>
        <v>0</v>
      </c>
      <c r="H167" s="457">
        <f t="shared" ca="1" si="165"/>
        <v>0</v>
      </c>
      <c r="I167" s="2408">
        <f t="shared" ca="1" si="166"/>
        <v>0</v>
      </c>
      <c r="J167" s="1922">
        <f t="shared" ca="1" si="167"/>
        <v>0</v>
      </c>
      <c r="K167" s="1912">
        <f ca="1" xml:space="preserve"> IF(F160='Reference Sheet'!$D$13, L163, K166+$W$7)</f>
        <v>0.04</v>
      </c>
      <c r="L167" s="69">
        <f t="shared" ca="1" si="176"/>
        <v>0</v>
      </c>
      <c r="M167" s="2411">
        <f t="shared" ca="1" si="177"/>
        <v>0</v>
      </c>
      <c r="N167" s="2054">
        <f>IF('DATA INPUT'!V62=3,'DATA INPUT'!Y62,0)</f>
        <v>0</v>
      </c>
      <c r="O167" s="1604">
        <f t="shared" ca="1" si="170"/>
        <v>0</v>
      </c>
      <c r="P167" s="2058">
        <f t="shared" ca="1" si="171"/>
        <v>0</v>
      </c>
      <c r="Q167" s="1489">
        <f t="shared" ca="1" si="172"/>
        <v>0</v>
      </c>
      <c r="R167" s="2056">
        <f t="shared" ca="1" si="173"/>
        <v>0.04</v>
      </c>
      <c r="S167" s="1490">
        <f t="shared" ca="1" si="174"/>
        <v>0</v>
      </c>
      <c r="T167" s="2057">
        <f t="shared" ca="1" si="175"/>
        <v>0</v>
      </c>
    </row>
    <row r="168" spans="1:20" hidden="1" x14ac:dyDescent="0.25">
      <c r="A168" s="50">
        <v>4</v>
      </c>
      <c r="B168" s="1720">
        <f>'DATA INPUT'!$L$8</f>
        <v>0</v>
      </c>
      <c r="C168" s="1721">
        <f>'DATA INPUT'!L62</f>
        <v>0</v>
      </c>
      <c r="D168" s="1721">
        <f t="shared" ca="1" si="163"/>
        <v>0</v>
      </c>
      <c r="E168" s="617">
        <v>0.03</v>
      </c>
      <c r="F168" s="457">
        <f>(F167*E168)+F167</f>
        <v>0</v>
      </c>
      <c r="G168" s="457">
        <f t="shared" ca="1" si="164"/>
        <v>0</v>
      </c>
      <c r="H168" s="457">
        <f t="shared" ca="1" si="165"/>
        <v>0</v>
      </c>
      <c r="I168" s="2408">
        <f t="shared" ca="1" si="166"/>
        <v>0</v>
      </c>
      <c r="J168" s="1922">
        <f t="shared" ca="1" si="167"/>
        <v>0</v>
      </c>
      <c r="K168" s="1912">
        <f ca="1" xml:space="preserve"> IF(F160='Reference Sheet'!$D$13, L163, K167+$W$7)</f>
        <v>0.06</v>
      </c>
      <c r="L168" s="69">
        <f t="shared" ca="1" si="176"/>
        <v>0</v>
      </c>
      <c r="M168" s="2411">
        <f t="shared" ca="1" si="177"/>
        <v>0</v>
      </c>
      <c r="N168" s="2054">
        <f>IF('DATA INPUT'!V62=3,'DATA INPUT'!Z62,0)</f>
        <v>0</v>
      </c>
      <c r="O168" s="1604">
        <f t="shared" ca="1" si="170"/>
        <v>0</v>
      </c>
      <c r="P168" s="2058">
        <f t="shared" ca="1" si="171"/>
        <v>0</v>
      </c>
      <c r="Q168" s="1489">
        <f t="shared" ca="1" si="172"/>
        <v>0</v>
      </c>
      <c r="R168" s="2059">
        <f t="shared" ca="1" si="173"/>
        <v>0.06</v>
      </c>
      <c r="S168" s="1490">
        <f t="shared" ca="1" si="174"/>
        <v>0</v>
      </c>
      <c r="T168" s="2063">
        <f t="shared" ca="1" si="175"/>
        <v>0</v>
      </c>
    </row>
    <row r="169" spans="1:20" hidden="1" x14ac:dyDescent="0.25">
      <c r="A169" s="50">
        <v>5</v>
      </c>
      <c r="B169" s="1720">
        <f>'DATA INPUT'!$M$8</f>
        <v>0</v>
      </c>
      <c r="C169" s="1721">
        <f>'DATA INPUT'!M62</f>
        <v>0</v>
      </c>
      <c r="D169" s="1721">
        <f t="shared" ca="1" si="163"/>
        <v>0</v>
      </c>
      <c r="E169" s="617">
        <v>0.03</v>
      </c>
      <c r="F169" s="457">
        <f>(F168*E169)+F168</f>
        <v>0</v>
      </c>
      <c r="G169" s="457">
        <f t="shared" ca="1" si="164"/>
        <v>0</v>
      </c>
      <c r="H169" s="457">
        <f t="shared" ca="1" si="165"/>
        <v>0</v>
      </c>
      <c r="I169" s="2408">
        <f t="shared" ca="1" si="166"/>
        <v>0</v>
      </c>
      <c r="J169" s="1922">
        <f t="shared" ca="1" si="167"/>
        <v>0</v>
      </c>
      <c r="K169" s="1912">
        <f ca="1" xml:space="preserve"> IF(F160='Reference Sheet'!$D$13, L163, K168+$W$7)</f>
        <v>0.08</v>
      </c>
      <c r="L169" s="69">
        <f t="shared" ca="1" si="176"/>
        <v>0</v>
      </c>
      <c r="M169" s="2411">
        <f t="shared" ca="1" si="177"/>
        <v>0</v>
      </c>
      <c r="N169" s="2054">
        <f>IF('DATA INPUT'!V62=3,'DATA INPUT'!AA62,0)</f>
        <v>0</v>
      </c>
      <c r="O169" s="1604">
        <f t="shared" ca="1" si="170"/>
        <v>0</v>
      </c>
      <c r="P169" s="2058">
        <f t="shared" ca="1" si="171"/>
        <v>0</v>
      </c>
      <c r="Q169" s="1489">
        <f t="shared" ca="1" si="172"/>
        <v>0</v>
      </c>
      <c r="R169" s="2056">
        <f t="shared" ca="1" si="173"/>
        <v>0.08</v>
      </c>
      <c r="S169" s="1490">
        <f t="shared" ca="1" si="174"/>
        <v>0</v>
      </c>
      <c r="T169" s="2057">
        <f t="shared" ca="1" si="175"/>
        <v>0</v>
      </c>
    </row>
    <row r="170" spans="1:20" ht="15.75" hidden="1" thickBot="1" x14ac:dyDescent="0.3">
      <c r="A170" s="623">
        <v>6</v>
      </c>
      <c r="B170" s="1722">
        <f>'DATA INPUT'!$N$8</f>
        <v>0</v>
      </c>
      <c r="C170" s="1723">
        <f>'DATA INPUT'!N62</f>
        <v>0</v>
      </c>
      <c r="D170" s="1723">
        <f t="shared" ca="1" si="163"/>
        <v>0</v>
      </c>
      <c r="E170" s="621">
        <v>0.03</v>
      </c>
      <c r="F170" s="495">
        <f>(F169*E170)+F169</f>
        <v>0</v>
      </c>
      <c r="G170" s="495">
        <f t="shared" ca="1" si="164"/>
        <v>0</v>
      </c>
      <c r="H170" s="495">
        <f t="shared" ca="1" si="165"/>
        <v>0</v>
      </c>
      <c r="I170" s="2409">
        <f t="shared" ca="1" si="166"/>
        <v>0</v>
      </c>
      <c r="J170" s="1923">
        <f t="shared" ca="1" si="167"/>
        <v>0</v>
      </c>
      <c r="K170" s="1913">
        <f ca="1" xml:space="preserve"> IF(F160='Reference Sheet'!$D$13, L163, K169+$W$7)</f>
        <v>0.1</v>
      </c>
      <c r="L170" s="1914">
        <f t="shared" ca="1" si="176"/>
        <v>0</v>
      </c>
      <c r="M170" s="2412">
        <f t="shared" ca="1" si="177"/>
        <v>0</v>
      </c>
      <c r="N170" s="2060">
        <f>IF('DATA INPUT'!V62=3,'DATA INPUT'!AB62,0)</f>
        <v>0</v>
      </c>
      <c r="O170" s="1906">
        <f t="shared" ca="1" si="170"/>
        <v>0</v>
      </c>
      <c r="P170" s="2061">
        <f t="shared" ca="1" si="171"/>
        <v>0</v>
      </c>
      <c r="Q170" s="1513">
        <f t="shared" ca="1" si="172"/>
        <v>0</v>
      </c>
      <c r="R170" s="2062">
        <f t="shared" ca="1" si="173"/>
        <v>0.1</v>
      </c>
      <c r="S170" s="2043">
        <f t="shared" ca="1" si="174"/>
        <v>0</v>
      </c>
      <c r="T170" s="2064">
        <f t="shared" ca="1" si="175"/>
        <v>0</v>
      </c>
    </row>
    <row r="171" spans="1:20" ht="15.75" hidden="1" thickBot="1" x14ac:dyDescent="0.3">
      <c r="A171" s="624" t="s">
        <v>85</v>
      </c>
      <c r="B171" s="1724">
        <f>SUM(B165:B170)</f>
        <v>12</v>
      </c>
      <c r="C171" s="1727">
        <f>SUM(C165:C170)</f>
        <v>0</v>
      </c>
      <c r="D171" s="1727">
        <f ca="1">SUM(D165:D170)</f>
        <v>0</v>
      </c>
      <c r="J171" s="1728">
        <f ca="1">SUM(J165:J170)</f>
        <v>0</v>
      </c>
      <c r="L171" s="1466">
        <f ca="1">SUM(L165:L170)</f>
        <v>0</v>
      </c>
      <c r="M171" s="60"/>
      <c r="N171" s="1692">
        <f>SUM(N165:N170)</f>
        <v>0</v>
      </c>
      <c r="O171" s="1692">
        <f ca="1">SUM(O165:O170)</f>
        <v>0</v>
      </c>
      <c r="P171" s="2050">
        <f>IFERROR(N171/B171,0)*K160</f>
        <v>0</v>
      </c>
      <c r="Q171" s="2051">
        <f ca="1">SUM(Q165:Q170)</f>
        <v>0</v>
      </c>
      <c r="S171" s="2051">
        <f ca="1">SUM(S165:S170)</f>
        <v>0</v>
      </c>
      <c r="T171" s="2051">
        <f ca="1">SUM(T165:T170)</f>
        <v>0</v>
      </c>
    </row>
    <row r="172" spans="1:20" hidden="1" x14ac:dyDescent="0.25">
      <c r="A172" s="1730"/>
      <c r="B172" s="3073" t="s">
        <v>1074</v>
      </c>
      <c r="C172" s="2065">
        <f>(C171+N171)*K160</f>
        <v>0</v>
      </c>
      <c r="D172" s="496" t="s">
        <v>256</v>
      </c>
      <c r="E172" s="497"/>
      <c r="F172" s="498">
        <f>IFERROR(C171/B171,0)*K160</f>
        <v>0</v>
      </c>
      <c r="G172" s="499" t="s">
        <v>701</v>
      </c>
      <c r="H172" s="500"/>
      <c r="I172" s="498">
        <f>IFERROR(N171/B171,0)*K160</f>
        <v>0</v>
      </c>
      <c r="J172" s="499" t="s">
        <v>702</v>
      </c>
      <c r="K172" s="500"/>
      <c r="L172" s="329"/>
      <c r="M172" s="60"/>
      <c r="N172" s="60"/>
      <c r="O172" s="60"/>
      <c r="P172" s="60"/>
      <c r="Q172" s="60"/>
      <c r="R172" s="60"/>
      <c r="S172" s="60"/>
    </row>
    <row r="173" spans="1:20" ht="15.75" hidden="1" thickBot="1" x14ac:dyDescent="0.3"/>
    <row r="174" spans="1:20" ht="15.75" hidden="1" customHeight="1" thickBot="1" x14ac:dyDescent="0.3">
      <c r="A174" s="1710" t="s">
        <v>711</v>
      </c>
      <c r="B174" s="1711"/>
      <c r="C174" s="1711">
        <f ca="1">OFFSET('DATA INPUT'!$B$51,(VALUE(RIGHT(LEFT($A174,LEN($A174)-1),2))-1),0)</f>
        <v>0</v>
      </c>
      <c r="D174" s="1711"/>
      <c r="E174" s="332" t="s">
        <v>525</v>
      </c>
      <c r="F174" s="1711">
        <f ca="1">OFFSET('DATA INPUT'!$H$51,(VALUE(RIGHT(LEFT($A174,LEN($A174)-1),2))-1),0)</f>
        <v>0</v>
      </c>
      <c r="G174" s="1711"/>
      <c r="H174" s="1704" t="s">
        <v>81</v>
      </c>
      <c r="I174" s="1887">
        <f>'DATA INPUT'!G63</f>
        <v>12</v>
      </c>
      <c r="J174" s="1705" t="s">
        <v>82</v>
      </c>
      <c r="K174" s="2382">
        <f>'DATA INPUT'!F63</f>
        <v>1</v>
      </c>
      <c r="L174" s="1886"/>
      <c r="M174" s="1889"/>
    </row>
    <row r="175" spans="1:20" ht="19.5" hidden="1" customHeight="1" thickBot="1" x14ac:dyDescent="0.3">
      <c r="A175" s="66" t="s">
        <v>80</v>
      </c>
      <c r="B175" s="1709"/>
      <c r="C175" s="1712">
        <f>'DATA INPUT'!C63</f>
        <v>0</v>
      </c>
      <c r="D175" s="1712"/>
      <c r="E175" s="3576" t="s">
        <v>257</v>
      </c>
      <c r="F175" s="3577"/>
      <c r="G175" s="1713">
        <f>'DATA INPUT'!E63</f>
        <v>0</v>
      </c>
      <c r="H175" s="66" t="s">
        <v>528</v>
      </c>
      <c r="I175" s="1715"/>
      <c r="J175" s="334">
        <f>IFERROR(G175/I174,0)</f>
        <v>0</v>
      </c>
      <c r="K175" s="1737"/>
      <c r="L175" s="1890"/>
      <c r="M175" s="334"/>
      <c r="N175" s="1711">
        <f ca="1">C174</f>
        <v>0</v>
      </c>
      <c r="O175" s="1711"/>
      <c r="P175" s="1711"/>
      <c r="R175" s="332" t="s">
        <v>525</v>
      </c>
      <c r="S175" s="1711">
        <f ca="1">F174</f>
        <v>0</v>
      </c>
      <c r="T175" s="1711"/>
    </row>
    <row r="176" spans="1:20" ht="16.350000000000001" hidden="1" customHeight="1" thickBot="1" x14ac:dyDescent="0.3">
      <c r="A176" s="2214"/>
      <c r="B176" s="3578" t="s">
        <v>254</v>
      </c>
      <c r="C176" s="3578" t="s">
        <v>92</v>
      </c>
      <c r="D176" s="3578" t="s">
        <v>93</v>
      </c>
      <c r="E176" s="3581" t="s">
        <v>65</v>
      </c>
      <c r="F176" s="3581"/>
      <c r="G176" s="3581"/>
      <c r="H176" s="3581"/>
      <c r="I176" s="3581"/>
      <c r="J176" s="3582" t="s">
        <v>84</v>
      </c>
      <c r="K176" s="3584" t="s">
        <v>78</v>
      </c>
      <c r="L176" s="3585"/>
      <c r="M176" s="1706"/>
      <c r="N176" s="1996" t="s">
        <v>623</v>
      </c>
      <c r="O176" s="2127"/>
      <c r="P176" s="2128"/>
      <c r="Q176" s="2128"/>
      <c r="R176" s="2129"/>
      <c r="S176" s="2128"/>
      <c r="T176" s="2129"/>
    </row>
    <row r="177" spans="1:20" ht="15" hidden="1" customHeight="1" x14ac:dyDescent="0.25">
      <c r="A177" s="3579" t="s">
        <v>253</v>
      </c>
      <c r="B177" s="3579"/>
      <c r="C177" s="3579"/>
      <c r="D177" s="3579"/>
      <c r="E177" s="3444" t="s">
        <v>86</v>
      </c>
      <c r="F177" s="3444" t="s">
        <v>486</v>
      </c>
      <c r="G177" s="3444" t="s">
        <v>233</v>
      </c>
      <c r="H177" s="3444" t="s">
        <v>255</v>
      </c>
      <c r="I177" s="3450" t="s">
        <v>66</v>
      </c>
      <c r="J177" s="3583"/>
      <c r="K177" s="2212" t="s">
        <v>634</v>
      </c>
      <c r="L177" s="2213">
        <f ca="1">IFERROR(VLOOKUP(F174,TableFringePool[],2,0),0)</f>
        <v>0</v>
      </c>
      <c r="M177" s="1708"/>
      <c r="N177" s="3477" t="s">
        <v>618</v>
      </c>
      <c r="O177" s="3554" t="s">
        <v>619</v>
      </c>
      <c r="P177" s="3552" t="s">
        <v>620</v>
      </c>
      <c r="Q177" s="3560" t="s">
        <v>624</v>
      </c>
      <c r="R177" s="2052" t="s">
        <v>621</v>
      </c>
      <c r="S177" s="2053"/>
      <c r="T177" s="3558" t="s">
        <v>625</v>
      </c>
    </row>
    <row r="178" spans="1:20" ht="16.899999999999999" hidden="1" customHeight="1" thickBot="1" x14ac:dyDescent="0.3">
      <c r="A178" s="3587"/>
      <c r="B178" s="3587"/>
      <c r="C178" s="3587"/>
      <c r="D178" s="3587"/>
      <c r="E178" s="3446"/>
      <c r="F178" s="3446"/>
      <c r="G178" s="3446"/>
      <c r="H178" s="3446"/>
      <c r="I178" s="3586"/>
      <c r="J178" s="3591"/>
      <c r="K178" s="616" t="s">
        <v>67</v>
      </c>
      <c r="L178" s="664" t="s">
        <v>68</v>
      </c>
      <c r="M178" s="1707" t="s">
        <v>87</v>
      </c>
      <c r="N178" s="3541"/>
      <c r="O178" s="3555"/>
      <c r="P178" s="3553"/>
      <c r="Q178" s="3561"/>
      <c r="R178" s="2124" t="s">
        <v>622</v>
      </c>
      <c r="S178" s="540" t="s">
        <v>68</v>
      </c>
      <c r="T178" s="3559"/>
    </row>
    <row r="179" spans="1:20" hidden="1" x14ac:dyDescent="0.25">
      <c r="A179" s="1897">
        <v>1</v>
      </c>
      <c r="B179" s="1725">
        <f>'DATA INPUT'!$I$8</f>
        <v>12</v>
      </c>
      <c r="C179" s="1726">
        <f>'DATA INPUT'!I63</f>
        <v>0</v>
      </c>
      <c r="D179" s="1726">
        <f t="shared" ref="D179:D184" ca="1" si="178">(C179*(2080/12))*OFFSET($K$6,(ROW()-(4+A179)-ROW($K$6)),0)</f>
        <v>0</v>
      </c>
      <c r="E179" s="618">
        <v>0.03</v>
      </c>
      <c r="F179" s="492">
        <f>(G175*E179)+G175</f>
        <v>0</v>
      </c>
      <c r="G179" s="492">
        <f t="shared" ref="G179:G184" ca="1" si="179">IFERROR(F179/OFFSET($I$6,(ROW()-(4+A179)-ROW($I$6)),0),0)</f>
        <v>0</v>
      </c>
      <c r="H179" s="492">
        <f t="shared" ref="H179:H184" ca="1" si="180">IFERROR(F179/OFFSET($I$6,(ROW()-(4+A179)-ROW($I$6)),0)*OFFSET($K$6,(ROW()-(4+A179)-ROW($K$6)),0),0)</f>
        <v>0</v>
      </c>
      <c r="I179" s="2407">
        <f t="shared" ref="I179:I184" ca="1" si="181">G179/(2080/12)</f>
        <v>0</v>
      </c>
      <c r="J179" s="1921">
        <f t="shared" ref="J179:J184" ca="1" si="182">H179*C179</f>
        <v>0</v>
      </c>
      <c r="K179" s="1912">
        <f ca="1">IF(F174='Reference Sheet'!$D$13, L177, IF($V$4&lt;$U$4, L177, IF($V$4&gt;$X$4, L177+2*$W$7, L177+$W$7)))</f>
        <v>0</v>
      </c>
      <c r="L179" s="68">
        <f t="shared" ref="L179" ca="1" si="183">K179*J179</f>
        <v>0</v>
      </c>
      <c r="M179" s="2410">
        <f t="shared" ref="M179" ca="1" si="184">G179/(2080/12)+(G179*K179)/(2080/12)</f>
        <v>0</v>
      </c>
      <c r="N179" s="2054">
        <f>IF('DATA INPUT'!V63=3,'DATA INPUT'!W63,0)</f>
        <v>0</v>
      </c>
      <c r="O179" s="1604">
        <f t="shared" ref="O179:O184" ca="1" si="185">N179*(2080/12)*OFFSET($K$6,(ROW()-(4+A179)-ROW($K$6)),0)</f>
        <v>0</v>
      </c>
      <c r="P179" s="2055">
        <f t="shared" ref="P179:P184" ca="1" si="186">IFERROR(N179/B179,0)*OFFSET($K$6,(ROW()-(4+A179)-ROW($K$6)),0)</f>
        <v>0</v>
      </c>
      <c r="Q179" s="1489">
        <f t="shared" ref="Q179:Q184" ca="1" si="187">N179*H179</f>
        <v>0</v>
      </c>
      <c r="R179" s="2056">
        <f t="shared" ref="R179:R184" ca="1" si="188">K179</f>
        <v>0</v>
      </c>
      <c r="S179" s="1490">
        <f t="shared" ref="S179:S184" ca="1" si="189">Q179*R179</f>
        <v>0</v>
      </c>
      <c r="T179" s="2057">
        <f t="shared" ref="T179:T184" ca="1" si="190">SUM(Q179,S179)</f>
        <v>0</v>
      </c>
    </row>
    <row r="180" spans="1:20" hidden="1" x14ac:dyDescent="0.25">
      <c r="A180" s="619">
        <v>2</v>
      </c>
      <c r="B180" s="1720">
        <f>'DATA INPUT'!$J$8</f>
        <v>0</v>
      </c>
      <c r="C180" s="1721">
        <f>'DATA INPUT'!J63</f>
        <v>0</v>
      </c>
      <c r="D180" s="1721">
        <f t="shared" ca="1" si="178"/>
        <v>0</v>
      </c>
      <c r="E180" s="617">
        <v>0.03</v>
      </c>
      <c r="F180" s="457">
        <f>(F179*E180)+F179</f>
        <v>0</v>
      </c>
      <c r="G180" s="457">
        <f t="shared" ca="1" si="179"/>
        <v>0</v>
      </c>
      <c r="H180" s="457">
        <f t="shared" ca="1" si="180"/>
        <v>0</v>
      </c>
      <c r="I180" s="2408">
        <f t="shared" ca="1" si="181"/>
        <v>0</v>
      </c>
      <c r="J180" s="1922">
        <f t="shared" ca="1" si="182"/>
        <v>0</v>
      </c>
      <c r="K180" s="1912">
        <f ca="1" xml:space="preserve"> IF(F174='Reference Sheet'!$D$13, L177, K179+$W$7)</f>
        <v>0.02</v>
      </c>
      <c r="L180" s="69">
        <f t="shared" ref="L180:L184" ca="1" si="191">K180*J180</f>
        <v>0</v>
      </c>
      <c r="M180" s="2411">
        <f t="shared" ref="M180:M184" ca="1" si="192">G180/(2080/12)+(G180*K180)/(2080/12)</f>
        <v>0</v>
      </c>
      <c r="N180" s="2054">
        <f>IF('DATA INPUT'!V63=3,'DATA INPUT'!X63,0)</f>
        <v>0</v>
      </c>
      <c r="O180" s="1604">
        <f t="shared" ca="1" si="185"/>
        <v>0</v>
      </c>
      <c r="P180" s="2058">
        <f t="shared" ca="1" si="186"/>
        <v>0</v>
      </c>
      <c r="Q180" s="1489">
        <f t="shared" ca="1" si="187"/>
        <v>0</v>
      </c>
      <c r="R180" s="2056">
        <f t="shared" ca="1" si="188"/>
        <v>0.02</v>
      </c>
      <c r="S180" s="1490">
        <f t="shared" ca="1" si="189"/>
        <v>0</v>
      </c>
      <c r="T180" s="2057">
        <f t="shared" ca="1" si="190"/>
        <v>0</v>
      </c>
    </row>
    <row r="181" spans="1:20" hidden="1" x14ac:dyDescent="0.25">
      <c r="A181" s="619">
        <v>3</v>
      </c>
      <c r="B181" s="1720">
        <f>'DATA INPUT'!$K$8</f>
        <v>0</v>
      </c>
      <c r="C181" s="1721">
        <f>'DATA INPUT'!K63</f>
        <v>0</v>
      </c>
      <c r="D181" s="1721">
        <f t="shared" ca="1" si="178"/>
        <v>0</v>
      </c>
      <c r="E181" s="617">
        <v>0.03</v>
      </c>
      <c r="F181" s="457">
        <f>(F180*E181)+F180</f>
        <v>0</v>
      </c>
      <c r="G181" s="457">
        <f t="shared" ca="1" si="179"/>
        <v>0</v>
      </c>
      <c r="H181" s="457">
        <f t="shared" ca="1" si="180"/>
        <v>0</v>
      </c>
      <c r="I181" s="2408">
        <f t="shared" ca="1" si="181"/>
        <v>0</v>
      </c>
      <c r="J181" s="1922">
        <f t="shared" ca="1" si="182"/>
        <v>0</v>
      </c>
      <c r="K181" s="1912">
        <f ca="1" xml:space="preserve"> IF(F174='Reference Sheet'!$D$13, L177, K180+$W$7)</f>
        <v>0.04</v>
      </c>
      <c r="L181" s="69">
        <f t="shared" ca="1" si="191"/>
        <v>0</v>
      </c>
      <c r="M181" s="2411">
        <f t="shared" ca="1" si="192"/>
        <v>0</v>
      </c>
      <c r="N181" s="2054">
        <f>IF('DATA INPUT'!V63=3,'DATA INPUT'!Y63,0)</f>
        <v>0</v>
      </c>
      <c r="O181" s="1604">
        <f t="shared" ca="1" si="185"/>
        <v>0</v>
      </c>
      <c r="P181" s="2058">
        <f t="shared" ca="1" si="186"/>
        <v>0</v>
      </c>
      <c r="Q181" s="1489">
        <f t="shared" ca="1" si="187"/>
        <v>0</v>
      </c>
      <c r="R181" s="2056">
        <f t="shared" ca="1" si="188"/>
        <v>0.04</v>
      </c>
      <c r="S181" s="1490">
        <f t="shared" ca="1" si="189"/>
        <v>0</v>
      </c>
      <c r="T181" s="2057">
        <f t="shared" ca="1" si="190"/>
        <v>0</v>
      </c>
    </row>
    <row r="182" spans="1:20" hidden="1" x14ac:dyDescent="0.25">
      <c r="A182" s="619">
        <v>4</v>
      </c>
      <c r="B182" s="1720">
        <f>'DATA INPUT'!$L$8</f>
        <v>0</v>
      </c>
      <c r="C182" s="1721">
        <f>'DATA INPUT'!L63</f>
        <v>0</v>
      </c>
      <c r="D182" s="1721">
        <f t="shared" ca="1" si="178"/>
        <v>0</v>
      </c>
      <c r="E182" s="617">
        <v>0.03</v>
      </c>
      <c r="F182" s="457">
        <f>(F181*E182)+F181</f>
        <v>0</v>
      </c>
      <c r="G182" s="457">
        <f t="shared" ca="1" si="179"/>
        <v>0</v>
      </c>
      <c r="H182" s="457">
        <f t="shared" ca="1" si="180"/>
        <v>0</v>
      </c>
      <c r="I182" s="2408">
        <f t="shared" ca="1" si="181"/>
        <v>0</v>
      </c>
      <c r="J182" s="1922">
        <f t="shared" ca="1" si="182"/>
        <v>0</v>
      </c>
      <c r="K182" s="1912">
        <f ca="1" xml:space="preserve"> IF(F174='Reference Sheet'!$D$13, L177, K181+$W$7)</f>
        <v>0.06</v>
      </c>
      <c r="L182" s="69">
        <f t="shared" ca="1" si="191"/>
        <v>0</v>
      </c>
      <c r="M182" s="2411">
        <f t="shared" ca="1" si="192"/>
        <v>0</v>
      </c>
      <c r="N182" s="2054">
        <f>IF('DATA INPUT'!V63=3,'DATA INPUT'!Z63,0)</f>
        <v>0</v>
      </c>
      <c r="O182" s="1604">
        <f t="shared" ca="1" si="185"/>
        <v>0</v>
      </c>
      <c r="P182" s="2058">
        <f t="shared" ca="1" si="186"/>
        <v>0</v>
      </c>
      <c r="Q182" s="2237">
        <f t="shared" ca="1" si="187"/>
        <v>0</v>
      </c>
      <c r="R182" s="2059">
        <f t="shared" ca="1" si="188"/>
        <v>0.06</v>
      </c>
      <c r="S182" s="1490">
        <f t="shared" ca="1" si="189"/>
        <v>0</v>
      </c>
      <c r="T182" s="2063">
        <f t="shared" ca="1" si="190"/>
        <v>0</v>
      </c>
    </row>
    <row r="183" spans="1:20" hidden="1" x14ac:dyDescent="0.25">
      <c r="A183" s="619">
        <v>5</v>
      </c>
      <c r="B183" s="1720">
        <f>'DATA INPUT'!$M$8</f>
        <v>0</v>
      </c>
      <c r="C183" s="1721">
        <f>'DATA INPUT'!M63</f>
        <v>0</v>
      </c>
      <c r="D183" s="1721">
        <f t="shared" ca="1" si="178"/>
        <v>0</v>
      </c>
      <c r="E183" s="617">
        <v>0.03</v>
      </c>
      <c r="F183" s="457">
        <f>(F182*E183)+F182</f>
        <v>0</v>
      </c>
      <c r="G183" s="457">
        <f t="shared" ca="1" si="179"/>
        <v>0</v>
      </c>
      <c r="H183" s="457">
        <f t="shared" ca="1" si="180"/>
        <v>0</v>
      </c>
      <c r="I183" s="2408">
        <f t="shared" ca="1" si="181"/>
        <v>0</v>
      </c>
      <c r="J183" s="1922">
        <f t="shared" ca="1" si="182"/>
        <v>0</v>
      </c>
      <c r="K183" s="1912">
        <f ca="1" xml:space="preserve"> IF(F174='Reference Sheet'!$D$13, L177, K182+$W$7)</f>
        <v>0.08</v>
      </c>
      <c r="L183" s="69">
        <f t="shared" ca="1" si="191"/>
        <v>0</v>
      </c>
      <c r="M183" s="2411">
        <f t="shared" ca="1" si="192"/>
        <v>0</v>
      </c>
      <c r="N183" s="2054">
        <f>IF('DATA INPUT'!V63=3,'DATA INPUT'!AA63,0)</f>
        <v>0</v>
      </c>
      <c r="O183" s="1604">
        <f t="shared" ca="1" si="185"/>
        <v>0</v>
      </c>
      <c r="P183" s="2058">
        <f t="shared" ca="1" si="186"/>
        <v>0</v>
      </c>
      <c r="Q183" s="1489">
        <f t="shared" ca="1" si="187"/>
        <v>0</v>
      </c>
      <c r="R183" s="2056">
        <f t="shared" ca="1" si="188"/>
        <v>0.08</v>
      </c>
      <c r="S183" s="1490">
        <f t="shared" ca="1" si="189"/>
        <v>0</v>
      </c>
      <c r="T183" s="2057">
        <f t="shared" ca="1" si="190"/>
        <v>0</v>
      </c>
    </row>
    <row r="184" spans="1:20" ht="15.75" hidden="1" customHeight="1" thickBot="1" x14ac:dyDescent="0.3">
      <c r="A184" s="620">
        <v>6</v>
      </c>
      <c r="B184" s="1722">
        <f>'DATA INPUT'!$N$8</f>
        <v>0</v>
      </c>
      <c r="C184" s="1723">
        <f>'DATA INPUT'!N63</f>
        <v>0</v>
      </c>
      <c r="D184" s="1723">
        <f t="shared" ca="1" si="178"/>
        <v>0</v>
      </c>
      <c r="E184" s="621">
        <v>0.03</v>
      </c>
      <c r="F184" s="495">
        <f>(F183*E184)+F183</f>
        <v>0</v>
      </c>
      <c r="G184" s="495">
        <f t="shared" ca="1" si="179"/>
        <v>0</v>
      </c>
      <c r="H184" s="495">
        <f t="shared" ca="1" si="180"/>
        <v>0</v>
      </c>
      <c r="I184" s="2409">
        <f t="shared" ca="1" si="181"/>
        <v>0</v>
      </c>
      <c r="J184" s="1923">
        <f t="shared" ca="1" si="182"/>
        <v>0</v>
      </c>
      <c r="K184" s="1913">
        <f ca="1" xml:space="preserve"> IF(F174='Reference Sheet'!$D$13, L177, K183+$W$7)</f>
        <v>0.1</v>
      </c>
      <c r="L184" s="1914">
        <f t="shared" ca="1" si="191"/>
        <v>0</v>
      </c>
      <c r="M184" s="2412">
        <f t="shared" ca="1" si="192"/>
        <v>0</v>
      </c>
      <c r="N184" s="2060">
        <f>IF('DATA INPUT'!V63=3,'DATA INPUT'!AB63,0)</f>
        <v>0</v>
      </c>
      <c r="O184" s="1906">
        <f t="shared" ca="1" si="185"/>
        <v>0</v>
      </c>
      <c r="P184" s="2061">
        <f t="shared" ca="1" si="186"/>
        <v>0</v>
      </c>
      <c r="Q184" s="1513">
        <f t="shared" ca="1" si="187"/>
        <v>0</v>
      </c>
      <c r="R184" s="2062">
        <f t="shared" ca="1" si="188"/>
        <v>0.1</v>
      </c>
      <c r="S184" s="2043">
        <f t="shared" ca="1" si="189"/>
        <v>0</v>
      </c>
      <c r="T184" s="2064">
        <f t="shared" ca="1" si="190"/>
        <v>0</v>
      </c>
    </row>
    <row r="185" spans="1:20" ht="15.75" hidden="1" customHeight="1" thickBot="1" x14ac:dyDescent="0.3">
      <c r="A185" s="1896" t="s">
        <v>85</v>
      </c>
      <c r="B185" s="1732">
        <f>SUM(B179:B184)</f>
        <v>12</v>
      </c>
      <c r="C185" s="1894">
        <f>SUM(C179:C184)</f>
        <v>0</v>
      </c>
      <c r="D185" s="1733">
        <f ca="1">SUM(D179:D184)</f>
        <v>0</v>
      </c>
      <c r="J185" s="1895">
        <f ca="1">SUM(J179:J184)</f>
        <v>0</v>
      </c>
      <c r="L185" s="1466">
        <f ca="1">SUM(L179:L184)</f>
        <v>0</v>
      </c>
      <c r="M185" s="60"/>
      <c r="N185" s="1692">
        <f>SUM(N179:N184)</f>
        <v>0</v>
      </c>
      <c r="O185" s="1692">
        <f ca="1">SUM(O179:O184)</f>
        <v>0</v>
      </c>
      <c r="P185" s="2050">
        <f>IFERROR(N185/B185,0)*K174</f>
        <v>0</v>
      </c>
      <c r="Q185" s="2051">
        <f ca="1">SUM(Q179:Q184)</f>
        <v>0</v>
      </c>
      <c r="S185" s="2051">
        <f ca="1">SUM(S179:S184)</f>
        <v>0</v>
      </c>
      <c r="T185" s="2051">
        <f ca="1">SUM(T179:T184)</f>
        <v>0</v>
      </c>
    </row>
    <row r="186" spans="1:20" ht="15.75" hidden="1" customHeight="1" x14ac:dyDescent="0.25">
      <c r="A186" s="1730"/>
      <c r="B186" s="3073" t="s">
        <v>1074</v>
      </c>
      <c r="C186" s="2065">
        <f>(C185+N185)*K174</f>
        <v>0</v>
      </c>
      <c r="D186" s="496" t="s">
        <v>256</v>
      </c>
      <c r="E186" s="497"/>
      <c r="F186" s="498">
        <f>IFERROR(C185/B185,0)*K174</f>
        <v>0</v>
      </c>
      <c r="G186" s="499" t="s">
        <v>701</v>
      </c>
      <c r="H186" s="500"/>
      <c r="I186" s="498">
        <f>IFERROR(N185/B185,0)*K174</f>
        <v>0</v>
      </c>
      <c r="J186" s="499" t="s">
        <v>702</v>
      </c>
      <c r="K186" s="500"/>
      <c r="L186" s="329"/>
      <c r="M186" s="60"/>
      <c r="N186" s="60"/>
      <c r="O186" s="60"/>
      <c r="P186" s="60"/>
      <c r="Q186" s="60"/>
      <c r="R186" s="60"/>
      <c r="S186" s="60"/>
    </row>
    <row r="187" spans="1:20" ht="15.75" hidden="1" thickBot="1" x14ac:dyDescent="0.3"/>
    <row r="188" spans="1:20" ht="15.75" hidden="1" thickBot="1" x14ac:dyDescent="0.3">
      <c r="A188" s="1710" t="s">
        <v>712</v>
      </c>
      <c r="B188" s="1711"/>
      <c r="C188" s="1711">
        <f ca="1">OFFSET('DATA INPUT'!$B$51,(VALUE(RIGHT(LEFT($A188,LEN($A188)-1),2))-1),0)</f>
        <v>0</v>
      </c>
      <c r="D188" s="1711"/>
      <c r="E188" s="332" t="s">
        <v>525</v>
      </c>
      <c r="F188" s="1711">
        <f ca="1">OFFSET('DATA INPUT'!$H$51,(VALUE(RIGHT(LEFT($A188,LEN($A188)-1),2))-1),0)</f>
        <v>0</v>
      </c>
      <c r="G188" s="1711"/>
      <c r="H188" s="1704" t="s">
        <v>81</v>
      </c>
      <c r="I188" s="1887">
        <f>'DATA INPUT'!G64</f>
        <v>12</v>
      </c>
      <c r="J188" s="1705" t="s">
        <v>82</v>
      </c>
      <c r="K188" s="2383">
        <f>'DATA INPUT'!F64</f>
        <v>1</v>
      </c>
      <c r="L188" s="1886"/>
      <c r="M188" s="1889"/>
    </row>
    <row r="189" spans="1:20" ht="21" hidden="1" customHeight="1" thickBot="1" x14ac:dyDescent="0.3">
      <c r="A189" s="66" t="s">
        <v>80</v>
      </c>
      <c r="B189" s="1709"/>
      <c r="C189" s="1712">
        <f>'DATA INPUT'!C64</f>
        <v>0</v>
      </c>
      <c r="D189" s="1712"/>
      <c r="E189" s="3576" t="s">
        <v>257</v>
      </c>
      <c r="F189" s="3577"/>
      <c r="G189" s="334">
        <f>'DATA INPUT'!E64</f>
        <v>0</v>
      </c>
      <c r="H189" s="66" t="s">
        <v>528</v>
      </c>
      <c r="I189" s="1715"/>
      <c r="J189" s="334">
        <f>IFERROR(G189/I188,0)</f>
        <v>0</v>
      </c>
      <c r="K189" s="1737"/>
      <c r="L189" s="1890"/>
      <c r="M189" s="334"/>
      <c r="N189" s="1711">
        <f ca="1">C188</f>
        <v>0</v>
      </c>
      <c r="O189" s="1711"/>
      <c r="P189" s="1711"/>
      <c r="R189" s="332" t="s">
        <v>525</v>
      </c>
      <c r="S189" s="1711">
        <f ca="1">F188</f>
        <v>0</v>
      </c>
      <c r="T189" s="1711"/>
    </row>
    <row r="190" spans="1:20" ht="15" hidden="1" customHeight="1" thickBot="1" x14ac:dyDescent="0.3">
      <c r="A190" s="1716"/>
      <c r="B190" s="3579" t="s">
        <v>254</v>
      </c>
      <c r="C190" s="3579" t="s">
        <v>92</v>
      </c>
      <c r="D190" s="3579" t="s">
        <v>93</v>
      </c>
      <c r="E190" s="3580" t="s">
        <v>65</v>
      </c>
      <c r="F190" s="3580"/>
      <c r="G190" s="3580"/>
      <c r="H190" s="3581"/>
      <c r="I190" s="3581"/>
      <c r="J190" s="3588" t="s">
        <v>84</v>
      </c>
      <c r="K190" s="3584" t="s">
        <v>78</v>
      </c>
      <c r="L190" s="3585"/>
      <c r="M190" s="1706"/>
      <c r="N190" s="1996" t="s">
        <v>623</v>
      </c>
      <c r="O190" s="2127"/>
      <c r="P190" s="2128"/>
      <c r="Q190" s="2128"/>
      <c r="R190" s="2129"/>
      <c r="S190" s="2128"/>
      <c r="T190" s="2129"/>
    </row>
    <row r="191" spans="1:20" ht="15" hidden="1" customHeight="1" x14ac:dyDescent="0.25">
      <c r="A191" s="3445" t="s">
        <v>253</v>
      </c>
      <c r="B191" s="3579"/>
      <c r="C191" s="3579"/>
      <c r="D191" s="3579"/>
      <c r="E191" s="3444" t="s">
        <v>86</v>
      </c>
      <c r="F191" s="3444" t="s">
        <v>486</v>
      </c>
      <c r="G191" s="3444" t="s">
        <v>233</v>
      </c>
      <c r="H191" s="3444" t="s">
        <v>255</v>
      </c>
      <c r="I191" s="3450" t="s">
        <v>66</v>
      </c>
      <c r="J191" s="3589"/>
      <c r="K191" s="2212" t="s">
        <v>634</v>
      </c>
      <c r="L191" s="2213">
        <f ca="1">IFERROR(VLOOKUP(F188,TableFringePool[],2,0),0)</f>
        <v>0</v>
      </c>
      <c r="M191" s="1708"/>
      <c r="N191" s="3477" t="s">
        <v>618</v>
      </c>
      <c r="O191" s="3554" t="s">
        <v>619</v>
      </c>
      <c r="P191" s="3552" t="s">
        <v>620</v>
      </c>
      <c r="Q191" s="3560" t="s">
        <v>624</v>
      </c>
      <c r="R191" s="2052" t="s">
        <v>621</v>
      </c>
      <c r="S191" s="2053"/>
      <c r="T191" s="3558" t="s">
        <v>625</v>
      </c>
    </row>
    <row r="192" spans="1:20" ht="15.75" hidden="1" thickBot="1" x14ac:dyDescent="0.3">
      <c r="A192" s="3446"/>
      <c r="B192" s="3587"/>
      <c r="C192" s="3587"/>
      <c r="D192" s="3587"/>
      <c r="E192" s="3446"/>
      <c r="F192" s="3446"/>
      <c r="G192" s="3446"/>
      <c r="H192" s="3446"/>
      <c r="I192" s="3586"/>
      <c r="J192" s="3590"/>
      <c r="K192" s="616" t="s">
        <v>67</v>
      </c>
      <c r="L192" s="664" t="s">
        <v>68</v>
      </c>
      <c r="M192" s="1707" t="s">
        <v>87</v>
      </c>
      <c r="N192" s="3541"/>
      <c r="O192" s="3555"/>
      <c r="P192" s="3553"/>
      <c r="Q192" s="3561"/>
      <c r="R192" s="2124" t="s">
        <v>622</v>
      </c>
      <c r="S192" s="540" t="s">
        <v>68</v>
      </c>
      <c r="T192" s="3559"/>
    </row>
    <row r="193" spans="1:20" hidden="1" x14ac:dyDescent="0.25">
      <c r="A193" s="622">
        <v>1</v>
      </c>
      <c r="B193" s="1725">
        <f>'DATA INPUT'!$I$8</f>
        <v>12</v>
      </c>
      <c r="C193" s="1726">
        <f>'DATA INPUT'!I64</f>
        <v>0</v>
      </c>
      <c r="D193" s="1726">
        <f t="shared" ref="D193:D198" ca="1" si="193">(C193*(2080/12))*OFFSET($K$6,(ROW()-(4+A193)-ROW($K$6)),0)</f>
        <v>0</v>
      </c>
      <c r="E193" s="618">
        <v>0.03</v>
      </c>
      <c r="F193" s="492">
        <f>(G189*E193)+G189</f>
        <v>0</v>
      </c>
      <c r="G193" s="492">
        <f t="shared" ref="G193:G198" ca="1" si="194">IFERROR(F193/OFFSET($I$6,(ROW()-(4+A193)-ROW($I$6)),0),0)</f>
        <v>0</v>
      </c>
      <c r="H193" s="492">
        <f t="shared" ref="H193:H198" ca="1" si="195">IFERROR(F193/OFFSET($I$6,(ROW()-(4+A193)-ROW($I$6)),0)*OFFSET($K$6,(ROW()-(4+A193)-ROW($K$6)),0),0)</f>
        <v>0</v>
      </c>
      <c r="I193" s="2407">
        <f t="shared" ref="I193:I198" ca="1" si="196">G193/(2080/12)</f>
        <v>0</v>
      </c>
      <c r="J193" s="1921">
        <f t="shared" ref="J193:J198" ca="1" si="197">H193*C193</f>
        <v>0</v>
      </c>
      <c r="K193" s="1912">
        <f ca="1">IF(F188='Reference Sheet'!$D$13, L191, IF($V$4&lt;$U$4, L191, IF($V$4&gt;$X$4, L191+2*$W$7, L191+$W$7)))</f>
        <v>0</v>
      </c>
      <c r="L193" s="68">
        <f t="shared" ref="L193" ca="1" si="198">K193*J193</f>
        <v>0</v>
      </c>
      <c r="M193" s="2410">
        <f t="shared" ref="M193" ca="1" si="199">G193/(2080/12)+(G193*K193)/(2080/12)</f>
        <v>0</v>
      </c>
      <c r="N193" s="2054">
        <f>IF('DATA INPUT'!V64=3,'DATA INPUT'!W64,0)</f>
        <v>0</v>
      </c>
      <c r="O193" s="1604">
        <f t="shared" ref="O193:O198" ca="1" si="200">N193*(2080/12)*OFFSET($K$6,(ROW()-(4+A193)-ROW($K$6)),0)</f>
        <v>0</v>
      </c>
      <c r="P193" s="2055">
        <f t="shared" ref="P193:P198" ca="1" si="201">IFERROR(N193/B193,0)*OFFSET($K$6,(ROW()-(4+A193)-ROW($K$6)),0)</f>
        <v>0</v>
      </c>
      <c r="Q193" s="1489">
        <f t="shared" ref="Q193:Q198" ca="1" si="202">N193*H193</f>
        <v>0</v>
      </c>
      <c r="R193" s="2056">
        <f t="shared" ref="R193:R198" ca="1" si="203">K193</f>
        <v>0</v>
      </c>
      <c r="S193" s="1490">
        <f t="shared" ref="S193:S198" ca="1" si="204">Q193*R193</f>
        <v>0</v>
      </c>
      <c r="T193" s="2057">
        <f t="shared" ref="T193:T198" ca="1" si="205">SUM(Q193,S193)</f>
        <v>0</v>
      </c>
    </row>
    <row r="194" spans="1:20" hidden="1" x14ac:dyDescent="0.25">
      <c r="A194" s="50">
        <v>2</v>
      </c>
      <c r="B194" s="1720">
        <f>'DATA INPUT'!$J$8</f>
        <v>0</v>
      </c>
      <c r="C194" s="1721">
        <f>'DATA INPUT'!J64</f>
        <v>0</v>
      </c>
      <c r="D194" s="1721">
        <f t="shared" ca="1" si="193"/>
        <v>0</v>
      </c>
      <c r="E194" s="617">
        <v>0.03</v>
      </c>
      <c r="F194" s="457">
        <f>(F193*E194)+F193</f>
        <v>0</v>
      </c>
      <c r="G194" s="457">
        <f t="shared" ca="1" si="194"/>
        <v>0</v>
      </c>
      <c r="H194" s="457">
        <f t="shared" ca="1" si="195"/>
        <v>0</v>
      </c>
      <c r="I194" s="2408">
        <f t="shared" ca="1" si="196"/>
        <v>0</v>
      </c>
      <c r="J194" s="1922">
        <f t="shared" ca="1" si="197"/>
        <v>0</v>
      </c>
      <c r="K194" s="1912">
        <f ca="1" xml:space="preserve"> IF(F188='Reference Sheet'!$D$13, L191, K193+$W$7)</f>
        <v>0.02</v>
      </c>
      <c r="L194" s="69">
        <f t="shared" ref="L194:L198" ca="1" si="206">K194*J194</f>
        <v>0</v>
      </c>
      <c r="M194" s="2411">
        <f t="shared" ref="M194:M198" ca="1" si="207">G194/(2080/12)+(G194*K194)/(2080/12)</f>
        <v>0</v>
      </c>
      <c r="N194" s="2054">
        <f>IF('DATA INPUT'!V64=3,'DATA INPUT'!X64,0)</f>
        <v>0</v>
      </c>
      <c r="O194" s="1604">
        <f t="shared" ca="1" si="200"/>
        <v>0</v>
      </c>
      <c r="P194" s="2058">
        <f t="shared" ca="1" si="201"/>
        <v>0</v>
      </c>
      <c r="Q194" s="1489">
        <f t="shared" ca="1" si="202"/>
        <v>0</v>
      </c>
      <c r="R194" s="2056">
        <f t="shared" ca="1" si="203"/>
        <v>0.02</v>
      </c>
      <c r="S194" s="1490">
        <f t="shared" ca="1" si="204"/>
        <v>0</v>
      </c>
      <c r="T194" s="2057">
        <f t="shared" ca="1" si="205"/>
        <v>0</v>
      </c>
    </row>
    <row r="195" spans="1:20" hidden="1" x14ac:dyDescent="0.25">
      <c r="A195" s="50">
        <v>3</v>
      </c>
      <c r="B195" s="1720">
        <f>'DATA INPUT'!$K$8</f>
        <v>0</v>
      </c>
      <c r="C195" s="1721">
        <f>'DATA INPUT'!K64</f>
        <v>0</v>
      </c>
      <c r="D195" s="1721">
        <f t="shared" ca="1" si="193"/>
        <v>0</v>
      </c>
      <c r="E195" s="617">
        <v>0.03</v>
      </c>
      <c r="F195" s="457">
        <f>(F194*E195)+F194</f>
        <v>0</v>
      </c>
      <c r="G195" s="457">
        <f t="shared" ca="1" si="194"/>
        <v>0</v>
      </c>
      <c r="H195" s="457">
        <f t="shared" ca="1" si="195"/>
        <v>0</v>
      </c>
      <c r="I195" s="2408">
        <f t="shared" ca="1" si="196"/>
        <v>0</v>
      </c>
      <c r="J195" s="1922">
        <f t="shared" ca="1" si="197"/>
        <v>0</v>
      </c>
      <c r="K195" s="1912">
        <f ca="1" xml:space="preserve"> IF(F188='Reference Sheet'!$D$13, L191, K194+$W$7)</f>
        <v>0.04</v>
      </c>
      <c r="L195" s="69">
        <f t="shared" ca="1" si="206"/>
        <v>0</v>
      </c>
      <c r="M195" s="2411">
        <f t="shared" ca="1" si="207"/>
        <v>0</v>
      </c>
      <c r="N195" s="2054">
        <f>IF('DATA INPUT'!V64=3,'DATA INPUT'!Y64,0)</f>
        <v>0</v>
      </c>
      <c r="O195" s="1604">
        <f t="shared" ca="1" si="200"/>
        <v>0</v>
      </c>
      <c r="P195" s="2058">
        <f t="shared" ca="1" si="201"/>
        <v>0</v>
      </c>
      <c r="Q195" s="1489">
        <f t="shared" ca="1" si="202"/>
        <v>0</v>
      </c>
      <c r="R195" s="2056">
        <f t="shared" ca="1" si="203"/>
        <v>0.04</v>
      </c>
      <c r="S195" s="1490">
        <f t="shared" ca="1" si="204"/>
        <v>0</v>
      </c>
      <c r="T195" s="2057">
        <f t="shared" ca="1" si="205"/>
        <v>0</v>
      </c>
    </row>
    <row r="196" spans="1:20" hidden="1" x14ac:dyDescent="0.25">
      <c r="A196" s="50">
        <v>4</v>
      </c>
      <c r="B196" s="1720">
        <f>'DATA INPUT'!$L$8</f>
        <v>0</v>
      </c>
      <c r="C196" s="1721">
        <f>'DATA INPUT'!L64</f>
        <v>0</v>
      </c>
      <c r="D196" s="1721">
        <f t="shared" ca="1" si="193"/>
        <v>0</v>
      </c>
      <c r="E196" s="617">
        <v>0.03</v>
      </c>
      <c r="F196" s="457">
        <f>(F195*E196)+F195</f>
        <v>0</v>
      </c>
      <c r="G196" s="457">
        <f t="shared" ca="1" si="194"/>
        <v>0</v>
      </c>
      <c r="H196" s="457">
        <f t="shared" ca="1" si="195"/>
        <v>0</v>
      </c>
      <c r="I196" s="2408">
        <f t="shared" ca="1" si="196"/>
        <v>0</v>
      </c>
      <c r="J196" s="1922">
        <f t="shared" ca="1" si="197"/>
        <v>0</v>
      </c>
      <c r="K196" s="1912">
        <f ca="1" xml:space="preserve"> IF(F188='Reference Sheet'!$D$13, L191, K195+$W$7)</f>
        <v>0.06</v>
      </c>
      <c r="L196" s="69">
        <f t="shared" ca="1" si="206"/>
        <v>0</v>
      </c>
      <c r="M196" s="2411">
        <f t="shared" ca="1" si="207"/>
        <v>0</v>
      </c>
      <c r="N196" s="2054">
        <f>IF('DATA INPUT'!V64=3,'DATA INPUT'!Z64,0)</f>
        <v>0</v>
      </c>
      <c r="O196" s="1604">
        <f t="shared" ca="1" si="200"/>
        <v>0</v>
      </c>
      <c r="P196" s="2058">
        <f t="shared" ca="1" si="201"/>
        <v>0</v>
      </c>
      <c r="Q196" s="1489">
        <f t="shared" ca="1" si="202"/>
        <v>0</v>
      </c>
      <c r="R196" s="2059">
        <f t="shared" ca="1" si="203"/>
        <v>0.06</v>
      </c>
      <c r="S196" s="1490">
        <f t="shared" ca="1" si="204"/>
        <v>0</v>
      </c>
      <c r="T196" s="2063">
        <f t="shared" ca="1" si="205"/>
        <v>0</v>
      </c>
    </row>
    <row r="197" spans="1:20" hidden="1" x14ac:dyDescent="0.25">
      <c r="A197" s="50">
        <v>5</v>
      </c>
      <c r="B197" s="1720">
        <f>'DATA INPUT'!$M$8</f>
        <v>0</v>
      </c>
      <c r="C197" s="1721">
        <f>'DATA INPUT'!M64</f>
        <v>0</v>
      </c>
      <c r="D197" s="1721">
        <f t="shared" ca="1" si="193"/>
        <v>0</v>
      </c>
      <c r="E197" s="617">
        <v>0.03</v>
      </c>
      <c r="F197" s="457">
        <f>(F196*E197)+F196</f>
        <v>0</v>
      </c>
      <c r="G197" s="457">
        <f t="shared" ca="1" si="194"/>
        <v>0</v>
      </c>
      <c r="H197" s="457">
        <f t="shared" ca="1" si="195"/>
        <v>0</v>
      </c>
      <c r="I197" s="2408">
        <f t="shared" ca="1" si="196"/>
        <v>0</v>
      </c>
      <c r="J197" s="1922">
        <f t="shared" ca="1" si="197"/>
        <v>0</v>
      </c>
      <c r="K197" s="1912">
        <f ca="1" xml:space="preserve"> IF(F188='Reference Sheet'!$D$13, L191, K196+$W$7)</f>
        <v>0.08</v>
      </c>
      <c r="L197" s="69">
        <f t="shared" ca="1" si="206"/>
        <v>0</v>
      </c>
      <c r="M197" s="2411">
        <f t="shared" ca="1" si="207"/>
        <v>0</v>
      </c>
      <c r="N197" s="2054">
        <f>IF('DATA INPUT'!V64=3,'DATA INPUT'!AA64,0)</f>
        <v>0</v>
      </c>
      <c r="O197" s="1604">
        <f t="shared" ca="1" si="200"/>
        <v>0</v>
      </c>
      <c r="P197" s="2058">
        <f t="shared" ca="1" si="201"/>
        <v>0</v>
      </c>
      <c r="Q197" s="1489">
        <f t="shared" ca="1" si="202"/>
        <v>0</v>
      </c>
      <c r="R197" s="2056">
        <f t="shared" ca="1" si="203"/>
        <v>0.08</v>
      </c>
      <c r="S197" s="1490">
        <f t="shared" ca="1" si="204"/>
        <v>0</v>
      </c>
      <c r="T197" s="2057">
        <f t="shared" ca="1" si="205"/>
        <v>0</v>
      </c>
    </row>
    <row r="198" spans="1:20" ht="15.75" hidden="1" thickBot="1" x14ac:dyDescent="0.3">
      <c r="A198" s="623">
        <v>6</v>
      </c>
      <c r="B198" s="1722">
        <f>'DATA INPUT'!$N$8</f>
        <v>0</v>
      </c>
      <c r="C198" s="1723">
        <f>'DATA INPUT'!N64</f>
        <v>0</v>
      </c>
      <c r="D198" s="1723">
        <f t="shared" ca="1" si="193"/>
        <v>0</v>
      </c>
      <c r="E198" s="621">
        <v>0.03</v>
      </c>
      <c r="F198" s="495">
        <f>(F197*E198)+F197</f>
        <v>0</v>
      </c>
      <c r="G198" s="495">
        <f t="shared" ca="1" si="194"/>
        <v>0</v>
      </c>
      <c r="H198" s="495">
        <f t="shared" ca="1" si="195"/>
        <v>0</v>
      </c>
      <c r="I198" s="2409">
        <f t="shared" ca="1" si="196"/>
        <v>0</v>
      </c>
      <c r="J198" s="1923">
        <f t="shared" ca="1" si="197"/>
        <v>0</v>
      </c>
      <c r="K198" s="1913">
        <f ca="1" xml:space="preserve"> IF(F188='Reference Sheet'!$D$13, L191, K197+$W$7)</f>
        <v>0.1</v>
      </c>
      <c r="L198" s="1914">
        <f t="shared" ca="1" si="206"/>
        <v>0</v>
      </c>
      <c r="M198" s="2412">
        <f t="shared" ca="1" si="207"/>
        <v>0</v>
      </c>
      <c r="N198" s="2060">
        <f>IF('DATA INPUT'!V64=3,'DATA INPUT'!AB64,0)</f>
        <v>0</v>
      </c>
      <c r="O198" s="1906">
        <f t="shared" ca="1" si="200"/>
        <v>0</v>
      </c>
      <c r="P198" s="2061">
        <f t="shared" ca="1" si="201"/>
        <v>0</v>
      </c>
      <c r="Q198" s="1513">
        <f t="shared" ca="1" si="202"/>
        <v>0</v>
      </c>
      <c r="R198" s="2062">
        <f t="shared" ca="1" si="203"/>
        <v>0.1</v>
      </c>
      <c r="S198" s="2043">
        <f t="shared" ca="1" si="204"/>
        <v>0</v>
      </c>
      <c r="T198" s="2064">
        <f t="shared" ca="1" si="205"/>
        <v>0</v>
      </c>
    </row>
    <row r="199" spans="1:20" ht="15.75" hidden="1" thickBot="1" x14ac:dyDescent="0.3">
      <c r="A199" s="1892" t="s">
        <v>85</v>
      </c>
      <c r="B199" s="1893">
        <f>SUM(B193:B198)</f>
        <v>12</v>
      </c>
      <c r="C199" s="1894">
        <f>SUM(C193:C198)</f>
        <v>0</v>
      </c>
      <c r="D199" s="1894">
        <f ca="1">SUM(D193:D198)</f>
        <v>0</v>
      </c>
      <c r="J199" s="1895">
        <f ca="1">SUM(J193:J198)</f>
        <v>0</v>
      </c>
      <c r="L199" s="1466">
        <f ca="1">SUM(L193:L198)</f>
        <v>0</v>
      </c>
      <c r="M199" s="60"/>
      <c r="N199" s="1692">
        <f>SUM(N193:N198)</f>
        <v>0</v>
      </c>
      <c r="O199" s="1692">
        <f ca="1">SUM(O193:O198)</f>
        <v>0</v>
      </c>
      <c r="P199" s="2050">
        <f>IFERROR(N199/B199,0)*K188</f>
        <v>0</v>
      </c>
      <c r="Q199" s="2051">
        <f ca="1">SUM(Q193:Q198)</f>
        <v>0</v>
      </c>
      <c r="S199" s="2051">
        <f ca="1">SUM(S193:S198)</f>
        <v>0</v>
      </c>
      <c r="T199" s="2051">
        <f ca="1">SUM(T193:T198)</f>
        <v>0</v>
      </c>
    </row>
    <row r="200" spans="1:20" hidden="1" x14ac:dyDescent="0.25">
      <c r="A200" s="1730"/>
      <c r="B200" s="3073" t="s">
        <v>1074</v>
      </c>
      <c r="C200" s="2065">
        <f>(C199+N199)*K188</f>
        <v>0</v>
      </c>
      <c r="D200" s="496" t="s">
        <v>256</v>
      </c>
      <c r="E200" s="497"/>
      <c r="F200" s="498">
        <f>IFERROR(C199/B199,0)*K188</f>
        <v>0</v>
      </c>
      <c r="G200" s="499" t="s">
        <v>701</v>
      </c>
      <c r="H200" s="500"/>
      <c r="I200" s="498">
        <f>IFERROR(N199/B199,0)*K188</f>
        <v>0</v>
      </c>
      <c r="J200" s="499" t="s">
        <v>702</v>
      </c>
      <c r="K200" s="500"/>
      <c r="L200" s="329"/>
      <c r="M200" s="60"/>
      <c r="N200" s="60"/>
      <c r="O200" s="60"/>
      <c r="P200" s="60"/>
      <c r="Q200" s="60"/>
      <c r="R200" s="60"/>
      <c r="S200" s="60"/>
    </row>
    <row r="201" spans="1:20" ht="15.75" hidden="1" customHeight="1" thickBot="1" x14ac:dyDescent="0.3"/>
    <row r="202" spans="1:20" ht="15.75" hidden="1" thickBot="1" x14ac:dyDescent="0.3">
      <c r="A202" s="401" t="s">
        <v>713</v>
      </c>
      <c r="B202" s="402"/>
      <c r="C202" s="1711">
        <f ca="1">OFFSET('DATA INPUT'!$B$51,(VALUE(RIGHT(LEFT($A202,LEN($A202)-1),2))-1),0)</f>
        <v>0</v>
      </c>
      <c r="D202" s="1711"/>
      <c r="E202" s="332" t="s">
        <v>525</v>
      </c>
      <c r="F202" s="1711">
        <f ca="1">OFFSET('DATA INPUT'!$H$51,(VALUE(RIGHT(LEFT($A202,LEN($A202)-1),2))-1),0)</f>
        <v>0</v>
      </c>
      <c r="G202" s="1711"/>
      <c r="H202" s="1704" t="s">
        <v>81</v>
      </c>
      <c r="I202" s="1887">
        <f>'DATA INPUT'!G65</f>
        <v>12</v>
      </c>
      <c r="J202" s="1705" t="s">
        <v>82</v>
      </c>
      <c r="K202" s="2383">
        <f>'DATA INPUT'!F65</f>
        <v>1</v>
      </c>
      <c r="L202" s="1886"/>
      <c r="M202" s="1898"/>
    </row>
    <row r="203" spans="1:20" ht="16.5" hidden="1" customHeight="1" thickBot="1" x14ac:dyDescent="0.3">
      <c r="A203" s="66" t="s">
        <v>80</v>
      </c>
      <c r="B203" s="67"/>
      <c r="C203" s="663">
        <f>'DATA INPUT'!C65</f>
        <v>0</v>
      </c>
      <c r="D203" s="1712"/>
      <c r="E203" s="3576" t="s">
        <v>257</v>
      </c>
      <c r="F203" s="3577"/>
      <c r="G203" s="334">
        <f>'DATA INPUT'!E65</f>
        <v>0</v>
      </c>
      <c r="H203" s="1709" t="s">
        <v>528</v>
      </c>
      <c r="I203" s="1715"/>
      <c r="J203" s="334">
        <f>IFERROR(G203/I202,0)</f>
        <v>0</v>
      </c>
      <c r="K203" s="1737"/>
      <c r="L203" s="1890"/>
      <c r="M203" s="334"/>
      <c r="N203" s="1711">
        <f ca="1">C202</f>
        <v>0</v>
      </c>
      <c r="O203" s="1711"/>
      <c r="P203" s="1711"/>
      <c r="R203" s="332" t="s">
        <v>525</v>
      </c>
      <c r="S203" s="1711">
        <f ca="1">F202</f>
        <v>0</v>
      </c>
      <c r="T203" s="1711"/>
    </row>
    <row r="204" spans="1:20" ht="15" hidden="1" customHeight="1" thickBot="1" x14ac:dyDescent="0.3">
      <c r="A204" s="459"/>
      <c r="B204" s="3578" t="s">
        <v>254</v>
      </c>
      <c r="C204" s="3578" t="s">
        <v>92</v>
      </c>
      <c r="D204" s="3578" t="s">
        <v>93</v>
      </c>
      <c r="E204" s="3580" t="s">
        <v>65</v>
      </c>
      <c r="F204" s="3580"/>
      <c r="G204" s="3580"/>
      <c r="H204" s="3581"/>
      <c r="I204" s="3581"/>
      <c r="J204" s="3582" t="s">
        <v>84</v>
      </c>
      <c r="K204" s="3584" t="s">
        <v>78</v>
      </c>
      <c r="L204" s="3585"/>
      <c r="M204" s="1706"/>
      <c r="N204" s="1996" t="s">
        <v>623</v>
      </c>
      <c r="O204" s="2127"/>
      <c r="P204" s="2128"/>
      <c r="Q204" s="2128"/>
      <c r="R204" s="2129"/>
      <c r="S204" s="2128"/>
      <c r="T204" s="2129"/>
    </row>
    <row r="205" spans="1:20" ht="15" hidden="1" customHeight="1" x14ac:dyDescent="0.25">
      <c r="A205" s="3445" t="s">
        <v>253</v>
      </c>
      <c r="B205" s="3579"/>
      <c r="C205" s="3579"/>
      <c r="D205" s="3579"/>
      <c r="E205" s="3444" t="s">
        <v>86</v>
      </c>
      <c r="F205" s="3444" t="s">
        <v>486</v>
      </c>
      <c r="G205" s="3444" t="s">
        <v>233</v>
      </c>
      <c r="H205" s="3444" t="s">
        <v>255</v>
      </c>
      <c r="I205" s="3450" t="s">
        <v>66</v>
      </c>
      <c r="J205" s="3583"/>
      <c r="K205" s="2212" t="s">
        <v>634</v>
      </c>
      <c r="L205" s="2213">
        <f ca="1">IFERROR(VLOOKUP(F202,TableFringePool[],2,0),0)</f>
        <v>0</v>
      </c>
      <c r="M205" s="1708"/>
      <c r="N205" s="3477" t="s">
        <v>618</v>
      </c>
      <c r="O205" s="3554" t="s">
        <v>619</v>
      </c>
      <c r="P205" s="3552" t="s">
        <v>620</v>
      </c>
      <c r="Q205" s="3560" t="s">
        <v>624</v>
      </c>
      <c r="R205" s="2052" t="s">
        <v>621</v>
      </c>
      <c r="S205" s="2053"/>
      <c r="T205" s="3558" t="s">
        <v>625</v>
      </c>
    </row>
    <row r="206" spans="1:20" ht="15.75" hidden="1" thickBot="1" x14ac:dyDescent="0.3">
      <c r="A206" s="3445"/>
      <c r="B206" s="3579"/>
      <c r="C206" s="3579"/>
      <c r="D206" s="3579"/>
      <c r="E206" s="3445"/>
      <c r="F206" s="3446"/>
      <c r="G206" s="3446"/>
      <c r="H206" s="3446"/>
      <c r="I206" s="3586"/>
      <c r="J206" s="3583"/>
      <c r="K206" s="616" t="s">
        <v>67</v>
      </c>
      <c r="L206" s="664" t="s">
        <v>68</v>
      </c>
      <c r="M206" s="1707" t="s">
        <v>87</v>
      </c>
      <c r="N206" s="3541"/>
      <c r="O206" s="3555"/>
      <c r="P206" s="3553"/>
      <c r="Q206" s="3561"/>
      <c r="R206" s="2124" t="s">
        <v>622</v>
      </c>
      <c r="S206" s="540" t="s">
        <v>68</v>
      </c>
      <c r="T206" s="3559"/>
    </row>
    <row r="207" spans="1:20" hidden="1" x14ac:dyDescent="0.25">
      <c r="A207" s="622">
        <v>1</v>
      </c>
      <c r="B207" s="1725">
        <f>'DATA INPUT'!$I$8</f>
        <v>12</v>
      </c>
      <c r="C207" s="1726">
        <f>'DATA INPUT'!I65</f>
        <v>0</v>
      </c>
      <c r="D207" s="1726">
        <f t="shared" ref="D207:D212" ca="1" si="208">(C207*(2080/12))*OFFSET($K$6,(ROW()-(4+A207)-ROW($K$6)),0)</f>
        <v>0</v>
      </c>
      <c r="E207" s="618">
        <v>0.03</v>
      </c>
      <c r="F207" s="492">
        <f>(G203*E207)+G203</f>
        <v>0</v>
      </c>
      <c r="G207" s="492">
        <f t="shared" ref="G207:G212" ca="1" si="209">IFERROR(F207/OFFSET($I$6,(ROW()-(4+A207)-ROW($I$6)),0),0)</f>
        <v>0</v>
      </c>
      <c r="H207" s="492">
        <f t="shared" ref="H207:H212" ca="1" si="210">IFERROR(F207/OFFSET($I$6,(ROW()-(4+A207)-ROW($I$6)),0)*OFFSET($K$6,(ROW()-(4+A207)-ROW($K$6)),0),0)</f>
        <v>0</v>
      </c>
      <c r="I207" s="2407">
        <f t="shared" ref="I207:I212" ca="1" si="211">G207/(2080/12)</f>
        <v>0</v>
      </c>
      <c r="J207" s="1921">
        <f t="shared" ref="J207:J212" ca="1" si="212">H207*C207</f>
        <v>0</v>
      </c>
      <c r="K207" s="1912">
        <f ca="1">IF(F202='Reference Sheet'!$D$13, L205, IF($V$4&lt;$U$4, L205, IF($V$4&gt;$X$4, L205+2*$W$7, L205+$W$7)))</f>
        <v>0</v>
      </c>
      <c r="L207" s="68">
        <f t="shared" ref="L207" ca="1" si="213">K207*J207</f>
        <v>0</v>
      </c>
      <c r="M207" s="2410">
        <f t="shared" ref="M207" ca="1" si="214">G207/(2080/12)+(G207*K207)/(2080/12)</f>
        <v>0</v>
      </c>
      <c r="N207" s="2054">
        <f>IF('DATA INPUT'!V65=3,'DATA INPUT'!W65,0)</f>
        <v>0</v>
      </c>
      <c r="O207" s="1604">
        <f t="shared" ref="O207:O212" ca="1" si="215">N207*(2080/12)*OFFSET($K$6,(ROW()-(4+A207)-ROW($K$6)),0)</f>
        <v>0</v>
      </c>
      <c r="P207" s="2055">
        <f t="shared" ref="P207:P212" ca="1" si="216">IFERROR(N207/B207,0)*OFFSET($K$6,(ROW()-(4+A207)-ROW($K$6)),0)</f>
        <v>0</v>
      </c>
      <c r="Q207" s="1489">
        <f t="shared" ref="Q207:Q212" ca="1" si="217">N207*H207</f>
        <v>0</v>
      </c>
      <c r="R207" s="2056">
        <f t="shared" ref="R207:R212" ca="1" si="218">K207</f>
        <v>0</v>
      </c>
      <c r="S207" s="1490">
        <f t="shared" ref="S207:S212" ca="1" si="219">Q207*R207</f>
        <v>0</v>
      </c>
      <c r="T207" s="2057">
        <f t="shared" ref="T207:T212" ca="1" si="220">SUM(Q207,S207)</f>
        <v>0</v>
      </c>
    </row>
    <row r="208" spans="1:20" hidden="1" x14ac:dyDescent="0.25">
      <c r="A208" s="50">
        <v>2</v>
      </c>
      <c r="B208" s="1720">
        <f>'DATA INPUT'!$J$8</f>
        <v>0</v>
      </c>
      <c r="C208" s="1721">
        <f>'DATA INPUT'!J65</f>
        <v>0</v>
      </c>
      <c r="D208" s="1721">
        <f t="shared" ca="1" si="208"/>
        <v>0</v>
      </c>
      <c r="E208" s="617">
        <v>0.03</v>
      </c>
      <c r="F208" s="457">
        <f>(F207*E208)+F207</f>
        <v>0</v>
      </c>
      <c r="G208" s="457">
        <f t="shared" ca="1" si="209"/>
        <v>0</v>
      </c>
      <c r="H208" s="457">
        <f t="shared" ca="1" si="210"/>
        <v>0</v>
      </c>
      <c r="I208" s="2408">
        <f t="shared" ca="1" si="211"/>
        <v>0</v>
      </c>
      <c r="J208" s="1922">
        <f t="shared" ca="1" si="212"/>
        <v>0</v>
      </c>
      <c r="K208" s="1912">
        <f ca="1" xml:space="preserve"> IF(F202='Reference Sheet'!$D$13, L205, K207+$W$7)</f>
        <v>0.02</v>
      </c>
      <c r="L208" s="69">
        <f t="shared" ref="L208:L212" ca="1" si="221">K208*J208</f>
        <v>0</v>
      </c>
      <c r="M208" s="2411">
        <f t="shared" ref="M208:M212" ca="1" si="222">G208/(2080/12)+(G208*K208)/(2080/12)</f>
        <v>0</v>
      </c>
      <c r="N208" s="2054">
        <f>IF('DATA INPUT'!V65=3,'DATA INPUT'!X65,0)</f>
        <v>0</v>
      </c>
      <c r="O208" s="1604">
        <f t="shared" ca="1" si="215"/>
        <v>0</v>
      </c>
      <c r="P208" s="2058">
        <f t="shared" ca="1" si="216"/>
        <v>0</v>
      </c>
      <c r="Q208" s="1489">
        <f t="shared" ca="1" si="217"/>
        <v>0</v>
      </c>
      <c r="R208" s="2056">
        <f t="shared" ca="1" si="218"/>
        <v>0.02</v>
      </c>
      <c r="S208" s="1490">
        <f t="shared" ca="1" si="219"/>
        <v>0</v>
      </c>
      <c r="T208" s="2057">
        <f t="shared" ca="1" si="220"/>
        <v>0</v>
      </c>
    </row>
    <row r="209" spans="1:20" hidden="1" x14ac:dyDescent="0.25">
      <c r="A209" s="50">
        <v>3</v>
      </c>
      <c r="B209" s="1720">
        <f>'DATA INPUT'!$K$8</f>
        <v>0</v>
      </c>
      <c r="C209" s="1721">
        <f>'DATA INPUT'!K65</f>
        <v>0</v>
      </c>
      <c r="D209" s="1721">
        <f t="shared" ca="1" si="208"/>
        <v>0</v>
      </c>
      <c r="E209" s="617">
        <v>0.03</v>
      </c>
      <c r="F209" s="457">
        <f>(F208*E209)+F208</f>
        <v>0</v>
      </c>
      <c r="G209" s="457">
        <f t="shared" ca="1" si="209"/>
        <v>0</v>
      </c>
      <c r="H209" s="457">
        <f t="shared" ca="1" si="210"/>
        <v>0</v>
      </c>
      <c r="I209" s="2408">
        <f t="shared" ca="1" si="211"/>
        <v>0</v>
      </c>
      <c r="J209" s="1922">
        <f t="shared" ca="1" si="212"/>
        <v>0</v>
      </c>
      <c r="K209" s="1912">
        <f ca="1" xml:space="preserve"> IF(F202='Reference Sheet'!$D$13, L205, K208+$W$7)</f>
        <v>0.04</v>
      </c>
      <c r="L209" s="69">
        <f t="shared" ca="1" si="221"/>
        <v>0</v>
      </c>
      <c r="M209" s="2411">
        <f t="shared" ca="1" si="222"/>
        <v>0</v>
      </c>
      <c r="N209" s="2054">
        <f>IF('DATA INPUT'!V65=3,'DATA INPUT'!Y65,0)</f>
        <v>0</v>
      </c>
      <c r="O209" s="1604">
        <f t="shared" ca="1" si="215"/>
        <v>0</v>
      </c>
      <c r="P209" s="2058">
        <f t="shared" ca="1" si="216"/>
        <v>0</v>
      </c>
      <c r="Q209" s="1489">
        <f t="shared" ca="1" si="217"/>
        <v>0</v>
      </c>
      <c r="R209" s="2056">
        <f t="shared" ca="1" si="218"/>
        <v>0.04</v>
      </c>
      <c r="S209" s="1490">
        <f t="shared" ca="1" si="219"/>
        <v>0</v>
      </c>
      <c r="T209" s="2057">
        <f t="shared" ca="1" si="220"/>
        <v>0</v>
      </c>
    </row>
    <row r="210" spans="1:20" hidden="1" x14ac:dyDescent="0.25">
      <c r="A210" s="50">
        <v>4</v>
      </c>
      <c r="B210" s="1720">
        <f>'DATA INPUT'!$L$8</f>
        <v>0</v>
      </c>
      <c r="C210" s="1721">
        <f>'DATA INPUT'!L65</f>
        <v>0</v>
      </c>
      <c r="D210" s="1721">
        <f t="shared" ca="1" si="208"/>
        <v>0</v>
      </c>
      <c r="E210" s="617">
        <v>0.03</v>
      </c>
      <c r="F210" s="457">
        <f>(F209*E210)+F209</f>
        <v>0</v>
      </c>
      <c r="G210" s="457">
        <f t="shared" ca="1" si="209"/>
        <v>0</v>
      </c>
      <c r="H210" s="457">
        <f t="shared" ca="1" si="210"/>
        <v>0</v>
      </c>
      <c r="I210" s="2408">
        <f t="shared" ca="1" si="211"/>
        <v>0</v>
      </c>
      <c r="J210" s="1922">
        <f t="shared" ca="1" si="212"/>
        <v>0</v>
      </c>
      <c r="K210" s="1912">
        <f ca="1" xml:space="preserve"> IF(F202='Reference Sheet'!$D$13, L205, K209+$W$7)</f>
        <v>0.06</v>
      </c>
      <c r="L210" s="69">
        <f t="shared" ca="1" si="221"/>
        <v>0</v>
      </c>
      <c r="M210" s="2411">
        <f t="shared" ca="1" si="222"/>
        <v>0</v>
      </c>
      <c r="N210" s="2054">
        <f>IF('DATA INPUT'!V65=3,'DATA INPUT'!Z65,0)</f>
        <v>0</v>
      </c>
      <c r="O210" s="1604">
        <f t="shared" ca="1" si="215"/>
        <v>0</v>
      </c>
      <c r="P210" s="2058">
        <f t="shared" ca="1" si="216"/>
        <v>0</v>
      </c>
      <c r="Q210" s="1489">
        <f t="shared" ca="1" si="217"/>
        <v>0</v>
      </c>
      <c r="R210" s="2059">
        <f t="shared" ca="1" si="218"/>
        <v>0.06</v>
      </c>
      <c r="S210" s="1490">
        <f t="shared" ca="1" si="219"/>
        <v>0</v>
      </c>
      <c r="T210" s="2063">
        <f t="shared" ca="1" si="220"/>
        <v>0</v>
      </c>
    </row>
    <row r="211" spans="1:20" hidden="1" x14ac:dyDescent="0.25">
      <c r="A211" s="50">
        <v>5</v>
      </c>
      <c r="B211" s="1720">
        <f>'DATA INPUT'!$M$8</f>
        <v>0</v>
      </c>
      <c r="C211" s="1721">
        <f>'DATA INPUT'!M65</f>
        <v>0</v>
      </c>
      <c r="D211" s="1721">
        <f t="shared" ca="1" si="208"/>
        <v>0</v>
      </c>
      <c r="E211" s="617">
        <v>0.03</v>
      </c>
      <c r="F211" s="457">
        <f>(F210*E211)+F210</f>
        <v>0</v>
      </c>
      <c r="G211" s="457">
        <f t="shared" ca="1" si="209"/>
        <v>0</v>
      </c>
      <c r="H211" s="457">
        <f t="shared" ca="1" si="210"/>
        <v>0</v>
      </c>
      <c r="I211" s="2408">
        <f t="shared" ca="1" si="211"/>
        <v>0</v>
      </c>
      <c r="J211" s="1922">
        <f t="shared" ca="1" si="212"/>
        <v>0</v>
      </c>
      <c r="K211" s="1912">
        <f ca="1" xml:space="preserve"> IF(F202='Reference Sheet'!$D$13, L205, K210+$W$7)</f>
        <v>0.08</v>
      </c>
      <c r="L211" s="69">
        <f t="shared" ca="1" si="221"/>
        <v>0</v>
      </c>
      <c r="M211" s="2411">
        <f t="shared" ca="1" si="222"/>
        <v>0</v>
      </c>
      <c r="N211" s="2054">
        <f>IF('DATA INPUT'!V65=3,'DATA INPUT'!AA65,0)</f>
        <v>0</v>
      </c>
      <c r="O211" s="1604">
        <f t="shared" ca="1" si="215"/>
        <v>0</v>
      </c>
      <c r="P211" s="2058">
        <f t="shared" ca="1" si="216"/>
        <v>0</v>
      </c>
      <c r="Q211" s="1489">
        <f t="shared" ca="1" si="217"/>
        <v>0</v>
      </c>
      <c r="R211" s="2056">
        <f t="shared" ca="1" si="218"/>
        <v>0.08</v>
      </c>
      <c r="S211" s="1490">
        <f t="shared" ca="1" si="219"/>
        <v>0</v>
      </c>
      <c r="T211" s="2057">
        <f t="shared" ca="1" si="220"/>
        <v>0</v>
      </c>
    </row>
    <row r="212" spans="1:20" ht="15.75" hidden="1" thickBot="1" x14ac:dyDescent="0.3">
      <c r="A212" s="623">
        <v>6</v>
      </c>
      <c r="B212" s="1722">
        <f>'DATA INPUT'!$N$8</f>
        <v>0</v>
      </c>
      <c r="C212" s="1723">
        <f>'DATA INPUT'!N65</f>
        <v>0</v>
      </c>
      <c r="D212" s="1723">
        <f t="shared" ca="1" si="208"/>
        <v>0</v>
      </c>
      <c r="E212" s="621">
        <v>0.03</v>
      </c>
      <c r="F212" s="495">
        <f>(F211*E212)+F211</f>
        <v>0</v>
      </c>
      <c r="G212" s="495">
        <f t="shared" ca="1" si="209"/>
        <v>0</v>
      </c>
      <c r="H212" s="495">
        <f t="shared" ca="1" si="210"/>
        <v>0</v>
      </c>
      <c r="I212" s="2409">
        <f t="shared" ca="1" si="211"/>
        <v>0</v>
      </c>
      <c r="J212" s="1923">
        <f t="shared" ca="1" si="212"/>
        <v>0</v>
      </c>
      <c r="K212" s="1913">
        <f ca="1" xml:space="preserve"> IF(F202='Reference Sheet'!$D$13, L205, K211+$W$7)</f>
        <v>0.1</v>
      </c>
      <c r="L212" s="1914">
        <f t="shared" ca="1" si="221"/>
        <v>0</v>
      </c>
      <c r="M212" s="2412">
        <f t="shared" ca="1" si="222"/>
        <v>0</v>
      </c>
      <c r="N212" s="2060">
        <f>IF('DATA INPUT'!V65=3,'DATA INPUT'!AB65,0)</f>
        <v>0</v>
      </c>
      <c r="O212" s="1906">
        <f t="shared" ca="1" si="215"/>
        <v>0</v>
      </c>
      <c r="P212" s="2061">
        <f t="shared" ca="1" si="216"/>
        <v>0</v>
      </c>
      <c r="Q212" s="1513">
        <f t="shared" ca="1" si="217"/>
        <v>0</v>
      </c>
      <c r="R212" s="2062">
        <f t="shared" ca="1" si="218"/>
        <v>0.1</v>
      </c>
      <c r="S212" s="2043">
        <f t="shared" ca="1" si="219"/>
        <v>0</v>
      </c>
      <c r="T212" s="2064">
        <f t="shared" ca="1" si="220"/>
        <v>0</v>
      </c>
    </row>
    <row r="213" spans="1:20" ht="15.75" hidden="1" thickBot="1" x14ac:dyDescent="0.3">
      <c r="A213" s="624" t="s">
        <v>85</v>
      </c>
      <c r="B213" s="1724">
        <f>SUM(B207:B212)</f>
        <v>12</v>
      </c>
      <c r="C213" s="1727">
        <f>SUM(C207:C212)</f>
        <v>0</v>
      </c>
      <c r="D213" s="1727">
        <f ca="1">SUM(D207:D212)</f>
        <v>0</v>
      </c>
      <c r="J213" s="1728">
        <f ca="1">SUM(J207:J212)</f>
        <v>0</v>
      </c>
      <c r="L213" s="1466">
        <f ca="1">SUM(L207:L212)</f>
        <v>0</v>
      </c>
      <c r="M213" s="60"/>
      <c r="N213" s="1692">
        <f>SUM(N207:N212)</f>
        <v>0</v>
      </c>
      <c r="O213" s="1692">
        <f ca="1">SUM(O207:O212)</f>
        <v>0</v>
      </c>
      <c r="P213" s="2050">
        <f>IFERROR(N213/B213,0)*K202</f>
        <v>0</v>
      </c>
      <c r="Q213" s="2051">
        <f ca="1">SUM(Q207:Q212)</f>
        <v>0</v>
      </c>
      <c r="S213" s="2051">
        <f ca="1">SUM(S207:S212)</f>
        <v>0</v>
      </c>
      <c r="T213" s="2051">
        <f ca="1">SUM(T207:T212)</f>
        <v>0</v>
      </c>
    </row>
    <row r="214" spans="1:20" hidden="1" x14ac:dyDescent="0.25">
      <c r="A214" s="1730"/>
      <c r="B214" s="3073" t="s">
        <v>1074</v>
      </c>
      <c r="C214" s="2065">
        <f>(C213+N213)*K202</f>
        <v>0</v>
      </c>
      <c r="D214" s="496" t="s">
        <v>256</v>
      </c>
      <c r="E214" s="497"/>
      <c r="F214" s="498">
        <f>IFERROR(C213/B213,0)*K202</f>
        <v>0</v>
      </c>
      <c r="G214" s="499" t="s">
        <v>701</v>
      </c>
      <c r="H214" s="500"/>
      <c r="I214" s="498">
        <f>IFERROR(N213/B213,0)*K202</f>
        <v>0</v>
      </c>
      <c r="J214" s="499" t="s">
        <v>702</v>
      </c>
      <c r="K214" s="500"/>
      <c r="L214" s="329"/>
      <c r="M214" s="60"/>
      <c r="N214" s="60"/>
      <c r="O214" s="60"/>
      <c r="P214" s="60"/>
      <c r="Q214" s="60"/>
      <c r="R214" s="60"/>
      <c r="S214" s="60"/>
    </row>
    <row r="215" spans="1:20" ht="15.75" hidden="1" thickBot="1" x14ac:dyDescent="0.3"/>
    <row r="216" spans="1:20" ht="19.5" thickBot="1" x14ac:dyDescent="0.35">
      <c r="A216" s="3601" t="s">
        <v>1024</v>
      </c>
      <c r="B216" s="3602"/>
      <c r="C216" s="3602"/>
      <c r="D216" s="3602"/>
      <c r="E216" s="3602"/>
      <c r="F216" s="3602"/>
      <c r="G216" s="3602"/>
      <c r="H216" s="3602"/>
      <c r="I216" s="3602"/>
      <c r="J216" s="3602"/>
      <c r="K216" s="3603"/>
    </row>
    <row r="217" spans="1:20" x14ac:dyDescent="0.25">
      <c r="A217" s="19" t="s">
        <v>470</v>
      </c>
      <c r="D217" s="1137" t="s">
        <v>471</v>
      </c>
    </row>
    <row r="218" spans="1:20" ht="15.75" thickBot="1" x14ac:dyDescent="0.3">
      <c r="A218" s="19" t="s">
        <v>891</v>
      </c>
      <c r="D218" s="1137" t="s">
        <v>890</v>
      </c>
    </row>
    <row r="219" spans="1:20" ht="15.75" thickBot="1" x14ac:dyDescent="0.3">
      <c r="A219" s="64" t="str">
        <f>'DATA INPUT'!B46</f>
        <v>Hourly Student(s) #1</v>
      </c>
      <c r="B219" s="65"/>
      <c r="C219" s="65"/>
      <c r="D219" s="122"/>
      <c r="E219" s="1718"/>
      <c r="F219" s="1719"/>
      <c r="G219" s="1719"/>
      <c r="H219" s="1719"/>
      <c r="I219" s="1719"/>
      <c r="J219" s="1719"/>
      <c r="K219" s="1598"/>
      <c r="M219" s="226"/>
    </row>
    <row r="220" spans="1:20" ht="15.75" thickBot="1" x14ac:dyDescent="0.3">
      <c r="A220" s="227" t="s">
        <v>91</v>
      </c>
      <c r="B220" s="481">
        <f>'DATA INPUT'!C46</f>
        <v>0</v>
      </c>
      <c r="C220" s="482"/>
      <c r="D220" s="126"/>
      <c r="F220" s="59" t="s">
        <v>89</v>
      </c>
      <c r="G220" s="2423">
        <f>'DATA INPUT'!D46</f>
        <v>15.55</v>
      </c>
      <c r="H220" s="1900"/>
      <c r="I220" s="1915"/>
      <c r="J220" s="1902"/>
      <c r="K220" s="1903"/>
    </row>
    <row r="221" spans="1:20" ht="15" customHeight="1" thickBot="1" x14ac:dyDescent="0.3">
      <c r="A221" s="3520" t="s">
        <v>253</v>
      </c>
      <c r="B221" s="3444" t="s">
        <v>254</v>
      </c>
      <c r="C221" s="3593" t="s">
        <v>92</v>
      </c>
      <c r="D221" s="3578" t="s">
        <v>93</v>
      </c>
      <c r="E221" s="3595" t="s">
        <v>65</v>
      </c>
      <c r="F221" s="3596"/>
      <c r="G221" s="3596"/>
      <c r="H221" s="3597" t="s">
        <v>84</v>
      </c>
      <c r="I221" s="3599" t="s">
        <v>78</v>
      </c>
      <c r="J221" s="3600"/>
      <c r="K221" s="3444" t="s">
        <v>87</v>
      </c>
    </row>
    <row r="222" spans="1:20" ht="14.45" customHeight="1" x14ac:dyDescent="0.25">
      <c r="A222" s="3521"/>
      <c r="B222" s="3445"/>
      <c r="C222" s="3594"/>
      <c r="D222" s="3579"/>
      <c r="E222" s="3444" t="s">
        <v>86</v>
      </c>
      <c r="F222" s="3444" t="s">
        <v>90</v>
      </c>
      <c r="G222" s="3444" t="s">
        <v>233</v>
      </c>
      <c r="H222" s="3598"/>
      <c r="I222" s="2212" t="s">
        <v>634</v>
      </c>
      <c r="J222" s="2213">
        <f>'Reference Sheet'!$E$13</f>
        <v>2.7E-2</v>
      </c>
      <c r="K222" s="3592"/>
      <c r="L222" s="3592"/>
    </row>
    <row r="223" spans="1:20" ht="15.75" thickBot="1" x14ac:dyDescent="0.3">
      <c r="A223" s="3521"/>
      <c r="B223" s="3445"/>
      <c r="C223" s="3594"/>
      <c r="D223" s="3579"/>
      <c r="E223" s="3445"/>
      <c r="F223" s="3445"/>
      <c r="G223" s="3446"/>
      <c r="H223" s="3598"/>
      <c r="I223" s="2215" t="s">
        <v>67</v>
      </c>
      <c r="J223" s="2216" t="s">
        <v>68</v>
      </c>
      <c r="K223" s="3592"/>
      <c r="L223" s="3592"/>
    </row>
    <row r="224" spans="1:20" x14ac:dyDescent="0.25">
      <c r="A224" s="622">
        <v>1</v>
      </c>
      <c r="B224" s="781">
        <f>'DATA INPUT'!$I$8</f>
        <v>12</v>
      </c>
      <c r="C224" s="1726">
        <f>'DATA INPUT'!I46</f>
        <v>0</v>
      </c>
      <c r="D224" s="1904">
        <f>C224*(2080/12)</f>
        <v>0</v>
      </c>
      <c r="E224" s="618">
        <v>0.03</v>
      </c>
      <c r="F224" s="2370">
        <f>(G220*E224)+G220</f>
        <v>16.016500000000001</v>
      </c>
      <c r="G224" s="1589">
        <f>173.33*F224</f>
        <v>2776.1399450000004</v>
      </c>
      <c r="H224" s="1918">
        <f>F224*D224</f>
        <v>0</v>
      </c>
      <c r="I224" s="1911">
        <f>'Reference Sheet'!$E$13</f>
        <v>2.7E-2</v>
      </c>
      <c r="J224" s="68">
        <f t="shared" ref="J224:J229" si="223">I224*H224</f>
        <v>0</v>
      </c>
      <c r="K224" s="2998">
        <f t="shared" ref="K224:K229" si="224">F224*(1+I224)</f>
        <v>16.448945500000001</v>
      </c>
      <c r="L224" s="2568"/>
      <c r="M224" s="1791"/>
    </row>
    <row r="225" spans="1:12" x14ac:dyDescent="0.25">
      <c r="A225" s="50">
        <v>2</v>
      </c>
      <c r="B225" s="505">
        <f>'DATA INPUT'!$J$8</f>
        <v>0</v>
      </c>
      <c r="C225" s="1721">
        <f>'DATA INPUT'!J46</f>
        <v>0</v>
      </c>
      <c r="D225" s="1604">
        <f t="shared" ref="D225:D229" si="225">C225*(2080/12)</f>
        <v>0</v>
      </c>
      <c r="E225" s="617">
        <v>0.03</v>
      </c>
      <c r="F225" s="2371">
        <f>(F224*E225)+F224</f>
        <v>16.496995000000002</v>
      </c>
      <c r="G225" s="1916">
        <f t="shared" ref="G225:G229" si="226">173.33*F225</f>
        <v>2859.4241433500006</v>
      </c>
      <c r="H225" s="1919">
        <f t="shared" ref="H225:H229" si="227">F225*D225</f>
        <v>0</v>
      </c>
      <c r="I225" s="1912">
        <f>'Reference Sheet'!$E$13</f>
        <v>2.7E-2</v>
      </c>
      <c r="J225" s="69">
        <f t="shared" si="223"/>
        <v>0</v>
      </c>
      <c r="K225" s="2999">
        <f t="shared" si="224"/>
        <v>16.942413864999999</v>
      </c>
      <c r="L225" s="2568"/>
    </row>
    <row r="226" spans="1:12" x14ac:dyDescent="0.25">
      <c r="A226" s="50">
        <v>3</v>
      </c>
      <c r="B226" s="505">
        <f>'DATA INPUT'!$K$8</f>
        <v>0</v>
      </c>
      <c r="C226" s="1721">
        <f>'DATA INPUT'!K46</f>
        <v>0</v>
      </c>
      <c r="D226" s="1604">
        <f t="shared" si="225"/>
        <v>0</v>
      </c>
      <c r="E226" s="617">
        <v>0.03</v>
      </c>
      <c r="F226" s="2371">
        <f>(F225*E226)+F225</f>
        <v>16.991904850000001</v>
      </c>
      <c r="G226" s="1916">
        <f t="shared" si="226"/>
        <v>2945.2068676505005</v>
      </c>
      <c r="H226" s="1919">
        <f t="shared" si="227"/>
        <v>0</v>
      </c>
      <c r="I226" s="1912">
        <f>'Reference Sheet'!$E$13</f>
        <v>2.7E-2</v>
      </c>
      <c r="J226" s="69">
        <f t="shared" si="223"/>
        <v>0</v>
      </c>
      <c r="K226" s="2999">
        <f t="shared" si="224"/>
        <v>17.450686280949999</v>
      </c>
      <c r="L226" s="2568"/>
    </row>
    <row r="227" spans="1:12" x14ac:dyDescent="0.25">
      <c r="A227" s="50">
        <v>4</v>
      </c>
      <c r="B227" s="505">
        <f>'DATA INPUT'!$L$8</f>
        <v>0</v>
      </c>
      <c r="C227" s="1721">
        <f>'DATA INPUT'!L46</f>
        <v>0</v>
      </c>
      <c r="D227" s="1604">
        <f t="shared" si="225"/>
        <v>0</v>
      </c>
      <c r="E227" s="617">
        <v>0.03</v>
      </c>
      <c r="F227" s="2371">
        <f>(F226*E227)+F226</f>
        <v>17.501661995500001</v>
      </c>
      <c r="G227" s="1916">
        <f t="shared" si="226"/>
        <v>3033.5630736800153</v>
      </c>
      <c r="H227" s="1919">
        <f t="shared" si="227"/>
        <v>0</v>
      </c>
      <c r="I227" s="1912">
        <f>'Reference Sheet'!$E$13</f>
        <v>2.7E-2</v>
      </c>
      <c r="J227" s="69">
        <f t="shared" si="223"/>
        <v>0</v>
      </c>
      <c r="K227" s="2999">
        <f t="shared" si="224"/>
        <v>17.974206869378499</v>
      </c>
      <c r="L227" s="2568"/>
    </row>
    <row r="228" spans="1:12" x14ac:dyDescent="0.25">
      <c r="A228" s="50">
        <v>5</v>
      </c>
      <c r="B228" s="505">
        <f>'DATA INPUT'!$M$8</f>
        <v>0</v>
      </c>
      <c r="C228" s="1721">
        <f>'DATA INPUT'!M46</f>
        <v>0</v>
      </c>
      <c r="D228" s="1604">
        <f t="shared" si="225"/>
        <v>0</v>
      </c>
      <c r="E228" s="617">
        <v>0.03</v>
      </c>
      <c r="F228" s="2371">
        <f>(F227*E228)+F227</f>
        <v>18.026711855365001</v>
      </c>
      <c r="G228" s="1916">
        <f t="shared" si="226"/>
        <v>3124.5699658904159</v>
      </c>
      <c r="H228" s="1919">
        <f t="shared" si="227"/>
        <v>0</v>
      </c>
      <c r="I228" s="1912">
        <f>'Reference Sheet'!$E$13</f>
        <v>2.7E-2</v>
      </c>
      <c r="J228" s="69">
        <f t="shared" si="223"/>
        <v>0</v>
      </c>
      <c r="K228" s="2999">
        <f t="shared" si="224"/>
        <v>18.513433075459854</v>
      </c>
      <c r="L228" s="2568"/>
    </row>
    <row r="229" spans="1:12" ht="15.75" thickBot="1" x14ac:dyDescent="0.3">
      <c r="A229" s="623">
        <v>6</v>
      </c>
      <c r="B229" s="1905">
        <f>'DATA INPUT'!$N$8</f>
        <v>0</v>
      </c>
      <c r="C229" s="1723">
        <f>'DATA INPUT'!N46</f>
        <v>0</v>
      </c>
      <c r="D229" s="1906">
        <f t="shared" si="225"/>
        <v>0</v>
      </c>
      <c r="E229" s="621">
        <v>0.03</v>
      </c>
      <c r="F229" s="2372">
        <f>(F228*E229)+F228</f>
        <v>18.56751321102595</v>
      </c>
      <c r="G229" s="1917">
        <f t="shared" si="226"/>
        <v>3218.3070648671282</v>
      </c>
      <c r="H229" s="1920">
        <f t="shared" si="227"/>
        <v>0</v>
      </c>
      <c r="I229" s="1913">
        <f>'Reference Sheet'!$E$13</f>
        <v>2.7E-2</v>
      </c>
      <c r="J229" s="1914">
        <f t="shared" si="223"/>
        <v>0</v>
      </c>
      <c r="K229" s="3000">
        <f t="shared" si="224"/>
        <v>19.068836067723648</v>
      </c>
      <c r="L229" s="2568"/>
    </row>
    <row r="230" spans="1:12" ht="15.75" thickBot="1" x14ac:dyDescent="0.3">
      <c r="A230" s="624" t="s">
        <v>85</v>
      </c>
      <c r="B230" s="1907">
        <f>SUM(B224:B229)</f>
        <v>12</v>
      </c>
      <c r="C230" s="1909">
        <f>SUM(C224:C229)</f>
        <v>0</v>
      </c>
      <c r="D230" s="1692">
        <f>SUM(D224:D229)</f>
        <v>0</v>
      </c>
      <c r="H230" s="1528">
        <f>SUM(H224:H229)</f>
        <v>0</v>
      </c>
      <c r="J230" s="1466">
        <f>SUM(J224:J229)</f>
        <v>0</v>
      </c>
    </row>
    <row r="232" spans="1:12" ht="15.75" hidden="1" thickBot="1" x14ac:dyDescent="0.3">
      <c r="A232" s="64" t="str">
        <f>'DATA INPUT'!B47</f>
        <v>Hourly Student(s) #2</v>
      </c>
      <c r="B232" s="65"/>
      <c r="C232" s="65"/>
      <c r="D232" s="122"/>
      <c r="E232" s="1718"/>
      <c r="F232" s="1719"/>
      <c r="G232" s="1719"/>
      <c r="H232" s="1719"/>
      <c r="I232" s="1719"/>
      <c r="J232" s="1719"/>
      <c r="K232" s="1598"/>
    </row>
    <row r="233" spans="1:12" ht="15.75" hidden="1" thickBot="1" x14ac:dyDescent="0.3">
      <c r="A233" s="227" t="s">
        <v>91</v>
      </c>
      <c r="B233" s="481">
        <f>'DATA INPUT'!C47</f>
        <v>0</v>
      </c>
      <c r="C233" s="482"/>
      <c r="D233" s="126"/>
      <c r="F233" s="59" t="s">
        <v>89</v>
      </c>
      <c r="G233" s="2423">
        <f>'DATA INPUT'!D47</f>
        <v>15.55</v>
      </c>
      <c r="H233" s="1901"/>
      <c r="I233" s="1737"/>
      <c r="J233" s="1709"/>
      <c r="K233" s="1761"/>
    </row>
    <row r="234" spans="1:12" ht="15" hidden="1" customHeight="1" thickBot="1" x14ac:dyDescent="0.3">
      <c r="A234" s="3520" t="s">
        <v>253</v>
      </c>
      <c r="B234" s="3444" t="s">
        <v>254</v>
      </c>
      <c r="C234" s="3593" t="s">
        <v>92</v>
      </c>
      <c r="D234" s="3578" t="s">
        <v>93</v>
      </c>
      <c r="E234" s="3595" t="s">
        <v>65</v>
      </c>
      <c r="F234" s="3596"/>
      <c r="G234" s="3596"/>
      <c r="H234" s="3597" t="s">
        <v>84</v>
      </c>
      <c r="I234" s="3599" t="s">
        <v>78</v>
      </c>
      <c r="J234" s="3600"/>
      <c r="K234" s="3444" t="s">
        <v>87</v>
      </c>
    </row>
    <row r="235" spans="1:12" ht="15" hidden="1" customHeight="1" x14ac:dyDescent="0.25">
      <c r="A235" s="3521"/>
      <c r="B235" s="3445"/>
      <c r="C235" s="3594"/>
      <c r="D235" s="3579"/>
      <c r="E235" s="3444" t="s">
        <v>86</v>
      </c>
      <c r="F235" s="3444" t="s">
        <v>90</v>
      </c>
      <c r="G235" s="3444" t="s">
        <v>233</v>
      </c>
      <c r="H235" s="3598"/>
      <c r="I235" s="2212" t="s">
        <v>634</v>
      </c>
      <c r="J235" s="2213">
        <f>'Reference Sheet'!$E$13</f>
        <v>2.7E-2</v>
      </c>
      <c r="K235" s="3592"/>
      <c r="L235" s="3592"/>
    </row>
    <row r="236" spans="1:12" ht="15" hidden="1" customHeight="1" thickBot="1" x14ac:dyDescent="0.3">
      <c r="A236" s="3521"/>
      <c r="B236" s="3445"/>
      <c r="C236" s="3594"/>
      <c r="D236" s="3579"/>
      <c r="E236" s="3445"/>
      <c r="F236" s="3445"/>
      <c r="G236" s="3446"/>
      <c r="H236" s="3598"/>
      <c r="I236" s="2215" t="s">
        <v>67</v>
      </c>
      <c r="J236" s="2216" t="s">
        <v>68</v>
      </c>
      <c r="K236" s="3592"/>
      <c r="L236" s="3592"/>
    </row>
    <row r="237" spans="1:12" hidden="1" x14ac:dyDescent="0.25">
      <c r="A237" s="622">
        <v>1</v>
      </c>
      <c r="B237" s="781">
        <f>'DATA INPUT'!$I$8</f>
        <v>12</v>
      </c>
      <c r="C237" s="1726">
        <f>'DATA INPUT'!I47</f>
        <v>0</v>
      </c>
      <c r="D237" s="1904">
        <f>C237*(2080/12)</f>
        <v>0</v>
      </c>
      <c r="E237" s="618">
        <v>0.03</v>
      </c>
      <c r="F237" s="2370">
        <f>(G233*E237)+G233</f>
        <v>16.016500000000001</v>
      </c>
      <c r="G237" s="1589">
        <f>173.33*F237</f>
        <v>2776.1399450000004</v>
      </c>
      <c r="H237" s="1918">
        <f>F237*D237</f>
        <v>0</v>
      </c>
      <c r="I237" s="1911">
        <f>'Reference Sheet'!$E$13</f>
        <v>2.7E-2</v>
      </c>
      <c r="J237" s="68">
        <f t="shared" ref="J237:J242" si="228">I237*H237</f>
        <v>0</v>
      </c>
      <c r="K237" s="2410">
        <f t="shared" ref="K237:K242" si="229">F237*(1+I237)</f>
        <v>16.448945500000001</v>
      </c>
      <c r="L237" s="2568"/>
    </row>
    <row r="238" spans="1:12" hidden="1" x14ac:dyDescent="0.25">
      <c r="A238" s="50">
        <v>2</v>
      </c>
      <c r="B238" s="505">
        <f>'DATA INPUT'!$J$8</f>
        <v>0</v>
      </c>
      <c r="C238" s="1721">
        <f>'DATA INPUT'!J47</f>
        <v>0</v>
      </c>
      <c r="D238" s="1604">
        <f t="shared" ref="D238:D242" si="230">C238*(2080/12)</f>
        <v>0</v>
      </c>
      <c r="E238" s="617">
        <v>0.03</v>
      </c>
      <c r="F238" s="2371">
        <f>(F237*E238)+F237</f>
        <v>16.496995000000002</v>
      </c>
      <c r="G238" s="1916">
        <f t="shared" ref="G238:G242" si="231">173.33*F238</f>
        <v>2859.4241433500006</v>
      </c>
      <c r="H238" s="1919">
        <f t="shared" ref="H238:H242" si="232">F238*D238</f>
        <v>0</v>
      </c>
      <c r="I238" s="1912">
        <f>'Reference Sheet'!$E$13</f>
        <v>2.7E-2</v>
      </c>
      <c r="J238" s="69">
        <f t="shared" si="228"/>
        <v>0</v>
      </c>
      <c r="K238" s="2411">
        <f t="shared" si="229"/>
        <v>16.942413864999999</v>
      </c>
      <c r="L238" s="2568"/>
    </row>
    <row r="239" spans="1:12" hidden="1" x14ac:dyDescent="0.25">
      <c r="A239" s="50">
        <v>3</v>
      </c>
      <c r="B239" s="505">
        <f>'DATA INPUT'!$K$8</f>
        <v>0</v>
      </c>
      <c r="C239" s="1721">
        <f>'DATA INPUT'!K47</f>
        <v>0</v>
      </c>
      <c r="D239" s="1604">
        <f t="shared" si="230"/>
        <v>0</v>
      </c>
      <c r="E239" s="617">
        <v>0.03</v>
      </c>
      <c r="F239" s="2371">
        <f>(F238*E239)+F238</f>
        <v>16.991904850000001</v>
      </c>
      <c r="G239" s="1916">
        <f t="shared" si="231"/>
        <v>2945.2068676505005</v>
      </c>
      <c r="H239" s="1919">
        <f t="shared" si="232"/>
        <v>0</v>
      </c>
      <c r="I239" s="1912">
        <f>'Reference Sheet'!$E$13</f>
        <v>2.7E-2</v>
      </c>
      <c r="J239" s="69">
        <f t="shared" si="228"/>
        <v>0</v>
      </c>
      <c r="K239" s="2411">
        <f t="shared" si="229"/>
        <v>17.450686280949999</v>
      </c>
      <c r="L239" s="2568"/>
    </row>
    <row r="240" spans="1:12" hidden="1" x14ac:dyDescent="0.25">
      <c r="A240" s="50">
        <v>4</v>
      </c>
      <c r="B240" s="505">
        <f>'DATA INPUT'!$L$8</f>
        <v>0</v>
      </c>
      <c r="C240" s="1721">
        <f>'DATA INPUT'!L47</f>
        <v>0</v>
      </c>
      <c r="D240" s="1604">
        <f t="shared" si="230"/>
        <v>0</v>
      </c>
      <c r="E240" s="617">
        <v>0.03</v>
      </c>
      <c r="F240" s="2371">
        <f>(F239*E240)+F239</f>
        <v>17.501661995500001</v>
      </c>
      <c r="G240" s="1916">
        <f t="shared" si="231"/>
        <v>3033.5630736800153</v>
      </c>
      <c r="H240" s="1919">
        <f t="shared" si="232"/>
        <v>0</v>
      </c>
      <c r="I240" s="1912">
        <f>'Reference Sheet'!$E$13</f>
        <v>2.7E-2</v>
      </c>
      <c r="J240" s="69">
        <f t="shared" si="228"/>
        <v>0</v>
      </c>
      <c r="K240" s="2411">
        <f t="shared" si="229"/>
        <v>17.974206869378499</v>
      </c>
      <c r="L240" s="2568"/>
    </row>
    <row r="241" spans="1:12" hidden="1" x14ac:dyDescent="0.25">
      <c r="A241" s="50">
        <v>5</v>
      </c>
      <c r="B241" s="505">
        <f>'DATA INPUT'!$M$8</f>
        <v>0</v>
      </c>
      <c r="C241" s="1721">
        <f>'DATA INPUT'!M47</f>
        <v>0</v>
      </c>
      <c r="D241" s="1604">
        <f t="shared" si="230"/>
        <v>0</v>
      </c>
      <c r="E241" s="617">
        <v>0.03</v>
      </c>
      <c r="F241" s="2371">
        <f>(F240*E241)+F240</f>
        <v>18.026711855365001</v>
      </c>
      <c r="G241" s="1916">
        <f t="shared" si="231"/>
        <v>3124.5699658904159</v>
      </c>
      <c r="H241" s="1919">
        <f t="shared" si="232"/>
        <v>0</v>
      </c>
      <c r="I241" s="1912">
        <f>'Reference Sheet'!$E$13</f>
        <v>2.7E-2</v>
      </c>
      <c r="J241" s="69">
        <f t="shared" si="228"/>
        <v>0</v>
      </c>
      <c r="K241" s="2411">
        <f t="shared" si="229"/>
        <v>18.513433075459854</v>
      </c>
      <c r="L241" s="2568"/>
    </row>
    <row r="242" spans="1:12" ht="15.75" hidden="1" thickBot="1" x14ac:dyDescent="0.3">
      <c r="A242" s="623">
        <v>6</v>
      </c>
      <c r="B242" s="1905">
        <f>'DATA INPUT'!$N$8</f>
        <v>0</v>
      </c>
      <c r="C242" s="1723">
        <f>'DATA INPUT'!N47</f>
        <v>0</v>
      </c>
      <c r="D242" s="1906">
        <f t="shared" si="230"/>
        <v>0</v>
      </c>
      <c r="E242" s="621">
        <v>0.03</v>
      </c>
      <c r="F242" s="2372">
        <f>(F241*E242)+F241</f>
        <v>18.56751321102595</v>
      </c>
      <c r="G242" s="1917">
        <f t="shared" si="231"/>
        <v>3218.3070648671282</v>
      </c>
      <c r="H242" s="1920">
        <f t="shared" si="232"/>
        <v>0</v>
      </c>
      <c r="I242" s="1913">
        <f>'Reference Sheet'!$E$13</f>
        <v>2.7E-2</v>
      </c>
      <c r="J242" s="1914">
        <f t="shared" si="228"/>
        <v>0</v>
      </c>
      <c r="K242" s="2412">
        <f t="shared" si="229"/>
        <v>19.068836067723648</v>
      </c>
      <c r="L242" s="2568"/>
    </row>
    <row r="243" spans="1:12" ht="15.75" hidden="1" thickBot="1" x14ac:dyDescent="0.3">
      <c r="A243" s="226" t="s">
        <v>85</v>
      </c>
      <c r="B243" s="1908">
        <f>SUM(B237:B242)</f>
        <v>12</v>
      </c>
      <c r="C243" s="1909">
        <f>SUM(C237:C242)</f>
        <v>0</v>
      </c>
      <c r="D243" s="1910">
        <f>SUM(D237:D242)</f>
        <v>0</v>
      </c>
      <c r="H243" s="1528">
        <f>SUM(H237:H242)</f>
        <v>0</v>
      </c>
      <c r="J243" s="1466">
        <f>SUM(J237:J242)</f>
        <v>0</v>
      </c>
    </row>
    <row r="244" spans="1:12" ht="15.75" hidden="1" thickBot="1" x14ac:dyDescent="0.3"/>
    <row r="245" spans="1:12" ht="15.75" hidden="1" thickBot="1" x14ac:dyDescent="0.3">
      <c r="A245" s="64" t="str">
        <f>'DATA INPUT'!B48</f>
        <v>Hourly Student(s) #3</v>
      </c>
      <c r="B245" s="65"/>
      <c r="C245" s="65"/>
      <c r="D245" s="122"/>
      <c r="E245" s="1718"/>
      <c r="F245" s="1719"/>
      <c r="G245" s="1719"/>
      <c r="H245" s="1719"/>
      <c r="I245" s="1719"/>
      <c r="J245" s="1719"/>
      <c r="K245" s="1598"/>
    </row>
    <row r="246" spans="1:12" ht="15.75" hidden="1" thickBot="1" x14ac:dyDescent="0.3">
      <c r="A246" s="227" t="s">
        <v>91</v>
      </c>
      <c r="B246" s="481">
        <f>'DATA INPUT'!C48</f>
        <v>0</v>
      </c>
      <c r="C246" s="482"/>
      <c r="D246" s="126"/>
      <c r="F246" s="59" t="s">
        <v>89</v>
      </c>
      <c r="G246" s="2423">
        <f>'DATA INPUT'!D48</f>
        <v>15.55</v>
      </c>
      <c r="H246" s="1703"/>
      <c r="I246" s="1737"/>
      <c r="J246" s="1709"/>
      <c r="K246" s="1761"/>
    </row>
    <row r="247" spans="1:12" ht="15" hidden="1" customHeight="1" thickBot="1" x14ac:dyDescent="0.3">
      <c r="A247" s="3520" t="s">
        <v>253</v>
      </c>
      <c r="B247" s="3444" t="s">
        <v>254</v>
      </c>
      <c r="C247" s="3593" t="s">
        <v>92</v>
      </c>
      <c r="D247" s="3578" t="s">
        <v>93</v>
      </c>
      <c r="E247" s="3595" t="s">
        <v>65</v>
      </c>
      <c r="F247" s="3596"/>
      <c r="G247" s="3596"/>
      <c r="H247" s="3597" t="s">
        <v>84</v>
      </c>
      <c r="I247" s="3599" t="s">
        <v>78</v>
      </c>
      <c r="J247" s="3600"/>
      <c r="K247" s="3444" t="s">
        <v>87</v>
      </c>
    </row>
    <row r="248" spans="1:12" ht="15" hidden="1" customHeight="1" x14ac:dyDescent="0.25">
      <c r="A248" s="3521"/>
      <c r="B248" s="3445"/>
      <c r="C248" s="3594"/>
      <c r="D248" s="3579"/>
      <c r="E248" s="3444" t="s">
        <v>86</v>
      </c>
      <c r="F248" s="3444" t="s">
        <v>90</v>
      </c>
      <c r="G248" s="3444" t="s">
        <v>233</v>
      </c>
      <c r="H248" s="3598"/>
      <c r="I248" s="2212" t="s">
        <v>634</v>
      </c>
      <c r="J248" s="2213">
        <f>'Reference Sheet'!$E$13</f>
        <v>2.7E-2</v>
      </c>
      <c r="K248" s="3592"/>
      <c r="L248" s="3592"/>
    </row>
    <row r="249" spans="1:12" ht="15.75" hidden="1" thickBot="1" x14ac:dyDescent="0.3">
      <c r="A249" s="3521"/>
      <c r="B249" s="3445"/>
      <c r="C249" s="3594"/>
      <c r="D249" s="3579"/>
      <c r="E249" s="3445"/>
      <c r="F249" s="3445"/>
      <c r="G249" s="3446"/>
      <c r="H249" s="3598"/>
      <c r="I249" s="2215" t="s">
        <v>67</v>
      </c>
      <c r="J249" s="2216" t="s">
        <v>68</v>
      </c>
      <c r="K249" s="3592"/>
      <c r="L249" s="3592"/>
    </row>
    <row r="250" spans="1:12" hidden="1" x14ac:dyDescent="0.25">
      <c r="A250" s="622">
        <v>1</v>
      </c>
      <c r="B250" s="781">
        <f>'DATA INPUT'!$I$8</f>
        <v>12</v>
      </c>
      <c r="C250" s="1726">
        <f>'DATA INPUT'!I48</f>
        <v>0</v>
      </c>
      <c r="D250" s="1904">
        <f>C250*(2080/12)</f>
        <v>0</v>
      </c>
      <c r="E250" s="618">
        <v>0.03</v>
      </c>
      <c r="F250" s="2370">
        <f>(G246*E250)+G246</f>
        <v>16.016500000000001</v>
      </c>
      <c r="G250" s="1589">
        <f>173.33*F250</f>
        <v>2776.1399450000004</v>
      </c>
      <c r="H250" s="1918">
        <f>F250*D250</f>
        <v>0</v>
      </c>
      <c r="I250" s="1911">
        <f>'Reference Sheet'!$E$13</f>
        <v>2.7E-2</v>
      </c>
      <c r="J250" s="68">
        <f t="shared" ref="J250:J255" si="233">I250*H250</f>
        <v>0</v>
      </c>
      <c r="K250" s="2410">
        <f t="shared" ref="K250:K255" si="234">F250*(1+I250)</f>
        <v>16.448945500000001</v>
      </c>
      <c r="L250" s="2568"/>
    </row>
    <row r="251" spans="1:12" hidden="1" x14ac:dyDescent="0.25">
      <c r="A251" s="50">
        <v>2</v>
      </c>
      <c r="B251" s="505">
        <f>'DATA INPUT'!$J$8</f>
        <v>0</v>
      </c>
      <c r="C251" s="1721">
        <f>'DATA INPUT'!J48</f>
        <v>0</v>
      </c>
      <c r="D251" s="1604">
        <f t="shared" ref="D251:D255" si="235">C251*(2080/12)</f>
        <v>0</v>
      </c>
      <c r="E251" s="617">
        <v>0.03</v>
      </c>
      <c r="F251" s="2371">
        <f>(F250*E251)+F250</f>
        <v>16.496995000000002</v>
      </c>
      <c r="G251" s="1916">
        <f t="shared" ref="G251:G255" si="236">173.33*F251</f>
        <v>2859.4241433500006</v>
      </c>
      <c r="H251" s="1919">
        <f t="shared" ref="H251:H255" si="237">F251*D251</f>
        <v>0</v>
      </c>
      <c r="I251" s="1912">
        <f>'Reference Sheet'!$E$13</f>
        <v>2.7E-2</v>
      </c>
      <c r="J251" s="69">
        <f t="shared" si="233"/>
        <v>0</v>
      </c>
      <c r="K251" s="2411">
        <f t="shared" si="234"/>
        <v>16.942413864999999</v>
      </c>
      <c r="L251" s="2568"/>
    </row>
    <row r="252" spans="1:12" hidden="1" x14ac:dyDescent="0.25">
      <c r="A252" s="50">
        <v>3</v>
      </c>
      <c r="B252" s="505">
        <f>'DATA INPUT'!$K$8</f>
        <v>0</v>
      </c>
      <c r="C252" s="1721">
        <f>'DATA INPUT'!K48</f>
        <v>0</v>
      </c>
      <c r="D252" s="1604">
        <f t="shared" si="235"/>
        <v>0</v>
      </c>
      <c r="E252" s="617">
        <v>0.03</v>
      </c>
      <c r="F252" s="2371">
        <f>(F251*E252)+F251</f>
        <v>16.991904850000001</v>
      </c>
      <c r="G252" s="1916">
        <f t="shared" si="236"/>
        <v>2945.2068676505005</v>
      </c>
      <c r="H252" s="1919">
        <f t="shared" si="237"/>
        <v>0</v>
      </c>
      <c r="I252" s="1912">
        <f>'Reference Sheet'!$E$13</f>
        <v>2.7E-2</v>
      </c>
      <c r="J252" s="69">
        <f t="shared" si="233"/>
        <v>0</v>
      </c>
      <c r="K252" s="2411">
        <f t="shared" si="234"/>
        <v>17.450686280949999</v>
      </c>
      <c r="L252" s="2568"/>
    </row>
    <row r="253" spans="1:12" hidden="1" x14ac:dyDescent="0.25">
      <c r="A253" s="50">
        <v>4</v>
      </c>
      <c r="B253" s="505">
        <f>'DATA INPUT'!$L$8</f>
        <v>0</v>
      </c>
      <c r="C253" s="1721">
        <f>'DATA INPUT'!L48</f>
        <v>0</v>
      </c>
      <c r="D253" s="1604">
        <f t="shared" si="235"/>
        <v>0</v>
      </c>
      <c r="E253" s="617">
        <v>0.03</v>
      </c>
      <c r="F253" s="2371">
        <f>(F252*E253)+F252</f>
        <v>17.501661995500001</v>
      </c>
      <c r="G253" s="1916">
        <f t="shared" si="236"/>
        <v>3033.5630736800153</v>
      </c>
      <c r="H253" s="1919">
        <f t="shared" si="237"/>
        <v>0</v>
      </c>
      <c r="I253" s="1912">
        <f>'Reference Sheet'!$E$13</f>
        <v>2.7E-2</v>
      </c>
      <c r="J253" s="69">
        <f t="shared" si="233"/>
        <v>0</v>
      </c>
      <c r="K253" s="2411">
        <f t="shared" si="234"/>
        <v>17.974206869378499</v>
      </c>
      <c r="L253" s="2568"/>
    </row>
    <row r="254" spans="1:12" hidden="1" x14ac:dyDescent="0.25">
      <c r="A254" s="50">
        <v>5</v>
      </c>
      <c r="B254" s="505">
        <f>'DATA INPUT'!$M$8</f>
        <v>0</v>
      </c>
      <c r="C254" s="1721">
        <f>'DATA INPUT'!M48</f>
        <v>0</v>
      </c>
      <c r="D254" s="1604">
        <f t="shared" si="235"/>
        <v>0</v>
      </c>
      <c r="E254" s="617">
        <v>0.03</v>
      </c>
      <c r="F254" s="2371">
        <f>(F253*E254)+F253</f>
        <v>18.026711855365001</v>
      </c>
      <c r="G254" s="1916">
        <f t="shared" si="236"/>
        <v>3124.5699658904159</v>
      </c>
      <c r="H254" s="1919">
        <f t="shared" si="237"/>
        <v>0</v>
      </c>
      <c r="I254" s="1912">
        <f>'Reference Sheet'!$E$13</f>
        <v>2.7E-2</v>
      </c>
      <c r="J254" s="69">
        <f t="shared" si="233"/>
        <v>0</v>
      </c>
      <c r="K254" s="2411">
        <f t="shared" si="234"/>
        <v>18.513433075459854</v>
      </c>
      <c r="L254" s="2568"/>
    </row>
    <row r="255" spans="1:12" ht="15.75" hidden="1" thickBot="1" x14ac:dyDescent="0.3">
      <c r="A255" s="623">
        <v>6</v>
      </c>
      <c r="B255" s="1905">
        <f>'DATA INPUT'!$N$8</f>
        <v>0</v>
      </c>
      <c r="C255" s="1723">
        <f>'DATA INPUT'!N48</f>
        <v>0</v>
      </c>
      <c r="D255" s="1906">
        <f t="shared" si="235"/>
        <v>0</v>
      </c>
      <c r="E255" s="621">
        <v>0.03</v>
      </c>
      <c r="F255" s="2372">
        <f>(F254*E255)+F254</f>
        <v>18.56751321102595</v>
      </c>
      <c r="G255" s="1917">
        <f t="shared" si="236"/>
        <v>3218.3070648671282</v>
      </c>
      <c r="H255" s="1920">
        <f t="shared" si="237"/>
        <v>0</v>
      </c>
      <c r="I255" s="1913">
        <f>'Reference Sheet'!$E$13</f>
        <v>2.7E-2</v>
      </c>
      <c r="J255" s="1914">
        <f t="shared" si="233"/>
        <v>0</v>
      </c>
      <c r="K255" s="2412">
        <f t="shared" si="234"/>
        <v>19.068836067723648</v>
      </c>
      <c r="L255" s="2568"/>
    </row>
    <row r="256" spans="1:12" ht="15.75" hidden="1" thickBot="1" x14ac:dyDescent="0.3">
      <c r="A256" s="226" t="s">
        <v>85</v>
      </c>
      <c r="B256" s="1908">
        <f>SUM(B250:B255)</f>
        <v>12</v>
      </c>
      <c r="C256" s="1909">
        <f>SUM(C250:C255)</f>
        <v>0</v>
      </c>
      <c r="D256" s="1910">
        <f>SUM(D250:D255)</f>
        <v>0</v>
      </c>
      <c r="H256" s="1528">
        <f>SUM(H250:H255)</f>
        <v>0</v>
      </c>
      <c r="J256" s="1466">
        <f>SUM(J250:J255)</f>
        <v>0</v>
      </c>
    </row>
    <row r="257" hidden="1" x14ac:dyDescent="0.25"/>
  </sheetData>
  <mergeCells count="314">
    <mergeCell ref="T2:U2"/>
    <mergeCell ref="W3:W4"/>
    <mergeCell ref="Y3:Y4"/>
    <mergeCell ref="L235:L236"/>
    <mergeCell ref="L248:L249"/>
    <mergeCell ref="J3:K3"/>
    <mergeCell ref="J50:J52"/>
    <mergeCell ref="N9:N10"/>
    <mergeCell ref="O9:O10"/>
    <mergeCell ref="P9:P10"/>
    <mergeCell ref="Q9:Q10"/>
    <mergeCell ref="I221:J221"/>
    <mergeCell ref="I234:J234"/>
    <mergeCell ref="K64:L64"/>
    <mergeCell ref="Q65:Q66"/>
    <mergeCell ref="N93:N94"/>
    <mergeCell ref="O93:O94"/>
    <mergeCell ref="P93:P94"/>
    <mergeCell ref="Q93:Q94"/>
    <mergeCell ref="P121:P122"/>
    <mergeCell ref="Q121:Q122"/>
    <mergeCell ref="P149:P150"/>
    <mergeCell ref="Q149:Q150"/>
    <mergeCell ref="N191:N192"/>
    <mergeCell ref="K234:K236"/>
    <mergeCell ref="T9:T10"/>
    <mergeCell ref="K8:L8"/>
    <mergeCell ref="K22:L22"/>
    <mergeCell ref="N23:N24"/>
    <mergeCell ref="O23:O24"/>
    <mergeCell ref="O51:O52"/>
    <mergeCell ref="P51:P52"/>
    <mergeCell ref="Q51:Q52"/>
    <mergeCell ref="T51:T52"/>
    <mergeCell ref="P23:P24"/>
    <mergeCell ref="Q23:Q24"/>
    <mergeCell ref="T23:T24"/>
    <mergeCell ref="N37:N38"/>
    <mergeCell ref="O37:O38"/>
    <mergeCell ref="P37:P38"/>
    <mergeCell ref="Q37:Q38"/>
    <mergeCell ref="T37:T38"/>
    <mergeCell ref="K50:L50"/>
    <mergeCell ref="K221:K223"/>
    <mergeCell ref="T65:T66"/>
    <mergeCell ref="T93:T94"/>
    <mergeCell ref="N107:N108"/>
    <mergeCell ref="O107:O108"/>
    <mergeCell ref="A2:B2"/>
    <mergeCell ref="C2:D2"/>
    <mergeCell ref="F2:G2"/>
    <mergeCell ref="C8:C10"/>
    <mergeCell ref="E8:I8"/>
    <mergeCell ref="E9:E10"/>
    <mergeCell ref="F9:F10"/>
    <mergeCell ref="H9:H10"/>
    <mergeCell ref="I9:I10"/>
    <mergeCell ref="D8:D10"/>
    <mergeCell ref="G9:G10"/>
    <mergeCell ref="A9:A10"/>
    <mergeCell ref="E7:F7"/>
    <mergeCell ref="E21:F21"/>
    <mergeCell ref="J8:J10"/>
    <mergeCell ref="B50:B52"/>
    <mergeCell ref="B8:B10"/>
    <mergeCell ref="H51:H52"/>
    <mergeCell ref="E35:F35"/>
    <mergeCell ref="J22:J24"/>
    <mergeCell ref="J36:J38"/>
    <mergeCell ref="E22:I22"/>
    <mergeCell ref="E23:E24"/>
    <mergeCell ref="F23:F24"/>
    <mergeCell ref="G23:G24"/>
    <mergeCell ref="I23:I24"/>
    <mergeCell ref="A23:A24"/>
    <mergeCell ref="B22:B24"/>
    <mergeCell ref="C22:C24"/>
    <mergeCell ref="D22:D24"/>
    <mergeCell ref="A216:K216"/>
    <mergeCell ref="A37:A38"/>
    <mergeCell ref="E49:F49"/>
    <mergeCell ref="B36:B38"/>
    <mergeCell ref="E37:E38"/>
    <mergeCell ref="F37:F38"/>
    <mergeCell ref="C50:C52"/>
    <mergeCell ref="D50:D52"/>
    <mergeCell ref="E50:I50"/>
    <mergeCell ref="C36:C38"/>
    <mergeCell ref="D36:D38"/>
    <mergeCell ref="E36:I36"/>
    <mergeCell ref="H23:H24"/>
    <mergeCell ref="H37:H38"/>
    <mergeCell ref="K36:L36"/>
    <mergeCell ref="G37:G38"/>
    <mergeCell ref="I37:I38"/>
    <mergeCell ref="F51:F52"/>
    <mergeCell ref="G51:G52"/>
    <mergeCell ref="I51:I52"/>
    <mergeCell ref="A51:A52"/>
    <mergeCell ref="D221:D223"/>
    <mergeCell ref="C221:C223"/>
    <mergeCell ref="E221:G221"/>
    <mergeCell ref="G235:G236"/>
    <mergeCell ref="C234:C236"/>
    <mergeCell ref="E234:G234"/>
    <mergeCell ref="H221:H223"/>
    <mergeCell ref="G222:G223"/>
    <mergeCell ref="F222:F223"/>
    <mergeCell ref="E235:E236"/>
    <mergeCell ref="F235:F236"/>
    <mergeCell ref="A79:A80"/>
    <mergeCell ref="H121:H122"/>
    <mergeCell ref="A135:A136"/>
    <mergeCell ref="E147:F147"/>
    <mergeCell ref="B148:B150"/>
    <mergeCell ref="A93:A94"/>
    <mergeCell ref="B64:B66"/>
    <mergeCell ref="C64:C66"/>
    <mergeCell ref="D64:D66"/>
    <mergeCell ref="E93:E94"/>
    <mergeCell ref="F93:F94"/>
    <mergeCell ref="G93:G94"/>
    <mergeCell ref="A107:A108"/>
    <mergeCell ref="B221:B223"/>
    <mergeCell ref="A221:A223"/>
    <mergeCell ref="A234:A236"/>
    <mergeCell ref="B234:B236"/>
    <mergeCell ref="H234:H236"/>
    <mergeCell ref="D234:D236"/>
    <mergeCell ref="A247:A249"/>
    <mergeCell ref="B247:B249"/>
    <mergeCell ref="B120:B122"/>
    <mergeCell ref="C120:C122"/>
    <mergeCell ref="D120:D122"/>
    <mergeCell ref="A121:A122"/>
    <mergeCell ref="A149:A150"/>
    <mergeCell ref="A163:A164"/>
    <mergeCell ref="B176:B178"/>
    <mergeCell ref="C176:C178"/>
    <mergeCell ref="D176:D178"/>
    <mergeCell ref="E176:I176"/>
    <mergeCell ref="A205:A206"/>
    <mergeCell ref="E205:E206"/>
    <mergeCell ref="F205:F206"/>
    <mergeCell ref="G205:G206"/>
    <mergeCell ref="H205:H206"/>
    <mergeCell ref="K247:K249"/>
    <mergeCell ref="E248:E249"/>
    <mergeCell ref="F248:F249"/>
    <mergeCell ref="G248:G249"/>
    <mergeCell ref="C247:C249"/>
    <mergeCell ref="E247:G247"/>
    <mergeCell ref="H247:H249"/>
    <mergeCell ref="D247:D249"/>
    <mergeCell ref="I247:J247"/>
    <mergeCell ref="E222:E223"/>
    <mergeCell ref="N51:N52"/>
    <mergeCell ref="E63:F63"/>
    <mergeCell ref="E64:I64"/>
    <mergeCell ref="J64:J66"/>
    <mergeCell ref="E91:F91"/>
    <mergeCell ref="E51:E52"/>
    <mergeCell ref="L222:L223"/>
    <mergeCell ref="E119:F119"/>
    <mergeCell ref="E120:I120"/>
    <mergeCell ref="J120:J122"/>
    <mergeCell ref="K120:L120"/>
    <mergeCell ref="E121:E122"/>
    <mergeCell ref="F121:F122"/>
    <mergeCell ref="G121:G122"/>
    <mergeCell ref="E149:E150"/>
    <mergeCell ref="F149:F150"/>
    <mergeCell ref="G149:G150"/>
    <mergeCell ref="H149:H150"/>
    <mergeCell ref="I149:I150"/>
    <mergeCell ref="N149:N150"/>
    <mergeCell ref="E175:F175"/>
    <mergeCell ref="E77:F77"/>
    <mergeCell ref="F163:F164"/>
    <mergeCell ref="A65:A66"/>
    <mergeCell ref="E65:E66"/>
    <mergeCell ref="F65:F66"/>
    <mergeCell ref="G65:G66"/>
    <mergeCell ref="H65:H66"/>
    <mergeCell ref="I65:I66"/>
    <mergeCell ref="N65:N66"/>
    <mergeCell ref="O65:O66"/>
    <mergeCell ref="P65:P66"/>
    <mergeCell ref="B78:B80"/>
    <mergeCell ref="C78:C80"/>
    <mergeCell ref="D78:D80"/>
    <mergeCell ref="E78:I78"/>
    <mergeCell ref="J78:J80"/>
    <mergeCell ref="K78:L78"/>
    <mergeCell ref="Q79:Q80"/>
    <mergeCell ref="T79:T80"/>
    <mergeCell ref="E79:E80"/>
    <mergeCell ref="F79:F80"/>
    <mergeCell ref="G79:G80"/>
    <mergeCell ref="H79:H80"/>
    <mergeCell ref="I79:I80"/>
    <mergeCell ref="N79:N80"/>
    <mergeCell ref="O79:O80"/>
    <mergeCell ref="P79:P80"/>
    <mergeCell ref="P107:P108"/>
    <mergeCell ref="Q107:Q108"/>
    <mergeCell ref="T107:T108"/>
    <mergeCell ref="B92:B94"/>
    <mergeCell ref="C92:C94"/>
    <mergeCell ref="D92:D94"/>
    <mergeCell ref="E92:I92"/>
    <mergeCell ref="J92:J94"/>
    <mergeCell ref="K92:L92"/>
    <mergeCell ref="E105:F105"/>
    <mergeCell ref="B106:B108"/>
    <mergeCell ref="C106:C108"/>
    <mergeCell ref="D106:D108"/>
    <mergeCell ref="E106:I106"/>
    <mergeCell ref="J106:J108"/>
    <mergeCell ref="K106:L106"/>
    <mergeCell ref="E107:E108"/>
    <mergeCell ref="F107:F108"/>
    <mergeCell ref="G107:G108"/>
    <mergeCell ref="H107:H108"/>
    <mergeCell ref="I107:I108"/>
    <mergeCell ref="H93:H94"/>
    <mergeCell ref="I93:I94"/>
    <mergeCell ref="B134:B136"/>
    <mergeCell ref="C134:C136"/>
    <mergeCell ref="D134:D136"/>
    <mergeCell ref="E134:I134"/>
    <mergeCell ref="J134:J136"/>
    <mergeCell ref="K134:L134"/>
    <mergeCell ref="Q135:Q136"/>
    <mergeCell ref="T135:T136"/>
    <mergeCell ref="E135:E136"/>
    <mergeCell ref="F135:F136"/>
    <mergeCell ref="G135:G136"/>
    <mergeCell ref="H135:H136"/>
    <mergeCell ref="I135:I136"/>
    <mergeCell ref="N135:N136"/>
    <mergeCell ref="O135:O136"/>
    <mergeCell ref="P135:P136"/>
    <mergeCell ref="G163:G164"/>
    <mergeCell ref="H163:H164"/>
    <mergeCell ref="I163:I164"/>
    <mergeCell ref="N163:N164"/>
    <mergeCell ref="O163:O164"/>
    <mergeCell ref="P163:P164"/>
    <mergeCell ref="T121:T122"/>
    <mergeCell ref="E133:F133"/>
    <mergeCell ref="I121:I122"/>
    <mergeCell ref="N121:N122"/>
    <mergeCell ref="O121:O122"/>
    <mergeCell ref="A177:A178"/>
    <mergeCell ref="E177:E178"/>
    <mergeCell ref="F177:F178"/>
    <mergeCell ref="G177:G178"/>
    <mergeCell ref="H177:H178"/>
    <mergeCell ref="I177:I178"/>
    <mergeCell ref="N177:N178"/>
    <mergeCell ref="O149:O150"/>
    <mergeCell ref="T149:T150"/>
    <mergeCell ref="E161:F161"/>
    <mergeCell ref="B162:B164"/>
    <mergeCell ref="C162:C164"/>
    <mergeCell ref="D162:D164"/>
    <mergeCell ref="E162:I162"/>
    <mergeCell ref="J162:J164"/>
    <mergeCell ref="K162:L162"/>
    <mergeCell ref="Q163:Q164"/>
    <mergeCell ref="T163:T164"/>
    <mergeCell ref="C148:C150"/>
    <mergeCell ref="D148:D150"/>
    <mergeCell ref="E148:I148"/>
    <mergeCell ref="J148:J150"/>
    <mergeCell ref="K148:L148"/>
    <mergeCell ref="E163:E164"/>
    <mergeCell ref="O177:O178"/>
    <mergeCell ref="P177:P178"/>
    <mergeCell ref="Q177:Q178"/>
    <mergeCell ref="T177:T178"/>
    <mergeCell ref="E189:F189"/>
    <mergeCell ref="E190:I190"/>
    <mergeCell ref="J190:J192"/>
    <mergeCell ref="K190:L190"/>
    <mergeCell ref="Q191:Q192"/>
    <mergeCell ref="T191:T192"/>
    <mergeCell ref="J176:J178"/>
    <mergeCell ref="K176:L176"/>
    <mergeCell ref="O191:O192"/>
    <mergeCell ref="P191:P192"/>
    <mergeCell ref="A191:A192"/>
    <mergeCell ref="E191:E192"/>
    <mergeCell ref="F191:F192"/>
    <mergeCell ref="G191:G192"/>
    <mergeCell ref="H191:H192"/>
    <mergeCell ref="I191:I192"/>
    <mergeCell ref="B190:B192"/>
    <mergeCell ref="C190:C192"/>
    <mergeCell ref="D190:D192"/>
    <mergeCell ref="N205:N206"/>
    <mergeCell ref="O205:O206"/>
    <mergeCell ref="P205:P206"/>
    <mergeCell ref="Q205:Q206"/>
    <mergeCell ref="T205:T206"/>
    <mergeCell ref="E203:F203"/>
    <mergeCell ref="B204:B206"/>
    <mergeCell ref="C204:C206"/>
    <mergeCell ref="D204:D206"/>
    <mergeCell ref="E204:I204"/>
    <mergeCell ref="J204:J206"/>
    <mergeCell ref="K204:L204"/>
    <mergeCell ref="I205:I206"/>
  </mergeCells>
  <dataValidations disablePrompts="1" count="6">
    <dataValidation type="list" allowBlank="1" showInputMessage="1" sqref="K34 K20 K48 K6 K90 K76 K104 K62 K146 K132 K160 K118 K202 K188 K174" xr:uid="{00000000-0002-0000-0600-000000000000}">
      <formula1>ApptFTE</formula1>
    </dataValidation>
    <dataValidation type="list" allowBlank="1" showInputMessage="1" sqref="B246 B233 B220" xr:uid="{00000000-0002-0000-0600-000001000000}">
      <formula1>Unit</formula1>
    </dataValidation>
    <dataValidation type="list" allowBlank="1" showInputMessage="1" prompt="Select COE School or other unit" sqref="C7 C21 C35 C49 C63 C77 C91 C105 C119 C133 C147 C161 C175 C189 C203" xr:uid="{00000000-0002-0000-0600-000002000000}">
      <formula1>Unit</formula1>
    </dataValidation>
    <dataValidation type="list" allowBlank="1" showInputMessage="1" sqref="F202 C20 F174 F20 C6 C34 F6 F34 C202 C104 C160 C118 F160 C146 C188 F104 C48 C76 C62 F76 F48 C90 F62 F90 C174 C132 F188 F118 F132 F146" xr:uid="{00000000-0002-0000-0600-000003000000}">
      <formula1>OtherTitles</formula1>
    </dataValidation>
    <dataValidation allowBlank="1" showInputMessage="1" showErrorMessage="1" sqref="C233 C246" xr:uid="{00000000-0002-0000-0600-000004000000}"/>
    <dataValidation type="list" allowBlank="1" showInputMessage="1" showErrorMessage="1" sqref="F220 F233" xr:uid="{00000000-0002-0000-0600-000005000000}">
      <formula1>$G$3:$G$10</formula1>
    </dataValidation>
  </dataValidations>
  <hyperlinks>
    <hyperlink ref="D217" r:id="rId1" xr:uid="{00000000-0004-0000-0600-000000000000}"/>
    <hyperlink ref="D218" r:id="rId2" xr:uid="{4AAEA053-BA18-4487-A8E1-8AF6D4438A33}"/>
  </hyperlinks>
  <pageMargins left="0.7" right="0.7" top="0.75" bottom="0.75" header="0.3" footer="0.3"/>
  <pageSetup orientation="portrait" horizontalDpi="1200" verticalDpi="1200" r:id="rId3"/>
  <ignoredErrors>
    <ignoredError sqref="P32:P34 P46:P48 P60:P62 P74:P76 P88:P90 P102:P104 P116:P118 P130:P132 P144:P146 P158:P160 P172:P174 P186:P188 P200:P202 P36:P38 P50:P52 P64:P66 P78:P80 P92:P94 P106:P108 P120:P122 P134:P136 P148:P150 P162:P164 P176:P178 P190:P192 P204:P206" formula="1"/>
  </ignoredErrors>
  <legacyDrawing r:id="rId4"/>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600-00000B000000}">
          <x14:formula1>
            <xm:f>'Reference Sheet'!$K$4:$K$13</xm:f>
          </x14:formula1>
          <xm:sqref>F246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theme="9" tint="0.59999389629810485"/>
  </sheetPr>
  <dimension ref="A1:AI440"/>
  <sheetViews>
    <sheetView showGridLines="0" showZeros="0" zoomScaleNormal="100" workbookViewId="0">
      <selection activeCell="G12" sqref="G12"/>
    </sheetView>
  </sheetViews>
  <sheetFormatPr defaultColWidth="9.140625" defaultRowHeight="15" x14ac:dyDescent="0.25"/>
  <cols>
    <col min="1" max="1" width="7.42578125" customWidth="1"/>
    <col min="2" max="2" width="10.7109375" customWidth="1"/>
    <col min="3" max="3" width="9.7109375" customWidth="1"/>
    <col min="4" max="4" width="12.28515625" customWidth="1"/>
    <col min="5" max="5" width="9.28515625" customWidth="1"/>
    <col min="6" max="6" width="9.85546875" customWidth="1"/>
    <col min="7" max="7" width="11.140625" bestFit="1" customWidth="1"/>
    <col min="8" max="8" width="13" customWidth="1"/>
    <col min="9" max="9" width="12.85546875" customWidth="1"/>
    <col min="10" max="10" width="10" bestFit="1" customWidth="1"/>
    <col min="11" max="18" width="12.7109375" customWidth="1"/>
    <col min="19" max="19" width="11.5703125" customWidth="1"/>
    <col min="20" max="20" width="10" customWidth="1"/>
    <col min="21" max="21" width="11.7109375" customWidth="1"/>
    <col min="22" max="22" width="12.85546875" customWidth="1"/>
    <col min="23" max="23" width="9.7109375" bestFit="1" customWidth="1"/>
    <col min="24" max="24" width="11" customWidth="1"/>
    <col min="25" max="25" width="10.85546875" customWidth="1"/>
    <col min="26" max="27" width="11.42578125" customWidth="1"/>
    <col min="28" max="33" width="11.5703125" customWidth="1"/>
  </cols>
  <sheetData>
    <row r="1" spans="1:35" s="448" customFormat="1" ht="45.75" thickBot="1" x14ac:dyDescent="0.3">
      <c r="A1" s="657"/>
      <c r="B1" s="657"/>
      <c r="C1" s="658"/>
      <c r="D1" s="658"/>
      <c r="E1" s="657"/>
      <c r="F1" s="658"/>
      <c r="G1" s="658"/>
      <c r="H1" s="331"/>
      <c r="I1" s="331"/>
      <c r="J1" s="331"/>
      <c r="K1" s="450" t="str">
        <f>Budget!D$12</f>
        <v>Period 1</v>
      </c>
      <c r="L1" s="450" t="str">
        <f>Budget!E$12</f>
        <v>Period 2</v>
      </c>
      <c r="M1" s="450" t="str">
        <f>Budget!F$12</f>
        <v>Period 3</v>
      </c>
      <c r="N1" s="450" t="str">
        <f>Budget!G$12</f>
        <v>Period 4</v>
      </c>
      <c r="O1" s="450" t="str">
        <f>Budget!H$12</f>
        <v>Period 5</v>
      </c>
      <c r="P1" s="450" t="str">
        <f>Budget!I$12</f>
        <v>Period 6</v>
      </c>
      <c r="Q1" s="331" t="str">
        <f>Budget!J$12</f>
        <v>Total</v>
      </c>
      <c r="R1"/>
      <c r="S1" s="3077" t="s">
        <v>291</v>
      </c>
      <c r="T1" s="3077"/>
      <c r="U1" s="508" t="s">
        <v>286</v>
      </c>
      <c r="V1"/>
      <c r="W1" s="1749" t="s">
        <v>290</v>
      </c>
    </row>
    <row r="2" spans="1:35" ht="15.75" customHeight="1" thickBot="1" x14ac:dyDescent="0.3">
      <c r="A2" s="3604" t="s">
        <v>94</v>
      </c>
      <c r="B2" s="3605"/>
      <c r="C2" s="3532">
        <f>Budget!C4</f>
        <v>46478</v>
      </c>
      <c r="D2" s="3532"/>
      <c r="E2" s="70" t="s">
        <v>95</v>
      </c>
      <c r="F2" s="3532">
        <f>Budget!C5</f>
        <v>46843</v>
      </c>
      <c r="G2" s="3533"/>
      <c r="H2" s="61"/>
      <c r="I2" s="1128" t="s">
        <v>467</v>
      </c>
      <c r="J2" s="755"/>
      <c r="K2" s="449">
        <f ca="1">Budget!EL$295</f>
        <v>50000</v>
      </c>
      <c r="L2" s="449">
        <f ca="1">Budget!EM$295</f>
        <v>0</v>
      </c>
      <c r="M2" s="449">
        <f ca="1">Budget!EN$295</f>
        <v>0</v>
      </c>
      <c r="N2" s="449">
        <f ca="1">Budget!EO$295</f>
        <v>0</v>
      </c>
      <c r="O2" s="449">
        <f ca="1">Budget!EP$295</f>
        <v>0</v>
      </c>
      <c r="P2" s="449">
        <f ca="1">Budget!EQ$295</f>
        <v>0</v>
      </c>
      <c r="Q2" s="513">
        <f ca="1">SUM(K2:P2)</f>
        <v>50000</v>
      </c>
      <c r="S2" s="1747" t="s">
        <v>288</v>
      </c>
      <c r="T2" s="506">
        <f>'Reference Sheet'!$D$20</f>
        <v>46204</v>
      </c>
      <c r="U2" s="507" t="s">
        <v>287</v>
      </c>
      <c r="V2" s="3070" t="s">
        <v>285</v>
      </c>
      <c r="W2" s="1750" t="s">
        <v>475</v>
      </c>
    </row>
    <row r="3" spans="1:35" ht="15.75" thickBot="1" x14ac:dyDescent="0.3">
      <c r="A3" s="660"/>
      <c r="B3" s="660"/>
      <c r="C3" s="661"/>
      <c r="D3" s="661"/>
      <c r="E3" s="660"/>
      <c r="F3" s="661"/>
      <c r="G3" s="661"/>
      <c r="H3" s="61"/>
      <c r="I3" s="3606" t="s">
        <v>302</v>
      </c>
      <c r="J3" s="3607"/>
      <c r="K3" s="654">
        <f>Budget!$D$11</f>
        <v>12</v>
      </c>
      <c r="L3" s="654">
        <f>Budget!$E$11</f>
        <v>0</v>
      </c>
      <c r="M3" s="654">
        <f>Budget!$F$11</f>
        <v>0</v>
      </c>
      <c r="N3" s="654">
        <f>Budget!$G$11</f>
        <v>0</v>
      </c>
      <c r="O3" s="654">
        <f>Budget!$H$11</f>
        <v>0</v>
      </c>
      <c r="P3" s="654">
        <f>Budget!$I$11</f>
        <v>0</v>
      </c>
      <c r="Q3" s="655">
        <f>SUM(K3:P3)</f>
        <v>12</v>
      </c>
      <c r="S3" s="1747" t="s">
        <v>289</v>
      </c>
      <c r="T3" s="506">
        <f>'Reference Sheet'!$D$21</f>
        <v>46568</v>
      </c>
      <c r="U3" s="506">
        <f>'DATA INPUT'!$C$4</f>
        <v>46478</v>
      </c>
      <c r="V3" s="3070"/>
      <c r="W3" s="1751">
        <f>DATE(YEAR($T$3)+1, MONTH($T$3),DAY($T$3))</f>
        <v>46934</v>
      </c>
    </row>
    <row r="4" spans="1:35" ht="19.5" thickBot="1" x14ac:dyDescent="0.35">
      <c r="A4" s="451" t="s">
        <v>251</v>
      </c>
      <c r="B4" s="452"/>
      <c r="C4" s="452"/>
      <c r="D4" s="452"/>
      <c r="E4" s="667"/>
      <c r="N4" s="504"/>
      <c r="O4" s="504"/>
      <c r="P4" s="504"/>
      <c r="Q4" s="504"/>
      <c r="W4" s="504"/>
      <c r="Y4" t="str">
        <f>'Reference Sheet'!O20</f>
        <v>OSU College of Engineering tuition/fees:</v>
      </c>
      <c r="Z4" s="1764"/>
      <c r="AA4" s="1764"/>
      <c r="AE4" s="60"/>
      <c r="AF4" s="60"/>
    </row>
    <row r="5" spans="1:35" ht="30.75" thickBot="1" x14ac:dyDescent="0.3">
      <c r="D5" s="58"/>
      <c r="I5" s="58"/>
      <c r="M5" s="514"/>
      <c r="P5" s="3082" t="s">
        <v>840</v>
      </c>
      <c r="Q5" s="2624"/>
      <c r="S5" s="504"/>
      <c r="T5" s="1590" t="s">
        <v>276</v>
      </c>
      <c r="U5" s="3078" t="s">
        <v>303</v>
      </c>
      <c r="V5" s="1590" t="s">
        <v>1075</v>
      </c>
      <c r="Y5" s="2092"/>
      <c r="Z5" s="2093" t="str">
        <f>'Reference Sheet'!P21</f>
        <v>AY 2026-27</v>
      </c>
      <c r="AA5" s="2093" t="str">
        <f>'Reference Sheet'!Q21</f>
        <v>AY 2027-28</v>
      </c>
      <c r="AB5" s="2093" t="str">
        <f>'Reference Sheet'!R21</f>
        <v>AY 2028-29</v>
      </c>
      <c r="AC5" s="2093" t="str">
        <f>'Reference Sheet'!S21</f>
        <v>AY 2029-30</v>
      </c>
      <c r="AD5" s="2093" t="str">
        <f>'Reference Sheet'!T21</f>
        <v>AY 2030-31</v>
      </c>
      <c r="AE5" s="2093" t="str">
        <f>'Reference Sheet'!U21</f>
        <v>AY 2031-32</v>
      </c>
      <c r="AF5" s="2093" t="str">
        <f>'Reference Sheet'!V21</f>
        <v>AY 2032-33</v>
      </c>
      <c r="AG5" s="2094" t="str">
        <f>'Reference Sheet'!W21</f>
        <v>Inflation</v>
      </c>
      <c r="AI5" s="51"/>
    </row>
    <row r="6" spans="1:35" ht="15.75" thickBot="1" x14ac:dyDescent="0.3">
      <c r="A6" s="64" t="str">
        <f>'DATA INPUT'!B29</f>
        <v>GA #01 / Sponsor Funds</v>
      </c>
      <c r="B6" s="64"/>
      <c r="C6" s="65"/>
      <c r="D6" s="65"/>
      <c r="E6" s="65"/>
      <c r="F6" s="65"/>
      <c r="G6" s="65"/>
      <c r="H6" s="65"/>
      <c r="I6" s="65"/>
      <c r="J6" s="65"/>
      <c r="K6" s="65"/>
      <c r="L6" s="65"/>
      <c r="M6" s="65"/>
      <c r="N6" s="1598"/>
      <c r="P6" s="1714" t="s">
        <v>527</v>
      </c>
      <c r="Q6" s="1792">
        <f>'Reference Sheet'!E25</f>
        <v>0.02</v>
      </c>
      <c r="S6" s="509" t="s">
        <v>546</v>
      </c>
      <c r="T6" s="1604">
        <f t="shared" ref="T6:T20" ca="1" si="0">OFFSET($H$7,29*(ROW()-ROW(T$6)),0)</f>
        <v>0.4</v>
      </c>
      <c r="U6" s="1790">
        <f t="shared" ref="U6:U20" ca="1" si="1">IF(V6=1,IF(T6&lt;$T$21,T6/$T$21,1),1)</f>
        <v>1</v>
      </c>
      <c r="V6" s="1605">
        <f>'DATA INPUT'!H29</f>
        <v>1</v>
      </c>
      <c r="Y6" s="2095" t="s">
        <v>296</v>
      </c>
      <c r="Z6" s="775">
        <f>'Reference Sheet'!P22</f>
        <v>2027</v>
      </c>
      <c r="AA6" s="775">
        <f>'Reference Sheet'!Q22</f>
        <v>2028</v>
      </c>
      <c r="AB6" s="775">
        <f>'Reference Sheet'!R22</f>
        <v>2029</v>
      </c>
      <c r="AC6" s="775">
        <f>'Reference Sheet'!S22</f>
        <v>2030</v>
      </c>
      <c r="AD6" s="775">
        <f>'Reference Sheet'!T22</f>
        <v>2031</v>
      </c>
      <c r="AE6" s="775">
        <f>'Reference Sheet'!U22</f>
        <v>2032</v>
      </c>
      <c r="AF6" s="775">
        <f>'Reference Sheet'!V22</f>
        <v>2033</v>
      </c>
      <c r="AG6" s="776"/>
      <c r="AH6" s="1763"/>
    </row>
    <row r="7" spans="1:35" ht="15.75" thickBot="1" x14ac:dyDescent="0.3">
      <c r="A7" s="3620" t="s">
        <v>80</v>
      </c>
      <c r="B7" s="3621"/>
      <c r="C7" s="1712" t="str">
        <f>'DATA INPUT'!C29</f>
        <v>EECS</v>
      </c>
      <c r="E7" s="1760" t="s">
        <v>135</v>
      </c>
      <c r="F7" s="1761" t="str">
        <f>'DATA INPUT'!E29</f>
        <v>PhD</v>
      </c>
      <c r="G7" s="1760" t="s">
        <v>82</v>
      </c>
      <c r="H7" s="1734">
        <f>'DATA INPUT'!F29</f>
        <v>0.4</v>
      </c>
      <c r="I7" s="1737" t="s">
        <v>88</v>
      </c>
      <c r="J7" s="1746">
        <v>71760</v>
      </c>
      <c r="K7" s="1746"/>
      <c r="L7" s="66"/>
      <c r="M7" s="1712"/>
      <c r="N7" s="1762"/>
      <c r="S7" s="509" t="s">
        <v>547</v>
      </c>
      <c r="T7" s="1604">
        <f t="shared" ca="1" si="0"/>
        <v>0.49</v>
      </c>
      <c r="U7" s="1790">
        <f t="shared" si="1"/>
        <v>1</v>
      </c>
      <c r="V7" s="1605">
        <f>'DATA INPUT'!H30</f>
        <v>0</v>
      </c>
      <c r="Y7" s="2096" t="str">
        <f>'Reference Sheet'!O23</f>
        <v>AY Tuition</v>
      </c>
      <c r="Z7" s="1995">
        <f>'Reference Sheet'!P23</f>
        <v>5748</v>
      </c>
      <c r="AA7" s="1995">
        <f>'Reference Sheet'!Q23</f>
        <v>5920.44</v>
      </c>
      <c r="AB7" s="1995">
        <f>'Reference Sheet'!R23</f>
        <v>6098.0531999999994</v>
      </c>
      <c r="AC7" s="1995">
        <f>'Reference Sheet'!S23</f>
        <v>6280.994795999999</v>
      </c>
      <c r="AD7" s="1995">
        <f>'Reference Sheet'!T23</f>
        <v>6469.4246398799987</v>
      </c>
      <c r="AE7" s="1995">
        <f>'Reference Sheet'!U23</f>
        <v>6663.507379076399</v>
      </c>
      <c r="AF7" s="1995">
        <f>'Reference Sheet'!V23</f>
        <v>6863.4126004486907</v>
      </c>
      <c r="AG7" s="1775">
        <f>'Reference Sheet'!W23</f>
        <v>0.03</v>
      </c>
      <c r="AH7" s="1763"/>
      <c r="AI7" s="1729"/>
    </row>
    <row r="8" spans="1:35" ht="16.5" customHeight="1" thickBot="1" x14ac:dyDescent="0.3">
      <c r="A8" s="1716"/>
      <c r="B8" s="3445" t="s">
        <v>254</v>
      </c>
      <c r="C8" s="3560" t="s">
        <v>517</v>
      </c>
      <c r="D8" s="3444" t="s">
        <v>518</v>
      </c>
      <c r="E8" s="3445" t="s">
        <v>519</v>
      </c>
      <c r="F8" s="3445" t="s">
        <v>521</v>
      </c>
      <c r="G8" s="3614" t="s">
        <v>65</v>
      </c>
      <c r="H8" s="3614"/>
      <c r="I8" s="3614"/>
      <c r="J8" s="3614"/>
      <c r="K8" s="3445" t="s">
        <v>84</v>
      </c>
      <c r="L8" s="1996" t="s">
        <v>78</v>
      </c>
      <c r="M8" s="1997"/>
      <c r="N8" s="3558" t="s">
        <v>87</v>
      </c>
      <c r="S8" s="509" t="s">
        <v>548</v>
      </c>
      <c r="T8" s="1604">
        <f t="shared" ca="1" si="0"/>
        <v>0.49</v>
      </c>
      <c r="U8" s="1790">
        <f t="shared" si="1"/>
        <v>1</v>
      </c>
      <c r="V8" s="1605">
        <f>'DATA INPUT'!H31</f>
        <v>0</v>
      </c>
      <c r="Y8" s="2097" t="str">
        <f>'Reference Sheet'!O24</f>
        <v>SU Tuition</v>
      </c>
      <c r="Z8" s="1995">
        <f>'Reference Sheet'!P24</f>
        <v>3075</v>
      </c>
      <c r="AA8" s="1995">
        <f>'Reference Sheet'!Q24</f>
        <v>3167.25</v>
      </c>
      <c r="AB8" s="1995">
        <f>'Reference Sheet'!R24</f>
        <v>3262.2674999999999</v>
      </c>
      <c r="AC8" s="1995">
        <f>'Reference Sheet'!S24</f>
        <v>3360.1355249999997</v>
      </c>
      <c r="AD8" s="1995">
        <f>'Reference Sheet'!T24</f>
        <v>3460.9395907499998</v>
      </c>
      <c r="AE8" s="1995">
        <f>'Reference Sheet'!U24</f>
        <v>3564.7677784724997</v>
      </c>
      <c r="AF8" s="1995">
        <f>'Reference Sheet'!V24</f>
        <v>3671.7108118266747</v>
      </c>
      <c r="AG8" s="1775">
        <f>'Reference Sheet'!W24</f>
        <v>0.03</v>
      </c>
      <c r="AH8" s="1765"/>
    </row>
    <row r="9" spans="1:35" ht="15.75" customHeight="1" thickBot="1" x14ac:dyDescent="0.3">
      <c r="A9" s="3445" t="s">
        <v>253</v>
      </c>
      <c r="B9" s="3445"/>
      <c r="C9" s="3561"/>
      <c r="D9" s="3445"/>
      <c r="E9" s="3445"/>
      <c r="F9" s="3445"/>
      <c r="G9" s="3444" t="s">
        <v>86</v>
      </c>
      <c r="H9" s="3444" t="s">
        <v>59</v>
      </c>
      <c r="I9" s="3444" t="s">
        <v>60</v>
      </c>
      <c r="J9" s="3444" t="s">
        <v>66</v>
      </c>
      <c r="K9" s="3445"/>
      <c r="L9" s="1998" t="s">
        <v>616</v>
      </c>
      <c r="M9" s="1999">
        <f>'Reference Sheet'!$E$14</f>
        <v>0.28499999999999998</v>
      </c>
      <c r="N9" s="3566"/>
      <c r="S9" s="509" t="s">
        <v>549</v>
      </c>
      <c r="T9" s="1604">
        <f t="shared" ca="1" si="0"/>
        <v>0.49</v>
      </c>
      <c r="U9" s="1790">
        <f t="shared" si="1"/>
        <v>1</v>
      </c>
      <c r="V9" s="1605">
        <f>'DATA INPUT'!H32</f>
        <v>0</v>
      </c>
      <c r="Y9" s="2097" t="str">
        <f>'Reference Sheet'!O25</f>
        <v>AY Fee</v>
      </c>
      <c r="Z9" s="1995">
        <f>'Reference Sheet'!P25</f>
        <v>864.04</v>
      </c>
      <c r="AA9" s="1995">
        <f>'Reference Sheet'!Q25</f>
        <v>889.96119999999996</v>
      </c>
      <c r="AB9" s="1995">
        <f>'Reference Sheet'!R25</f>
        <v>916.66003599999999</v>
      </c>
      <c r="AC9" s="1995">
        <f>'Reference Sheet'!S25</f>
        <v>944.15983707999999</v>
      </c>
      <c r="AD9" s="1995">
        <f>'Reference Sheet'!T25</f>
        <v>972.4846321924</v>
      </c>
      <c r="AE9" s="1995">
        <f>'Reference Sheet'!U25</f>
        <v>1001.6591711581719</v>
      </c>
      <c r="AF9" s="1995">
        <f>'Reference Sheet'!V25</f>
        <v>1031.7089462929171</v>
      </c>
      <c r="AG9" s="1775">
        <f>'Reference Sheet'!W25</f>
        <v>0.03</v>
      </c>
      <c r="AH9" s="1765"/>
    </row>
    <row r="10" spans="1:35" ht="16.5" customHeight="1" thickBot="1" x14ac:dyDescent="0.3">
      <c r="A10" s="3446"/>
      <c r="B10" s="3446"/>
      <c r="C10" s="3615"/>
      <c r="D10" s="3446"/>
      <c r="E10" s="3446"/>
      <c r="F10" s="3446"/>
      <c r="G10" s="3446"/>
      <c r="H10" s="3446"/>
      <c r="I10" s="3446"/>
      <c r="J10" s="3446"/>
      <c r="K10" s="3446"/>
      <c r="L10" s="1769" t="s">
        <v>67</v>
      </c>
      <c r="M10" s="1683" t="s">
        <v>68</v>
      </c>
      <c r="N10" s="3612"/>
      <c r="S10" s="509" t="s">
        <v>550</v>
      </c>
      <c r="T10" s="1604">
        <f t="shared" ca="1" si="0"/>
        <v>0.49</v>
      </c>
      <c r="U10" s="1790">
        <f t="shared" si="1"/>
        <v>1</v>
      </c>
      <c r="V10" s="1605">
        <f>'DATA INPUT'!H33</f>
        <v>0</v>
      </c>
      <c r="Y10" s="2097" t="str">
        <f>'Reference Sheet'!O26</f>
        <v>SU Fee</v>
      </c>
      <c r="Z10" s="1995">
        <f>'Reference Sheet'!P26</f>
        <v>322</v>
      </c>
      <c r="AA10" s="1995">
        <f>'Reference Sheet'!Q26</f>
        <v>331.66</v>
      </c>
      <c r="AB10" s="1995">
        <f>'Reference Sheet'!R26</f>
        <v>341.60980000000001</v>
      </c>
      <c r="AC10" s="1995">
        <f>'Reference Sheet'!S26</f>
        <v>351.85809399999999</v>
      </c>
      <c r="AD10" s="1995">
        <f>'Reference Sheet'!T26</f>
        <v>362.41383681999997</v>
      </c>
      <c r="AE10" s="1995">
        <f>'Reference Sheet'!U26</f>
        <v>373.28625192459998</v>
      </c>
      <c r="AF10" s="1995">
        <f>'Reference Sheet'!V26</f>
        <v>384.48483948233797</v>
      </c>
      <c r="AG10" s="2997">
        <f>'Reference Sheet'!W26</f>
        <v>0.03</v>
      </c>
    </row>
    <row r="11" spans="1:35" x14ac:dyDescent="0.25">
      <c r="A11" s="1685">
        <v>1</v>
      </c>
      <c r="B11" s="1770">
        <f>$K$3</f>
        <v>12</v>
      </c>
      <c r="C11" s="1685">
        <f>'DATA INPUT'!I29</f>
        <v>0</v>
      </c>
      <c r="D11" s="1693">
        <f>IF(C11&lt;1,0,IF((B11&gt;0),'DATA INPUT'!$G$29,0))</f>
        <v>0</v>
      </c>
      <c r="E11" s="1773">
        <f t="shared" ref="E11:E16" ca="1" si="2">(D11*(2080/12))*OFFSET($H$7,29*(ROUNDUP(ROW()/29,0)-1),0)</f>
        <v>0</v>
      </c>
      <c r="F11" s="1684">
        <f t="shared" ref="F11:F16" ca="1" si="3">((D11*(2080/12))*OFFSET($H$7,29*(ROUNDUP(ROW()/29,0)-1),0))*C11</f>
        <v>0</v>
      </c>
      <c r="G11" s="1149">
        <v>0.03</v>
      </c>
      <c r="H11" s="460">
        <f>(J7*G11)+J7</f>
        <v>73912.800000000003</v>
      </c>
      <c r="I11" s="492">
        <f t="shared" ref="I11:I16" ca="1" si="4">H11/12*OFFSET($H$7,29*(ROUNDUP(ROW(H11)/29,0)-1),0)</f>
        <v>2463.7600000000002</v>
      </c>
      <c r="J11" s="2400">
        <f t="shared" ref="J11:J16" si="5">(H11/12)/(2080/12)</f>
        <v>35.535000000000004</v>
      </c>
      <c r="K11" s="1766">
        <f t="shared" ref="K11:K16" ca="1" si="6">I11*D11*C11</f>
        <v>0</v>
      </c>
      <c r="L11" s="626">
        <f>IF($U$3&lt;$T$3, M9, IF($U$3&gt;$W$3, M9+2*$Q$6, M9+$Q$6))</f>
        <v>0.28499999999999998</v>
      </c>
      <c r="M11" s="1500">
        <f t="shared" ref="M11:M16" ca="1" si="7">L11*K11</f>
        <v>0</v>
      </c>
      <c r="N11" s="2400">
        <f t="shared" ref="N11:N16" si="8">((H11/12)/(2080/12))+(((H11/12)*L11)/(2080/12))</f>
        <v>45.662475000000001</v>
      </c>
      <c r="O11" s="58" t="str">
        <f ca="1">IF(ABS(C11*D11*OFFSET($U$6,(ROUNDUP((ROW()-10)/29,0)-1),0)-3*SUM(C20:C21,F20:H21))&gt; 0.01,"Mismatch: Tuition vs Months","")</f>
        <v/>
      </c>
      <c r="S11" s="509" t="s">
        <v>551</v>
      </c>
      <c r="T11" s="1604">
        <f t="shared" ca="1" si="0"/>
        <v>0.49</v>
      </c>
      <c r="U11" s="1790">
        <f t="shared" si="1"/>
        <v>1</v>
      </c>
      <c r="V11" s="1605">
        <f>'DATA INPUT'!H34</f>
        <v>0</v>
      </c>
      <c r="Y11" s="2098" t="str">
        <f>'Reference Sheet'!O27</f>
        <v>AY is based on 12 credits; summer is based on 5 credits.</v>
      </c>
      <c r="Z11" s="2099"/>
      <c r="AA11" s="2099"/>
      <c r="AB11" s="2099"/>
      <c r="AC11" s="2099"/>
      <c r="AD11" s="2099"/>
      <c r="AE11" s="2099"/>
      <c r="AF11" s="2099"/>
      <c r="AG11" s="2099"/>
    </row>
    <row r="12" spans="1:35" ht="15.75" x14ac:dyDescent="0.25">
      <c r="A12" s="1687">
        <v>2</v>
      </c>
      <c r="B12" s="1771">
        <f>$L$3</f>
        <v>0</v>
      </c>
      <c r="C12" s="1687">
        <f>'DATA INPUT'!J29</f>
        <v>0</v>
      </c>
      <c r="D12" s="1693">
        <f>IF(C12&lt;1,0,IF((B12&gt;0),'DATA INPUT'!$G$29,0))</f>
        <v>0</v>
      </c>
      <c r="E12" s="1774">
        <f t="shared" ca="1" si="2"/>
        <v>0</v>
      </c>
      <c r="F12" s="1686">
        <f t="shared" ca="1" si="3"/>
        <v>0</v>
      </c>
      <c r="G12" s="461">
        <v>0.03</v>
      </c>
      <c r="H12" s="462">
        <f>(H11*G12)+H11</f>
        <v>76130.184000000008</v>
      </c>
      <c r="I12" s="501">
        <f t="shared" ca="1" si="4"/>
        <v>2537.6728000000003</v>
      </c>
      <c r="J12" s="2397">
        <f t="shared" si="5"/>
        <v>36.601050000000001</v>
      </c>
      <c r="K12" s="1767">
        <f t="shared" ca="1" si="6"/>
        <v>0</v>
      </c>
      <c r="L12" s="625">
        <f>L11+$Q$6</f>
        <v>0.30499999999999999</v>
      </c>
      <c r="M12" s="1541">
        <f t="shared" ca="1" si="7"/>
        <v>0</v>
      </c>
      <c r="N12" s="2398">
        <f t="shared" si="8"/>
        <v>47.764370249999999</v>
      </c>
      <c r="O12" s="58" t="str">
        <f ca="1">IF(ABS(C12*D12*OFFSET($U$6,(ROUNDUP((ROW()-10)/29,0)-1),0)-3*SUM(C22:C23,F22:H23))&gt;0.01,"Mismatch: Tuition vs Months","")</f>
        <v/>
      </c>
      <c r="S12" s="509" t="s">
        <v>552</v>
      </c>
      <c r="T12" s="1604">
        <f t="shared" ca="1" si="0"/>
        <v>0.49</v>
      </c>
      <c r="U12" s="1790">
        <f t="shared" si="1"/>
        <v>1</v>
      </c>
      <c r="V12" s="1605">
        <f>'DATA INPUT'!H35</f>
        <v>0</v>
      </c>
      <c r="AH12" s="504"/>
    </row>
    <row r="13" spans="1:35" ht="15.75" thickBot="1" x14ac:dyDescent="0.3">
      <c r="A13" s="1687">
        <v>3</v>
      </c>
      <c r="B13" s="1771">
        <f>$M$3</f>
        <v>0</v>
      </c>
      <c r="C13" s="1687">
        <f>'DATA INPUT'!K29</f>
        <v>0</v>
      </c>
      <c r="D13" s="1693">
        <f>IF(C13&lt;1,0,IF((B13&gt;0),'DATA INPUT'!$G$29,0))</f>
        <v>0</v>
      </c>
      <c r="E13" s="1774">
        <f t="shared" ca="1" si="2"/>
        <v>0</v>
      </c>
      <c r="F13" s="1686">
        <f t="shared" ca="1" si="3"/>
        <v>0</v>
      </c>
      <c r="G13" s="461">
        <v>0.03</v>
      </c>
      <c r="H13" s="462">
        <f>(H12*G13)+H12</f>
        <v>78414.089520000009</v>
      </c>
      <c r="I13" s="501">
        <f t="shared" ca="1" si="4"/>
        <v>2613.8029840000004</v>
      </c>
      <c r="J13" s="2397">
        <f t="shared" si="5"/>
        <v>37.699081500000005</v>
      </c>
      <c r="K13" s="1767">
        <f t="shared" ca="1" si="6"/>
        <v>0</v>
      </c>
      <c r="L13" s="625">
        <f>L12+$Q$6</f>
        <v>0.32500000000000001</v>
      </c>
      <c r="M13" s="1541">
        <f t="shared" ca="1" si="7"/>
        <v>0</v>
      </c>
      <c r="N13" s="2398">
        <f t="shared" si="8"/>
        <v>49.951282987500008</v>
      </c>
      <c r="O13" s="58" t="str">
        <f ca="1">IF(ABS(C13*D13*OFFSET($U$6,(ROUNDUP((ROW()-10)/29,0)-1),0)-3*SUM(C24:C25,F24:H25))&gt;0.01,"Mismatch: Tuition vs Months","")</f>
        <v/>
      </c>
      <c r="S13" s="509" t="s">
        <v>553</v>
      </c>
      <c r="T13" s="1604">
        <f t="shared" ca="1" si="0"/>
        <v>0.49</v>
      </c>
      <c r="U13" s="1790">
        <f t="shared" si="1"/>
        <v>1</v>
      </c>
      <c r="V13" s="1605">
        <f>'DATA INPUT'!H36</f>
        <v>0</v>
      </c>
      <c r="X13" s="1793"/>
      <c r="Y13" s="2554" t="s">
        <v>813</v>
      </c>
      <c r="Z13" s="2100">
        <f>'Reference Sheet'!P29</f>
        <v>2027</v>
      </c>
      <c r="AA13" s="2100">
        <f>'Reference Sheet'!Q29</f>
        <v>2028</v>
      </c>
      <c r="AB13" s="2100">
        <f>'Reference Sheet'!R29</f>
        <v>2029</v>
      </c>
      <c r="AC13" s="2100">
        <f>'Reference Sheet'!S29</f>
        <v>2030</v>
      </c>
      <c r="AD13" s="2100">
        <f>'Reference Sheet'!T29</f>
        <v>2031</v>
      </c>
      <c r="AE13" s="2100">
        <f>'Reference Sheet'!U29</f>
        <v>2032</v>
      </c>
      <c r="AF13" s="2100">
        <f>'Reference Sheet'!V29</f>
        <v>2033</v>
      </c>
      <c r="AG13" s="2100">
        <f>'Reference Sheet'!W29</f>
        <v>2034</v>
      </c>
    </row>
    <row r="14" spans="1:35" x14ac:dyDescent="0.25">
      <c r="A14" s="1687">
        <v>4</v>
      </c>
      <c r="B14" s="1771">
        <f>$N$3</f>
        <v>0</v>
      </c>
      <c r="C14" s="1687">
        <f>'DATA INPUT'!L29</f>
        <v>0</v>
      </c>
      <c r="D14" s="1693">
        <f>IF(C14&lt;1,0,IF((B14&gt;0),'DATA INPUT'!$G$29,0))</f>
        <v>0</v>
      </c>
      <c r="E14" s="1774">
        <f t="shared" ca="1" si="2"/>
        <v>0</v>
      </c>
      <c r="F14" s="1686">
        <f t="shared" ca="1" si="3"/>
        <v>0</v>
      </c>
      <c r="G14" s="461">
        <v>0.03</v>
      </c>
      <c r="H14" s="462">
        <f>(H13*G14)+H13</f>
        <v>80766.512205600011</v>
      </c>
      <c r="I14" s="501">
        <f t="shared" ca="1" si="4"/>
        <v>2692.2170735200007</v>
      </c>
      <c r="J14" s="2397">
        <f t="shared" si="5"/>
        <v>38.830053945000003</v>
      </c>
      <c r="K14" s="1767">
        <f t="shared" ca="1" si="6"/>
        <v>0</v>
      </c>
      <c r="L14" s="625">
        <f>L13+$Q$6</f>
        <v>0.34500000000000003</v>
      </c>
      <c r="M14" s="1541">
        <f t="shared" ca="1" si="7"/>
        <v>0</v>
      </c>
      <c r="N14" s="2398">
        <f t="shared" si="8"/>
        <v>52.226422556025007</v>
      </c>
      <c r="O14" s="58" t="str">
        <f ca="1">IF(ABS(C14*D14*OFFSET($U$6,(ROUNDUP((ROW()-10)/29,0)-1),0)-3*SUM(C26:C27,F26:H27))&gt;0.01,"Mismatch: Tuition vs Months","")</f>
        <v/>
      </c>
      <c r="S14" s="509" t="s">
        <v>554</v>
      </c>
      <c r="T14" s="1604">
        <f t="shared" ca="1" si="0"/>
        <v>0.49</v>
      </c>
      <c r="U14" s="1790">
        <f t="shared" si="1"/>
        <v>1</v>
      </c>
      <c r="V14" s="1605">
        <f>'DATA INPUT'!H37</f>
        <v>0</v>
      </c>
      <c r="X14" s="2101" t="s">
        <v>280</v>
      </c>
      <c r="Y14" s="2102" t="s">
        <v>17</v>
      </c>
      <c r="Z14" s="2103">
        <f>'Reference Sheet'!P30</f>
        <v>46218</v>
      </c>
      <c r="AA14" s="2103">
        <f>'Reference Sheet'!Q30</f>
        <v>46583</v>
      </c>
      <c r="AB14" s="2103">
        <f>'Reference Sheet'!R30</f>
        <v>46949</v>
      </c>
      <c r="AC14" s="2103">
        <f>'Reference Sheet'!S30</f>
        <v>47314</v>
      </c>
      <c r="AD14" s="2103">
        <f>'Reference Sheet'!T30</f>
        <v>47679</v>
      </c>
      <c r="AE14" s="2103">
        <f>'Reference Sheet'!U30</f>
        <v>48044</v>
      </c>
      <c r="AF14" s="2103">
        <f>'Reference Sheet'!V30</f>
        <v>48410</v>
      </c>
      <c r="AG14" s="2104">
        <f>'Reference Sheet'!W30</f>
        <v>48775</v>
      </c>
    </row>
    <row r="15" spans="1:35" ht="15.75" customHeight="1" x14ac:dyDescent="0.25">
      <c r="A15" s="1687">
        <v>5</v>
      </c>
      <c r="B15" s="1771">
        <f>$O$3</f>
        <v>0</v>
      </c>
      <c r="C15" s="1687">
        <f>'DATA INPUT'!M29</f>
        <v>0</v>
      </c>
      <c r="D15" s="1693">
        <f>IF(C15&lt;1,0,IF((B15&gt;0),'DATA INPUT'!$G$29,0))</f>
        <v>0</v>
      </c>
      <c r="E15" s="1774">
        <f t="shared" ca="1" si="2"/>
        <v>0</v>
      </c>
      <c r="F15" s="1686">
        <f t="shared" ca="1" si="3"/>
        <v>0</v>
      </c>
      <c r="G15" s="461">
        <v>0.03</v>
      </c>
      <c r="H15" s="462">
        <f>(H14*G15)+H14</f>
        <v>83189.507571768016</v>
      </c>
      <c r="I15" s="501">
        <f t="shared" ca="1" si="4"/>
        <v>2772.9835857256007</v>
      </c>
      <c r="J15" s="2397">
        <f t="shared" si="5"/>
        <v>39.994955563350004</v>
      </c>
      <c r="K15" s="1767">
        <f t="shared" ca="1" si="6"/>
        <v>0</v>
      </c>
      <c r="L15" s="625">
        <f>L14+$Q$6</f>
        <v>0.36500000000000005</v>
      </c>
      <c r="M15" s="1541">
        <f t="shared" ca="1" si="7"/>
        <v>0</v>
      </c>
      <c r="N15" s="2398">
        <f t="shared" si="8"/>
        <v>54.593114343972758</v>
      </c>
      <c r="O15" s="58" t="str">
        <f ca="1">IF(ABS(C15*D15*OFFSET($U$6,(ROUNDUP((ROW()-10)/29,0)-1),0)-3*SUM(C28:C29,F28:H29))&gt;0.01,"Mismatch: Tuition vs Months","")</f>
        <v/>
      </c>
      <c r="S15" s="509" t="s">
        <v>540</v>
      </c>
      <c r="T15" s="1604">
        <f t="shared" ca="1" si="0"/>
        <v>0.49</v>
      </c>
      <c r="U15" s="1790">
        <f t="shared" si="1"/>
        <v>1</v>
      </c>
      <c r="V15" s="1605">
        <f>'DATA INPUT'!H38</f>
        <v>0</v>
      </c>
      <c r="X15" s="2105" t="s">
        <v>367</v>
      </c>
      <c r="Y15" s="2106" t="s">
        <v>41</v>
      </c>
      <c r="Z15" s="2107">
        <f>'Reference Sheet'!P31</f>
        <v>46302</v>
      </c>
      <c r="AA15" s="2107">
        <f>'Reference Sheet'!Q31</f>
        <v>46667</v>
      </c>
      <c r="AB15" s="2107">
        <f>'Reference Sheet'!R31</f>
        <v>47033</v>
      </c>
      <c r="AC15" s="2107">
        <f>'Reference Sheet'!S31</f>
        <v>47398</v>
      </c>
      <c r="AD15" s="2107">
        <f>'Reference Sheet'!T31</f>
        <v>47763</v>
      </c>
      <c r="AE15" s="2107">
        <f>'Reference Sheet'!U31</f>
        <v>48128</v>
      </c>
      <c r="AF15" s="2107">
        <f>'Reference Sheet'!V31</f>
        <v>48494</v>
      </c>
      <c r="AG15" s="2108">
        <f>'Reference Sheet'!W31</f>
        <v>48859</v>
      </c>
    </row>
    <row r="16" spans="1:35" ht="15.75" customHeight="1" thickBot="1" x14ac:dyDescent="0.3">
      <c r="A16" s="1691">
        <v>6</v>
      </c>
      <c r="B16" s="1772">
        <f>$P$3</f>
        <v>0</v>
      </c>
      <c r="C16" s="1689">
        <f>'DATA INPUT'!N29</f>
        <v>0</v>
      </c>
      <c r="D16" s="1694">
        <f>IF(C16&lt;1,0,IF((B16&gt;0),'DATA INPUT'!$G$29,0))</f>
        <v>0</v>
      </c>
      <c r="E16" s="1733">
        <f t="shared" ca="1" si="2"/>
        <v>0</v>
      </c>
      <c r="F16" s="1688">
        <f t="shared" ca="1" si="3"/>
        <v>0</v>
      </c>
      <c r="G16" s="463">
        <v>0.03</v>
      </c>
      <c r="H16" s="464">
        <f>(H15*G16)+H15</f>
        <v>85685.192798921053</v>
      </c>
      <c r="I16" s="502">
        <f t="shared" ca="1" si="4"/>
        <v>2856.1730932973687</v>
      </c>
      <c r="J16" s="2413">
        <f t="shared" si="5"/>
        <v>41.194804230250504</v>
      </c>
      <c r="K16" s="1768">
        <f t="shared" ca="1" si="6"/>
        <v>0</v>
      </c>
      <c r="L16" s="627">
        <f>L15+$Q$6</f>
        <v>0.38500000000000006</v>
      </c>
      <c r="M16" s="1690">
        <f t="shared" ca="1" si="7"/>
        <v>0</v>
      </c>
      <c r="N16" s="2399">
        <f t="shared" si="8"/>
        <v>57.054803858896953</v>
      </c>
      <c r="O16" s="58" t="str">
        <f ca="1">IF(ABS(C16*D16*OFFSET($U$6,(ROUNDUP((ROW()-10)/29,0)-1),0)-3*SUM(C30:C31,F30:H31))&gt;0.01,"Mismatch: Tuition vs Months","")</f>
        <v/>
      </c>
      <c r="S16" s="509" t="s">
        <v>541</v>
      </c>
      <c r="T16" s="1604">
        <f t="shared" ca="1" si="0"/>
        <v>0.49</v>
      </c>
      <c r="U16" s="1790">
        <f t="shared" si="1"/>
        <v>1</v>
      </c>
      <c r="V16" s="1605">
        <f>'DATA INPUT'!H39</f>
        <v>0</v>
      </c>
      <c r="X16" s="712"/>
      <c r="Y16" s="2106" t="s">
        <v>42</v>
      </c>
      <c r="Z16" s="2107">
        <f>'Reference Sheet'!P32</f>
        <v>46402</v>
      </c>
      <c r="AA16" s="2107">
        <f>'Reference Sheet'!Q32</f>
        <v>46767</v>
      </c>
      <c r="AB16" s="2107">
        <f>'Reference Sheet'!R32</f>
        <v>47133</v>
      </c>
      <c r="AC16" s="2107">
        <f>'Reference Sheet'!S32</f>
        <v>47498</v>
      </c>
      <c r="AD16" s="2107">
        <f>'Reference Sheet'!T32</f>
        <v>47863</v>
      </c>
      <c r="AE16" s="2107">
        <f>'Reference Sheet'!U32</f>
        <v>48228</v>
      </c>
      <c r="AF16" s="2107">
        <f>'Reference Sheet'!V32</f>
        <v>48594</v>
      </c>
      <c r="AG16" s="2108">
        <f>'Reference Sheet'!W32</f>
        <v>48959</v>
      </c>
    </row>
    <row r="17" spans="1:33" ht="15.75" customHeight="1" thickBot="1" x14ac:dyDescent="0.3">
      <c r="A17" s="624" t="s">
        <v>85</v>
      </c>
      <c r="B17" s="519">
        <f>SUM(B11:B16)</f>
        <v>12</v>
      </c>
      <c r="C17" s="519">
        <f>SUM(C11:C16)</f>
        <v>0</v>
      </c>
      <c r="D17" s="1692">
        <f>SUM(D11:D16)</f>
        <v>0</v>
      </c>
      <c r="E17" s="1695">
        <f ca="1">SUM(E11:E16)</f>
        <v>0</v>
      </c>
      <c r="F17" s="1695">
        <f ca="1">SUM(F11:F16)</f>
        <v>0</v>
      </c>
      <c r="K17" s="1508">
        <f ca="1">SUM(K11:K16)</f>
        <v>0</v>
      </c>
      <c r="M17" s="1508">
        <f ca="1">SUM(M11:M16)</f>
        <v>0</v>
      </c>
      <c r="N17" s="60"/>
      <c r="S17" s="509" t="s">
        <v>542</v>
      </c>
      <c r="T17" s="1604">
        <f t="shared" ca="1" si="0"/>
        <v>0.49</v>
      </c>
      <c r="U17" s="1790">
        <f t="shared" si="1"/>
        <v>1</v>
      </c>
      <c r="V17" s="1605">
        <f>'DATA INPUT'!H40</f>
        <v>0</v>
      </c>
      <c r="X17" s="743"/>
      <c r="Y17" s="2109" t="s">
        <v>279</v>
      </c>
      <c r="Z17" s="2110">
        <f>'Reference Sheet'!P33</f>
        <v>46492</v>
      </c>
      <c r="AA17" s="2110">
        <f>'Reference Sheet'!Q33</f>
        <v>46858</v>
      </c>
      <c r="AB17" s="2110">
        <f>'Reference Sheet'!R33</f>
        <v>47223</v>
      </c>
      <c r="AC17" s="2110">
        <f>'Reference Sheet'!S33</f>
        <v>47588</v>
      </c>
      <c r="AD17" s="2110">
        <f>'Reference Sheet'!T33</f>
        <v>47953</v>
      </c>
      <c r="AE17" s="2110">
        <f>'Reference Sheet'!U33</f>
        <v>48319</v>
      </c>
      <c r="AF17" s="2110">
        <f>'Reference Sheet'!V33</f>
        <v>48684</v>
      </c>
      <c r="AG17" s="2111">
        <f>'Reference Sheet'!W33</f>
        <v>49049</v>
      </c>
    </row>
    <row r="18" spans="1:33" ht="15.75" thickBot="1" x14ac:dyDescent="0.3">
      <c r="M18" s="1530" t="s">
        <v>469</v>
      </c>
      <c r="S18" s="509" t="s">
        <v>543</v>
      </c>
      <c r="T18" s="1604">
        <f t="shared" ca="1" si="0"/>
        <v>0.49</v>
      </c>
      <c r="U18" s="1790">
        <f t="shared" si="1"/>
        <v>1</v>
      </c>
      <c r="V18" s="1605">
        <f>'DATA INPUT'!H41</f>
        <v>0</v>
      </c>
      <c r="X18" s="2112" t="s">
        <v>278</v>
      </c>
      <c r="Y18" s="2113" t="s">
        <v>17</v>
      </c>
      <c r="Z18" s="2114">
        <f>'Reference Sheet'!P34</f>
        <v>46259</v>
      </c>
      <c r="AA18" s="2114">
        <f>'Reference Sheet'!Q34</f>
        <v>46624</v>
      </c>
      <c r="AB18" s="2114">
        <f>'Reference Sheet'!R34</f>
        <v>46990</v>
      </c>
      <c r="AC18" s="2114">
        <f>'Reference Sheet'!S34</f>
        <v>47355</v>
      </c>
      <c r="AD18" s="2114">
        <f>'Reference Sheet'!T34</f>
        <v>47720</v>
      </c>
      <c r="AE18" s="2114">
        <f>'Reference Sheet'!U34</f>
        <v>48085</v>
      </c>
      <c r="AF18" s="2114">
        <f>'Reference Sheet'!V34</f>
        <v>48451</v>
      </c>
      <c r="AG18" s="2115">
        <f>'Reference Sheet'!W34</f>
        <v>48816</v>
      </c>
    </row>
    <row r="19" spans="1:33" ht="33.75" customHeight="1" thickBot="1" x14ac:dyDescent="0.3">
      <c r="A19" s="1990" t="s">
        <v>253</v>
      </c>
      <c r="B19" s="1990" t="s">
        <v>299</v>
      </c>
      <c r="C19" s="1979" t="s">
        <v>17</v>
      </c>
      <c r="D19" s="1980" t="s">
        <v>96</v>
      </c>
      <c r="E19" s="1981" t="s">
        <v>474</v>
      </c>
      <c r="F19" s="1991" t="s">
        <v>41</v>
      </c>
      <c r="G19" s="1992" t="s">
        <v>42</v>
      </c>
      <c r="H19" s="1992" t="s">
        <v>43</v>
      </c>
      <c r="I19" s="1992" t="s">
        <v>57</v>
      </c>
      <c r="J19" s="1993" t="s">
        <v>472</v>
      </c>
      <c r="K19" s="1980" t="s">
        <v>100</v>
      </c>
      <c r="L19" s="1991" t="s">
        <v>99</v>
      </c>
      <c r="M19" s="1994" t="s">
        <v>101</v>
      </c>
      <c r="S19" s="509" t="s">
        <v>544</v>
      </c>
      <c r="T19" s="1604">
        <f t="shared" ca="1" si="0"/>
        <v>0.49</v>
      </c>
      <c r="U19" s="1790">
        <f t="shared" si="1"/>
        <v>1</v>
      </c>
      <c r="V19" s="1605">
        <f>'DATA INPUT'!H42</f>
        <v>0</v>
      </c>
      <c r="X19" s="712"/>
      <c r="Y19" s="2116" t="s">
        <v>41</v>
      </c>
      <c r="Z19" s="2117">
        <f>'Reference Sheet'!P35</f>
        <v>46342</v>
      </c>
      <c r="AA19" s="2117">
        <f>'Reference Sheet'!Q35</f>
        <v>46707</v>
      </c>
      <c r="AB19" s="2117">
        <f>'Reference Sheet'!R35</f>
        <v>47073</v>
      </c>
      <c r="AC19" s="2117">
        <f>'Reference Sheet'!S35</f>
        <v>47438</v>
      </c>
      <c r="AD19" s="2117">
        <f>'Reference Sheet'!T35</f>
        <v>47803</v>
      </c>
      <c r="AE19" s="2117">
        <f>'Reference Sheet'!U35</f>
        <v>48168</v>
      </c>
      <c r="AF19" s="2117">
        <f>'Reference Sheet'!V35</f>
        <v>48534</v>
      </c>
      <c r="AG19" s="2118">
        <f>'Reference Sheet'!W35</f>
        <v>48899</v>
      </c>
    </row>
    <row r="20" spans="1:33" ht="15.75" thickBot="1" x14ac:dyDescent="0.3">
      <c r="A20" s="3613">
        <v>1</v>
      </c>
      <c r="B20" s="2005">
        <f>IF($C$2&lt;DATE($Z$6,4,15),$Z$6,IF($C$2&lt;DATE($AA$6,4,15),$AA$6,IF($C$2&lt;DATE($AB$6,4,15),$AB$6,IF($C$2&lt;DATE($AC$6,4,15),$AC$6,$AD$6))))</f>
        <v>2027</v>
      </c>
      <c r="C20" s="2000">
        <f ca="1">(IF($C$2&lt;=$Z$14*AND(D11&gt;=3)*AND($F$2&gt;=$Z$18),OFFSET($U$6,(ROUNDUP((ROW()-10)/29,0)-1),0),0)*IF(D11=9,0,1))*C11</f>
        <v>0</v>
      </c>
      <c r="D20" s="2921">
        <f>IF(OR($C7="COE",$C7="CCE",$C7="CBEE",$C7="EECS",$C7="MIME",$C7="NSE",$C7="PMEC"),HLOOKUP($B20,$Z$6:$AF$10,3),
IF(($C7="COB"),HLOOKUP($B20,$Z$25:$AF$27,3),
IF(($C7="CPH"),HLOOKUP($B20,$Z$31:$AF$33,3),
IF(($C7="VetMed"),HLOOKUP($B20,$Z$37:$AF$39,3),
IF(($C7="Pharm"),HLOOKUP($B20,$Z$43:$AF$45,3),
HLOOKUP($B20,$Z$49:$AF$51,3))))))</f>
        <v>3075</v>
      </c>
      <c r="E20" s="1987">
        <f ca="1">(C20*D20)+(C21*D21)</f>
        <v>0</v>
      </c>
      <c r="F20" s="1988">
        <f ca="1">IF($C$2&lt;=$Z$15*AND(D11&gt;=3)*AND($F$2&gt;=$Z$19),OFFSET($U$6,(ROUNDUP((ROW()-10)/29,0)-1),0),0)*C11</f>
        <v>0</v>
      </c>
      <c r="G20" s="1988">
        <f ca="1">IF($C$2&lt;=$Z$16*AND(D11&gt;=3)*AND($F$2&gt;=$Z$20),OFFSET($U$6,(ROUNDUP((ROW()-10)/29,0)-1),0),0)*C11</f>
        <v>0</v>
      </c>
      <c r="H20" s="1988">
        <f ca="1">G21</f>
        <v>0</v>
      </c>
      <c r="I20" s="2921">
        <f>IF(OR($C7="COE",$C7="CCE",$C7="CBEE",$C7="EECS",$C7="MIME",$C7="NSE",$C7="PMEC"),HLOOKUP($B20,$Z$6:$AF$10,2),
IF(($C7="COB"),HLOOKUP($B20,$Z$25:$AF$27,2),
IF(($C7="CPH"),HLOOKUP($B20,$Z$31:$AF$33,2),
IF(($C7="VetMed"),HLOOKUP($B20,$Z$37:$AF$39,2),
IF(($C7="Pharm"),HLOOKUP($B20,$Z$43:$AF$45,2),
HLOOKUP($B20,$Z$49:$AF$51,2))))))</f>
        <v>5748</v>
      </c>
      <c r="J20" s="1989">
        <f ca="1">((SUM(F20:H20)*I20)+(SUM(F21:H21)*I21))</f>
        <v>0</v>
      </c>
      <c r="K20" s="2552">
        <f t="shared" ref="K20:K31" ca="1" si="9">C20*HLOOKUP($B20,$Z$6:$AF$10,5)</f>
        <v>0</v>
      </c>
      <c r="L20" s="2925">
        <f t="shared" ref="L20:L31" ca="1" si="10">SUM(F20:H20)*HLOOKUP($B20,$Z$6:$AF$10,4)</f>
        <v>0</v>
      </c>
      <c r="M20" s="2926">
        <f ca="1">SUM(K20:L21)</f>
        <v>0</v>
      </c>
      <c r="S20" s="509" t="s">
        <v>545</v>
      </c>
      <c r="T20" s="3079">
        <f t="shared" ca="1" si="0"/>
        <v>0.49</v>
      </c>
      <c r="U20" s="3080">
        <f t="shared" si="1"/>
        <v>1</v>
      </c>
      <c r="V20" s="3081">
        <f>'DATA INPUT'!H43</f>
        <v>0</v>
      </c>
      <c r="X20" s="712"/>
      <c r="Y20" s="2116" t="s">
        <v>42</v>
      </c>
      <c r="Z20" s="2117">
        <f>'Reference Sheet'!P36</f>
        <v>46440</v>
      </c>
      <c r="AA20" s="2117">
        <f>'Reference Sheet'!Q36</f>
        <v>46805</v>
      </c>
      <c r="AB20" s="2117">
        <f>'Reference Sheet'!R36</f>
        <v>47171</v>
      </c>
      <c r="AC20" s="2117">
        <f>'Reference Sheet'!S36</f>
        <v>47536</v>
      </c>
      <c r="AD20" s="2117">
        <f>'Reference Sheet'!T36</f>
        <v>47901</v>
      </c>
      <c r="AE20" s="2117">
        <f>'Reference Sheet'!U36</f>
        <v>48266</v>
      </c>
      <c r="AF20" s="2117">
        <f>'Reference Sheet'!V36</f>
        <v>48632</v>
      </c>
      <c r="AG20" s="2118">
        <f>'Reference Sheet'!W36</f>
        <v>48997</v>
      </c>
    </row>
    <row r="21" spans="1:33" ht="16.5" thickBot="1" x14ac:dyDescent="0.3">
      <c r="A21" s="3609"/>
      <c r="B21" s="2006">
        <f>B20+1</f>
        <v>2028</v>
      </c>
      <c r="C21" s="2001"/>
      <c r="D21" s="2921">
        <f>IF(OR($C7="COE",$C7="CCE",$C7="CBEE",$C7="EECS",$C7="MIME",$C7="NSE",$C7="PMEC"),HLOOKUP($B21,$Z$6:$AF$10,3),
IF(($C7="COB"),HLOOKUP($B21,$Z$25:$AF$27,3),
IF(($C7="CPH"),HLOOKUP($B21,$Z$31:$AF$33,3),
IF(($C7="VetMed"),HLOOKUP($B21,$Z$37:$AF$39,3),
IF(($C7="Pharm"),HLOOKUP($B21,$Z$43:$AF$45,3),
HLOOKUP($B21,$Z$49:$AF$51,3))))))</f>
        <v>3167.25</v>
      </c>
      <c r="E21" s="1594"/>
      <c r="F21" s="511">
        <f ca="1">IF(($C$2&lt;=$AA$15)*AND(D11&gt;=3)*AND(F20=0)*AND($F$2&gt;=$AA$19),OFFSET($U$6,(ROUNDUP((ROW()-10)/29,0)-1),0),0)*C11</f>
        <v>0</v>
      </c>
      <c r="G21" s="511">
        <f ca="1">IF(($C$2&lt;=$AA$16)*AND(D11&gt;=3)*AND(G20=0)*AND($F$2&gt;=$AA$20),OFFSET($U$6,(ROUNDUP((ROW()-10)/29,0)-1),0),0)*C11</f>
        <v>0</v>
      </c>
      <c r="H21" s="511">
        <f ca="1">IF($C$2&lt;=$AA$17*AND(D11&gt;=3)*AND(H20=0)*AND($F$2&gt;=$AA$21),OFFSET($U$6,(ROUNDUP((ROW()-10)/29,0)-1),0),0)*C11</f>
        <v>0</v>
      </c>
      <c r="I21" s="2921">
        <f>IF(OR($C7="COE",$C7="CCE",$C7="CBEE",$C7="EECS",$C7="MIME",$C7="NSE",$C7="PMEC"),HLOOKUP($B21,$Z$6:$AF$10,2),
IF(($C7="COB"),HLOOKUP($B21,$Z$25:$AF$27,2),
IF(($C7="CPH"),HLOOKUP($B21,$Z$31:$AF$33,2),
IF(($C7="VetMed"),HLOOKUP($B21,$Z$37:$AF$39,2),
IF(($C7="Pharm"),HLOOKUP($B21,$Z$43:$AF$45,2),
HLOOKUP($B21,$Z$49:$AF$51,2))))))</f>
        <v>5920.44</v>
      </c>
      <c r="J21" s="612"/>
      <c r="K21" s="2553">
        <f t="shared" si="9"/>
        <v>0</v>
      </c>
      <c r="L21" s="2927">
        <f t="shared" ca="1" si="10"/>
        <v>0</v>
      </c>
      <c r="M21" s="2928"/>
      <c r="N21" s="448"/>
      <c r="T21" s="3083">
        <v>0.4</v>
      </c>
      <c r="U21" s="3084" t="s">
        <v>842</v>
      </c>
      <c r="V21" s="3085"/>
      <c r="X21" s="2119"/>
      <c r="Y21" s="2120" t="s">
        <v>279</v>
      </c>
      <c r="Z21" s="2121">
        <f>'Reference Sheet'!P37</f>
        <v>46532</v>
      </c>
      <c r="AA21" s="2121">
        <f>'Reference Sheet'!Q37</f>
        <v>46898</v>
      </c>
      <c r="AB21" s="2121">
        <f>'Reference Sheet'!R37</f>
        <v>47263</v>
      </c>
      <c r="AC21" s="2121">
        <f>'Reference Sheet'!S37</f>
        <v>47628</v>
      </c>
      <c r="AD21" s="2121">
        <f>'Reference Sheet'!T37</f>
        <v>47993</v>
      </c>
      <c r="AE21" s="2121">
        <f>'Reference Sheet'!U37</f>
        <v>48359</v>
      </c>
      <c r="AF21" s="2121">
        <f>'Reference Sheet'!V37</f>
        <v>48724</v>
      </c>
      <c r="AG21" s="2122">
        <f>'Reference Sheet'!W37</f>
        <v>49089</v>
      </c>
    </row>
    <row r="22" spans="1:33" x14ac:dyDescent="0.25">
      <c r="A22" s="3608">
        <v>2</v>
      </c>
      <c r="B22" s="2005">
        <f>B21</f>
        <v>2028</v>
      </c>
      <c r="C22" s="2123">
        <f ca="1">(IF(($AA$18&lt;$F$2)*AND(D12=12)*AND(C21=0),OFFSET($U$6,(ROUNDUP((ROW()-10)/29,0)-1),0),0))*C12</f>
        <v>0</v>
      </c>
      <c r="D22" s="2922">
        <f>D21</f>
        <v>3167.25</v>
      </c>
      <c r="E22" s="1595">
        <f ca="1">(C22*D22)+(C23*D23)</f>
        <v>0</v>
      </c>
      <c r="F22" s="510">
        <f ca="1">IF(($AA$19&lt;$F$2)*AND(D12&gt;=3)*AND(F21=0),OFFSET($U$6,(ROUNDUP((ROW()-10)/29,0)-1),0),0)*C12</f>
        <v>0</v>
      </c>
      <c r="G22" s="510">
        <f ca="1">IF(($AA$20&lt;$F$2)*AND(D12&gt;=3)*AND(G21=0),OFFSET($U$6,(ROUNDUP((ROW()-10)/29,0)-1),0),0)*C12</f>
        <v>0</v>
      </c>
      <c r="H22" s="510">
        <f ca="1">IF(($AA$21&lt;$F$2)*AND(D12&gt;=3)*AND(H21=0),OFFSET($U$6,(ROUNDUP((ROW()-10)/29,0)-1),0),0)*C12</f>
        <v>0</v>
      </c>
      <c r="I22" s="2929">
        <f>I21</f>
        <v>5920.44</v>
      </c>
      <c r="J22" s="611">
        <f ca="1">((SUM(F22:H22)*I22)+(SUM(F23:H23)*I23))</f>
        <v>0</v>
      </c>
      <c r="K22" s="2552">
        <f t="shared" ca="1" si="9"/>
        <v>0</v>
      </c>
      <c r="L22" s="2925">
        <f t="shared" ca="1" si="10"/>
        <v>0</v>
      </c>
      <c r="M22" s="2926">
        <f ca="1">SUM(K22:L23)</f>
        <v>0</v>
      </c>
    </row>
    <row r="23" spans="1:33" ht="15" customHeight="1" thickBot="1" x14ac:dyDescent="0.3">
      <c r="A23" s="3613"/>
      <c r="B23" s="2007">
        <f>B22+1</f>
        <v>2029</v>
      </c>
      <c r="C23" s="2003">
        <f ca="1">(IF(($AB$18&lt;$F$2)*AND(D12=12)*AND(C22=0),OFFSET($U$6,(ROUNDUP((ROW()-10)/29,0)-1),0),0))*C12</f>
        <v>0</v>
      </c>
      <c r="D23" s="2923">
        <f>D22+D22*$AG$8</f>
        <v>3262.2674999999999</v>
      </c>
      <c r="E23" s="1594"/>
      <c r="F23" s="511">
        <f ca="1">IF(($AB$19&lt;$F$2)*AND(D12&gt;=3)*AND(F22=0),OFFSET($U$6,(ROUNDUP((ROW()-10)/29,0)-1),0),0)*C12</f>
        <v>0</v>
      </c>
      <c r="G23" s="511">
        <f ca="1">IF(($AB$20&lt;$F$2)*AND(D12&gt;=3)*AND(G22=0),OFFSET($U$6,(ROUNDUP((ROW()-10)/29,0)-1),0),0)*C12</f>
        <v>0</v>
      </c>
      <c r="H23" s="511">
        <f ca="1">IF(($AB$21&lt;$F$2)*AND(D12&gt;=3)*AND(H22=0),OFFSET($U$6,(ROUNDUP((ROW()-10)/29,0)-1),0),0)*C12</f>
        <v>0</v>
      </c>
      <c r="I23" s="2930">
        <f>I22+I22*$AG$7</f>
        <v>6098.0531999999994</v>
      </c>
      <c r="J23" s="612"/>
      <c r="K23" s="2553">
        <f t="shared" ca="1" si="9"/>
        <v>0</v>
      </c>
      <c r="L23" s="2927">
        <f t="shared" ca="1" si="10"/>
        <v>0</v>
      </c>
      <c r="M23" s="2928"/>
      <c r="Y23" s="1983" t="s">
        <v>606</v>
      </c>
      <c r="AB23" s="1137" t="s">
        <v>607</v>
      </c>
    </row>
    <row r="24" spans="1:33" x14ac:dyDescent="0.25">
      <c r="A24" s="3608">
        <v>3</v>
      </c>
      <c r="B24" s="2005">
        <f>B23</f>
        <v>2029</v>
      </c>
      <c r="C24" s="2002">
        <f ca="1">IF(($AB$18&lt;$F$2)*AND(D13=12)*AND(C23=0),OFFSET($U$6,(ROUNDUP((ROW()-10)/29,0)-1),0),0)*C13</f>
        <v>0</v>
      </c>
      <c r="D24" s="2924">
        <f>D23</f>
        <v>3262.2674999999999</v>
      </c>
      <c r="E24" s="1595">
        <f ca="1">(C24*D24)+(C25*D25)</f>
        <v>0</v>
      </c>
      <c r="F24" s="510">
        <f ca="1">IF(($AB$19&lt;$F$2)*AND(D13&gt;=3)*AND(F23=0),OFFSET($U$6,(ROUNDUP((ROW()-10)/29,0)-1),0),0)*C13</f>
        <v>0</v>
      </c>
      <c r="G24" s="510">
        <f ca="1">IF(($AB$20&lt;$F$2)*AND(D13&gt;=3)*AND(G23=0),OFFSET($U$6,(ROUNDUP((ROW()-10)/29,0)-1),0),0)*C13</f>
        <v>0</v>
      </c>
      <c r="H24" s="510">
        <f ca="1">IF(($AB$21&lt;$F$2)*AND(D13&gt;=3)*AND(H23=0),OFFSET($U$6,(ROUNDUP((ROW()-10)/29,0)-1),0),0)*C13</f>
        <v>0</v>
      </c>
      <c r="I24" s="2929">
        <f>I23</f>
        <v>6098.0531999999994</v>
      </c>
      <c r="J24" s="611">
        <f ca="1">((SUM(F24:H24)*I24)+(SUM(F25:H25)*I25))</f>
        <v>0</v>
      </c>
      <c r="K24" s="2552">
        <f t="shared" ca="1" si="9"/>
        <v>0</v>
      </c>
      <c r="L24" s="2925">
        <f t="shared" ca="1" si="10"/>
        <v>0</v>
      </c>
      <c r="M24" s="2926">
        <f ca="1">SUM(K24:L25)</f>
        <v>0</v>
      </c>
      <c r="Y24" s="613"/>
      <c r="Z24" s="772" t="str">
        <f t="shared" ref="Z24:AF24" si="11">CONCATENATE("AY ", Z25-1, "-",Z25-2000)</f>
        <v>AY 2026-27</v>
      </c>
      <c r="AA24" s="772" t="str">
        <f t="shared" si="11"/>
        <v>AY 2027-28</v>
      </c>
      <c r="AB24" s="772" t="str">
        <f t="shared" si="11"/>
        <v>AY 2028-29</v>
      </c>
      <c r="AC24" s="772" t="str">
        <f t="shared" si="11"/>
        <v>AY 2029-30</v>
      </c>
      <c r="AD24" s="772" t="str">
        <f t="shared" si="11"/>
        <v>AY 2030-31</v>
      </c>
      <c r="AE24" s="772" t="str">
        <f t="shared" si="11"/>
        <v>AY 2031-32</v>
      </c>
      <c r="AF24" s="772" t="str">
        <f t="shared" si="11"/>
        <v>AY 2032-33</v>
      </c>
      <c r="AG24" s="773" t="s">
        <v>19</v>
      </c>
    </row>
    <row r="25" spans="1:33" ht="15.75" thickBot="1" x14ac:dyDescent="0.3">
      <c r="A25" s="3609"/>
      <c r="B25" s="2006">
        <f>B24+1</f>
        <v>2030</v>
      </c>
      <c r="C25" s="2001">
        <f ca="1">IF(($AC$18&lt;$F$2)*AND(D13=12)*AND(C24=0),OFFSET($U$6,(ROUNDUP((ROW()-10)/29,0)-1),0),0)*C13</f>
        <v>0</v>
      </c>
      <c r="D25" s="2923">
        <f>D24+D24*$AG$8</f>
        <v>3360.1355249999997</v>
      </c>
      <c r="E25" s="1594"/>
      <c r="F25" s="511">
        <f ca="1">IF(($AC$19&lt;$F$2)*AND(D13&gt;=3)*AND(F24=0),OFFSET($U$6,(ROUNDUP((ROW()-10)/29,0)-1),0),0)*C13</f>
        <v>0</v>
      </c>
      <c r="G25" s="511">
        <f ca="1">IF(($AC$20&lt;$F$2)*AND(D13&gt;=3)*AND(G24=0),OFFSET($U$6,(ROUNDUP((ROW()-10)/29,0)-1),0),0)*C13</f>
        <v>0</v>
      </c>
      <c r="H25" s="511">
        <f ca="1">IF(($AC$21&lt;$F$2)*AND(D13&gt;=3)*AND(H24=0),OFFSET($U$6,(ROUNDUP((ROW()-10)/29,0)-1),0),0)*C13</f>
        <v>0</v>
      </c>
      <c r="I25" s="2930">
        <f>I24+I24*$AG$7</f>
        <v>6280.994795999999</v>
      </c>
      <c r="J25" s="612"/>
      <c r="K25" s="2553">
        <f t="shared" ca="1" si="9"/>
        <v>0</v>
      </c>
      <c r="L25" s="2927">
        <f t="shared" ca="1" si="10"/>
        <v>0</v>
      </c>
      <c r="M25" s="2928"/>
      <c r="Y25" s="774" t="s">
        <v>296</v>
      </c>
      <c r="Z25" s="775">
        <f>'Reference Sheet'!P41</f>
        <v>2027</v>
      </c>
      <c r="AA25" s="775">
        <f>'Reference Sheet'!Q41</f>
        <v>2028</v>
      </c>
      <c r="AB25" s="775">
        <f>'Reference Sheet'!R41</f>
        <v>2029</v>
      </c>
      <c r="AC25" s="775">
        <f>'Reference Sheet'!S41</f>
        <v>2030</v>
      </c>
      <c r="AD25" s="775">
        <f>'Reference Sheet'!T41</f>
        <v>2031</v>
      </c>
      <c r="AE25" s="775">
        <f>'Reference Sheet'!U41</f>
        <v>2032</v>
      </c>
      <c r="AF25" s="775">
        <f>'Reference Sheet'!V41</f>
        <v>2033</v>
      </c>
      <c r="AG25" s="776"/>
    </row>
    <row r="26" spans="1:33" x14ac:dyDescent="0.25">
      <c r="A26" s="3613">
        <v>4</v>
      </c>
      <c r="B26" s="2008">
        <f>B25</f>
        <v>2030</v>
      </c>
      <c r="C26" s="2000">
        <f ca="1">IF(($AC$11&lt;$F$2)*AND(D14=12)*AND(C25=0),OFFSET($U$6,(ROUNDUP((ROW()-10)/29,0)-1),0),0)*C14</f>
        <v>0</v>
      </c>
      <c r="D26" s="2921">
        <f>D25</f>
        <v>3360.1355249999997</v>
      </c>
      <c r="E26" s="1595">
        <f ca="1">(C26*D26)+(C27*D27)</f>
        <v>0</v>
      </c>
      <c r="F26" s="510">
        <f ca="1">IF(($AC$19&lt;$F$2)*AND(D14&gt;=3)*AND(F25=0),OFFSET($U$6,(ROUNDUP((ROW()-10)/29,0)-1),0),0)*C14</f>
        <v>0</v>
      </c>
      <c r="G26" s="510">
        <f ca="1">IF(($AC$20&lt;$F$2)*AND(D14&gt;=3)*AND(G25=0),OFFSET($U$6,(ROUNDUP((ROW()-10)/29,0)-1),0),0)*C14</f>
        <v>0</v>
      </c>
      <c r="H26" s="510">
        <f ca="1">IF(($AC$21&lt;$F$2)*AND(D14&gt;=3)*AND(H25=0),OFFSET($U$6,(ROUNDUP((ROW()-10)/29,0)-1),0),0)*C14</f>
        <v>0</v>
      </c>
      <c r="I26" s="2929">
        <f>I25</f>
        <v>6280.994795999999</v>
      </c>
      <c r="J26" s="611">
        <f ca="1">((SUM(F26:H26)*I26)+(SUM(F27:H27)*I27))</f>
        <v>0</v>
      </c>
      <c r="K26" s="2552">
        <f t="shared" ca="1" si="9"/>
        <v>0</v>
      </c>
      <c r="L26" s="2925">
        <f t="shared" ca="1" si="10"/>
        <v>0</v>
      </c>
      <c r="M26" s="2926">
        <f ca="1">SUM(K26:L27)</f>
        <v>0</v>
      </c>
      <c r="X26" s="1753" t="s">
        <v>611</v>
      </c>
      <c r="Y26" s="777" t="s">
        <v>57</v>
      </c>
      <c r="Z26" s="778">
        <f>'Reference Sheet'!P42</f>
        <v>10773</v>
      </c>
      <c r="AA26" s="778">
        <f>'Reference Sheet'!Q42</f>
        <v>11096.19</v>
      </c>
      <c r="AB26" s="778">
        <f>'Reference Sheet'!R42</f>
        <v>11429.075700000001</v>
      </c>
      <c r="AC26" s="778">
        <f>'Reference Sheet'!S42</f>
        <v>11771.947971000001</v>
      </c>
      <c r="AD26" s="778">
        <f>'Reference Sheet'!T42</f>
        <v>12125.106410130002</v>
      </c>
      <c r="AE26" s="778">
        <f>'Reference Sheet'!U42</f>
        <v>12488.859602433902</v>
      </c>
      <c r="AF26" s="778">
        <f>'Reference Sheet'!V42</f>
        <v>12863.525390506918</v>
      </c>
      <c r="AG26" s="2996">
        <f>'Reference Sheet'!W42</f>
        <v>0.03</v>
      </c>
    </row>
    <row r="27" spans="1:33" ht="15.75" thickBot="1" x14ac:dyDescent="0.3">
      <c r="A27" s="3609"/>
      <c r="B27" s="2006">
        <f>B26+1</f>
        <v>2031</v>
      </c>
      <c r="C27" s="2001">
        <f ca="1">IF(($AD$18&lt;$F$2)*AND(D14=12)*AND(C26=0),OFFSET($U$6,(ROUNDUP((ROW()-10)/29,0)-1),0),0)*C14</f>
        <v>0</v>
      </c>
      <c r="D27" s="2923">
        <f>D26+D26*$AG$8</f>
        <v>3460.9395907499998</v>
      </c>
      <c r="E27" s="1594"/>
      <c r="F27" s="511">
        <f ca="1">IF(($AD$19&lt;$F$2)*AND(D14&gt;=3)*AND(F26=0),OFFSET($U$6,(ROUNDUP((ROW()-10)/29,0)-1),0),0)*C14</f>
        <v>0</v>
      </c>
      <c r="G27" s="511">
        <f ca="1">IF(($AD$20&lt;$F$2)*AND(D14&gt;=3)*AND(G26=0),OFFSET($U$6,(ROUNDUP((ROW()-10)/29,0)-1),0),0)*C14</f>
        <v>0</v>
      </c>
      <c r="H27" s="511">
        <f ca="1">IF(($AD$21&lt;$F$2)*AND(D14&gt;=3)*AND(H26=0),OFFSET($U$6,(ROUNDUP((ROW()-10)/29,0)-1),0),0)*C14</f>
        <v>0</v>
      </c>
      <c r="I27" s="2930">
        <f>I26+I26*$AG$7</f>
        <v>6469.4246398799987</v>
      </c>
      <c r="J27" s="612"/>
      <c r="K27" s="2553">
        <f t="shared" ca="1" si="9"/>
        <v>0</v>
      </c>
      <c r="L27" s="2927">
        <f t="shared" ca="1" si="10"/>
        <v>0</v>
      </c>
      <c r="M27" s="2928"/>
      <c r="X27" s="1753" t="s">
        <v>611</v>
      </c>
      <c r="Y27" s="777" t="s">
        <v>96</v>
      </c>
      <c r="Z27" s="1778">
        <f>'Reference Sheet'!P43</f>
        <v>4488.75</v>
      </c>
      <c r="AA27" s="778">
        <f>'Reference Sheet'!Q43</f>
        <v>4623.4125000000004</v>
      </c>
      <c r="AB27" s="778">
        <f>'Reference Sheet'!R43</f>
        <v>4762.1148750000002</v>
      </c>
      <c r="AC27" s="778">
        <f>'Reference Sheet'!S43</f>
        <v>4904.9783212500006</v>
      </c>
      <c r="AD27" s="778">
        <f>'Reference Sheet'!T43</f>
        <v>5052.1276708875002</v>
      </c>
      <c r="AE27" s="778">
        <f>'Reference Sheet'!U43</f>
        <v>5203.6915010141256</v>
      </c>
      <c r="AF27" s="778">
        <f>'Reference Sheet'!V43</f>
        <v>5359.8022460445491</v>
      </c>
      <c r="AG27" s="2996">
        <f>'Reference Sheet'!W43</f>
        <v>0.03</v>
      </c>
    </row>
    <row r="28" spans="1:33" ht="14.45" customHeight="1" x14ac:dyDescent="0.25">
      <c r="A28" s="3608">
        <v>5</v>
      </c>
      <c r="B28" s="2005">
        <f>B27</f>
        <v>2031</v>
      </c>
      <c r="C28" s="2002">
        <f ca="1">IF(($AD$18&lt;$F$2)*AND(D15=12)*AND(C27=0),OFFSET($U$6,(ROUNDUP((ROW()-10)/29,0)-1),0),0)*C15</f>
        <v>0</v>
      </c>
      <c r="D28" s="2922">
        <f>D27</f>
        <v>3460.9395907499998</v>
      </c>
      <c r="E28" s="1595">
        <f ca="1">(C28*D28)+(C29*D29)</f>
        <v>0</v>
      </c>
      <c r="F28" s="510">
        <f ca="1">IF(($AD$19&lt;$F$2)*AND(D15&gt;=3)*AND(F27=0),OFFSET($U$6,(ROUNDUP((ROW()-10)/29,0)-1),0),0)*C15</f>
        <v>0</v>
      </c>
      <c r="G28" s="510">
        <f ca="1">IF(($AD$20&lt;$F$2)*AND(D15&gt;=3)*AND(G27=0),OFFSET($U$6,(ROUNDUP((ROW()-10)/29,0)-1),0),0)*C15</f>
        <v>0</v>
      </c>
      <c r="H28" s="510">
        <f ca="1">IF(($AD$21&lt;$F$2)*AND(D15&gt;=3)*AND(H27=0),OFFSET($U$6,(ROUNDUP((ROW()-10)/29,0)-1),0),0)*C15</f>
        <v>0</v>
      </c>
      <c r="I28" s="2929">
        <f>I27</f>
        <v>6469.4246398799987</v>
      </c>
      <c r="J28" s="611">
        <f ca="1">((SUM(F28:H28)*I28)+(SUM(F29:H29)*I29))</f>
        <v>0</v>
      </c>
      <c r="K28" s="2552">
        <f t="shared" ca="1" si="9"/>
        <v>0</v>
      </c>
      <c r="L28" s="2925">
        <f t="shared" ca="1" si="10"/>
        <v>0</v>
      </c>
      <c r="M28" s="2926">
        <f ca="1">SUM(K28:L29)</f>
        <v>0</v>
      </c>
      <c r="X28" s="1753"/>
    </row>
    <row r="29" spans="1:33" ht="15.75" thickBot="1" x14ac:dyDescent="0.3">
      <c r="A29" s="3609"/>
      <c r="B29" s="2006">
        <f>B28+1</f>
        <v>2032</v>
      </c>
      <c r="C29" s="2001">
        <f ca="1">IF(($AE$18&lt;$F$2)*AND(D15=12)*AND(C28=0),OFFSET($U$6,(ROUNDUP((ROW()-10)/29,0)-1),0),0)*C15</f>
        <v>0</v>
      </c>
      <c r="D29" s="2923">
        <f>D28+D28*$AG$8</f>
        <v>3564.7677784724997</v>
      </c>
      <c r="E29" s="1594"/>
      <c r="F29" s="511">
        <f ca="1">IF(($AE$19&lt;$F$2)*AND(D15&gt;=3)*AND(F28=0),OFFSET($U$6,(ROUNDUP((ROW()-10)/29,0)-1),0),0)*C15</f>
        <v>0</v>
      </c>
      <c r="G29" s="511">
        <f ca="1">IF(($AE$20&lt;$F$2)*AND(D15&gt;=3)*AND(G28=0),OFFSET($U$6,(ROUNDUP((ROW()-10)/29,0)-1),0),0)*C15</f>
        <v>0</v>
      </c>
      <c r="H29" s="511">
        <f ca="1">IF(($AE$21&lt;$F$2)*AND(D15&gt;=3)*AND(H28=0),OFFSET($U$6,(ROUNDUP((ROW()-10)/29,0)-1),0),0)*C15</f>
        <v>0</v>
      </c>
      <c r="I29" s="2930">
        <f>I28+I28*$AG$7</f>
        <v>6663.507379076399</v>
      </c>
      <c r="J29" s="612"/>
      <c r="K29" s="2553">
        <f t="shared" ca="1" si="9"/>
        <v>0</v>
      </c>
      <c r="L29" s="2927">
        <f t="shared" ca="1" si="10"/>
        <v>0</v>
      </c>
      <c r="M29" s="2928"/>
      <c r="X29" s="1753"/>
      <c r="Y29" s="1983" t="s">
        <v>608</v>
      </c>
      <c r="AB29" s="1982" t="s">
        <v>607</v>
      </c>
    </row>
    <row r="30" spans="1:33" x14ac:dyDescent="0.25">
      <c r="A30" s="3608">
        <v>6</v>
      </c>
      <c r="B30" s="2005">
        <f>B29</f>
        <v>2032</v>
      </c>
      <c r="C30" s="2002">
        <f ca="1">IF(($AE$18&lt;$F$2)*AND(D16=12)*AND(C29=0),OFFSET($U$6,(ROUNDUP((ROW()-10)/29,0)-1),0),0)*C16</f>
        <v>0</v>
      </c>
      <c r="D30" s="2922">
        <f>D29</f>
        <v>3564.7677784724997</v>
      </c>
      <c r="E30" s="1595">
        <f ca="1">(C30*D30)+(C31*D31)</f>
        <v>0</v>
      </c>
      <c r="F30" s="510">
        <f ca="1">IF(($AE$19&lt;$F$2)*AND(D16&gt;=3)*AND(F29=0),OFFSET($U$6,(ROUNDUP((ROW()-10)/29,0)-1),0),0)*C16</f>
        <v>0</v>
      </c>
      <c r="G30" s="510">
        <f ca="1">IF(($AE$20&lt;$F$2)*AND(D16&gt;=3)*AND(G29=0),OFFSET($U$6,(ROUNDUP((ROW()-10)/29,0)-1),0),0)*C16</f>
        <v>0</v>
      </c>
      <c r="H30" s="510">
        <f ca="1">IF(($AE$21&lt;$F$2)*AND(D16&gt;=3)*AND(H29=0),OFFSET($U$6,(ROUNDUP((ROW()-10)/29,0)-1),0),0)*C16</f>
        <v>0</v>
      </c>
      <c r="I30" s="2929">
        <f>I29</f>
        <v>6663.507379076399</v>
      </c>
      <c r="J30" s="611">
        <f ca="1">((SUM(F30:H30)*I30)+(SUM(F31:H31)*I31))</f>
        <v>0</v>
      </c>
      <c r="K30" s="2552">
        <f t="shared" ca="1" si="9"/>
        <v>0</v>
      </c>
      <c r="L30" s="2925">
        <f t="shared" ca="1" si="10"/>
        <v>0</v>
      </c>
      <c r="M30" s="2926">
        <f ca="1">SUM(K30:L31)</f>
        <v>0</v>
      </c>
      <c r="X30" s="1753"/>
      <c r="Y30" s="613"/>
      <c r="Z30" s="772" t="str">
        <f t="shared" ref="Z30:AF30" si="12">CONCATENATE("AY ", Z31-1, "-",Z31-2000)</f>
        <v>AY 2026-27</v>
      </c>
      <c r="AA30" s="772" t="str">
        <f t="shared" si="12"/>
        <v>AY 2027-28</v>
      </c>
      <c r="AB30" s="772" t="str">
        <f t="shared" si="12"/>
        <v>AY 2028-29</v>
      </c>
      <c r="AC30" s="772" t="str">
        <f t="shared" si="12"/>
        <v>AY 2029-30</v>
      </c>
      <c r="AD30" s="772" t="str">
        <f t="shared" si="12"/>
        <v>AY 2030-31</v>
      </c>
      <c r="AE30" s="772" t="str">
        <f t="shared" si="12"/>
        <v>AY 2031-32</v>
      </c>
      <c r="AF30" s="772" t="str">
        <f t="shared" si="12"/>
        <v>AY 2032-33</v>
      </c>
      <c r="AG30" s="773" t="s">
        <v>19</v>
      </c>
    </row>
    <row r="31" spans="1:33" ht="15.75" thickBot="1" x14ac:dyDescent="0.3">
      <c r="A31" s="3609"/>
      <c r="B31" s="2006">
        <f>B30+1</f>
        <v>2033</v>
      </c>
      <c r="C31" s="2004">
        <f ca="1">IF(($AF$18&lt;$F$2)*AND(D16=12)*AND(C30=0),OFFSET($U$6,(ROUNDUP((ROW()-10)/29,0)-1),0),0)*C16</f>
        <v>0</v>
      </c>
      <c r="D31" s="2923">
        <f>D30+D30*$AG$8</f>
        <v>3671.7108118266747</v>
      </c>
      <c r="E31" s="1594"/>
      <c r="F31" s="511">
        <f ca="1">IF(($AF$19&lt;$F$2)*AND(D16&gt;=3)*AND(F30=0),OFFSET($U$6,(ROUNDUP((ROW()-10)/29,0)-1),0),0)*C16</f>
        <v>0</v>
      </c>
      <c r="G31" s="511">
        <f ca="1">IF(($AF$20&lt;$F$2)*AND(D16&gt;=3)*AND(G30=0),OFFSET($U$6,(ROUNDUP((ROW()-10)/29,0)-1),0),0)*C16</f>
        <v>0</v>
      </c>
      <c r="H31" s="511">
        <f ca="1">IF(($AF$21&lt;$F$2)*AND(D16&gt;=3)*AND(H30=0),OFFSET($U$6,(ROUNDUP((ROW()-10)/29,0)-1),0),0)*C16</f>
        <v>0</v>
      </c>
      <c r="I31" s="2930">
        <f>I30+I30*$AG$7</f>
        <v>6863.4126004486907</v>
      </c>
      <c r="J31" s="612"/>
      <c r="K31" s="2553">
        <f t="shared" ca="1" si="9"/>
        <v>0</v>
      </c>
      <c r="L31" s="2927">
        <f t="shared" ca="1" si="10"/>
        <v>0</v>
      </c>
      <c r="M31" s="2928"/>
      <c r="X31" s="1753"/>
      <c r="Y31" s="774" t="s">
        <v>296</v>
      </c>
      <c r="Z31" s="775">
        <f>'Reference Sheet'!P47</f>
        <v>2027</v>
      </c>
      <c r="AA31" s="775">
        <f>'Reference Sheet'!Q47</f>
        <v>2028</v>
      </c>
      <c r="AB31" s="775">
        <f>'Reference Sheet'!R47</f>
        <v>2029</v>
      </c>
      <c r="AC31" s="775">
        <f>'Reference Sheet'!S47</f>
        <v>2030</v>
      </c>
      <c r="AD31" s="775">
        <f>'Reference Sheet'!T47</f>
        <v>2031</v>
      </c>
      <c r="AE31" s="775">
        <f>'Reference Sheet'!U47</f>
        <v>2032</v>
      </c>
      <c r="AF31" s="775">
        <f>'Reference Sheet'!V47</f>
        <v>2033</v>
      </c>
      <c r="AG31" s="776"/>
    </row>
    <row r="32" spans="1:33" ht="15.75" thickBot="1" x14ac:dyDescent="0.3">
      <c r="C32" s="3616" t="s">
        <v>96</v>
      </c>
      <c r="D32" s="3617"/>
      <c r="E32" s="2933">
        <f ca="1">SUM(E20:E30)</f>
        <v>0</v>
      </c>
      <c r="F32" s="60"/>
      <c r="G32" s="2936" t="s">
        <v>102</v>
      </c>
      <c r="H32" s="3618" t="s">
        <v>57</v>
      </c>
      <c r="I32" s="3619"/>
      <c r="J32" s="2934">
        <f ca="1">SUM(J20:J30)</f>
        <v>0</v>
      </c>
      <c r="K32" s="3610" t="s">
        <v>103</v>
      </c>
      <c r="L32" s="3611"/>
      <c r="M32" s="2935">
        <f ca="1">SUM(M20:M31)</f>
        <v>0</v>
      </c>
      <c r="X32" s="1753" t="s">
        <v>614</v>
      </c>
      <c r="Y32" s="777" t="s">
        <v>57</v>
      </c>
      <c r="Z32" s="778">
        <f>'Reference Sheet'!P48</f>
        <v>4895.1000000000004</v>
      </c>
      <c r="AA32" s="778">
        <f>'Reference Sheet'!Q48</f>
        <v>5041.9530000000004</v>
      </c>
      <c r="AB32" s="778">
        <f>'Reference Sheet'!R48</f>
        <v>5193.2115900000008</v>
      </c>
      <c r="AC32" s="778">
        <f>'Reference Sheet'!S48</f>
        <v>5349.0079377000011</v>
      </c>
      <c r="AD32" s="778">
        <f>'Reference Sheet'!T48</f>
        <v>5509.478175831001</v>
      </c>
      <c r="AE32" s="778">
        <f>'Reference Sheet'!U48</f>
        <v>5674.7625211059312</v>
      </c>
      <c r="AF32" s="778">
        <f>'Reference Sheet'!V48</f>
        <v>5845.0053967391095</v>
      </c>
      <c r="AG32" s="1775">
        <f>'Reference Sheet'!W48</f>
        <v>0.03</v>
      </c>
    </row>
    <row r="33" spans="1:33" ht="15.75" thickBot="1" x14ac:dyDescent="0.3">
      <c r="A33" s="71"/>
      <c r="B33" s="71"/>
      <c r="C33" s="71"/>
      <c r="D33" s="71"/>
      <c r="E33" s="71"/>
      <c r="F33" s="71"/>
      <c r="G33" s="71"/>
      <c r="H33" s="71"/>
      <c r="I33" s="71"/>
      <c r="J33" s="71"/>
      <c r="K33" s="71"/>
      <c r="L33" s="71"/>
      <c r="M33" s="615"/>
      <c r="X33" s="1753" t="s">
        <v>614</v>
      </c>
      <c r="Y33" s="777" t="s">
        <v>96</v>
      </c>
      <c r="Z33" s="1778">
        <f>'Reference Sheet'!P49</f>
        <v>2719.5</v>
      </c>
      <c r="AA33" s="778">
        <f>'Reference Sheet'!Q49</f>
        <v>2801.085</v>
      </c>
      <c r="AB33" s="778">
        <f>'Reference Sheet'!R49</f>
        <v>2885.1175499999999</v>
      </c>
      <c r="AC33" s="778">
        <f>'Reference Sheet'!S49</f>
        <v>2971.6710764999998</v>
      </c>
      <c r="AD33" s="778">
        <f>'Reference Sheet'!T49</f>
        <v>3060.8212087949996</v>
      </c>
      <c r="AE33" s="778">
        <f>'Reference Sheet'!U49</f>
        <v>3152.6458450588498</v>
      </c>
      <c r="AF33" s="778">
        <f>'Reference Sheet'!V49</f>
        <v>3247.2252204106153</v>
      </c>
      <c r="AG33" s="1775">
        <f>'Reference Sheet'!W49</f>
        <v>0.03</v>
      </c>
    </row>
    <row r="34" spans="1:33" ht="16.5" thickTop="1" thickBot="1" x14ac:dyDescent="0.3">
      <c r="X34" s="1753"/>
    </row>
    <row r="35" spans="1:33" ht="15.75" thickBot="1" x14ac:dyDescent="0.3">
      <c r="A35" s="64" t="str">
        <f>'DATA INPUT'!B30</f>
        <v>GA #02 / Sponsor Funds</v>
      </c>
      <c r="B35" s="65"/>
      <c r="C35" s="65"/>
      <c r="D35" s="65"/>
      <c r="E35" s="65"/>
      <c r="F35" s="65"/>
      <c r="G35" s="65"/>
      <c r="H35" s="65"/>
      <c r="I35" s="65"/>
      <c r="J35" s="65"/>
      <c r="K35" s="65"/>
      <c r="L35" s="65"/>
      <c r="M35" s="65"/>
      <c r="N35" s="1598"/>
      <c r="X35" s="1753"/>
      <c r="Y35" s="1983" t="s">
        <v>609</v>
      </c>
      <c r="AB35" s="1982" t="s">
        <v>607</v>
      </c>
    </row>
    <row r="36" spans="1:33" ht="15" customHeight="1" thickBot="1" x14ac:dyDescent="0.3">
      <c r="A36" s="3620" t="s">
        <v>80</v>
      </c>
      <c r="B36" s="3621"/>
      <c r="C36" s="1712">
        <f>'DATA INPUT'!C30</f>
        <v>0</v>
      </c>
      <c r="E36" s="1760" t="s">
        <v>135</v>
      </c>
      <c r="F36" s="1761">
        <f>'DATA INPUT'!E30</f>
        <v>0</v>
      </c>
      <c r="G36" s="1760" t="s">
        <v>82</v>
      </c>
      <c r="H36" s="2332">
        <f>'DATA INPUT'!F30</f>
        <v>0.49</v>
      </c>
      <c r="I36" s="1737" t="s">
        <v>88</v>
      </c>
      <c r="J36" s="1746">
        <f>IFERROR(VLOOKUP(C36,Table_Units[],IF(F36='Reference Sheet'!$H$37,3,2),FALSE)*1,0)</f>
        <v>0</v>
      </c>
      <c r="K36" s="1746"/>
      <c r="L36" s="66"/>
      <c r="M36" s="1712"/>
      <c r="N36" s="1762"/>
      <c r="X36" s="1753"/>
      <c r="Y36" s="613"/>
      <c r="Z36" s="772" t="str">
        <f t="shared" ref="Z36:AF36" si="13">CONCATENATE("AY ", Z37-1, "-",Z37-2000)</f>
        <v>AY 2026-27</v>
      </c>
      <c r="AA36" s="772" t="str">
        <f t="shared" si="13"/>
        <v>AY 2027-28</v>
      </c>
      <c r="AB36" s="772" t="str">
        <f t="shared" si="13"/>
        <v>AY 2028-29</v>
      </c>
      <c r="AC36" s="772" t="str">
        <f t="shared" si="13"/>
        <v>AY 2029-30</v>
      </c>
      <c r="AD36" s="772" t="str">
        <f t="shared" si="13"/>
        <v>AY 2030-31</v>
      </c>
      <c r="AE36" s="772" t="str">
        <f t="shared" si="13"/>
        <v>AY 2031-32</v>
      </c>
      <c r="AF36" s="772" t="str">
        <f t="shared" si="13"/>
        <v>AY 2032-33</v>
      </c>
      <c r="AG36" s="773" t="s">
        <v>19</v>
      </c>
    </row>
    <row r="37" spans="1:33" ht="15" customHeight="1" thickBot="1" x14ac:dyDescent="0.3">
      <c r="A37" s="1716"/>
      <c r="B37" s="3445" t="s">
        <v>254</v>
      </c>
      <c r="C37" s="3560" t="s">
        <v>517</v>
      </c>
      <c r="D37" s="3444" t="s">
        <v>518</v>
      </c>
      <c r="E37" s="3445" t="s">
        <v>519</v>
      </c>
      <c r="F37" s="3445" t="s">
        <v>521</v>
      </c>
      <c r="G37" s="3614" t="s">
        <v>65</v>
      </c>
      <c r="H37" s="3614"/>
      <c r="I37" s="3614"/>
      <c r="J37" s="3614"/>
      <c r="K37" s="3445" t="s">
        <v>84</v>
      </c>
      <c r="L37" s="1996" t="s">
        <v>78</v>
      </c>
      <c r="M37" s="1997"/>
      <c r="N37" s="3558" t="s">
        <v>87</v>
      </c>
      <c r="X37" s="1753"/>
      <c r="Y37" s="774" t="s">
        <v>296</v>
      </c>
      <c r="Z37" s="775">
        <f>'Reference Sheet'!P53</f>
        <v>2027</v>
      </c>
      <c r="AA37" s="775">
        <f>'Reference Sheet'!Q53</f>
        <v>2028</v>
      </c>
      <c r="AB37" s="775">
        <f>'Reference Sheet'!R53</f>
        <v>2029</v>
      </c>
      <c r="AC37" s="775">
        <f>'Reference Sheet'!S53</f>
        <v>2030</v>
      </c>
      <c r="AD37" s="775">
        <f>'Reference Sheet'!T53</f>
        <v>2031</v>
      </c>
      <c r="AE37" s="775">
        <f>'Reference Sheet'!U53</f>
        <v>2032</v>
      </c>
      <c r="AF37" s="775">
        <f>'Reference Sheet'!V53</f>
        <v>2033</v>
      </c>
      <c r="AG37" s="776"/>
    </row>
    <row r="38" spans="1:33" ht="15.75" customHeight="1" thickBot="1" x14ac:dyDescent="0.3">
      <c r="A38" s="3445" t="s">
        <v>253</v>
      </c>
      <c r="B38" s="3445"/>
      <c r="C38" s="3561"/>
      <c r="D38" s="3445"/>
      <c r="E38" s="3445"/>
      <c r="F38" s="3445"/>
      <c r="G38" s="3444" t="s">
        <v>86</v>
      </c>
      <c r="H38" s="3444" t="s">
        <v>59</v>
      </c>
      <c r="I38" s="3444" t="s">
        <v>60</v>
      </c>
      <c r="J38" s="3444" t="s">
        <v>66</v>
      </c>
      <c r="K38" s="3445"/>
      <c r="L38" s="1998" t="s">
        <v>616</v>
      </c>
      <c r="M38" s="1999">
        <f>'Reference Sheet'!$E$14</f>
        <v>0.28499999999999998</v>
      </c>
      <c r="N38" s="3566"/>
      <c r="X38" s="1753" t="s">
        <v>642</v>
      </c>
      <c r="Y38" s="777" t="s">
        <v>57</v>
      </c>
      <c r="Z38" s="778">
        <f>'Reference Sheet'!P54</f>
        <v>10901.1</v>
      </c>
      <c r="AA38" s="778">
        <f>'Reference Sheet'!Q54</f>
        <v>11228.133</v>
      </c>
      <c r="AB38" s="778">
        <f>'Reference Sheet'!R54</f>
        <v>11564.976989999999</v>
      </c>
      <c r="AC38" s="778">
        <f>'Reference Sheet'!S54</f>
        <v>11911.926299699999</v>
      </c>
      <c r="AD38" s="778">
        <f>'Reference Sheet'!T54</f>
        <v>12269.284088690998</v>
      </c>
      <c r="AE38" s="778">
        <f>'Reference Sheet'!U54</f>
        <v>12637.362611351728</v>
      </c>
      <c r="AF38" s="778">
        <f>'Reference Sheet'!V54</f>
        <v>13016.48348969228</v>
      </c>
      <c r="AG38" s="1775">
        <f>'Reference Sheet'!W54</f>
        <v>0.03</v>
      </c>
    </row>
    <row r="39" spans="1:33" ht="15.75" thickBot="1" x14ac:dyDescent="0.3">
      <c r="A39" s="3446"/>
      <c r="B39" s="3446"/>
      <c r="C39" s="3615"/>
      <c r="D39" s="3446"/>
      <c r="E39" s="3446"/>
      <c r="F39" s="3446"/>
      <c r="G39" s="3446"/>
      <c r="H39" s="3446"/>
      <c r="I39" s="3446"/>
      <c r="J39" s="3446"/>
      <c r="K39" s="3446"/>
      <c r="L39" s="1769" t="s">
        <v>67</v>
      </c>
      <c r="M39" s="1683" t="s">
        <v>68</v>
      </c>
      <c r="N39" s="3612"/>
      <c r="X39" s="1753" t="s">
        <v>642</v>
      </c>
      <c r="Y39" s="777" t="s">
        <v>96</v>
      </c>
      <c r="Z39" s="1778">
        <f>'Reference Sheet'!P55</f>
        <v>10901.1</v>
      </c>
      <c r="AA39" s="778">
        <f>'Reference Sheet'!Q55</f>
        <v>11228.133</v>
      </c>
      <c r="AB39" s="778">
        <f>'Reference Sheet'!R55</f>
        <v>11564.976989999999</v>
      </c>
      <c r="AC39" s="778">
        <f>'Reference Sheet'!S55</f>
        <v>11911.926299699999</v>
      </c>
      <c r="AD39" s="778">
        <f>'Reference Sheet'!T55</f>
        <v>12269.284088690998</v>
      </c>
      <c r="AE39" s="778">
        <f>'Reference Sheet'!U55</f>
        <v>12637.362611351728</v>
      </c>
      <c r="AF39" s="778">
        <f>'Reference Sheet'!V55</f>
        <v>13016.48348969228</v>
      </c>
      <c r="AG39" s="1775">
        <f>'Reference Sheet'!W55</f>
        <v>0.03</v>
      </c>
    </row>
    <row r="40" spans="1:33" x14ac:dyDescent="0.25">
      <c r="A40" s="1685">
        <v>1</v>
      </c>
      <c r="B40" s="1770">
        <f>$K$3</f>
        <v>12</v>
      </c>
      <c r="C40" s="1685">
        <f>'DATA INPUT'!I30</f>
        <v>0</v>
      </c>
      <c r="D40" s="1693">
        <f>IF(C40&lt;1,0,IF((B40&gt;0),'DATA INPUT'!$G$30,0))</f>
        <v>0</v>
      </c>
      <c r="E40" s="1773">
        <f t="shared" ref="E40:E45" ca="1" si="14">(D40*(2080/12))*OFFSET($H$7,29*(ROUNDUP(ROW()/29,0)-1),0)</f>
        <v>0</v>
      </c>
      <c r="F40" s="1684">
        <f t="shared" ref="F40:F45" ca="1" si="15">((D40*(2080/12))*OFFSET($H$7,29*(ROUNDUP(ROW()/29,0)-1),0))*C40</f>
        <v>0</v>
      </c>
      <c r="G40" s="1149">
        <v>0.03</v>
      </c>
      <c r="H40" s="460">
        <f>(J36*G40)+J36</f>
        <v>0</v>
      </c>
      <c r="I40" s="492">
        <f t="shared" ref="I40:I45" ca="1" si="16">H40/12*OFFSET($H$7,29*(ROUNDUP(ROW(H40)/29,0)-1),0)</f>
        <v>0</v>
      </c>
      <c r="J40" s="2400">
        <f t="shared" ref="J40:J45" si="17">(H40/12)/(2080/12)</f>
        <v>0</v>
      </c>
      <c r="K40" s="1766">
        <f t="shared" ref="K40:K45" ca="1" si="18">I40*D40*C40</f>
        <v>0</v>
      </c>
      <c r="L40" s="626">
        <f>IF($U$3&lt;$T$3, M38, IF($U$3&gt;$W$3, M38+2*$Q$6, M38+$Q$6))</f>
        <v>0.28499999999999998</v>
      </c>
      <c r="M40" s="1500">
        <f t="shared" ref="M40:M45" ca="1" si="19">L40*K40</f>
        <v>0</v>
      </c>
      <c r="N40" s="2400">
        <f t="shared" ref="N40:N45" si="20">((H40/12)/(2080/12))+(((H40/12)*L40)/(2080/12))</f>
        <v>0</v>
      </c>
      <c r="O40" s="58" t="str">
        <f ca="1">IF(ABS(C40*D40*OFFSET($U$6,(ROUNDUP((ROW()-10)/29,0)-1),0)-3*SUM(C49:C50,F49:H50))&gt; 0.01,"Mismatch: Tuition vs Months","")</f>
        <v/>
      </c>
      <c r="X40" s="1753"/>
    </row>
    <row r="41" spans="1:33" ht="15" customHeight="1" thickBot="1" x14ac:dyDescent="0.3">
      <c r="A41" s="1687">
        <v>2</v>
      </c>
      <c r="B41" s="1771">
        <f>$L$3</f>
        <v>0</v>
      </c>
      <c r="C41" s="1687">
        <f>'DATA INPUT'!J30</f>
        <v>0</v>
      </c>
      <c r="D41" s="1693">
        <f>IF(C41&lt;1,0,IF((B41&gt;0),'DATA INPUT'!$G$30,0))</f>
        <v>0</v>
      </c>
      <c r="E41" s="1774">
        <f t="shared" ca="1" si="14"/>
        <v>0</v>
      </c>
      <c r="F41" s="1686">
        <f t="shared" ca="1" si="15"/>
        <v>0</v>
      </c>
      <c r="G41" s="461">
        <v>0.03</v>
      </c>
      <c r="H41" s="462">
        <f>(H40*G41)+H40</f>
        <v>0</v>
      </c>
      <c r="I41" s="501">
        <f t="shared" ca="1" si="16"/>
        <v>0</v>
      </c>
      <c r="J41" s="2397">
        <f t="shared" si="17"/>
        <v>0</v>
      </c>
      <c r="K41" s="1767">
        <f t="shared" ca="1" si="18"/>
        <v>0</v>
      </c>
      <c r="L41" s="625">
        <f>L40+$Q$6</f>
        <v>0.30499999999999999</v>
      </c>
      <c r="M41" s="1541">
        <f t="shared" ca="1" si="19"/>
        <v>0</v>
      </c>
      <c r="N41" s="2398">
        <f t="shared" si="20"/>
        <v>0</v>
      </c>
      <c r="O41" s="58" t="str">
        <f ca="1">IF(ABS(C41*D41*OFFSET($U$6,(ROUNDUP((ROW()-10)/29,0)-1),0)-3*SUM(C51:C52,F51:H52))&gt;0.01,"Mismatch: Tuition vs Months","")</f>
        <v/>
      </c>
      <c r="X41" s="1753"/>
      <c r="Y41" s="1983" t="s">
        <v>610</v>
      </c>
      <c r="AB41" s="1982" t="s">
        <v>607</v>
      </c>
    </row>
    <row r="42" spans="1:33" x14ac:dyDescent="0.25">
      <c r="A42" s="1687">
        <v>3</v>
      </c>
      <c r="B42" s="1771">
        <f>$M$3</f>
        <v>0</v>
      </c>
      <c r="C42" s="1687">
        <f>'DATA INPUT'!K30</f>
        <v>0</v>
      </c>
      <c r="D42" s="1693">
        <f>IF(C42&lt;1,0,IF((B42&gt;0),'DATA INPUT'!$G$30,0))</f>
        <v>0</v>
      </c>
      <c r="E42" s="1774">
        <f t="shared" ca="1" si="14"/>
        <v>0</v>
      </c>
      <c r="F42" s="1686">
        <f t="shared" ca="1" si="15"/>
        <v>0</v>
      </c>
      <c r="G42" s="461">
        <v>0.03</v>
      </c>
      <c r="H42" s="462">
        <f>(H41*G42)+H41</f>
        <v>0</v>
      </c>
      <c r="I42" s="501">
        <f t="shared" ca="1" si="16"/>
        <v>0</v>
      </c>
      <c r="J42" s="2397">
        <f t="shared" si="17"/>
        <v>0</v>
      </c>
      <c r="K42" s="1767">
        <f t="shared" ca="1" si="18"/>
        <v>0</v>
      </c>
      <c r="L42" s="625">
        <f>L41+$Q$6</f>
        <v>0.32500000000000001</v>
      </c>
      <c r="M42" s="1541">
        <f t="shared" ca="1" si="19"/>
        <v>0</v>
      </c>
      <c r="N42" s="2398">
        <f t="shared" si="20"/>
        <v>0</v>
      </c>
      <c r="O42" s="58" t="str">
        <f ca="1">IF(ABS(C42*D42*OFFSET($U$6,(ROUNDUP((ROW()-10)/29,0)-1),0)-3*SUM(C53:C54,F53:H54))&gt;0.01,"Mismatch: Tuition vs Months","")</f>
        <v/>
      </c>
      <c r="X42" s="1753"/>
      <c r="Y42" s="613"/>
      <c r="Z42" s="772" t="str">
        <f t="shared" ref="Z42:AF42" si="21">CONCATENATE("AY ", Z43-1, "-",Z43-2000)</f>
        <v>AY 2026-27</v>
      </c>
      <c r="AA42" s="772" t="str">
        <f t="shared" si="21"/>
        <v>AY 2027-28</v>
      </c>
      <c r="AB42" s="772" t="str">
        <f t="shared" si="21"/>
        <v>AY 2028-29</v>
      </c>
      <c r="AC42" s="772" t="str">
        <f t="shared" si="21"/>
        <v>AY 2029-30</v>
      </c>
      <c r="AD42" s="772" t="str">
        <f t="shared" si="21"/>
        <v>AY 2030-31</v>
      </c>
      <c r="AE42" s="772" t="str">
        <f t="shared" si="21"/>
        <v>AY 2031-32</v>
      </c>
      <c r="AF42" s="772" t="str">
        <f t="shared" si="21"/>
        <v>AY 2032-33</v>
      </c>
      <c r="AG42" s="773" t="s">
        <v>19</v>
      </c>
    </row>
    <row r="43" spans="1:33" ht="15.75" customHeight="1" x14ac:dyDescent="0.25">
      <c r="A43" s="1687">
        <v>4</v>
      </c>
      <c r="B43" s="1771">
        <f>$N$3</f>
        <v>0</v>
      </c>
      <c r="C43" s="1687">
        <f>'DATA INPUT'!L30</f>
        <v>0</v>
      </c>
      <c r="D43" s="1693">
        <f>IF(C43&lt;1,0,IF((B43&gt;0),'DATA INPUT'!$G$30,0))</f>
        <v>0</v>
      </c>
      <c r="E43" s="1774">
        <f t="shared" ca="1" si="14"/>
        <v>0</v>
      </c>
      <c r="F43" s="1686">
        <f t="shared" ca="1" si="15"/>
        <v>0</v>
      </c>
      <c r="G43" s="461">
        <v>0.03</v>
      </c>
      <c r="H43" s="462">
        <f>(H42*G43)+H42</f>
        <v>0</v>
      </c>
      <c r="I43" s="501">
        <f t="shared" ca="1" si="16"/>
        <v>0</v>
      </c>
      <c r="J43" s="2397">
        <f t="shared" si="17"/>
        <v>0</v>
      </c>
      <c r="K43" s="1767">
        <f t="shared" ca="1" si="18"/>
        <v>0</v>
      </c>
      <c r="L43" s="625">
        <f>L42+$Q$6</f>
        <v>0.34500000000000003</v>
      </c>
      <c r="M43" s="1541">
        <f t="shared" ca="1" si="19"/>
        <v>0</v>
      </c>
      <c r="N43" s="2398">
        <f t="shared" si="20"/>
        <v>0</v>
      </c>
      <c r="O43" s="58" t="str">
        <f ca="1">IF(ABS(C43*D43*OFFSET($U$6,(ROUNDUP((ROW()-10)/29,0)-1),0)-3*SUM(C55:C56,F55:H56))&gt;0.01,"Mismatch: Tuition vs Months","")</f>
        <v/>
      </c>
      <c r="X43" s="1753"/>
      <c r="Y43" s="774" t="s">
        <v>296</v>
      </c>
      <c r="Z43" s="775">
        <f>'Reference Sheet'!P59</f>
        <v>2027</v>
      </c>
      <c r="AA43" s="775">
        <f>'Reference Sheet'!Q59</f>
        <v>2028</v>
      </c>
      <c r="AB43" s="775">
        <f>'Reference Sheet'!R59</f>
        <v>2029</v>
      </c>
      <c r="AC43" s="775">
        <f>'Reference Sheet'!S59</f>
        <v>2030</v>
      </c>
      <c r="AD43" s="775">
        <f>'Reference Sheet'!T59</f>
        <v>2031</v>
      </c>
      <c r="AE43" s="775">
        <f>'Reference Sheet'!U59</f>
        <v>2032</v>
      </c>
      <c r="AF43" s="775">
        <f>'Reference Sheet'!V59</f>
        <v>2033</v>
      </c>
      <c r="AG43" s="776"/>
    </row>
    <row r="44" spans="1:33" x14ac:dyDescent="0.25">
      <c r="A44" s="1687">
        <v>5</v>
      </c>
      <c r="B44" s="1771">
        <f>$O$3</f>
        <v>0</v>
      </c>
      <c r="C44" s="1687">
        <f>'DATA INPUT'!M30</f>
        <v>0</v>
      </c>
      <c r="D44" s="1693">
        <f>IF(C44&lt;1,0,IF((B44&gt;0),'DATA INPUT'!$G$30,0))</f>
        <v>0</v>
      </c>
      <c r="E44" s="1774">
        <f t="shared" ca="1" si="14"/>
        <v>0</v>
      </c>
      <c r="F44" s="1686">
        <f t="shared" ca="1" si="15"/>
        <v>0</v>
      </c>
      <c r="G44" s="461">
        <v>0.03</v>
      </c>
      <c r="H44" s="462">
        <f>(H43*G44)+H43</f>
        <v>0</v>
      </c>
      <c r="I44" s="501">
        <f t="shared" ca="1" si="16"/>
        <v>0</v>
      </c>
      <c r="J44" s="2397">
        <f t="shared" si="17"/>
        <v>0</v>
      </c>
      <c r="K44" s="1767">
        <f t="shared" ca="1" si="18"/>
        <v>0</v>
      </c>
      <c r="L44" s="625">
        <f>L43+$Q$6</f>
        <v>0.36500000000000005</v>
      </c>
      <c r="M44" s="1541">
        <f t="shared" ca="1" si="19"/>
        <v>0</v>
      </c>
      <c r="N44" s="2398">
        <f t="shared" si="20"/>
        <v>0</v>
      </c>
      <c r="O44" s="58" t="str">
        <f ca="1">IF(ABS(C44*D44*OFFSET($U$6,(ROUNDUP((ROW()-10)/29,0)-1),0)-3*SUM(C57:C58,F57:H58))&gt;0.01,"Mismatch: Tuition vs Months","")</f>
        <v/>
      </c>
      <c r="X44" s="1753" t="s">
        <v>612</v>
      </c>
      <c r="Y44" s="777" t="s">
        <v>57</v>
      </c>
      <c r="Z44" s="778">
        <f>'Reference Sheet'!P60</f>
        <v>10722.6</v>
      </c>
      <c r="AA44" s="778">
        <f>'Reference Sheet'!Q60</f>
        <v>11044.278</v>
      </c>
      <c r="AB44" s="778">
        <f>'Reference Sheet'!R60</f>
        <v>11375.60634</v>
      </c>
      <c r="AC44" s="778">
        <f>'Reference Sheet'!S60</f>
        <v>11716.874530200001</v>
      </c>
      <c r="AD44" s="778">
        <f>'Reference Sheet'!T60</f>
        <v>12068.380766106</v>
      </c>
      <c r="AE44" s="778">
        <f>'Reference Sheet'!U60</f>
        <v>12430.432189089181</v>
      </c>
      <c r="AF44" s="778">
        <f>'Reference Sheet'!V60</f>
        <v>12803.345154761855</v>
      </c>
      <c r="AG44" s="1775">
        <f>'Reference Sheet'!W60</f>
        <v>0.03</v>
      </c>
    </row>
    <row r="45" spans="1:33" ht="15.75" thickBot="1" x14ac:dyDescent="0.3">
      <c r="A45" s="1691">
        <v>6</v>
      </c>
      <c r="B45" s="1772">
        <f>$P$3</f>
        <v>0</v>
      </c>
      <c r="C45" s="1689">
        <f>'DATA INPUT'!N30</f>
        <v>0</v>
      </c>
      <c r="D45" s="1694">
        <f>IF(C45&lt;1,0,IF((B45&gt;0),'DATA INPUT'!$G$30,0))</f>
        <v>0</v>
      </c>
      <c r="E45" s="1733">
        <f t="shared" ca="1" si="14"/>
        <v>0</v>
      </c>
      <c r="F45" s="1688">
        <f t="shared" ca="1" si="15"/>
        <v>0</v>
      </c>
      <c r="G45" s="463">
        <v>0.03</v>
      </c>
      <c r="H45" s="464">
        <f>(H44*G45)+H44</f>
        <v>0</v>
      </c>
      <c r="I45" s="502">
        <f t="shared" ca="1" si="16"/>
        <v>0</v>
      </c>
      <c r="J45" s="2413">
        <f t="shared" si="17"/>
        <v>0</v>
      </c>
      <c r="K45" s="1768">
        <f t="shared" ca="1" si="18"/>
        <v>0</v>
      </c>
      <c r="L45" s="627">
        <f>L44+$Q$6</f>
        <v>0.38500000000000006</v>
      </c>
      <c r="M45" s="1690">
        <f t="shared" ca="1" si="19"/>
        <v>0</v>
      </c>
      <c r="N45" s="2399">
        <f t="shared" si="20"/>
        <v>0</v>
      </c>
      <c r="O45" s="58" t="str">
        <f ca="1">IF(ABS(C45*D45*OFFSET($U$6,(ROUNDUP((ROW()-10)/29,0)-1),0)-3*SUM(C59:C60,F59:H60))&gt;0.01,"Mismatch: Tuition vs Months","")</f>
        <v/>
      </c>
      <c r="X45" s="1753" t="s">
        <v>612</v>
      </c>
      <c r="Y45" s="777" t="s">
        <v>96</v>
      </c>
      <c r="Z45" s="1778">
        <f>'Reference Sheet'!P61</f>
        <v>4467.75</v>
      </c>
      <c r="AA45" s="778">
        <f>'Reference Sheet'!Q61</f>
        <v>4601.7825000000003</v>
      </c>
      <c r="AB45" s="778">
        <f>'Reference Sheet'!R61</f>
        <v>4739.835975</v>
      </c>
      <c r="AC45" s="778">
        <f>'Reference Sheet'!S61</f>
        <v>4882.0310542500001</v>
      </c>
      <c r="AD45" s="778">
        <f>'Reference Sheet'!T61</f>
        <v>5028.4919858775002</v>
      </c>
      <c r="AE45" s="778">
        <f>'Reference Sheet'!U61</f>
        <v>5179.346745453825</v>
      </c>
      <c r="AF45" s="778">
        <f>'Reference Sheet'!V61</f>
        <v>5334.7271478174398</v>
      </c>
      <c r="AG45" s="1775">
        <f>'Reference Sheet'!W61</f>
        <v>0.03</v>
      </c>
    </row>
    <row r="46" spans="1:33" ht="15.75" thickBot="1" x14ac:dyDescent="0.3">
      <c r="A46" s="624" t="s">
        <v>85</v>
      </c>
      <c r="B46" s="519">
        <f>SUM(B40:B45)</f>
        <v>12</v>
      </c>
      <c r="C46" s="519">
        <f>SUM(C40:C45)</f>
        <v>0</v>
      </c>
      <c r="D46" s="1692">
        <f>SUM(D40:D45)</f>
        <v>0</v>
      </c>
      <c r="E46" s="1695">
        <f ca="1">SUM(E40:E45)</f>
        <v>0</v>
      </c>
      <c r="F46" s="1695">
        <f ca="1">SUM(F40:F45)</f>
        <v>0</v>
      </c>
      <c r="K46" s="1508">
        <f ca="1">SUM(K40:K45)</f>
        <v>0</v>
      </c>
      <c r="M46" s="1508">
        <f ca="1">SUM(M40:M45)</f>
        <v>0</v>
      </c>
      <c r="N46" s="60"/>
      <c r="X46" s="1753"/>
    </row>
    <row r="47" spans="1:33" ht="16.5" thickBot="1" x14ac:dyDescent="0.3">
      <c r="M47" s="1530" t="s">
        <v>469</v>
      </c>
      <c r="X47" s="1753"/>
      <c r="Y47" s="847" t="s">
        <v>534</v>
      </c>
      <c r="AA47" s="1153" t="s">
        <v>477</v>
      </c>
    </row>
    <row r="48" spans="1:33" ht="33" customHeight="1" thickBot="1" x14ac:dyDescent="0.3">
      <c r="A48" s="1990" t="s">
        <v>253</v>
      </c>
      <c r="B48" s="1990" t="s">
        <v>299</v>
      </c>
      <c r="C48" s="1979" t="s">
        <v>17</v>
      </c>
      <c r="D48" s="1980" t="s">
        <v>96</v>
      </c>
      <c r="E48" s="1981" t="s">
        <v>474</v>
      </c>
      <c r="F48" s="1991" t="s">
        <v>41</v>
      </c>
      <c r="G48" s="1992" t="s">
        <v>42</v>
      </c>
      <c r="H48" s="1992" t="s">
        <v>43</v>
      </c>
      <c r="I48" s="1992" t="s">
        <v>57</v>
      </c>
      <c r="J48" s="1993" t="s">
        <v>472</v>
      </c>
      <c r="K48" s="1980" t="s">
        <v>100</v>
      </c>
      <c r="L48" s="1991" t="s">
        <v>99</v>
      </c>
      <c r="M48" s="1994" t="s">
        <v>101</v>
      </c>
      <c r="X48" s="1753"/>
      <c r="Y48" s="613"/>
      <c r="Z48" s="772" t="str">
        <f t="shared" ref="Z48:AF48" si="22">CONCATENATE("AY ", Z49-1, "-",Z49-2000)</f>
        <v>AY 2026-27</v>
      </c>
      <c r="AA48" s="772" t="str">
        <f t="shared" si="22"/>
        <v>AY 2027-28</v>
      </c>
      <c r="AB48" s="772" t="str">
        <f t="shared" si="22"/>
        <v>AY 2028-29</v>
      </c>
      <c r="AC48" s="772" t="str">
        <f t="shared" si="22"/>
        <v>AY 2029-30</v>
      </c>
      <c r="AD48" s="772" t="str">
        <f t="shared" si="22"/>
        <v>AY 2030-31</v>
      </c>
      <c r="AE48" s="772" t="str">
        <f t="shared" si="22"/>
        <v>AY 2031-32</v>
      </c>
      <c r="AF48" s="772" t="str">
        <f t="shared" si="22"/>
        <v>AY 2032-33</v>
      </c>
      <c r="AG48" s="773" t="s">
        <v>19</v>
      </c>
    </row>
    <row r="49" spans="1:33" x14ac:dyDescent="0.25">
      <c r="A49" s="3613">
        <v>1</v>
      </c>
      <c r="B49" s="2005">
        <f>IF($C$2&lt;DATE($Z$6,4,15),$Z$6,IF($C$2&lt;DATE($AA$6,4,15),$AA$6,IF($C$2&lt;DATE($AB$6,4,15),$AB$6,IF($C$2&lt;DATE($AC$6,4,15),$AC$6,$AD$6))))</f>
        <v>2027</v>
      </c>
      <c r="C49" s="2000">
        <f ca="1">(IF($C$2&lt;=$Z$14*AND(D40&gt;=3)*AND($F$2&gt;=$Z$18),OFFSET($U$6,(ROUNDUP((ROW()-10)/29,0)-1),0),0)*IF(D40=9,0,1))*C40</f>
        <v>0</v>
      </c>
      <c r="D49" s="2921">
        <f>IF(OR($C36="COE",$C36="CCE",$C36="CBEE",$C36="EECS",$C36="MIME",$C36="NSE",$C36="PMEC"),HLOOKUP($B49,$Z$6:$AF$10,3),
IF(($C36="COB"),HLOOKUP($B49,$Z$25:$AF$27,3),
IF(($C36="CPH"),HLOOKUP($B49,$Z$31:$AF$33,3),
IF(($C36="VetMed"),HLOOKUP($B49,$Z$37:$AF$39,3),
IF(($C36="Pharm"),HLOOKUP($B49,$Z$43:$AF$45,3),
HLOOKUP($B49,$Z$49:$AF$51,3))))))</f>
        <v>2719.5</v>
      </c>
      <c r="E49" s="1987">
        <f ca="1">(C49*D49)+(C50*D50)</f>
        <v>0</v>
      </c>
      <c r="F49" s="1988">
        <f ca="1">IF($C$2&lt;=$Z$15*AND(D40&gt;=3)*AND($F$2&gt;=$Z$19),OFFSET($U$6,(ROUNDUP((ROW()-10)/29,0)-1),0),0)*C40</f>
        <v>0</v>
      </c>
      <c r="G49" s="1988">
        <f ca="1">IF($C$2&lt;=$Z$16*AND(D40&gt;=3)*AND($F$2&gt;=$Z$20),OFFSET($U$6,(ROUNDUP((ROW()-10)/29,0)-1),0),0)*C40</f>
        <v>0</v>
      </c>
      <c r="H49" s="1988"/>
      <c r="I49" s="2921">
        <f>IF(OR($C36="COE",$C36="CCE",$C36="CBEE",$C36="EECS",$C36="MIME",$C36="NSE",$C36="PMEC"),HLOOKUP($B49,$Z$6:$AF$10,2),
IF(($C36="COB"),HLOOKUP($B49,$Z$25:$AF$27,2),
IF(($C36="CPH"),HLOOKUP($B49,$Z$31:$AF$33,2),
IF(($C36="VetMed"),HLOOKUP($B49,$Z$37:$AF$39,2),
IF(($C36="Pharm"),HLOOKUP($B49,$Z$43:$AF$45,2),
HLOOKUP($B49,$Z$49:$AF$51,2))))))</f>
        <v>4895.1000000000004</v>
      </c>
      <c r="J49" s="1989">
        <f ca="1">((SUM(F49:H49)*I49)+(SUM(F50:H50)*I50))</f>
        <v>0</v>
      </c>
      <c r="K49" s="2552">
        <f t="shared" ref="K49:K60" ca="1" si="23">C49*HLOOKUP($B49,$Z$6:$AF$10,5)</f>
        <v>0</v>
      </c>
      <c r="L49" s="2925">
        <f t="shared" ref="L49:L60" ca="1" si="24">SUM(F49:H49)*HLOOKUP($B49,$Z$6:$AF$10,4)</f>
        <v>0</v>
      </c>
      <c r="M49" s="2926">
        <f ca="1">SUM(K49:L50)</f>
        <v>0</v>
      </c>
      <c r="X49" s="1753"/>
      <c r="Y49" s="774" t="s">
        <v>296</v>
      </c>
      <c r="Z49" s="775">
        <f>'Reference Sheet'!P65</f>
        <v>2027</v>
      </c>
      <c r="AA49" s="775">
        <f>'Reference Sheet'!Q65</f>
        <v>2028</v>
      </c>
      <c r="AB49" s="775">
        <f>'Reference Sheet'!R65</f>
        <v>2029</v>
      </c>
      <c r="AC49" s="775">
        <f>'Reference Sheet'!S65</f>
        <v>2030</v>
      </c>
      <c r="AD49" s="775">
        <f>'Reference Sheet'!T65</f>
        <v>2031</v>
      </c>
      <c r="AE49" s="775">
        <f>'Reference Sheet'!U65</f>
        <v>2032</v>
      </c>
      <c r="AF49" s="775">
        <f>'Reference Sheet'!V65</f>
        <v>2033</v>
      </c>
      <c r="AG49" s="776"/>
    </row>
    <row r="50" spans="1:33" ht="15.75" thickBot="1" x14ac:dyDescent="0.3">
      <c r="A50" s="3609"/>
      <c r="B50" s="2006">
        <f>B49+1</f>
        <v>2028</v>
      </c>
      <c r="C50" s="2001">
        <f ca="1">(IF($C$2&lt;=$AA$14*AND(D40&gt;=3)*AND($F$2&gt;=$AA$18),OFFSET($U$6,(ROUNDUP((ROW()-10)/29,0)-1),0),0)*IF(D40=9,0,1)*IF(C49=0,1,0))*C40</f>
        <v>0</v>
      </c>
      <c r="D50" s="2921">
        <f>IF(OR($C36="COE",$C36="CCE",$C36="CBEE",$C36="EECS",$C36="MIME",$C36="NSE",$C36="PMEC"),HLOOKUP($B50,$Z$6:$AF$10,3),
IF(($C36="COB"),HLOOKUP($B50,$Z$25:$AF$27,3),
IF(($C36="CPH"),HLOOKUP($B50,$Z$31:$AF$33,3),
IF(($C36="VetMed"),HLOOKUP($B50,$Z$37:$AF$39,3),
IF(($C36="Pharm"),HLOOKUP($B50,$Z$43:$AF$45,3),
HLOOKUP($B50,$Z$49:$AF$51,3))))))</f>
        <v>2801.085</v>
      </c>
      <c r="E50" s="1594"/>
      <c r="F50" s="511"/>
      <c r="G50" s="511"/>
      <c r="H50" s="511">
        <f ca="1">IF($C$2&lt;=$AA$17*AND(D40&gt;=3)*AND(H49=0)*AND($F$2&gt;=$AA$21),OFFSET($U$6,(ROUNDUP((ROW()-10)/29,0)-1),0),0)*C40</f>
        <v>0</v>
      </c>
      <c r="I50" s="2921">
        <f>IF(OR($C36="COE",$C36="CCE",$C36="CBEE",$C36="EECS",$C36="MIME",$C36="NSE",$C36="PMEC"),HLOOKUP($B50,$Z$6:$AF$10,2),
IF(($C36="COB"),HLOOKUP($B50,$Z$25:$AF$27,2),
IF(($C36="CPH"),HLOOKUP($B50,$Z$31:$AF$33,2),
IF(($C36="VetMed"),HLOOKUP($B50,$Z$37:$AF$39,2),
IF(($C36="Pharm"),HLOOKUP($B50,$Z$43:$AF$45,2),
HLOOKUP($B50,$Z$49:$AF$51,2))))))</f>
        <v>5041.9530000000004</v>
      </c>
      <c r="J50" s="612"/>
      <c r="K50" s="2553">
        <f t="shared" ca="1" si="23"/>
        <v>0</v>
      </c>
      <c r="L50" s="2927">
        <f t="shared" ca="1" si="24"/>
        <v>0</v>
      </c>
      <c r="M50" s="2928"/>
      <c r="X50" s="1753" t="s">
        <v>643</v>
      </c>
      <c r="Y50" s="777" t="s">
        <v>57</v>
      </c>
      <c r="Z50" s="778">
        <f>'Reference Sheet'!P66</f>
        <v>4895.1000000000004</v>
      </c>
      <c r="AA50" s="778">
        <f>'Reference Sheet'!Q66</f>
        <v>5041.9530000000004</v>
      </c>
      <c r="AB50" s="778">
        <f>'Reference Sheet'!R66</f>
        <v>5193.2115900000008</v>
      </c>
      <c r="AC50" s="778">
        <f>'Reference Sheet'!S66</f>
        <v>5349.0079377000011</v>
      </c>
      <c r="AD50" s="778">
        <f>'Reference Sheet'!T66</f>
        <v>5509.478175831001</v>
      </c>
      <c r="AE50" s="778">
        <f>'Reference Sheet'!U66</f>
        <v>5674.7625211059312</v>
      </c>
      <c r="AF50" s="778">
        <f>'Reference Sheet'!V66</f>
        <v>5845.0053967391095</v>
      </c>
      <c r="AG50" s="1775">
        <f>'Reference Sheet'!W66</f>
        <v>0.03</v>
      </c>
    </row>
    <row r="51" spans="1:33" x14ac:dyDescent="0.25">
      <c r="A51" s="3608">
        <v>2</v>
      </c>
      <c r="B51" s="2005">
        <f>B50</f>
        <v>2028</v>
      </c>
      <c r="C51" s="2002">
        <f ca="1">(IF(($AA$18&lt;$F$2)*AND(D41=12)*AND(C50=0),OFFSET($U$6,(ROUNDUP((ROW()-10)/29,0)-1),0),0))*C41</f>
        <v>0</v>
      </c>
      <c r="D51" s="2922">
        <f>D50</f>
        <v>2801.085</v>
      </c>
      <c r="E51" s="1595">
        <f ca="1">(C51*D51)+(C52*D52)</f>
        <v>0</v>
      </c>
      <c r="F51" s="510">
        <f ca="1">IF(($AA$19&lt;$F$2)*AND(D41&gt;=3)*AND(F50=0),OFFSET($U$6,(ROUNDUP((ROW()-10)/29,0)-1),0),0)*C41</f>
        <v>0</v>
      </c>
      <c r="G51" s="510">
        <f ca="1">IF(($AA$20&lt;$F$2)*AND(D41&gt;=3)*AND(G50=0),OFFSET($U$6,(ROUNDUP((ROW()-10)/29,0)-1),0),0)*C41</f>
        <v>0</v>
      </c>
      <c r="H51" s="510">
        <f ca="1">IF(($AA$21&lt;$F$2)*AND(D41&gt;=3)*AND(H50=0),OFFSET($U$6,(ROUNDUP((ROW()-10)/29,0)-1),0),0)*C41</f>
        <v>0</v>
      </c>
      <c r="I51" s="1589">
        <f>I50</f>
        <v>5041.9530000000004</v>
      </c>
      <c r="J51" s="611">
        <f ca="1">((SUM(F51:H51)*I51)+(SUM(F52:H52)*I52))</f>
        <v>0</v>
      </c>
      <c r="K51" s="2552">
        <f t="shared" ca="1" si="23"/>
        <v>0</v>
      </c>
      <c r="L51" s="2925">
        <f t="shared" ca="1" si="24"/>
        <v>0</v>
      </c>
      <c r="M51" s="2926">
        <f ca="1">SUM(K51:L52)</f>
        <v>0</v>
      </c>
      <c r="X51" s="1753" t="s">
        <v>643</v>
      </c>
      <c r="Y51" s="777" t="s">
        <v>96</v>
      </c>
      <c r="Z51" s="1778">
        <f>'Reference Sheet'!P67</f>
        <v>2719.5</v>
      </c>
      <c r="AA51" s="778">
        <f>'Reference Sheet'!Q67</f>
        <v>2801.085</v>
      </c>
      <c r="AB51" s="778">
        <f>'Reference Sheet'!R67</f>
        <v>2885.1175499999999</v>
      </c>
      <c r="AC51" s="778">
        <f>'Reference Sheet'!S67</f>
        <v>2971.6710764999998</v>
      </c>
      <c r="AD51" s="778">
        <f>'Reference Sheet'!T67</f>
        <v>3060.8212087949996</v>
      </c>
      <c r="AE51" s="778">
        <f>'Reference Sheet'!U67</f>
        <v>3152.6458450588498</v>
      </c>
      <c r="AF51" s="778">
        <f>'Reference Sheet'!V67</f>
        <v>3247.2252204106153</v>
      </c>
      <c r="AG51" s="1775">
        <f>'Reference Sheet'!W67</f>
        <v>0.03</v>
      </c>
    </row>
    <row r="52" spans="1:33" ht="15.75" thickBot="1" x14ac:dyDescent="0.3">
      <c r="A52" s="3613"/>
      <c r="B52" s="2007">
        <f>B51+1</f>
        <v>2029</v>
      </c>
      <c r="C52" s="2003">
        <f ca="1">(IF(($AB$18&lt;$F$2)*AND(D41=12)*AND(C51=0),OFFSET($U$6,(ROUNDUP((ROW()-10)/29,0)-1),0),0))*C41</f>
        <v>0</v>
      </c>
      <c r="D52" s="2931">
        <f>D51+D51*$AG$7</f>
        <v>2885.1175499999999</v>
      </c>
      <c r="E52" s="1594"/>
      <c r="F52" s="511">
        <f ca="1">IF(($AB$19&lt;$F$2)*AND(D41&gt;=3)*AND(F51=0),OFFSET($U$6,(ROUNDUP((ROW()-10)/29,0)-1),0),0)*C41</f>
        <v>0</v>
      </c>
      <c r="G52" s="511">
        <f ca="1">IF(($AB$20&lt;$F$2)*AND(D41&gt;=3)*AND(G51=0),OFFSET($U$6,(ROUNDUP((ROW()-10)/29,0)-1),0),0)*C41</f>
        <v>0</v>
      </c>
      <c r="H52" s="511">
        <f ca="1">IF(($AB$21&lt;$F$2)*AND(D41&gt;=3)*AND(H51=0),OFFSET($U$6,(ROUNDUP((ROW()-10)/29,0)-1),0),0)*C41</f>
        <v>0</v>
      </c>
      <c r="I52" s="1917">
        <f>I51+I51*$AG$7</f>
        <v>5193.2115900000008</v>
      </c>
      <c r="J52" s="612"/>
      <c r="K52" s="2553">
        <f t="shared" ca="1" si="23"/>
        <v>0</v>
      </c>
      <c r="L52" s="2927">
        <f t="shared" ca="1" si="24"/>
        <v>0</v>
      </c>
      <c r="M52" s="2928"/>
    </row>
    <row r="53" spans="1:33" x14ac:dyDescent="0.25">
      <c r="A53" s="3608">
        <v>3</v>
      </c>
      <c r="B53" s="2005">
        <f>B52</f>
        <v>2029</v>
      </c>
      <c r="C53" s="2002">
        <f ca="1">IF(($AB$18&lt;$F$2)*AND(D42=12)*AND(C52=0),OFFSET($U$6,(ROUNDUP((ROW()-10)/29,0)-1),0),0)*C42</f>
        <v>0</v>
      </c>
      <c r="D53" s="2924">
        <f>D52</f>
        <v>2885.1175499999999</v>
      </c>
      <c r="E53" s="1595">
        <f ca="1">(C53*D53)+(C54*D54)</f>
        <v>0</v>
      </c>
      <c r="F53" s="510">
        <f ca="1">IF(($AB$19&lt;$F$2)*AND(D42&gt;=3)*AND(F52=0),OFFSET($U$6,(ROUNDUP((ROW()-10)/29,0)-1),0),0)*C42</f>
        <v>0</v>
      </c>
      <c r="G53" s="510">
        <f ca="1">IF(($AB$20&lt;$F$2)*AND(D42&gt;=3)*AND(G52=0),OFFSET($U$6,(ROUNDUP((ROW()-10)/29,0)-1),0),0)*C42</f>
        <v>0</v>
      </c>
      <c r="H53" s="510">
        <f ca="1">IF(($AB$21&lt;$F$2)*AND(D42&gt;=3)*AND(H52=0),OFFSET($U$6,(ROUNDUP((ROW()-10)/29,0)-1),0),0)*C42</f>
        <v>0</v>
      </c>
      <c r="I53" s="1589">
        <f>I52</f>
        <v>5193.2115900000008</v>
      </c>
      <c r="J53" s="611">
        <f ca="1">((SUM(F53:H53)*I53)+(SUM(F54:H54)*I54))</f>
        <v>0</v>
      </c>
      <c r="K53" s="2552">
        <f t="shared" ca="1" si="23"/>
        <v>0</v>
      </c>
      <c r="L53" s="2925">
        <f t="shared" ca="1" si="24"/>
        <v>0</v>
      </c>
      <c r="M53" s="2926">
        <f ca="1">SUM(K53:L54)</f>
        <v>0</v>
      </c>
    </row>
    <row r="54" spans="1:33" ht="15.75" thickBot="1" x14ac:dyDescent="0.3">
      <c r="A54" s="3609"/>
      <c r="B54" s="2006">
        <f>B53+1</f>
        <v>2030</v>
      </c>
      <c r="C54" s="2001">
        <f ca="1">IF(($AC$18&lt;$F$2)*AND(D42=12)*AND(C53=0),OFFSET($U$6,(ROUNDUP((ROW()-10)/29,0)-1),0),0)*C42</f>
        <v>0</v>
      </c>
      <c r="D54" s="2932">
        <f>D53+D53*$AG$7</f>
        <v>2971.6710764999998</v>
      </c>
      <c r="E54" s="1594"/>
      <c r="F54" s="511">
        <f ca="1">IF(($AC$19&lt;$F$2)*AND(D42&gt;=3)*AND(F53=0),OFFSET($U$6,(ROUNDUP((ROW()-10)/29,0)-1),0),0)*C42</f>
        <v>0</v>
      </c>
      <c r="G54" s="511">
        <f ca="1">IF(($AC$20&lt;$F$2)*AND(D42&gt;=3)*AND(G53=0),OFFSET($U$6,(ROUNDUP((ROW()-10)/29,0)-1),0),0)*C42</f>
        <v>0</v>
      </c>
      <c r="H54" s="511">
        <f ca="1">IF(($AC$21&lt;$F$2)*AND(D42&gt;=3)*AND(H53=0),OFFSET($U$6,(ROUNDUP((ROW()-10)/29,0)-1),0),0)*C42</f>
        <v>0</v>
      </c>
      <c r="I54" s="1917">
        <f>I53+I53*$AG$7</f>
        <v>5349.0079377000011</v>
      </c>
      <c r="J54" s="612"/>
      <c r="K54" s="2553">
        <f t="shared" ca="1" si="23"/>
        <v>0</v>
      </c>
      <c r="L54" s="2927">
        <f t="shared" ca="1" si="24"/>
        <v>0</v>
      </c>
      <c r="M54" s="2928"/>
    </row>
    <row r="55" spans="1:33" x14ac:dyDescent="0.25">
      <c r="A55" s="3613">
        <v>4</v>
      </c>
      <c r="B55" s="2008">
        <f>B54</f>
        <v>2030</v>
      </c>
      <c r="C55" s="2000">
        <f ca="1">IF(($AC$11&lt;$F$2)*AND(D43=12)*AND(C54=0),OFFSET($U$6,(ROUNDUP((ROW()-10)/29,0)-1),0),0)*C43</f>
        <v>0</v>
      </c>
      <c r="D55" s="2921">
        <f>D54</f>
        <v>2971.6710764999998</v>
      </c>
      <c r="E55" s="1595">
        <f ca="1">(C55*D55)+(C56*D56)</f>
        <v>0</v>
      </c>
      <c r="F55" s="510">
        <f ca="1">IF(($AC$19&lt;$F$2)*AND(D43&gt;=3)*AND(F54=0),OFFSET($U$6,(ROUNDUP((ROW()-10)/29,0)-1),0),0)*C43</f>
        <v>0</v>
      </c>
      <c r="G55" s="510">
        <f ca="1">IF(($AC$20&lt;$F$2)*AND(D43&gt;=3)*AND(G54=0),OFFSET($U$6,(ROUNDUP((ROW()-10)/29,0)-1),0),0)*C43</f>
        <v>0</v>
      </c>
      <c r="H55" s="510">
        <f ca="1">IF(($AC$21&lt;$F$2)*AND(D43&gt;=3)*AND(H54=0),OFFSET($U$6,(ROUNDUP((ROW()-10)/29,0)-1),0),0)*C43</f>
        <v>0</v>
      </c>
      <c r="I55" s="1589">
        <f>I54</f>
        <v>5349.0079377000011</v>
      </c>
      <c r="J55" s="611">
        <f ca="1">((SUM(F55:H55)*I55)+(SUM(F56:H56)*I56))</f>
        <v>0</v>
      </c>
      <c r="K55" s="2552">
        <f t="shared" ca="1" si="23"/>
        <v>0</v>
      </c>
      <c r="L55" s="2925">
        <f t="shared" ca="1" si="24"/>
        <v>0</v>
      </c>
      <c r="M55" s="2926">
        <f ca="1">SUM(K55:L56)</f>
        <v>0</v>
      </c>
    </row>
    <row r="56" spans="1:33" ht="15.75" thickBot="1" x14ac:dyDescent="0.3">
      <c r="A56" s="3609"/>
      <c r="B56" s="2006">
        <f>B55+1</f>
        <v>2031</v>
      </c>
      <c r="C56" s="2001">
        <f ca="1">IF(($AD$18&lt;$F$2)*AND(D43=12)*AND(C55=0),OFFSET($U$6,(ROUNDUP((ROW()-10)/29,0)-1),0),0)*C43</f>
        <v>0</v>
      </c>
      <c r="D56" s="2923">
        <f>D55+D55*$AG$7</f>
        <v>3060.8212087949996</v>
      </c>
      <c r="E56" s="1594"/>
      <c r="F56" s="511">
        <f ca="1">IF(($AD$19&lt;$F$2)*AND(D43&gt;=3)*AND(F55=0),OFFSET($U$6,(ROUNDUP((ROW()-10)/29,0)-1),0),0)*C43</f>
        <v>0</v>
      </c>
      <c r="G56" s="511">
        <f ca="1">IF(($AD$20&lt;$F$2)*AND(D43&gt;=3)*AND(G55=0),OFFSET($U$6,(ROUNDUP((ROW()-10)/29,0)-1),0),0)*C43</f>
        <v>0</v>
      </c>
      <c r="H56" s="511">
        <f ca="1">IF(($AD$21&lt;$F$2)*AND(D43&gt;=3)*AND(H55=0),OFFSET($U$6,(ROUNDUP((ROW()-10)/29,0)-1),0),0)*C43</f>
        <v>0</v>
      </c>
      <c r="I56" s="1917">
        <f>I55+I55*$AG$7</f>
        <v>5509.478175831001</v>
      </c>
      <c r="J56" s="612"/>
      <c r="K56" s="2553">
        <f t="shared" ca="1" si="23"/>
        <v>0</v>
      </c>
      <c r="L56" s="2927">
        <f t="shared" ca="1" si="24"/>
        <v>0</v>
      </c>
      <c r="M56" s="2928"/>
    </row>
    <row r="57" spans="1:33" x14ac:dyDescent="0.25">
      <c r="A57" s="3608">
        <v>5</v>
      </c>
      <c r="B57" s="2005">
        <f>B56</f>
        <v>2031</v>
      </c>
      <c r="C57" s="2002">
        <f ca="1">IF(($AD$18&lt;$F$2)*AND(D44=12)*AND(C56=0),OFFSET($U$6,(ROUNDUP((ROW()-10)/29,0)-1),0),0)*C44</f>
        <v>0</v>
      </c>
      <c r="D57" s="2922">
        <f>D56</f>
        <v>3060.8212087949996</v>
      </c>
      <c r="E57" s="1595">
        <f ca="1">(C57*D57)+(C58*D58)</f>
        <v>0</v>
      </c>
      <c r="F57" s="510">
        <f ca="1">IF(($AD$19&lt;$F$2)*AND(D44&gt;=3)*AND(F56=0),OFFSET($U$6,(ROUNDUP((ROW()-10)/29,0)-1),0),0)*C44</f>
        <v>0</v>
      </c>
      <c r="G57" s="510">
        <f ca="1">IF(($AD$20&lt;$F$2)*AND(D44&gt;=3)*AND(G56=0),OFFSET($U$6,(ROUNDUP((ROW()-10)/29,0)-1),0),0)*C44</f>
        <v>0</v>
      </c>
      <c r="H57" s="510">
        <f ca="1">IF(($AD$21&lt;$F$2)*AND(D44&gt;=3)*AND(H56=0),OFFSET($U$6,(ROUNDUP((ROW()-10)/29,0)-1),0),0)*C44</f>
        <v>0</v>
      </c>
      <c r="I57" s="1589">
        <f>I56</f>
        <v>5509.478175831001</v>
      </c>
      <c r="J57" s="611">
        <f ca="1">((SUM(F57:H57)*I57)+(SUM(F58:H58)*I58))</f>
        <v>0</v>
      </c>
      <c r="K57" s="2552">
        <f t="shared" ca="1" si="23"/>
        <v>0</v>
      </c>
      <c r="L57" s="2925">
        <f t="shared" ca="1" si="24"/>
        <v>0</v>
      </c>
      <c r="M57" s="2926">
        <f ca="1">SUM(K57:L58)</f>
        <v>0</v>
      </c>
    </row>
    <row r="58" spans="1:33" ht="15.75" thickBot="1" x14ac:dyDescent="0.3">
      <c r="A58" s="3609"/>
      <c r="B58" s="2006">
        <f>B57+1</f>
        <v>2032</v>
      </c>
      <c r="C58" s="2001">
        <f ca="1">IF(($AE$18&lt;$F$2)*AND(D44=12)*AND(C57=0),OFFSET($U$6,(ROUNDUP((ROW()-10)/29,0)-1),0),0)*C44</f>
        <v>0</v>
      </c>
      <c r="D58" s="2923">
        <f>D57+D57*$AG$7</f>
        <v>3152.6458450588498</v>
      </c>
      <c r="E58" s="1594"/>
      <c r="F58" s="511">
        <f ca="1">IF(($AE$19&lt;$F$2)*AND(D44&gt;=3)*AND(F57=0),OFFSET($U$6,(ROUNDUP((ROW()-10)/29,0)-1),0),0)*C44</f>
        <v>0</v>
      </c>
      <c r="G58" s="511">
        <f ca="1">IF(($AE$20&lt;$F$2)*AND(D44&gt;=3)*AND(G57=0),OFFSET($U$6,(ROUNDUP((ROW()-10)/29,0)-1),0),0)*C44</f>
        <v>0</v>
      </c>
      <c r="H58" s="511">
        <f ca="1">IF(($AE$21&lt;$F$2)*AND(D44&gt;=3)*AND(H57=0),OFFSET($U$6,(ROUNDUP((ROW()-10)/29,0)-1),0),0)*C44</f>
        <v>0</v>
      </c>
      <c r="I58" s="1917">
        <f>I57+I57*$AG$7</f>
        <v>5674.7625211059312</v>
      </c>
      <c r="J58" s="612"/>
      <c r="K58" s="2553">
        <f t="shared" ca="1" si="23"/>
        <v>0</v>
      </c>
      <c r="L58" s="2927">
        <f t="shared" ca="1" si="24"/>
        <v>0</v>
      </c>
      <c r="M58" s="2928"/>
    </row>
    <row r="59" spans="1:33" x14ac:dyDescent="0.25">
      <c r="A59" s="3608">
        <v>6</v>
      </c>
      <c r="B59" s="2005">
        <f>B58</f>
        <v>2032</v>
      </c>
      <c r="C59" s="2002">
        <f ca="1">IF(($AE$18&lt;$F$2)*AND(D45=12)*AND(C58=0),OFFSET($U$6,(ROUNDUP((ROW()-10)/29,0)-1),0),0)*C45</f>
        <v>0</v>
      </c>
      <c r="D59" s="2922">
        <f>D58</f>
        <v>3152.6458450588498</v>
      </c>
      <c r="E59" s="1595">
        <f ca="1">(C59*D59)+(C60*D60)</f>
        <v>0</v>
      </c>
      <c r="F59" s="510">
        <f ca="1">IF(($AE$19&lt;$F$2)*AND(D45&gt;=3)*AND(F58=0),OFFSET($U$6,(ROUNDUP((ROW()-10)/29,0)-1),0),0)*C45</f>
        <v>0</v>
      </c>
      <c r="G59" s="510">
        <f ca="1">IF(($AE$20&lt;$F$2)*AND(D45&gt;=3)*AND(G58=0),OFFSET($U$6,(ROUNDUP((ROW()-10)/29,0)-1),0),0)*C45</f>
        <v>0</v>
      </c>
      <c r="H59" s="510">
        <f ca="1">IF(($AE$21&lt;$F$2)*AND(D45&gt;=3)*AND(H58=0),OFFSET($U$6,(ROUNDUP((ROW()-10)/29,0)-1),0),0)*C45</f>
        <v>0</v>
      </c>
      <c r="I59" s="1589">
        <f>I58</f>
        <v>5674.7625211059312</v>
      </c>
      <c r="J59" s="611">
        <f ca="1">((SUM(F59:H59)*I59)+(SUM(F60:H60)*I60))</f>
        <v>0</v>
      </c>
      <c r="K59" s="2552">
        <f t="shared" ca="1" si="23"/>
        <v>0</v>
      </c>
      <c r="L59" s="2925">
        <f t="shared" ca="1" si="24"/>
        <v>0</v>
      </c>
      <c r="M59" s="2926">
        <f ca="1">SUM(K59:L60)</f>
        <v>0</v>
      </c>
    </row>
    <row r="60" spans="1:33" ht="15.75" thickBot="1" x14ac:dyDescent="0.3">
      <c r="A60" s="3609"/>
      <c r="B60" s="2006">
        <f>B59+1</f>
        <v>2033</v>
      </c>
      <c r="C60" s="2004">
        <f ca="1">IF(($AF$18&lt;$F$2)*AND(D45=12)*AND(C59=0),OFFSET($U$6,(ROUNDUP((ROW()-10)/29,0)-1),0),0)*C45</f>
        <v>0</v>
      </c>
      <c r="D60" s="2923">
        <f>D59+D59*$AG$7</f>
        <v>3247.2252204106153</v>
      </c>
      <c r="E60" s="1594"/>
      <c r="F60" s="511">
        <f ca="1">IF(($AF$19&lt;$F$2)*AND(D45&gt;=3)*AND(F59=0),OFFSET($U$6,(ROUNDUP((ROW()-10)/29,0)-1),0),0)*C45</f>
        <v>0</v>
      </c>
      <c r="G60" s="511">
        <f ca="1">IF(($AF$20&lt;$F$2)*AND(D45&gt;=3)*AND(G59=0),OFFSET($U$6,(ROUNDUP((ROW()-10)/29,0)-1),0),0)*C45</f>
        <v>0</v>
      </c>
      <c r="H60" s="511">
        <f ca="1">IF(($AF$21&lt;$F$2)*AND(D45&gt;=3)*AND(H59=0),OFFSET($U$6,(ROUNDUP((ROW()-10)/29,0)-1),0),0)*C45</f>
        <v>0</v>
      </c>
      <c r="I60" s="1917">
        <f>I59+I59*$AG$7</f>
        <v>5845.0053967391095</v>
      </c>
      <c r="J60" s="612"/>
      <c r="K60" s="2553">
        <f t="shared" ca="1" si="23"/>
        <v>0</v>
      </c>
      <c r="L60" s="2927">
        <f t="shared" ca="1" si="24"/>
        <v>0</v>
      </c>
      <c r="M60" s="2928"/>
    </row>
    <row r="61" spans="1:33" ht="15.75" thickBot="1" x14ac:dyDescent="0.3">
      <c r="C61" s="3616" t="s">
        <v>96</v>
      </c>
      <c r="D61" s="3617"/>
      <c r="E61" s="2933">
        <f ca="1">SUM(E49:E59)</f>
        <v>0</v>
      </c>
      <c r="F61" s="60"/>
      <c r="G61" s="2936" t="s">
        <v>102</v>
      </c>
      <c r="H61" s="3618" t="s">
        <v>57</v>
      </c>
      <c r="I61" s="3619"/>
      <c r="J61" s="2934">
        <f ca="1">SUM(J49:J59)</f>
        <v>0</v>
      </c>
      <c r="K61" s="3610" t="s">
        <v>103</v>
      </c>
      <c r="L61" s="3611"/>
      <c r="M61" s="2935">
        <f ca="1">SUM(M49:M60)</f>
        <v>0</v>
      </c>
    </row>
    <row r="62" spans="1:33" ht="15.75" thickBot="1" x14ac:dyDescent="0.3">
      <c r="A62" s="71"/>
      <c r="B62" s="71"/>
      <c r="C62" s="71"/>
      <c r="D62" s="71"/>
      <c r="E62" s="71"/>
      <c r="F62" s="71"/>
      <c r="G62" s="71"/>
      <c r="H62" s="71"/>
      <c r="I62" s="71"/>
      <c r="J62" s="71"/>
      <c r="K62" s="71"/>
      <c r="L62" s="71"/>
      <c r="M62" s="71"/>
    </row>
    <row r="63" spans="1:33" ht="16.5" thickTop="1" thickBot="1" x14ac:dyDescent="0.3"/>
    <row r="64" spans="1:33" ht="15.75" thickBot="1" x14ac:dyDescent="0.3">
      <c r="A64" s="1596" t="str">
        <f>'DATA INPUT'!B31</f>
        <v>GA #03 / Sponsor Funds</v>
      </c>
      <c r="B64" s="1597"/>
      <c r="C64" s="1597"/>
      <c r="D64" s="1597"/>
      <c r="E64" s="1597"/>
      <c r="F64" s="1597"/>
      <c r="G64" s="1597"/>
      <c r="H64" s="1597"/>
      <c r="I64" s="1597"/>
      <c r="J64" s="1597"/>
      <c r="K64" s="1597"/>
      <c r="L64" s="1597"/>
      <c r="M64" s="1598"/>
      <c r="N64" s="1598"/>
    </row>
    <row r="65" spans="1:15" ht="15" customHeight="1" thickBot="1" x14ac:dyDescent="0.3">
      <c r="A65" s="3620" t="s">
        <v>80</v>
      </c>
      <c r="B65" s="3621"/>
      <c r="C65" s="1712">
        <f>'DATA INPUT'!C31</f>
        <v>0</v>
      </c>
      <c r="E65" s="1760" t="s">
        <v>135</v>
      </c>
      <c r="F65" s="1761">
        <f>'DATA INPUT'!E31</f>
        <v>0</v>
      </c>
      <c r="G65" s="1760" t="s">
        <v>82</v>
      </c>
      <c r="H65" s="1734">
        <f>'DATA INPUT'!F31</f>
        <v>0.49</v>
      </c>
      <c r="I65" s="1737" t="s">
        <v>88</v>
      </c>
      <c r="J65" s="1746">
        <f>IFERROR(VLOOKUP(C65,Table_Units[],IF(F65='Reference Sheet'!$H$37,3,2),FALSE)*1,0)</f>
        <v>0</v>
      </c>
      <c r="K65" s="1746"/>
      <c r="L65" s="66"/>
      <c r="M65" s="1712"/>
      <c r="N65" s="1762"/>
    </row>
    <row r="66" spans="1:15" ht="15" customHeight="1" thickBot="1" x14ac:dyDescent="0.3">
      <c r="A66" s="1716"/>
      <c r="B66" s="3445" t="s">
        <v>254</v>
      </c>
      <c r="C66" s="3560" t="s">
        <v>517</v>
      </c>
      <c r="D66" s="3444" t="s">
        <v>518</v>
      </c>
      <c r="E66" s="3445" t="s">
        <v>519</v>
      </c>
      <c r="F66" s="3445" t="s">
        <v>521</v>
      </c>
      <c r="G66" s="3614" t="s">
        <v>65</v>
      </c>
      <c r="H66" s="3614"/>
      <c r="I66" s="3614"/>
      <c r="J66" s="3614"/>
      <c r="K66" s="3445" t="s">
        <v>84</v>
      </c>
      <c r="L66" s="1996" t="s">
        <v>78</v>
      </c>
      <c r="M66" s="1997"/>
      <c r="N66" s="3558" t="s">
        <v>87</v>
      </c>
    </row>
    <row r="67" spans="1:15" ht="15.75" customHeight="1" thickBot="1" x14ac:dyDescent="0.3">
      <c r="A67" s="3445" t="s">
        <v>253</v>
      </c>
      <c r="B67" s="3445"/>
      <c r="C67" s="3561"/>
      <c r="D67" s="3445"/>
      <c r="E67" s="3445"/>
      <c r="F67" s="3445"/>
      <c r="G67" s="3444" t="s">
        <v>86</v>
      </c>
      <c r="H67" s="3444" t="s">
        <v>59</v>
      </c>
      <c r="I67" s="3444" t="s">
        <v>60</v>
      </c>
      <c r="J67" s="3444" t="s">
        <v>66</v>
      </c>
      <c r="K67" s="3445"/>
      <c r="L67" s="1998" t="s">
        <v>616</v>
      </c>
      <c r="M67" s="1999">
        <f>'Reference Sheet'!$E$14</f>
        <v>0.28499999999999998</v>
      </c>
      <c r="N67" s="3566"/>
    </row>
    <row r="68" spans="1:15" ht="15.75" thickBot="1" x14ac:dyDescent="0.3">
      <c r="A68" s="3446"/>
      <c r="B68" s="3446"/>
      <c r="C68" s="3615"/>
      <c r="D68" s="3446"/>
      <c r="E68" s="3446"/>
      <c r="F68" s="3446"/>
      <c r="G68" s="3446"/>
      <c r="H68" s="3446"/>
      <c r="I68" s="3446"/>
      <c r="J68" s="3446"/>
      <c r="K68" s="3446"/>
      <c r="L68" s="1769" t="s">
        <v>67</v>
      </c>
      <c r="M68" s="1683" t="s">
        <v>68</v>
      </c>
      <c r="N68" s="3612"/>
    </row>
    <row r="69" spans="1:15" x14ac:dyDescent="0.25">
      <c r="A69" s="1685">
        <v>1</v>
      </c>
      <c r="B69" s="1770">
        <f>$K$3</f>
        <v>12</v>
      </c>
      <c r="C69" s="1685">
        <f>'DATA INPUT'!I31</f>
        <v>0</v>
      </c>
      <c r="D69" s="1693">
        <f>IF(C69&lt;1,0,IF((B69&gt;0),'DATA INPUT'!$G$31,0))</f>
        <v>0</v>
      </c>
      <c r="E69" s="1773">
        <f t="shared" ref="E69:E74" ca="1" si="25">(D69*(2080/12))*OFFSET($H$7,29*(ROUNDUP(ROW()/29,0)-1),0)</f>
        <v>0</v>
      </c>
      <c r="F69" s="1684">
        <f t="shared" ref="F69:F74" ca="1" si="26">((D69*(2080/12))*OFFSET($H$7,29*(ROUNDUP(ROW()/29,0)-1),0))*C69</f>
        <v>0</v>
      </c>
      <c r="G69" s="1149">
        <v>0.03</v>
      </c>
      <c r="H69" s="460">
        <f>(J65*G69)+J65</f>
        <v>0</v>
      </c>
      <c r="I69" s="492">
        <f t="shared" ref="I69:I74" ca="1" si="27">H69/12*OFFSET($H$7,29*(ROUNDUP(ROW(H69)/29,0)-1),0)</f>
        <v>0</v>
      </c>
      <c r="J69" s="2400">
        <f t="shared" ref="J69:J74" si="28">(H69/12)/(2080/12)</f>
        <v>0</v>
      </c>
      <c r="K69" s="1766">
        <f t="shared" ref="K69:K74" ca="1" si="29">I69*D69*C69</f>
        <v>0</v>
      </c>
      <c r="L69" s="626">
        <f>IF($U$3&lt;$T$3, M67, IF($U$3&gt;$W$3, M67+2*$Q$6, M67+$Q$6))</f>
        <v>0.28499999999999998</v>
      </c>
      <c r="M69" s="1500">
        <f t="shared" ref="M69:M74" ca="1" si="30">L69*K69</f>
        <v>0</v>
      </c>
      <c r="N69" s="2400">
        <f t="shared" ref="N69:N74" si="31">((H69/12)/(2080/12))+(((H69/12)*L69)/(2080/12))</f>
        <v>0</v>
      </c>
      <c r="O69" s="58" t="str">
        <f ca="1">IF(ABS(C69*D69*OFFSET($U$6,(ROUNDUP((ROW()-10)/29,0)-1),0)-3*SUM(C78:C79,F78:H79))&gt; 0.01,"Mismatch: Tuition vs Months","")</f>
        <v/>
      </c>
    </row>
    <row r="70" spans="1:15" x14ac:dyDescent="0.25">
      <c r="A70" s="1687">
        <v>2</v>
      </c>
      <c r="B70" s="1771">
        <f>$L$3</f>
        <v>0</v>
      </c>
      <c r="C70" s="1687">
        <f>'DATA INPUT'!J31</f>
        <v>0</v>
      </c>
      <c r="D70" s="1693">
        <f>IF(C70&lt;1,0,IF((B70&gt;0),'DATA INPUT'!$G$31,0))</f>
        <v>0</v>
      </c>
      <c r="E70" s="1774">
        <f t="shared" ca="1" si="25"/>
        <v>0</v>
      </c>
      <c r="F70" s="1686">
        <f t="shared" ca="1" si="26"/>
        <v>0</v>
      </c>
      <c r="G70" s="461">
        <v>0.03</v>
      </c>
      <c r="H70" s="462">
        <f>(H69*G70)+H69</f>
        <v>0</v>
      </c>
      <c r="I70" s="501">
        <f t="shared" ca="1" si="27"/>
        <v>0</v>
      </c>
      <c r="J70" s="2397">
        <f t="shared" si="28"/>
        <v>0</v>
      </c>
      <c r="K70" s="1767">
        <f t="shared" ca="1" si="29"/>
        <v>0</v>
      </c>
      <c r="L70" s="625">
        <f>L69+$Q$6</f>
        <v>0.30499999999999999</v>
      </c>
      <c r="M70" s="1541">
        <f t="shared" ca="1" si="30"/>
        <v>0</v>
      </c>
      <c r="N70" s="2398">
        <f t="shared" si="31"/>
        <v>0</v>
      </c>
      <c r="O70" s="58" t="str">
        <f ca="1">IF(ABS(C70*D70*OFFSET($U$6,(ROUNDUP((ROW()-10)/29,0)-1),0)-3*SUM(C80:C81,F80:H81))&gt;0.01,"Mismatch: Tuition vs Months","")</f>
        <v/>
      </c>
    </row>
    <row r="71" spans="1:15" x14ac:dyDescent="0.25">
      <c r="A71" s="1687">
        <v>3</v>
      </c>
      <c r="B71" s="1771">
        <f>$M$3</f>
        <v>0</v>
      </c>
      <c r="C71" s="1687">
        <f>'DATA INPUT'!K31</f>
        <v>0</v>
      </c>
      <c r="D71" s="1693">
        <f>IF(C71&lt;1,0,IF((B71&gt;0),'DATA INPUT'!$G$31,0))</f>
        <v>0</v>
      </c>
      <c r="E71" s="1774">
        <f t="shared" ca="1" si="25"/>
        <v>0</v>
      </c>
      <c r="F71" s="1686">
        <f t="shared" ca="1" si="26"/>
        <v>0</v>
      </c>
      <c r="G71" s="461">
        <v>0.03</v>
      </c>
      <c r="H71" s="462">
        <f>(H70*G71)+H70</f>
        <v>0</v>
      </c>
      <c r="I71" s="501">
        <f t="shared" ca="1" si="27"/>
        <v>0</v>
      </c>
      <c r="J71" s="2397">
        <f t="shared" si="28"/>
        <v>0</v>
      </c>
      <c r="K71" s="1767">
        <f t="shared" ca="1" si="29"/>
        <v>0</v>
      </c>
      <c r="L71" s="625">
        <f>L70+$Q$6</f>
        <v>0.32500000000000001</v>
      </c>
      <c r="M71" s="1541">
        <f t="shared" ca="1" si="30"/>
        <v>0</v>
      </c>
      <c r="N71" s="2398">
        <f t="shared" si="31"/>
        <v>0</v>
      </c>
      <c r="O71" s="58" t="str">
        <f ca="1">IF(ABS(C71*D71*OFFSET($U$6,(ROUNDUP((ROW()-10)/29,0)-1),0)-3*SUM(C82:C83,F82:H83))&gt;0.01,"Mismatch: Tuition vs Months","")</f>
        <v/>
      </c>
    </row>
    <row r="72" spans="1:15" x14ac:dyDescent="0.25">
      <c r="A72" s="1687">
        <v>4</v>
      </c>
      <c r="B72" s="1771">
        <f>$N$3</f>
        <v>0</v>
      </c>
      <c r="C72" s="1687">
        <f>'DATA INPUT'!L31</f>
        <v>0</v>
      </c>
      <c r="D72" s="1693">
        <f>IF(C72&lt;1,0,IF((B72&gt;0),'DATA INPUT'!$G$31,0))</f>
        <v>0</v>
      </c>
      <c r="E72" s="1774">
        <f t="shared" ca="1" si="25"/>
        <v>0</v>
      </c>
      <c r="F72" s="1686">
        <f t="shared" ca="1" si="26"/>
        <v>0</v>
      </c>
      <c r="G72" s="461">
        <v>0.03</v>
      </c>
      <c r="H72" s="462">
        <f>(H71*G72)+H71</f>
        <v>0</v>
      </c>
      <c r="I72" s="501">
        <f t="shared" ca="1" si="27"/>
        <v>0</v>
      </c>
      <c r="J72" s="2397">
        <f t="shared" si="28"/>
        <v>0</v>
      </c>
      <c r="K72" s="1767">
        <f t="shared" ca="1" si="29"/>
        <v>0</v>
      </c>
      <c r="L72" s="625">
        <f>L71+$Q$6</f>
        <v>0.34500000000000003</v>
      </c>
      <c r="M72" s="1541">
        <f t="shared" ca="1" si="30"/>
        <v>0</v>
      </c>
      <c r="N72" s="2398">
        <f t="shared" si="31"/>
        <v>0</v>
      </c>
      <c r="O72" s="58" t="str">
        <f ca="1">IF(ABS(C72*D72*OFFSET($U$6,(ROUNDUP((ROW()-10)/29,0)-1),0)-3*SUM(C84:C85,F84:H85))&gt;0.01,"Mismatch: Tuition vs Months","")</f>
        <v/>
      </c>
    </row>
    <row r="73" spans="1:15" x14ac:dyDescent="0.25">
      <c r="A73" s="1687">
        <v>5</v>
      </c>
      <c r="B73" s="1771">
        <f>$O$3</f>
        <v>0</v>
      </c>
      <c r="C73" s="1687">
        <f>'DATA INPUT'!M31</f>
        <v>0</v>
      </c>
      <c r="D73" s="1693">
        <f>IF(C73&lt;1,0,IF((B73&gt;0),'DATA INPUT'!$G$31,0))</f>
        <v>0</v>
      </c>
      <c r="E73" s="1774">
        <f t="shared" ca="1" si="25"/>
        <v>0</v>
      </c>
      <c r="F73" s="1686">
        <f t="shared" ca="1" si="26"/>
        <v>0</v>
      </c>
      <c r="G73" s="461">
        <v>0.03</v>
      </c>
      <c r="H73" s="462">
        <f>(H72*G73)+H72</f>
        <v>0</v>
      </c>
      <c r="I73" s="501">
        <f t="shared" ca="1" si="27"/>
        <v>0</v>
      </c>
      <c r="J73" s="2397">
        <f t="shared" si="28"/>
        <v>0</v>
      </c>
      <c r="K73" s="1767">
        <f t="shared" ca="1" si="29"/>
        <v>0</v>
      </c>
      <c r="L73" s="625">
        <f>L72+$Q$6</f>
        <v>0.36500000000000005</v>
      </c>
      <c r="M73" s="1541">
        <f t="shared" ca="1" si="30"/>
        <v>0</v>
      </c>
      <c r="N73" s="2398">
        <f t="shared" si="31"/>
        <v>0</v>
      </c>
      <c r="O73" s="58" t="str">
        <f ca="1">IF(ABS(C73*D73*OFFSET($U$6,(ROUNDUP((ROW()-10)/29,0)-1),0)-3*SUM(C86:C87,F86:H87))&gt;0.01,"Mismatch: Tuition vs Months","")</f>
        <v/>
      </c>
    </row>
    <row r="74" spans="1:15" ht="15.75" thickBot="1" x14ac:dyDescent="0.3">
      <c r="A74" s="1691">
        <v>6</v>
      </c>
      <c r="B74" s="1772">
        <f>$P$3</f>
        <v>0</v>
      </c>
      <c r="C74" s="1689">
        <f>'DATA INPUT'!N31</f>
        <v>0</v>
      </c>
      <c r="D74" s="1694">
        <f>IF(C74&lt;1,0,IF((B74&gt;0),'DATA INPUT'!$G$31,0))</f>
        <v>0</v>
      </c>
      <c r="E74" s="1733">
        <f t="shared" ca="1" si="25"/>
        <v>0</v>
      </c>
      <c r="F74" s="1688">
        <f t="shared" ca="1" si="26"/>
        <v>0</v>
      </c>
      <c r="G74" s="463">
        <v>0.03</v>
      </c>
      <c r="H74" s="464">
        <f>(H73*G74)+H73</f>
        <v>0</v>
      </c>
      <c r="I74" s="502">
        <f t="shared" ca="1" si="27"/>
        <v>0</v>
      </c>
      <c r="J74" s="2413">
        <f t="shared" si="28"/>
        <v>0</v>
      </c>
      <c r="K74" s="1768">
        <f t="shared" ca="1" si="29"/>
        <v>0</v>
      </c>
      <c r="L74" s="627">
        <f>L73+$Q$6</f>
        <v>0.38500000000000006</v>
      </c>
      <c r="M74" s="1690">
        <f t="shared" ca="1" si="30"/>
        <v>0</v>
      </c>
      <c r="N74" s="2399">
        <f t="shared" si="31"/>
        <v>0</v>
      </c>
      <c r="O74" s="58" t="str">
        <f ca="1">IF(ABS(C74*D74*OFFSET($U$6,(ROUNDUP((ROW()-10)/29,0)-1),0)-3*SUM(C88:C89,F88:H89))&gt;0.01,"Mismatch: Tuition vs Months","")</f>
        <v/>
      </c>
    </row>
    <row r="75" spans="1:15" ht="15.75" thickBot="1" x14ac:dyDescent="0.3">
      <c r="A75" s="624" t="s">
        <v>85</v>
      </c>
      <c r="B75" s="519">
        <f>SUM(B69:B74)</f>
        <v>12</v>
      </c>
      <c r="C75" s="519">
        <f>SUM(C69:C74)</f>
        <v>0</v>
      </c>
      <c r="D75" s="1692">
        <f>SUM(D69:D74)</f>
        <v>0</v>
      </c>
      <c r="E75" s="1695">
        <f ca="1">SUM(E69:E74)</f>
        <v>0</v>
      </c>
      <c r="F75" s="1695">
        <f ca="1">SUM(F69:F74)</f>
        <v>0</v>
      </c>
      <c r="K75" s="1508">
        <f ca="1">SUM(K69:K74)</f>
        <v>0</v>
      </c>
      <c r="M75" s="1508">
        <f ca="1">SUM(M69:M74)</f>
        <v>0</v>
      </c>
      <c r="N75" s="60"/>
    </row>
    <row r="76" spans="1:15" ht="15.75" thickBot="1" x14ac:dyDescent="0.3">
      <c r="M76" s="1530" t="s">
        <v>469</v>
      </c>
    </row>
    <row r="77" spans="1:15" ht="30.75" thickBot="1" x14ac:dyDescent="0.3">
      <c r="A77" s="1990" t="s">
        <v>253</v>
      </c>
      <c r="B77" s="1990" t="s">
        <v>299</v>
      </c>
      <c r="C77" s="1979" t="s">
        <v>17</v>
      </c>
      <c r="D77" s="1980" t="s">
        <v>96</v>
      </c>
      <c r="E77" s="1981" t="s">
        <v>474</v>
      </c>
      <c r="F77" s="1991" t="s">
        <v>41</v>
      </c>
      <c r="G77" s="1992" t="s">
        <v>42</v>
      </c>
      <c r="H77" s="1992" t="s">
        <v>43</v>
      </c>
      <c r="I77" s="1992" t="s">
        <v>57</v>
      </c>
      <c r="J77" s="1993" t="s">
        <v>472</v>
      </c>
      <c r="K77" s="1980" t="s">
        <v>100</v>
      </c>
      <c r="L77" s="1991" t="s">
        <v>99</v>
      </c>
      <c r="M77" s="1994" t="s">
        <v>101</v>
      </c>
    </row>
    <row r="78" spans="1:15" x14ac:dyDescent="0.25">
      <c r="A78" s="3613">
        <v>1</v>
      </c>
      <c r="B78" s="2005">
        <f>IF($C$2&lt;DATE($Z$6,4,15),$Z$6,IF($C$2&lt;DATE($AA$6,4,15),$AA$6,IF($C$2&lt;DATE($AB$6,4,15),$AB$6,IF($C$2&lt;DATE($AC$6,4,15),$AC$6,$AD$6))))</f>
        <v>2027</v>
      </c>
      <c r="C78" s="2000">
        <f ca="1">(IF($C$2&lt;=$Z$14*AND(D69&gt;=3)*AND($F$2&gt;=$Z$18),OFFSET($U$6,(ROUNDUP((ROW()-10)/29,0)-1),0),0)*IF(D69=9,0,1))*C69</f>
        <v>0</v>
      </c>
      <c r="D78" s="2921">
        <f>IF(OR($C65="COE",$C65="CCE",$C65="CBEE",$C65="EECS",$C65="MIME",$C65="NSE",$C65="PMEC"),HLOOKUP($B78,$Z$6:$AF$10,3),
IF(($C65="COB"),HLOOKUP($B78,$Z$25:$AF$27,3),
IF(($C65="CPH"),HLOOKUP($B78,$Z$31:$AF$33,3),
IF(($C65="VetMed"),HLOOKUP($B78,$Z$37:$AF$39,3),
IF(($C65="Pharm"),HLOOKUP($B78,$Z$43:$AF$45,3),
HLOOKUP($B78,$Z$49:$AF$51,3))))))</f>
        <v>2719.5</v>
      </c>
      <c r="E78" s="1987">
        <f ca="1">(C78*D78)+(C79*D79)</f>
        <v>0</v>
      </c>
      <c r="F78" s="1988">
        <f ca="1">IF($C$2&lt;=$Z$15*AND(D69&gt;=3)*AND($F$2&gt;=$Z$19),OFFSET($U$6,(ROUNDUP((ROW()-10)/29,0)-1),0),0)*C69</f>
        <v>0</v>
      </c>
      <c r="G78" s="1988">
        <f ca="1">IF($C$2&lt;=$Z$16*AND(D69&gt;=3)*AND($F$2&gt;=$Z$20),OFFSET($U$6,(ROUNDUP((ROW()-10)/29,0)-1),0),0)*C69</f>
        <v>0</v>
      </c>
      <c r="H78" s="1988">
        <f ca="1">IF($C$2&lt;=$Z$17*AND(D69&gt;=3)*AND($F$2&gt;=$Z$21),OFFSET($U$6,(ROUNDUP((ROW()-10)/29,0)-1),0),0)*C69</f>
        <v>0</v>
      </c>
      <c r="I78" s="2921">
        <f>IF(OR($C65="COE",$C65="CCE",$C65="CBEE",$C65="EECS",$C65="MIME",$C65="NSE",$C65="PMEC"),HLOOKUP($B78,$Z$6:$AF$10,2),
IF(($C65="COB"),HLOOKUP($B78,$Z$25:$AF$27,2),
IF(($C65="CPH"),HLOOKUP($B78,$Z$31:$AF$33,2),
IF(($C65="VetMed"),HLOOKUP($B78,$Z$37:$AF$39,2),
IF(($C65="Pharm"),HLOOKUP($B78,$Z$43:$AF$45,2),
HLOOKUP($B78,$Z$49:$AF$51,2))))))</f>
        <v>4895.1000000000004</v>
      </c>
      <c r="J78" s="1989">
        <f ca="1">((SUM(F78:H78)*I78)+(SUM(F79:H79)*I79))</f>
        <v>0</v>
      </c>
      <c r="K78" s="2552">
        <f t="shared" ref="K78:K89" ca="1" si="32">C78*HLOOKUP($B78,$Z$6:$AF$10,5)</f>
        <v>0</v>
      </c>
      <c r="L78" s="2925">
        <f t="shared" ref="L78:L89" ca="1" si="33">SUM(F78:H78)*HLOOKUP($B78,$Z$6:$AF$10,4)</f>
        <v>0</v>
      </c>
      <c r="M78" s="2926">
        <f ca="1">SUM(K78:L79)</f>
        <v>0</v>
      </c>
    </row>
    <row r="79" spans="1:15" ht="15.75" thickBot="1" x14ac:dyDescent="0.3">
      <c r="A79" s="3609"/>
      <c r="B79" s="2006">
        <f>B78+1</f>
        <v>2028</v>
      </c>
      <c r="C79" s="2001">
        <f ca="1">(IF($C$2&lt;=$AA$14*AND(D69&gt;=3)*AND($F$2&gt;=$AA$18),OFFSET($U$6,(ROUNDUP((ROW()-10)/29,0)-1),0),0)*IF(D69=9,0,1)*IF(C78=0,1,0))*C69</f>
        <v>0</v>
      </c>
      <c r="D79" s="2921">
        <f>IF(OR($C65="COE",$C65="CCE",$C65="CBEE",$C65="EECS",$C65="MIME",$C65="NSE",$C65="PMEC"),HLOOKUP($B79,$Z$6:$AF$10,3),
IF(($C65="COB"),HLOOKUP($B79,$Z$25:$AF$27,3),
IF(($C65="CPH"),HLOOKUP($B79,$Z$31:$AF$33,3),
IF(($C65="VetMed"),HLOOKUP($B79,$Z$37:$AF$39,3),
IF(($C65="Pharm"),HLOOKUP($B79,$Z$43:$AF$45,3),
HLOOKUP($B79,$Z$49:$AF$51,3))))))</f>
        <v>2801.085</v>
      </c>
      <c r="E79" s="1594"/>
      <c r="F79" s="511">
        <f ca="1">IF(($C$2&lt;=$AA$15)*AND(D69&gt;=3)*AND(F78=0)*AND($F$2&gt;=$AA$19),OFFSET($U$6,(ROUNDUP((ROW()-10)/29,0)-1),0),0)*C69</f>
        <v>0</v>
      </c>
      <c r="G79" s="511">
        <f ca="1">IF(($C$2&lt;=$AA$16)*AND(D69&gt;=3)*AND(G78=0)*AND($F$2&gt;=$AA$20),OFFSET($U$6,(ROUNDUP((ROW()-10)/29,0)-1),0),0)*C69</f>
        <v>0</v>
      </c>
      <c r="H79" s="511">
        <f ca="1">IF($C$2&lt;=$AA$17*AND(D69&gt;=3)*AND(H78=0)*AND($F$2&gt;=$AA$21),OFFSET($U$6,(ROUNDUP((ROW()-10)/29,0)-1),0),0)*C69</f>
        <v>0</v>
      </c>
      <c r="I79" s="2921">
        <f>IF(OR($C65="COE",$C65="CCE",$C65="CBEE",$C65="EECS",$C65="MIME",$C65="NSE",$C65="PMEC"),HLOOKUP($B79,$Z$6:$AF$10,2),
IF(($C65="COB"),HLOOKUP($B79,$Z$25:$AF$27,2),
IF(($C65="CPH"),HLOOKUP($B79,$Z$31:$AF$33,2),
IF(($C65="VetMed"),HLOOKUP($B79,$Z$37:$AF$39,2),
IF(($C65="Pharm"),HLOOKUP($B79,$Z$43:$AF$45,2),
HLOOKUP($B79,$Z$49:$AF$51,2))))))</f>
        <v>5041.9530000000004</v>
      </c>
      <c r="J79" s="612"/>
      <c r="K79" s="2553">
        <f t="shared" ca="1" si="32"/>
        <v>0</v>
      </c>
      <c r="L79" s="2927">
        <f t="shared" ca="1" si="33"/>
        <v>0</v>
      </c>
      <c r="M79" s="2928"/>
    </row>
    <row r="80" spans="1:15" x14ac:dyDescent="0.25">
      <c r="A80" s="3608">
        <v>2</v>
      </c>
      <c r="B80" s="2005">
        <f>B79</f>
        <v>2028</v>
      </c>
      <c r="C80" s="2002">
        <f ca="1">(IF(($AA$18&lt;$F$2)*AND(D70=12)*AND(C79=0),OFFSET($U$6,(ROUNDUP((ROW()-10)/29,0)-1),0),0))*C70</f>
        <v>0</v>
      </c>
      <c r="D80" s="2922">
        <f>D79</f>
        <v>2801.085</v>
      </c>
      <c r="E80" s="1595">
        <f ca="1">(C80*D80)+(C81*D81)</f>
        <v>0</v>
      </c>
      <c r="F80" s="510">
        <f ca="1">IF(($AA$19&lt;$F$2)*AND(D70&gt;=3)*AND(F79=0),OFFSET($U$6,(ROUNDUP((ROW()-10)/29,0)-1),0),0)*C70</f>
        <v>0</v>
      </c>
      <c r="G80" s="510">
        <f ca="1">IF(($AA$20&lt;$F$2)*AND(D70&gt;=3)*AND(G79=0),OFFSET($U$6,(ROUNDUP((ROW()-10)/29,0)-1),0),0)*C70</f>
        <v>0</v>
      </c>
      <c r="H80" s="510">
        <f ca="1">IF(($AA$21&lt;$F$2)*AND(D70&gt;=3)*AND(H79=0),OFFSET($U$6,(ROUNDUP((ROW()-10)/29,0)-1),0),0)*C70</f>
        <v>0</v>
      </c>
      <c r="I80" s="2929">
        <f>I79</f>
        <v>5041.9530000000004</v>
      </c>
      <c r="J80" s="611">
        <f ca="1">((SUM(F80:H80)*I80)+(SUM(F81:H81)*I81))</f>
        <v>0</v>
      </c>
      <c r="K80" s="2552">
        <f t="shared" ca="1" si="32"/>
        <v>0</v>
      </c>
      <c r="L80" s="2925">
        <f t="shared" ca="1" si="33"/>
        <v>0</v>
      </c>
      <c r="M80" s="2926">
        <f ca="1">SUM(K80:L81)</f>
        <v>0</v>
      </c>
    </row>
    <row r="81" spans="1:14" ht="15.75" thickBot="1" x14ac:dyDescent="0.3">
      <c r="A81" s="3613"/>
      <c r="B81" s="2007">
        <f>B80+1</f>
        <v>2029</v>
      </c>
      <c r="C81" s="2003">
        <f ca="1">(IF(($AB$18&lt;$F$2)*AND(D70=12)*AND(C80=0),OFFSET($U$6,(ROUNDUP((ROW()-10)/29,0)-1),0),0))*C70</f>
        <v>0</v>
      </c>
      <c r="D81" s="2931">
        <f>D80+D80*$AG$7</f>
        <v>2885.1175499999999</v>
      </c>
      <c r="E81" s="1594"/>
      <c r="F81" s="511">
        <f ca="1">IF(($AB$19&lt;$F$2)*AND(D70&gt;=3)*AND(F80=0),OFFSET($U$6,(ROUNDUP((ROW()-10)/29,0)-1),0),0)*C70</f>
        <v>0</v>
      </c>
      <c r="G81" s="511">
        <f ca="1">IF(($AB$20&lt;$F$2)*AND(D70&gt;=3)*AND(G80=0),OFFSET($U$6,(ROUNDUP((ROW()-10)/29,0)-1),0),0)*C70</f>
        <v>0</v>
      </c>
      <c r="H81" s="511">
        <f ca="1">IF(($AB$21&lt;$F$2)*AND(D70&gt;=3)*AND(H80=0),OFFSET($U$6,(ROUNDUP((ROW()-10)/29,0)-1),0),0)*C70</f>
        <v>0</v>
      </c>
      <c r="I81" s="2930">
        <f>I80+I80*$AG$7</f>
        <v>5193.2115900000008</v>
      </c>
      <c r="J81" s="612"/>
      <c r="K81" s="2553">
        <f t="shared" ca="1" si="32"/>
        <v>0</v>
      </c>
      <c r="L81" s="2927">
        <f t="shared" ca="1" si="33"/>
        <v>0</v>
      </c>
      <c r="M81" s="2928"/>
    </row>
    <row r="82" spans="1:14" x14ac:dyDescent="0.25">
      <c r="A82" s="3608">
        <v>3</v>
      </c>
      <c r="B82" s="2005">
        <f>B81</f>
        <v>2029</v>
      </c>
      <c r="C82" s="2002">
        <f ca="1">IF(($AB$18&lt;$F$2)*AND(D71=12)*AND(C81=0),OFFSET($U$6,(ROUNDUP((ROW()-10)/29,0)-1),0),0)*C71</f>
        <v>0</v>
      </c>
      <c r="D82" s="2924">
        <f>D81</f>
        <v>2885.1175499999999</v>
      </c>
      <c r="E82" s="1595">
        <f ca="1">(C82*D82)+(C83*D83)</f>
        <v>0</v>
      </c>
      <c r="F82" s="510">
        <f ca="1">IF(($AB$19&lt;$F$2)*AND(D71&gt;=3)*AND(F81=0),OFFSET($U$6,(ROUNDUP((ROW()-10)/29,0)-1),0),0)*C71</f>
        <v>0</v>
      </c>
      <c r="G82" s="510">
        <f ca="1">IF(($AB$20&lt;$F$2)*AND(D71&gt;=3)*AND(G81=0),OFFSET($U$6,(ROUNDUP((ROW()-10)/29,0)-1),0),0)*C71</f>
        <v>0</v>
      </c>
      <c r="H82" s="510">
        <f ca="1">IF(($AB$21&lt;$F$2)*AND(D71&gt;=3)*AND(H81=0),OFFSET($U$6,(ROUNDUP((ROW()-10)/29,0)-1),0),0)*C71</f>
        <v>0</v>
      </c>
      <c r="I82" s="2929">
        <f>I81</f>
        <v>5193.2115900000008</v>
      </c>
      <c r="J82" s="611">
        <f ca="1">((SUM(F82:H82)*I82)+(SUM(F83:H83)*I83))</f>
        <v>0</v>
      </c>
      <c r="K82" s="2552">
        <f t="shared" ca="1" si="32"/>
        <v>0</v>
      </c>
      <c r="L82" s="2925">
        <f t="shared" ca="1" si="33"/>
        <v>0</v>
      </c>
      <c r="M82" s="2926">
        <f ca="1">SUM(K82:L83)</f>
        <v>0</v>
      </c>
    </row>
    <row r="83" spans="1:14" ht="15.75" thickBot="1" x14ac:dyDescent="0.3">
      <c r="A83" s="3609"/>
      <c r="B83" s="2006">
        <f>B82+1</f>
        <v>2030</v>
      </c>
      <c r="C83" s="2001">
        <f ca="1">IF(($AC$18&lt;$F$2)*AND(D71=12)*AND(C82=0),OFFSET($U$6,(ROUNDUP((ROW()-10)/29,0)-1),0),0)*C71</f>
        <v>0</v>
      </c>
      <c r="D83" s="2932">
        <f>D82+D82*$AG$7</f>
        <v>2971.6710764999998</v>
      </c>
      <c r="E83" s="1594"/>
      <c r="F83" s="511">
        <f ca="1">IF(($AC$19&lt;$F$2)*AND(D71&gt;=3)*AND(F82=0),OFFSET($U$6,(ROUNDUP((ROW()-10)/29,0)-1),0),0)*C71</f>
        <v>0</v>
      </c>
      <c r="G83" s="511">
        <f ca="1">IF(($AC$20&lt;$F$2)*AND(D71&gt;=3)*AND(G82=0),OFFSET($U$6,(ROUNDUP((ROW()-10)/29,0)-1),0),0)*C71</f>
        <v>0</v>
      </c>
      <c r="H83" s="511">
        <f ca="1">IF(($AC$21&lt;$F$2)*AND(D71&gt;=3)*AND(H82=0),OFFSET($U$6,(ROUNDUP((ROW()-10)/29,0)-1),0),0)*C71</f>
        <v>0</v>
      </c>
      <c r="I83" s="2930">
        <f>I82+I82*$AG$7</f>
        <v>5349.0079377000011</v>
      </c>
      <c r="J83" s="612"/>
      <c r="K83" s="2553">
        <f t="shared" ca="1" si="32"/>
        <v>0</v>
      </c>
      <c r="L83" s="2927">
        <f t="shared" ca="1" si="33"/>
        <v>0</v>
      </c>
      <c r="M83" s="2928"/>
    </row>
    <row r="84" spans="1:14" x14ac:dyDescent="0.25">
      <c r="A84" s="3613">
        <v>4</v>
      </c>
      <c r="B84" s="2008">
        <f>B83</f>
        <v>2030</v>
      </c>
      <c r="C84" s="2000">
        <f ca="1">IF(($AC$11&lt;$F$2)*AND(D72=12)*AND(C83=0),OFFSET($U$6,(ROUNDUP((ROW()-10)/29,0)-1),0),0)*C72</f>
        <v>0</v>
      </c>
      <c r="D84" s="2921">
        <f>D83</f>
        <v>2971.6710764999998</v>
      </c>
      <c r="E84" s="1595">
        <f ca="1">(C84*D84)+(C85*D85)</f>
        <v>0</v>
      </c>
      <c r="F84" s="510">
        <f ca="1">IF(($AC$19&lt;$F$2)*AND(D72&gt;=3)*AND(F83=0),OFFSET($U$6,(ROUNDUP((ROW()-10)/29,0)-1),0),0)*C72</f>
        <v>0</v>
      </c>
      <c r="G84" s="510">
        <f ca="1">IF(($AC$20&lt;$F$2)*AND(D72&gt;=3)*AND(G83=0),OFFSET($U$6,(ROUNDUP((ROW()-10)/29,0)-1),0),0)*C72</f>
        <v>0</v>
      </c>
      <c r="H84" s="510">
        <f ca="1">IF(($AC$21&lt;$F$2)*AND(D72&gt;=3)*AND(H83=0),OFFSET($U$6,(ROUNDUP((ROW()-10)/29,0)-1),0),0)*C72</f>
        <v>0</v>
      </c>
      <c r="I84" s="2929">
        <f>I83</f>
        <v>5349.0079377000011</v>
      </c>
      <c r="J84" s="611">
        <f ca="1">((SUM(F84:H84)*I84)+(SUM(F85:H85)*I85))</f>
        <v>0</v>
      </c>
      <c r="K84" s="2552">
        <f t="shared" ca="1" si="32"/>
        <v>0</v>
      </c>
      <c r="L84" s="2925">
        <f t="shared" ca="1" si="33"/>
        <v>0</v>
      </c>
      <c r="M84" s="2926">
        <f ca="1">SUM(K84:L85)</f>
        <v>0</v>
      </c>
    </row>
    <row r="85" spans="1:14" ht="15.75" thickBot="1" x14ac:dyDescent="0.3">
      <c r="A85" s="3609"/>
      <c r="B85" s="2006">
        <f>B84+1</f>
        <v>2031</v>
      </c>
      <c r="C85" s="2001">
        <f ca="1">IF(($AD$18&lt;$F$2)*AND(D72=12)*AND(C84=0),OFFSET($U$6,(ROUNDUP((ROW()-10)/29,0)-1),0),0)*C72</f>
        <v>0</v>
      </c>
      <c r="D85" s="2923">
        <f>D84+D84*$AG$7</f>
        <v>3060.8212087949996</v>
      </c>
      <c r="E85" s="1594"/>
      <c r="F85" s="511">
        <f ca="1">IF(($AD$19&lt;$F$2)*AND(D72&gt;=3)*AND(F84=0),OFFSET($U$6,(ROUNDUP((ROW()-10)/29,0)-1),0),0)*C72</f>
        <v>0</v>
      </c>
      <c r="G85" s="511">
        <f ca="1">IF(($AD$20&lt;$F$2)*AND(D72&gt;=3)*AND(G84=0),OFFSET($U$6,(ROUNDUP((ROW()-10)/29,0)-1),0),0)*C72</f>
        <v>0</v>
      </c>
      <c r="H85" s="511">
        <f ca="1">IF(($AD$21&lt;$F$2)*AND(D72&gt;=3)*AND(H84=0),OFFSET($U$6,(ROUNDUP((ROW()-10)/29,0)-1),0),0)*C72</f>
        <v>0</v>
      </c>
      <c r="I85" s="2930">
        <f>I84+I84*$AG$7</f>
        <v>5509.478175831001</v>
      </c>
      <c r="J85" s="612"/>
      <c r="K85" s="2553">
        <f t="shared" ca="1" si="32"/>
        <v>0</v>
      </c>
      <c r="L85" s="2927">
        <f t="shared" ca="1" si="33"/>
        <v>0</v>
      </c>
      <c r="M85" s="2928"/>
    </row>
    <row r="86" spans="1:14" x14ac:dyDescent="0.25">
      <c r="A86" s="3608">
        <v>5</v>
      </c>
      <c r="B86" s="2005">
        <f>B85</f>
        <v>2031</v>
      </c>
      <c r="C86" s="2002">
        <f ca="1">IF(($AD$18&lt;$F$2)*AND(D73=12)*AND(C85=0),OFFSET($U$6,(ROUNDUP((ROW()-10)/29,0)-1),0),0)*C73</f>
        <v>0</v>
      </c>
      <c r="D86" s="2922">
        <f>D85</f>
        <v>3060.8212087949996</v>
      </c>
      <c r="E86" s="1595">
        <f ca="1">(C86*D86)+(C87*D87)</f>
        <v>0</v>
      </c>
      <c r="F86" s="510">
        <f ca="1">IF(($AD$19&lt;$F$2)*AND(D73&gt;=3)*AND(F85=0),OFFSET($U$6,(ROUNDUP((ROW()-10)/29,0)-1),0),0)*C73</f>
        <v>0</v>
      </c>
      <c r="G86" s="510">
        <f ca="1">IF(($AD$20&lt;$F$2)*AND(D73&gt;=3)*AND(G85=0),OFFSET($U$6,(ROUNDUP((ROW()-10)/29,0)-1),0),0)*C73</f>
        <v>0</v>
      </c>
      <c r="H86" s="510">
        <f ca="1">IF(($AD$21&lt;$F$2)*AND(D73&gt;=3)*AND(H85=0),OFFSET($U$6,(ROUNDUP((ROW()-10)/29,0)-1),0),0)*C73</f>
        <v>0</v>
      </c>
      <c r="I86" s="2929">
        <f>I85</f>
        <v>5509.478175831001</v>
      </c>
      <c r="J86" s="611">
        <f ca="1">((SUM(F86:H86)*I86)+(SUM(F87:H87)*I87))</f>
        <v>0</v>
      </c>
      <c r="K86" s="2552">
        <f t="shared" ca="1" si="32"/>
        <v>0</v>
      </c>
      <c r="L86" s="2925">
        <f t="shared" ca="1" si="33"/>
        <v>0</v>
      </c>
      <c r="M86" s="2926">
        <f ca="1">SUM(K86:L87)</f>
        <v>0</v>
      </c>
    </row>
    <row r="87" spans="1:14" ht="15.75" thickBot="1" x14ac:dyDescent="0.3">
      <c r="A87" s="3609"/>
      <c r="B87" s="2006">
        <f>B86+1</f>
        <v>2032</v>
      </c>
      <c r="C87" s="2001">
        <f ca="1">IF(($AE$18&lt;$F$2)*AND(D73=12)*AND(C86=0),OFFSET($U$6,(ROUNDUP((ROW()-10)/29,0)-1),0),0)*C73</f>
        <v>0</v>
      </c>
      <c r="D87" s="2923">
        <f>D86+D86*$AG$7</f>
        <v>3152.6458450588498</v>
      </c>
      <c r="E87" s="1594"/>
      <c r="F87" s="511">
        <f ca="1">IF(($AE$19&lt;$F$2)*AND(D73&gt;=3)*AND(F86=0),OFFSET($U$6,(ROUNDUP((ROW()-10)/29,0)-1),0),0)*C73</f>
        <v>0</v>
      </c>
      <c r="G87" s="511">
        <f ca="1">IF(($AE$20&lt;$F$2)*AND(D73&gt;=3)*AND(G86=0),OFFSET($U$6,(ROUNDUP((ROW()-10)/29,0)-1),0),0)*C73</f>
        <v>0</v>
      </c>
      <c r="H87" s="511">
        <f ca="1">IF(($AE$21&lt;$F$2)*AND(D73&gt;=3)*AND(H86=0),OFFSET($U$6,(ROUNDUP((ROW()-10)/29,0)-1),0),0)*C73</f>
        <v>0</v>
      </c>
      <c r="I87" s="2930">
        <f>I86+I86*$AG$7</f>
        <v>5674.7625211059312</v>
      </c>
      <c r="J87" s="612"/>
      <c r="K87" s="2553">
        <f t="shared" ca="1" si="32"/>
        <v>0</v>
      </c>
      <c r="L87" s="2927">
        <f t="shared" ca="1" si="33"/>
        <v>0</v>
      </c>
      <c r="M87" s="2928"/>
    </row>
    <row r="88" spans="1:14" x14ac:dyDescent="0.25">
      <c r="A88" s="3608">
        <v>6</v>
      </c>
      <c r="B88" s="2005">
        <f>B87</f>
        <v>2032</v>
      </c>
      <c r="C88" s="2002">
        <f ca="1">IF(($AE$18&lt;$F$2)*AND(D74=12)*AND(C87=0),OFFSET($U$6,(ROUNDUP((ROW()-10)/29,0)-1),0),0)*C74</f>
        <v>0</v>
      </c>
      <c r="D88" s="2922">
        <f>D87</f>
        <v>3152.6458450588498</v>
      </c>
      <c r="E88" s="1595">
        <f ca="1">(C88*D88)+(C89*D89)</f>
        <v>0</v>
      </c>
      <c r="F88" s="510">
        <f ca="1">IF(($AE$19&lt;$F$2)*AND(D74&gt;=3)*AND(F87=0),OFFSET($U$6,(ROUNDUP((ROW()-10)/29,0)-1),0),0)*C74</f>
        <v>0</v>
      </c>
      <c r="G88" s="510">
        <f ca="1">IF(($AE$20&lt;$F$2)*AND(D74&gt;=3)*AND(G87=0),OFFSET($U$6,(ROUNDUP((ROW()-10)/29,0)-1),0),0)*C74</f>
        <v>0</v>
      </c>
      <c r="H88" s="510">
        <f ca="1">IF(($AE$21&lt;$F$2)*AND(D74&gt;=3)*AND(H87=0),OFFSET($U$6,(ROUNDUP((ROW()-10)/29,0)-1),0),0)*C74</f>
        <v>0</v>
      </c>
      <c r="I88" s="2929">
        <f>I87</f>
        <v>5674.7625211059312</v>
      </c>
      <c r="J88" s="611">
        <f ca="1">((SUM(F88:H88)*I88)+(SUM(F89:H89)*I89))</f>
        <v>0</v>
      </c>
      <c r="K88" s="2552">
        <f t="shared" ca="1" si="32"/>
        <v>0</v>
      </c>
      <c r="L88" s="2925">
        <f t="shared" ca="1" si="33"/>
        <v>0</v>
      </c>
      <c r="M88" s="2926">
        <f ca="1">SUM(K88:L89)</f>
        <v>0</v>
      </c>
    </row>
    <row r="89" spans="1:14" ht="15.75" thickBot="1" x14ac:dyDescent="0.3">
      <c r="A89" s="3609"/>
      <c r="B89" s="2006">
        <f>B88+1</f>
        <v>2033</v>
      </c>
      <c r="C89" s="2004">
        <f ca="1">IF(($AF$18&lt;$F$2)*AND(D74=12)*AND(C88=0),OFFSET($U$6,(ROUNDUP((ROW()-10)/29,0)-1),0),0)*C74</f>
        <v>0</v>
      </c>
      <c r="D89" s="2923">
        <f>D88+D88*$AG$7</f>
        <v>3247.2252204106153</v>
      </c>
      <c r="E89" s="1594"/>
      <c r="F89" s="511">
        <f ca="1">IF(($AF$19&lt;$F$2)*AND(D74&gt;=3)*AND(F88=0),OFFSET($U$6,(ROUNDUP((ROW()-10)/29,0)-1),0),0)*C74</f>
        <v>0</v>
      </c>
      <c r="G89" s="511">
        <f ca="1">IF(($AF$20&lt;$F$2)*AND(D74&gt;=3)*AND(G88=0),OFFSET($U$6,(ROUNDUP((ROW()-10)/29,0)-1),0),0)*C74</f>
        <v>0</v>
      </c>
      <c r="H89" s="511">
        <f ca="1">IF(($AF$21&lt;$F$2)*AND(D74&gt;=3)*AND(H88=0),OFFSET($U$6,(ROUNDUP((ROW()-10)/29,0)-1),0),0)*C74</f>
        <v>0</v>
      </c>
      <c r="I89" s="2930">
        <f>I88+I88*$AG$7</f>
        <v>5845.0053967391095</v>
      </c>
      <c r="J89" s="612"/>
      <c r="K89" s="2553">
        <f t="shared" ca="1" si="32"/>
        <v>0</v>
      </c>
      <c r="L89" s="2927">
        <f t="shared" ca="1" si="33"/>
        <v>0</v>
      </c>
      <c r="M89" s="2928"/>
    </row>
    <row r="90" spans="1:14" ht="15.75" thickBot="1" x14ac:dyDescent="0.3">
      <c r="C90" s="3616" t="s">
        <v>96</v>
      </c>
      <c r="D90" s="3617"/>
      <c r="E90" s="2933">
        <f ca="1">SUM(E78:E88)</f>
        <v>0</v>
      </c>
      <c r="F90" s="60"/>
      <c r="G90" s="2936" t="s">
        <v>102</v>
      </c>
      <c r="H90" s="3618" t="s">
        <v>57</v>
      </c>
      <c r="I90" s="3619"/>
      <c r="J90" s="2934">
        <f ca="1">SUM(J78:J88)</f>
        <v>0</v>
      </c>
      <c r="K90" s="3610" t="s">
        <v>103</v>
      </c>
      <c r="L90" s="3611"/>
      <c r="M90" s="2935">
        <f ca="1">SUM(M78:M89)</f>
        <v>0</v>
      </c>
    </row>
    <row r="91" spans="1:14" ht="15.75" thickBot="1" x14ac:dyDescent="0.3">
      <c r="A91" s="71"/>
      <c r="B91" s="71"/>
      <c r="C91" s="71"/>
      <c r="D91" s="71"/>
      <c r="E91" s="71"/>
      <c r="F91" s="71"/>
      <c r="G91" s="71"/>
      <c r="H91" s="71"/>
      <c r="I91" s="71"/>
      <c r="J91" s="71"/>
      <c r="K91" s="71"/>
      <c r="L91" s="71"/>
      <c r="M91" s="71"/>
    </row>
    <row r="92" spans="1:14" ht="15.75" thickTop="1" x14ac:dyDescent="0.25"/>
    <row r="93" spans="1:14" ht="15.75" hidden="1" thickBot="1" x14ac:dyDescent="0.3">
      <c r="A93" s="64" t="str">
        <f>'DATA INPUT'!B32</f>
        <v>GA #04 / Sponsor Funds</v>
      </c>
      <c r="B93" s="64"/>
      <c r="C93" s="65"/>
      <c r="D93" s="65"/>
      <c r="E93" s="65"/>
      <c r="F93" s="65"/>
      <c r="G93" s="65"/>
      <c r="H93" s="65"/>
      <c r="I93" s="65"/>
      <c r="J93" s="65"/>
      <c r="K93" s="65"/>
      <c r="L93" s="65"/>
      <c r="M93" s="1598"/>
      <c r="N93" s="1598"/>
    </row>
    <row r="94" spans="1:14" ht="15" hidden="1" customHeight="1" thickBot="1" x14ac:dyDescent="0.3">
      <c r="A94" s="3620" t="s">
        <v>80</v>
      </c>
      <c r="B94" s="3621"/>
      <c r="C94" s="1712">
        <f>'DATA INPUT'!C32</f>
        <v>0</v>
      </c>
      <c r="E94" s="1760" t="s">
        <v>135</v>
      </c>
      <c r="F94" s="1761">
        <f>'DATA INPUT'!E32</f>
        <v>0</v>
      </c>
      <c r="G94" s="1760" t="s">
        <v>82</v>
      </c>
      <c r="H94" s="1734">
        <f>'DATA INPUT'!F32</f>
        <v>0.49</v>
      </c>
      <c r="I94" s="1737" t="s">
        <v>88</v>
      </c>
      <c r="J94" s="1746">
        <f>IFERROR(VLOOKUP(C94,Table_Units[],IF(F94='Reference Sheet'!$H$37,3,2),FALSE)*1,0)</f>
        <v>0</v>
      </c>
      <c r="K94" s="1746"/>
      <c r="L94" s="66"/>
      <c r="M94" s="1712"/>
      <c r="N94" s="1762"/>
    </row>
    <row r="95" spans="1:14" ht="15" hidden="1" customHeight="1" thickBot="1" x14ac:dyDescent="0.3">
      <c r="A95" s="1716"/>
      <c r="B95" s="3445" t="s">
        <v>254</v>
      </c>
      <c r="C95" s="3560" t="s">
        <v>517</v>
      </c>
      <c r="D95" s="3444" t="s">
        <v>518</v>
      </c>
      <c r="E95" s="3445" t="s">
        <v>519</v>
      </c>
      <c r="F95" s="3445" t="s">
        <v>521</v>
      </c>
      <c r="G95" s="3614" t="s">
        <v>65</v>
      </c>
      <c r="H95" s="3614"/>
      <c r="I95" s="3614"/>
      <c r="J95" s="3614"/>
      <c r="K95" s="3445" t="s">
        <v>84</v>
      </c>
      <c r="L95" s="1996" t="s">
        <v>78</v>
      </c>
      <c r="M95" s="1997"/>
      <c r="N95" s="3558" t="s">
        <v>87</v>
      </c>
    </row>
    <row r="96" spans="1:14" ht="15.75" hidden="1" customHeight="1" thickBot="1" x14ac:dyDescent="0.3">
      <c r="A96" s="3445" t="s">
        <v>253</v>
      </c>
      <c r="B96" s="3445"/>
      <c r="C96" s="3561"/>
      <c r="D96" s="3445"/>
      <c r="E96" s="3445"/>
      <c r="F96" s="3445"/>
      <c r="G96" s="3444" t="s">
        <v>86</v>
      </c>
      <c r="H96" s="3444" t="s">
        <v>59</v>
      </c>
      <c r="I96" s="3444" t="s">
        <v>60</v>
      </c>
      <c r="J96" s="3444" t="s">
        <v>66</v>
      </c>
      <c r="K96" s="3445"/>
      <c r="L96" s="1998" t="s">
        <v>616</v>
      </c>
      <c r="M96" s="1999">
        <f>'Reference Sheet'!$E$14</f>
        <v>0.28499999999999998</v>
      </c>
      <c r="N96" s="3566"/>
    </row>
    <row r="97" spans="1:15" ht="15.75" hidden="1" thickBot="1" x14ac:dyDescent="0.3">
      <c r="A97" s="3446"/>
      <c r="B97" s="3446"/>
      <c r="C97" s="3615"/>
      <c r="D97" s="3446"/>
      <c r="E97" s="3446"/>
      <c r="F97" s="3446"/>
      <c r="G97" s="3446"/>
      <c r="H97" s="3446"/>
      <c r="I97" s="3446"/>
      <c r="J97" s="3446"/>
      <c r="K97" s="3446"/>
      <c r="L97" s="1769" t="s">
        <v>67</v>
      </c>
      <c r="M97" s="1683" t="s">
        <v>68</v>
      </c>
      <c r="N97" s="3612"/>
    </row>
    <row r="98" spans="1:15" hidden="1" x14ac:dyDescent="0.25">
      <c r="A98" s="1685">
        <v>1</v>
      </c>
      <c r="B98" s="1770">
        <f>$K$3</f>
        <v>12</v>
      </c>
      <c r="C98" s="1685">
        <f>'DATA INPUT'!I32</f>
        <v>0</v>
      </c>
      <c r="D98" s="1693">
        <f>IF(C98&lt;1,0,IF((B98&gt;0),'DATA INPUT'!$G$32,0))</f>
        <v>0</v>
      </c>
      <c r="E98" s="1773">
        <f t="shared" ref="E98:E103" ca="1" si="34">(D98*(2080/12))*OFFSET($H$7,29*(ROUNDUP(ROW()/29,0)-1),0)</f>
        <v>0</v>
      </c>
      <c r="F98" s="1684">
        <f t="shared" ref="F98:F103" ca="1" si="35">((D98*(2080/12))*OFFSET($H$7,29*(ROUNDUP(ROW()/29,0)-1),0))*C98</f>
        <v>0</v>
      </c>
      <c r="G98" s="1149">
        <v>0.03</v>
      </c>
      <c r="H98" s="460">
        <f>(J94*G98)+J94</f>
        <v>0</v>
      </c>
      <c r="I98" s="492">
        <f t="shared" ref="I98:I103" ca="1" si="36">H98/12*OFFSET($H$7,29*(ROUNDUP(ROW(H98)/29,0)-1),0)</f>
        <v>0</v>
      </c>
      <c r="J98" s="2400">
        <f t="shared" ref="J98:J103" si="37">(H98/12)/(2080/12)</f>
        <v>0</v>
      </c>
      <c r="K98" s="1766">
        <f t="shared" ref="K98:K103" ca="1" si="38">I98*D98*C98</f>
        <v>0</v>
      </c>
      <c r="L98" s="626">
        <f>IF($U$3&lt;$T$3, M96, IF($U$3&gt;$W$3, M96+2*$Q$6, M96+$Q$6))</f>
        <v>0.28499999999999998</v>
      </c>
      <c r="M98" s="1500">
        <f t="shared" ref="M98:M103" ca="1" si="39">L98*K98</f>
        <v>0</v>
      </c>
      <c r="N98" s="2400">
        <f t="shared" ref="N98:N103" si="40">((H98/12)/(2080/12))+(((H98/12)*L98)/(2080/12))</f>
        <v>0</v>
      </c>
      <c r="O98" s="58" t="str">
        <f ca="1">IF(ABS(C98*D98*OFFSET($U$6,(ROUNDUP((ROW()-10)/29,0)-1),0)-3*SUM(C107:C108,F107:H108))&gt; 0.01,"Mismatch: Tuition vs Months","")</f>
        <v/>
      </c>
    </row>
    <row r="99" spans="1:15" hidden="1" x14ac:dyDescent="0.25">
      <c r="A99" s="1687">
        <v>2</v>
      </c>
      <c r="B99" s="1771">
        <f>$L$3</f>
        <v>0</v>
      </c>
      <c r="C99" s="1687">
        <f>'DATA INPUT'!J32</f>
        <v>0</v>
      </c>
      <c r="D99" s="1693">
        <f>IF(C99&lt;1,0,IF((B99&gt;0),'DATA INPUT'!$G$32,0))</f>
        <v>0</v>
      </c>
      <c r="E99" s="1774">
        <f t="shared" ca="1" si="34"/>
        <v>0</v>
      </c>
      <c r="F99" s="1686">
        <f t="shared" ca="1" si="35"/>
        <v>0</v>
      </c>
      <c r="G99" s="461">
        <v>0.03</v>
      </c>
      <c r="H99" s="462">
        <f>(H98*G99)+H98</f>
        <v>0</v>
      </c>
      <c r="I99" s="501">
        <f t="shared" ca="1" si="36"/>
        <v>0</v>
      </c>
      <c r="J99" s="2397">
        <f t="shared" si="37"/>
        <v>0</v>
      </c>
      <c r="K99" s="1767">
        <f t="shared" ca="1" si="38"/>
        <v>0</v>
      </c>
      <c r="L99" s="625">
        <f>L98+$Q$6</f>
        <v>0.30499999999999999</v>
      </c>
      <c r="M99" s="1541">
        <f t="shared" ca="1" si="39"/>
        <v>0</v>
      </c>
      <c r="N99" s="2398">
        <f t="shared" si="40"/>
        <v>0</v>
      </c>
      <c r="O99" s="58" t="str">
        <f ca="1">IF(ABS(C99*D99*OFFSET($U$6,(ROUNDUP((ROW()-10)/29,0)-1),0)-3*SUM(C109:C110,F109:H110))&gt;0.01,"Mismatch: Tuition vs Months","")</f>
        <v/>
      </c>
    </row>
    <row r="100" spans="1:15" hidden="1" x14ac:dyDescent="0.25">
      <c r="A100" s="1687">
        <v>3</v>
      </c>
      <c r="B100" s="1771">
        <f>$M$3</f>
        <v>0</v>
      </c>
      <c r="C100" s="1687">
        <f>'DATA INPUT'!K32</f>
        <v>0</v>
      </c>
      <c r="D100" s="1693">
        <f>IF(C100&lt;1,0,IF((B100&gt;0),'DATA INPUT'!$G$32,0))</f>
        <v>0</v>
      </c>
      <c r="E100" s="1774">
        <f t="shared" ca="1" si="34"/>
        <v>0</v>
      </c>
      <c r="F100" s="1686">
        <f t="shared" ca="1" si="35"/>
        <v>0</v>
      </c>
      <c r="G100" s="461">
        <v>0.03</v>
      </c>
      <c r="H100" s="462">
        <f>(H99*G100)+H99</f>
        <v>0</v>
      </c>
      <c r="I100" s="501">
        <f t="shared" ca="1" si="36"/>
        <v>0</v>
      </c>
      <c r="J100" s="2397">
        <f t="shared" si="37"/>
        <v>0</v>
      </c>
      <c r="K100" s="1767">
        <f t="shared" ca="1" si="38"/>
        <v>0</v>
      </c>
      <c r="L100" s="625">
        <f>L99+$Q$6</f>
        <v>0.32500000000000001</v>
      </c>
      <c r="M100" s="1541">
        <f t="shared" ca="1" si="39"/>
        <v>0</v>
      </c>
      <c r="N100" s="2398">
        <f t="shared" si="40"/>
        <v>0</v>
      </c>
      <c r="O100" s="58" t="str">
        <f ca="1">IF(ABS(C100*D100*OFFSET($U$6,(ROUNDUP((ROW()-10)/29,0)-1),0)-3*SUM(C111:C112,F111:H112))&gt;0.01,"Mismatch: Tuition vs Months","")</f>
        <v/>
      </c>
    </row>
    <row r="101" spans="1:15" hidden="1" x14ac:dyDescent="0.25">
      <c r="A101" s="1687">
        <v>4</v>
      </c>
      <c r="B101" s="1771">
        <f>$N$3</f>
        <v>0</v>
      </c>
      <c r="C101" s="1687">
        <f>'DATA INPUT'!L32</f>
        <v>0</v>
      </c>
      <c r="D101" s="1693">
        <f>IF(C101&lt;1,0,IF((B101&gt;0),'DATA INPUT'!$G$32,0))</f>
        <v>0</v>
      </c>
      <c r="E101" s="1774">
        <f t="shared" ca="1" si="34"/>
        <v>0</v>
      </c>
      <c r="F101" s="1686">
        <f t="shared" ca="1" si="35"/>
        <v>0</v>
      </c>
      <c r="G101" s="461">
        <v>0.03</v>
      </c>
      <c r="H101" s="462">
        <f>(H100*G101)+H100</f>
        <v>0</v>
      </c>
      <c r="I101" s="501">
        <f t="shared" ca="1" si="36"/>
        <v>0</v>
      </c>
      <c r="J101" s="2397">
        <f t="shared" si="37"/>
        <v>0</v>
      </c>
      <c r="K101" s="1767">
        <f t="shared" ca="1" si="38"/>
        <v>0</v>
      </c>
      <c r="L101" s="625">
        <f>L100+$Q$6</f>
        <v>0.34500000000000003</v>
      </c>
      <c r="M101" s="1541">
        <f t="shared" ca="1" si="39"/>
        <v>0</v>
      </c>
      <c r="N101" s="2398">
        <f t="shared" si="40"/>
        <v>0</v>
      </c>
      <c r="O101" s="58" t="str">
        <f ca="1">IF(ABS(C101*D101*OFFSET($U$6,(ROUNDUP((ROW()-10)/29,0)-1),0)-3*SUM(C113:C114,F113:H114))&gt;0.01,"Mismatch: Tuition vs Months","")</f>
        <v/>
      </c>
    </row>
    <row r="102" spans="1:15" hidden="1" x14ac:dyDescent="0.25">
      <c r="A102" s="1687">
        <v>5</v>
      </c>
      <c r="B102" s="1771">
        <f>$O$3</f>
        <v>0</v>
      </c>
      <c r="C102" s="1687">
        <f>'DATA INPUT'!M32</f>
        <v>0</v>
      </c>
      <c r="D102" s="1693">
        <f>IF(C102&lt;1,0,IF((B102&gt;0),'DATA INPUT'!$G$32,0))</f>
        <v>0</v>
      </c>
      <c r="E102" s="1774">
        <f t="shared" ca="1" si="34"/>
        <v>0</v>
      </c>
      <c r="F102" s="1686">
        <f t="shared" ca="1" si="35"/>
        <v>0</v>
      </c>
      <c r="G102" s="461">
        <v>0.03</v>
      </c>
      <c r="H102" s="462">
        <f>(H101*G102)+H101</f>
        <v>0</v>
      </c>
      <c r="I102" s="501">
        <f t="shared" ca="1" si="36"/>
        <v>0</v>
      </c>
      <c r="J102" s="2397">
        <f t="shared" si="37"/>
        <v>0</v>
      </c>
      <c r="K102" s="1767">
        <f t="shared" ca="1" si="38"/>
        <v>0</v>
      </c>
      <c r="L102" s="625">
        <f>L101+$Q$6</f>
        <v>0.36500000000000005</v>
      </c>
      <c r="M102" s="1541">
        <f t="shared" ca="1" si="39"/>
        <v>0</v>
      </c>
      <c r="N102" s="2398">
        <f t="shared" si="40"/>
        <v>0</v>
      </c>
      <c r="O102" s="58" t="str">
        <f ca="1">IF(ABS(C102*D102*OFFSET($U$6,(ROUNDUP((ROW()-10)/29,0)-1),0)-3*SUM(C115:C116,F115:H116))&gt;0.01,"Mismatch: Tuition vs Months","")</f>
        <v/>
      </c>
    </row>
    <row r="103" spans="1:15" ht="15.75" hidden="1" thickBot="1" x14ac:dyDescent="0.3">
      <c r="A103" s="1691">
        <v>6</v>
      </c>
      <c r="B103" s="1772">
        <f>$P$3</f>
        <v>0</v>
      </c>
      <c r="C103" s="1689">
        <f>'DATA INPUT'!N32</f>
        <v>0</v>
      </c>
      <c r="D103" s="1694">
        <f>IF(C103&lt;1,0,IF((B103&gt;0),'DATA INPUT'!$G$32,0))</f>
        <v>0</v>
      </c>
      <c r="E103" s="1733">
        <f t="shared" ca="1" si="34"/>
        <v>0</v>
      </c>
      <c r="F103" s="1688">
        <f t="shared" ca="1" si="35"/>
        <v>0</v>
      </c>
      <c r="G103" s="463">
        <v>0.03</v>
      </c>
      <c r="H103" s="464">
        <f>(H102*G103)+H102</f>
        <v>0</v>
      </c>
      <c r="I103" s="502">
        <f t="shared" ca="1" si="36"/>
        <v>0</v>
      </c>
      <c r="J103" s="2413">
        <f t="shared" si="37"/>
        <v>0</v>
      </c>
      <c r="K103" s="1768">
        <f t="shared" ca="1" si="38"/>
        <v>0</v>
      </c>
      <c r="L103" s="627">
        <f>L102+$Q$6</f>
        <v>0.38500000000000006</v>
      </c>
      <c r="M103" s="1690">
        <f t="shared" ca="1" si="39"/>
        <v>0</v>
      </c>
      <c r="N103" s="2399">
        <f t="shared" si="40"/>
        <v>0</v>
      </c>
      <c r="O103" s="58" t="str">
        <f ca="1">IF(ABS(C103*D103*OFFSET($U$6,(ROUNDUP((ROW()-10)/29,0)-1),0)-3*SUM(C117:C118,F117:H118))&gt;0.01,"Mismatch: Tuition vs Months","")</f>
        <v/>
      </c>
    </row>
    <row r="104" spans="1:15" ht="15.75" hidden="1" thickBot="1" x14ac:dyDescent="0.3">
      <c r="A104" s="624" t="s">
        <v>85</v>
      </c>
      <c r="B104" s="519">
        <f>SUM(B98:B103)</f>
        <v>12</v>
      </c>
      <c r="C104" s="519">
        <f>SUM(C98:C103)</f>
        <v>0</v>
      </c>
      <c r="D104" s="1692">
        <f>SUM(D98:D103)</f>
        <v>0</v>
      </c>
      <c r="E104" s="1695">
        <f ca="1">SUM(E98:E103)</f>
        <v>0</v>
      </c>
      <c r="F104" s="1695">
        <f ca="1">SUM(F98:F103)</f>
        <v>0</v>
      </c>
      <c r="K104" s="1508">
        <f ca="1">SUM(K98:K103)</f>
        <v>0</v>
      </c>
      <c r="M104" s="1508">
        <f ca="1">SUM(M98:M103)</f>
        <v>0</v>
      </c>
      <c r="N104" s="60"/>
    </row>
    <row r="105" spans="1:15" ht="15.75" hidden="1" thickBot="1" x14ac:dyDescent="0.3">
      <c r="M105" s="1530" t="s">
        <v>469</v>
      </c>
    </row>
    <row r="106" spans="1:15" ht="30.75" hidden="1" customHeight="1" thickBot="1" x14ac:dyDescent="0.3">
      <c r="A106" s="1990" t="s">
        <v>253</v>
      </c>
      <c r="B106" s="1990" t="s">
        <v>299</v>
      </c>
      <c r="C106" s="1979" t="s">
        <v>17</v>
      </c>
      <c r="D106" s="1980" t="s">
        <v>96</v>
      </c>
      <c r="E106" s="1981" t="s">
        <v>474</v>
      </c>
      <c r="F106" s="1991" t="s">
        <v>41</v>
      </c>
      <c r="G106" s="1992" t="s">
        <v>42</v>
      </c>
      <c r="H106" s="1992" t="s">
        <v>43</v>
      </c>
      <c r="I106" s="1992" t="s">
        <v>57</v>
      </c>
      <c r="J106" s="1993" t="s">
        <v>472</v>
      </c>
      <c r="K106" s="1980" t="s">
        <v>100</v>
      </c>
      <c r="L106" s="1991" t="s">
        <v>99</v>
      </c>
      <c r="M106" s="1994" t="s">
        <v>101</v>
      </c>
    </row>
    <row r="107" spans="1:15" hidden="1" x14ac:dyDescent="0.25">
      <c r="A107" s="3613">
        <v>1</v>
      </c>
      <c r="B107" s="2005">
        <f>IF($C$2&lt;DATE($Z$6,4,15),$Z$6,IF($C$2&lt;DATE($AA$6,4,15),$AA$6,IF($C$2&lt;DATE($AB$6,4,15),$AB$6,IF($C$2&lt;DATE($AC$6,4,15),$AC$6,$AD$6))))</f>
        <v>2027</v>
      </c>
      <c r="C107" s="2000">
        <f ca="1">(IF($C$2&lt;=$Z$14*AND(D98&gt;=3)*AND($F$2&gt;=$Z$18),OFFSET($U$6,(ROUNDUP((ROW()-10)/29,0)-1),0),0)*IF(D98=9,0,1))*C98</f>
        <v>0</v>
      </c>
      <c r="D107" s="2921">
        <f>IF(OR($C94="COE",$C94="CCE",$C94="CBEE",$C94="EECS",$C94="MIME",$C94="NSE",$C94="PMEC"),HLOOKUP($B107,$Z$6:$AF$10,3),
IF(($C94="COB"),HLOOKUP($B107,$Z$25:$AF$27,3),
IF(($C94="CPH"),HLOOKUP($B107,$Z$31:$AF$33,3),
IF(($C94="VetMed"),HLOOKUP($B107,$Z$37:$AF$39,3),
IF(($C94="Pharm"),HLOOKUP($B107,$Z$43:$AF$45,3),
HLOOKUP($B107,$Z$49:$AF$51,3))))))</f>
        <v>2719.5</v>
      </c>
      <c r="E107" s="1987">
        <f ca="1">(C107*D107)+(C108*D108)</f>
        <v>0</v>
      </c>
      <c r="F107" s="1988">
        <f ca="1">IF($C$2&lt;=$Z$15*AND(D98&gt;=3)*AND($F$2&gt;=$Z$19),OFFSET($U$6,(ROUNDUP((ROW()-10)/29,0)-1),0),0)*C98</f>
        <v>0</v>
      </c>
      <c r="G107" s="1988">
        <f ca="1">IF($C$2&lt;=$Z$16*AND(D98&gt;=3)*AND($F$2&gt;=$Z$20),OFFSET($U$6,(ROUNDUP((ROW()-10)/29,0)-1),0),0)*C98</f>
        <v>0</v>
      </c>
      <c r="H107" s="1988">
        <f ca="1">IF($C$2&lt;=$Z$17*AND(D98&gt;=3)*AND($F$2&gt;=$Z$21),OFFSET($U$6,(ROUNDUP((ROW()-10)/29,0)-1),0),0)*C98</f>
        <v>0</v>
      </c>
      <c r="I107" s="2921">
        <f>IF(OR($C94="COE",$C94="CCE",$C94="CBEE",$C94="EECS",$C94="MIME",$C94="NSE",$C94="PMEC"),HLOOKUP($B107,$Z$6:$AF$10,2),
IF(($C94="COB"),HLOOKUP($B107,$Z$25:$AF$27,2),
IF(($C94="CPH"),HLOOKUP($B107,$Z$31:$AF$33,2),
IF(($C94="VetMed"),HLOOKUP($B107,$Z$37:$AF$39,2),
IF(($C94="Pharm"),HLOOKUP($B107,$Z$43:$AF$45,2),
HLOOKUP($B107,$Z$49:$AF$51,2))))))</f>
        <v>4895.1000000000004</v>
      </c>
      <c r="J107" s="1989">
        <f ca="1">((SUM(F107:H107)*I107)+(SUM(F108:H108)*I108))</f>
        <v>0</v>
      </c>
      <c r="K107" s="2552">
        <f t="shared" ref="K107:K118" ca="1" si="41">C107*HLOOKUP($B107,$Z$6:$AF$10,5)</f>
        <v>0</v>
      </c>
      <c r="L107" s="2925">
        <f t="shared" ref="L107:L118" ca="1" si="42">SUM(F107:H107)*HLOOKUP($B107,$Z$6:$AF$10,4)</f>
        <v>0</v>
      </c>
      <c r="M107" s="2926">
        <f ca="1">SUM(K107:L108)</f>
        <v>0</v>
      </c>
    </row>
    <row r="108" spans="1:15" ht="15.75" hidden="1" thickBot="1" x14ac:dyDescent="0.3">
      <c r="A108" s="3609"/>
      <c r="B108" s="2006">
        <f>B107+1</f>
        <v>2028</v>
      </c>
      <c r="C108" s="2001">
        <f ca="1">(IF($C$2&lt;=$AA$14*AND(D98&gt;=3)*AND($F$2&gt;=$AA$18),OFFSET($U$6,(ROUNDUP((ROW()-10)/29,0)-1),0),0)*IF(D98=9,0,1)*IF(C107=0,1,0))*C98</f>
        <v>0</v>
      </c>
      <c r="D108" s="2921">
        <f>IF(OR($C94="COE",$C94="CCE",$C94="CBEE",$C94="EECS",$C94="MIME",$C94="NSE",$C94="PMEC"),HLOOKUP($B108,$Z$6:$AF$10,3),
IF(($C94="COB"),HLOOKUP($B108,$Z$25:$AF$27,3),
IF(($C94="CPH"),HLOOKUP($B108,$Z$31:$AF$33,3),
IF(($C94="VetMed"),HLOOKUP($B108,$Z$37:$AF$39,3),
IF(($C94="Pharm"),HLOOKUP($B108,$Z$43:$AF$45,3),
HLOOKUP($B108,$Z$49:$AF$51,3))))))</f>
        <v>2801.085</v>
      </c>
      <c r="E108" s="1594"/>
      <c r="F108" s="511">
        <f ca="1">IF(($C$2&lt;=$AA$15)*AND(D98&gt;=3)*AND(F107=0)*AND($F$2&gt;=$AA$19),OFFSET($U$6,(ROUNDUP((ROW()-10)/29,0)-1),0),0)*C98</f>
        <v>0</v>
      </c>
      <c r="G108" s="511">
        <f ca="1">IF(($C$2&lt;=$AA$16)*AND(D98&gt;=3)*AND(G107=0)*AND($F$2&gt;=$AA$20),OFFSET($U$6,(ROUNDUP((ROW()-10)/29,0)-1),0),0)*C98</f>
        <v>0</v>
      </c>
      <c r="H108" s="511">
        <f ca="1">IF($C$2&lt;=$AA$17*AND(D98&gt;=3)*AND(H107=0)*AND($F$2&gt;=$AA$21),OFFSET($U$6,(ROUNDUP((ROW()-10)/29,0)-1),0),0)*C98</f>
        <v>0</v>
      </c>
      <c r="I108" s="2921">
        <f>IF(OR($C94="COE",$C94="CCE",$C94="CBEE",$C94="EECS",$C94="MIME",$C94="NSE",$C94="PMEC"),HLOOKUP($B108,$Z$6:$AF$10,2),
IF(($C94="COB"),HLOOKUP($B108,$Z$25:$AF$27,2),
IF(($C94="CPH"),HLOOKUP($B108,$Z$31:$AF$33,2),
IF(($C94="VetMed"),HLOOKUP($B108,$Z$37:$AF$39,2),
IF(($C94="Pharm"),HLOOKUP($B108,$Z$43:$AF$45,2),
HLOOKUP($B108,$Z$49:$AF$51,2))))))</f>
        <v>5041.9530000000004</v>
      </c>
      <c r="J108" s="612"/>
      <c r="K108" s="2553">
        <f t="shared" ca="1" si="41"/>
        <v>0</v>
      </c>
      <c r="L108" s="2927">
        <f t="shared" ca="1" si="42"/>
        <v>0</v>
      </c>
      <c r="M108" s="2928"/>
    </row>
    <row r="109" spans="1:15" hidden="1" x14ac:dyDescent="0.25">
      <c r="A109" s="3608">
        <v>2</v>
      </c>
      <c r="B109" s="2005">
        <f>B108</f>
        <v>2028</v>
      </c>
      <c r="C109" s="2002">
        <f ca="1">(IF(($AA$18&lt;$F$2)*AND(D99=12)*AND(C108=0),OFFSET($U$6,(ROUNDUP((ROW()-10)/29,0)-1),0),0))*C99</f>
        <v>0</v>
      </c>
      <c r="D109" s="2922">
        <f>D108</f>
        <v>2801.085</v>
      </c>
      <c r="E109" s="1595">
        <f ca="1">(C109*D109)+(C110*D110)</f>
        <v>0</v>
      </c>
      <c r="F109" s="510">
        <f ca="1">IF(($AA$19&lt;$F$2)*AND(D99&gt;=3)*AND(F108=0),OFFSET($U$6,(ROUNDUP((ROW()-10)/29,0)-1),0),0)*C99</f>
        <v>0</v>
      </c>
      <c r="G109" s="510">
        <f ca="1">IF(($AA$20&lt;$F$2)*AND(D99&gt;=3)*AND(G108=0),OFFSET($U$6,(ROUNDUP((ROW()-10)/29,0)-1),0),0)*C99</f>
        <v>0</v>
      </c>
      <c r="H109" s="510">
        <f ca="1">IF(($AA$21&lt;$F$2)*AND(D99&gt;=3)*AND(H108=0),OFFSET($U$6,(ROUNDUP((ROW()-10)/29,0)-1),0),0)*C99</f>
        <v>0</v>
      </c>
      <c r="I109" s="2929">
        <f>I108</f>
        <v>5041.9530000000004</v>
      </c>
      <c r="J109" s="611">
        <f ca="1">((SUM(F109:H109)*I109)+(SUM(F110:H110)*I110))</f>
        <v>0</v>
      </c>
      <c r="K109" s="2552">
        <f t="shared" ca="1" si="41"/>
        <v>0</v>
      </c>
      <c r="L109" s="2925">
        <f t="shared" ca="1" si="42"/>
        <v>0</v>
      </c>
      <c r="M109" s="2926">
        <f ca="1">SUM(K109:L110)</f>
        <v>0</v>
      </c>
    </row>
    <row r="110" spans="1:15" ht="15.75" hidden="1" thickBot="1" x14ac:dyDescent="0.3">
      <c r="A110" s="3613"/>
      <c r="B110" s="2007">
        <f>B109+1</f>
        <v>2029</v>
      </c>
      <c r="C110" s="2003">
        <f ca="1">(IF(($AB$18&lt;$F$2)*AND(D99=12)*AND(C109=0),OFFSET($U$6,(ROUNDUP((ROW()-10)/29,0)-1),0),0))*C99</f>
        <v>0</v>
      </c>
      <c r="D110" s="2931">
        <f>D109+D109*$AG$7</f>
        <v>2885.1175499999999</v>
      </c>
      <c r="E110" s="1594"/>
      <c r="F110" s="511">
        <f ca="1">IF(($AB$19&lt;$F$2)*AND(D99&gt;=3)*AND(F109=0),OFFSET($U$6,(ROUNDUP((ROW()-10)/29,0)-1),0),0)*C99</f>
        <v>0</v>
      </c>
      <c r="G110" s="511">
        <f ca="1">IF(($AB$20&lt;$F$2)*AND(D99&gt;=3)*AND(G109=0),OFFSET($U$6,(ROUNDUP((ROW()-10)/29,0)-1),0),0)*C99</f>
        <v>0</v>
      </c>
      <c r="H110" s="511">
        <f ca="1">IF(($AB$21&lt;$F$2)*AND(D99&gt;=3)*AND(H109=0),OFFSET($U$6,(ROUNDUP((ROW()-10)/29,0)-1),0),0)*C99</f>
        <v>0</v>
      </c>
      <c r="I110" s="2930">
        <f>I109+I109*$AG$7</f>
        <v>5193.2115900000008</v>
      </c>
      <c r="J110" s="612"/>
      <c r="K110" s="2553">
        <f t="shared" ca="1" si="41"/>
        <v>0</v>
      </c>
      <c r="L110" s="2927">
        <f t="shared" ca="1" si="42"/>
        <v>0</v>
      </c>
      <c r="M110" s="2928"/>
    </row>
    <row r="111" spans="1:15" hidden="1" x14ac:dyDescent="0.25">
      <c r="A111" s="3608">
        <v>3</v>
      </c>
      <c r="B111" s="2005">
        <f>B110</f>
        <v>2029</v>
      </c>
      <c r="C111" s="2002">
        <f ca="1">IF(($AB$18&lt;$F$2)*AND(D100=12)*AND(C110=0),OFFSET($U$6,(ROUNDUP((ROW()-10)/29,0)-1),0),0)*C100</f>
        <v>0</v>
      </c>
      <c r="D111" s="2924">
        <f>D110</f>
        <v>2885.1175499999999</v>
      </c>
      <c r="E111" s="1595">
        <f ca="1">(C111*D111)+(C112*D112)</f>
        <v>0</v>
      </c>
      <c r="F111" s="510">
        <f ca="1">IF(($AB$19&lt;$F$2)*AND(D100&gt;=3)*AND(F110=0),OFFSET($U$6,(ROUNDUP((ROW()-10)/29,0)-1),0),0)*C100</f>
        <v>0</v>
      </c>
      <c r="G111" s="510">
        <f ca="1">IF(($AB$20&lt;$F$2)*AND(D100&gt;=3)*AND(G110=0),OFFSET($U$6,(ROUNDUP((ROW()-10)/29,0)-1),0),0)*C100</f>
        <v>0</v>
      </c>
      <c r="H111" s="510">
        <f ca="1">IF(($AB$21&lt;$F$2)*AND(D100&gt;=3)*AND(H110=0),OFFSET($U$6,(ROUNDUP((ROW()-10)/29,0)-1),0),0)*C100</f>
        <v>0</v>
      </c>
      <c r="I111" s="2929">
        <f>I110</f>
        <v>5193.2115900000008</v>
      </c>
      <c r="J111" s="611">
        <f ca="1">((SUM(F111:H111)*I111)+(SUM(F112:H112)*I112))</f>
        <v>0</v>
      </c>
      <c r="K111" s="2552">
        <f t="shared" ca="1" si="41"/>
        <v>0</v>
      </c>
      <c r="L111" s="2925">
        <f t="shared" ca="1" si="42"/>
        <v>0</v>
      </c>
      <c r="M111" s="2926">
        <f ca="1">SUM(K111:L112)</f>
        <v>0</v>
      </c>
    </row>
    <row r="112" spans="1:15" ht="15.75" hidden="1" thickBot="1" x14ac:dyDescent="0.3">
      <c r="A112" s="3609"/>
      <c r="B112" s="2006">
        <f>B111+1</f>
        <v>2030</v>
      </c>
      <c r="C112" s="2001">
        <f ca="1">IF(($AC$18&lt;$F$2)*AND(D100=12)*AND(C111=0),OFFSET($U$6,(ROUNDUP((ROW()-10)/29,0)-1),0),0)*C100</f>
        <v>0</v>
      </c>
      <c r="D112" s="2932">
        <f>D111+D111*$AG$7</f>
        <v>2971.6710764999998</v>
      </c>
      <c r="E112" s="1594"/>
      <c r="F112" s="511">
        <f ca="1">IF(($AC$19&lt;$F$2)*AND(D100&gt;=3)*AND(F111=0),OFFSET($U$6,(ROUNDUP((ROW()-10)/29,0)-1),0),0)*C100</f>
        <v>0</v>
      </c>
      <c r="G112" s="511">
        <f ca="1">IF(($AC$20&lt;$F$2)*AND(D100&gt;=3)*AND(G111=0),OFFSET($U$6,(ROUNDUP((ROW()-10)/29,0)-1),0),0)*C100</f>
        <v>0</v>
      </c>
      <c r="H112" s="511">
        <f ca="1">IF(($AC$21&lt;$F$2)*AND(D100&gt;=3)*AND(H111=0),OFFSET($U$6,(ROUNDUP((ROW()-10)/29,0)-1),0),0)*C100</f>
        <v>0</v>
      </c>
      <c r="I112" s="2930">
        <f>I111+I111*$AG$7</f>
        <v>5349.0079377000011</v>
      </c>
      <c r="J112" s="612"/>
      <c r="K112" s="2553">
        <f t="shared" ca="1" si="41"/>
        <v>0</v>
      </c>
      <c r="L112" s="2927">
        <f t="shared" ca="1" si="42"/>
        <v>0</v>
      </c>
      <c r="M112" s="2928"/>
    </row>
    <row r="113" spans="1:15" hidden="1" x14ac:dyDescent="0.25">
      <c r="A113" s="3613">
        <v>4</v>
      </c>
      <c r="B113" s="2008">
        <f>B112</f>
        <v>2030</v>
      </c>
      <c r="C113" s="2000">
        <f ca="1">IF(($AC$11&lt;$F$2)*AND(D101=12)*AND(C112=0),OFFSET($U$6,(ROUNDUP((ROW()-10)/29,0)-1),0),0)*C101</f>
        <v>0</v>
      </c>
      <c r="D113" s="2921">
        <f>D112</f>
        <v>2971.6710764999998</v>
      </c>
      <c r="E113" s="1595">
        <f ca="1">(C113*D113)+(C114*D114)</f>
        <v>0</v>
      </c>
      <c r="F113" s="510">
        <f ca="1">IF(($AC$19&lt;$F$2)*AND(D101&gt;=3)*AND(F112=0),OFFSET($U$6,(ROUNDUP((ROW()-10)/29,0)-1),0),0)*C101</f>
        <v>0</v>
      </c>
      <c r="G113" s="510">
        <f ca="1">IF(($AC$20&lt;$F$2)*AND(D101&gt;=3)*AND(G112=0),OFFSET($U$6,(ROUNDUP((ROW()-10)/29,0)-1),0),0)*C101</f>
        <v>0</v>
      </c>
      <c r="H113" s="510">
        <f ca="1">IF(($AC$21&lt;$F$2)*AND(D101&gt;=3)*AND(H112=0),OFFSET($U$6,(ROUNDUP((ROW()-10)/29,0)-1),0),0)*C101</f>
        <v>0</v>
      </c>
      <c r="I113" s="2929">
        <f>I112</f>
        <v>5349.0079377000011</v>
      </c>
      <c r="J113" s="611">
        <f ca="1">((SUM(F113:H113)*I113)+(SUM(F114:H114)*I114))</f>
        <v>0</v>
      </c>
      <c r="K113" s="2552">
        <f t="shared" ca="1" si="41"/>
        <v>0</v>
      </c>
      <c r="L113" s="2925">
        <f t="shared" ca="1" si="42"/>
        <v>0</v>
      </c>
      <c r="M113" s="2926">
        <f ca="1">SUM(K113:L114)</f>
        <v>0</v>
      </c>
    </row>
    <row r="114" spans="1:15" ht="15.75" hidden="1" thickBot="1" x14ac:dyDescent="0.3">
      <c r="A114" s="3609"/>
      <c r="B114" s="2006">
        <f>B113+1</f>
        <v>2031</v>
      </c>
      <c r="C114" s="2001">
        <f ca="1">IF(($AD$18&lt;$F$2)*AND(D101=12)*AND(C113=0),OFFSET($U$6,(ROUNDUP((ROW()-10)/29,0)-1),0),0)*C101</f>
        <v>0</v>
      </c>
      <c r="D114" s="2923">
        <f>D113+D113*$AG$7</f>
        <v>3060.8212087949996</v>
      </c>
      <c r="E114" s="1594"/>
      <c r="F114" s="511">
        <f ca="1">IF(($AD$19&lt;$F$2)*AND(D101&gt;=3)*AND(F113=0),OFFSET($U$6,(ROUNDUP((ROW()-10)/29,0)-1),0),0)*C101</f>
        <v>0</v>
      </c>
      <c r="G114" s="511">
        <f ca="1">IF(($AD$20&lt;$F$2)*AND(D101&gt;=3)*AND(G113=0),OFFSET($U$6,(ROUNDUP((ROW()-10)/29,0)-1),0),0)*C101</f>
        <v>0</v>
      </c>
      <c r="H114" s="511">
        <f ca="1">IF(($AD$21&lt;$F$2)*AND(D101&gt;=3)*AND(H113=0),OFFSET($U$6,(ROUNDUP((ROW()-10)/29,0)-1),0),0)*C101</f>
        <v>0</v>
      </c>
      <c r="I114" s="2930">
        <f>I113+I113*$AG$7</f>
        <v>5509.478175831001</v>
      </c>
      <c r="J114" s="612"/>
      <c r="K114" s="2553">
        <f t="shared" ca="1" si="41"/>
        <v>0</v>
      </c>
      <c r="L114" s="2927">
        <f t="shared" ca="1" si="42"/>
        <v>0</v>
      </c>
      <c r="M114" s="2928"/>
    </row>
    <row r="115" spans="1:15" hidden="1" x14ac:dyDescent="0.25">
      <c r="A115" s="3608">
        <v>5</v>
      </c>
      <c r="B115" s="2005">
        <f>B114</f>
        <v>2031</v>
      </c>
      <c r="C115" s="2002">
        <f ca="1">IF(($AD$18&lt;$F$2)*AND(D102=12)*AND(C114=0),OFFSET($U$6,(ROUNDUP((ROW()-10)/29,0)-1),0),0)*C102</f>
        <v>0</v>
      </c>
      <c r="D115" s="2922">
        <f>D114</f>
        <v>3060.8212087949996</v>
      </c>
      <c r="E115" s="1595">
        <f ca="1">(C115*D115)+(C116*D116)</f>
        <v>0</v>
      </c>
      <c r="F115" s="510">
        <f ca="1">IF(($AD$19&lt;$F$2)*AND(D102&gt;=3)*AND(F114=0),OFFSET($U$6,(ROUNDUP((ROW()-10)/29,0)-1),0),0)*C102</f>
        <v>0</v>
      </c>
      <c r="G115" s="510">
        <f ca="1">IF(($AD$20&lt;$F$2)*AND(D102&gt;=3)*AND(G114=0),OFFSET($U$6,(ROUNDUP((ROW()-10)/29,0)-1),0),0)*C102</f>
        <v>0</v>
      </c>
      <c r="H115" s="510">
        <f ca="1">IF(($AD$21&lt;$F$2)*AND(D102&gt;=3)*AND(H114=0),OFFSET($U$6,(ROUNDUP((ROW()-10)/29,0)-1),0),0)*C102</f>
        <v>0</v>
      </c>
      <c r="I115" s="2929">
        <f>I114</f>
        <v>5509.478175831001</v>
      </c>
      <c r="J115" s="611">
        <f ca="1">((SUM(F115:H115)*I115)+(SUM(F116:H116)*I116))</f>
        <v>0</v>
      </c>
      <c r="K115" s="2552">
        <f t="shared" ca="1" si="41"/>
        <v>0</v>
      </c>
      <c r="L115" s="2925">
        <f t="shared" ca="1" si="42"/>
        <v>0</v>
      </c>
      <c r="M115" s="2926">
        <f ca="1">SUM(K115:L116)</f>
        <v>0</v>
      </c>
    </row>
    <row r="116" spans="1:15" ht="15.75" hidden="1" thickBot="1" x14ac:dyDescent="0.3">
      <c r="A116" s="3609"/>
      <c r="B116" s="2006">
        <f>B115+1</f>
        <v>2032</v>
      </c>
      <c r="C116" s="2001">
        <f ca="1">IF(($AE$18&lt;$F$2)*AND(D102=12)*AND(C115=0),OFFSET($U$6,(ROUNDUP((ROW()-10)/29,0)-1),0),0)*C102</f>
        <v>0</v>
      </c>
      <c r="D116" s="2923">
        <f>D115+D115*$AG$7</f>
        <v>3152.6458450588498</v>
      </c>
      <c r="E116" s="1594"/>
      <c r="F116" s="511">
        <f ca="1">IF(($AE$19&lt;$F$2)*AND(D102&gt;=3)*AND(F115=0),OFFSET($U$6,(ROUNDUP((ROW()-10)/29,0)-1),0),0)*C102</f>
        <v>0</v>
      </c>
      <c r="G116" s="511">
        <f ca="1">IF(($AE$20&lt;$F$2)*AND(D102&gt;=3)*AND(G115=0),OFFSET($U$6,(ROUNDUP((ROW()-10)/29,0)-1),0),0)*C102</f>
        <v>0</v>
      </c>
      <c r="H116" s="511">
        <f ca="1">IF(($AE$21&lt;$F$2)*AND(D102&gt;=3)*AND(H115=0),OFFSET($U$6,(ROUNDUP((ROW()-10)/29,0)-1),0),0)*C102</f>
        <v>0</v>
      </c>
      <c r="I116" s="2930">
        <f>I115+I115*$AG$7</f>
        <v>5674.7625211059312</v>
      </c>
      <c r="J116" s="612"/>
      <c r="K116" s="2553">
        <f t="shared" ca="1" si="41"/>
        <v>0</v>
      </c>
      <c r="L116" s="2927">
        <f t="shared" ca="1" si="42"/>
        <v>0</v>
      </c>
      <c r="M116" s="2928"/>
    </row>
    <row r="117" spans="1:15" hidden="1" x14ac:dyDescent="0.25">
      <c r="A117" s="3608">
        <v>6</v>
      </c>
      <c r="B117" s="2005">
        <f>B116</f>
        <v>2032</v>
      </c>
      <c r="C117" s="2002">
        <f ca="1">IF(($AE$18&lt;$F$2)*AND(D103=12)*AND(C116=0),OFFSET($U$6,(ROUNDUP((ROW()-10)/29,0)-1),0),0)*C103</f>
        <v>0</v>
      </c>
      <c r="D117" s="2922">
        <f>D116</f>
        <v>3152.6458450588498</v>
      </c>
      <c r="E117" s="1595">
        <f ca="1">(C117*D117)+(C118*D118)</f>
        <v>0</v>
      </c>
      <c r="F117" s="510">
        <f ca="1">IF(($AE$19&lt;$F$2)*AND(D103&gt;=3)*AND(F116=0),OFFSET($U$6,(ROUNDUP((ROW()-10)/29,0)-1),0),0)*C103</f>
        <v>0</v>
      </c>
      <c r="G117" s="510">
        <f ca="1">IF(($AE$20&lt;$F$2)*AND(D103&gt;=3)*AND(G116=0),OFFSET($U$6,(ROUNDUP((ROW()-10)/29,0)-1),0),0)*C103</f>
        <v>0</v>
      </c>
      <c r="H117" s="510">
        <f ca="1">IF(($AE$21&lt;$F$2)*AND(D103&gt;=3)*AND(H116=0),OFFSET($U$6,(ROUNDUP((ROW()-10)/29,0)-1),0),0)*C103</f>
        <v>0</v>
      </c>
      <c r="I117" s="2929">
        <f>I116</f>
        <v>5674.7625211059312</v>
      </c>
      <c r="J117" s="611">
        <f ca="1">((SUM(F117:H117)*I117)+(SUM(F118:H118)*I118))</f>
        <v>0</v>
      </c>
      <c r="K117" s="2552">
        <f t="shared" ca="1" si="41"/>
        <v>0</v>
      </c>
      <c r="L117" s="2925">
        <f t="shared" ca="1" si="42"/>
        <v>0</v>
      </c>
      <c r="M117" s="2926">
        <f ca="1">SUM(K117:L118)</f>
        <v>0</v>
      </c>
    </row>
    <row r="118" spans="1:15" ht="15.75" hidden="1" thickBot="1" x14ac:dyDescent="0.3">
      <c r="A118" s="3609"/>
      <c r="B118" s="2006">
        <f>B117+1</f>
        <v>2033</v>
      </c>
      <c r="C118" s="2004">
        <f ca="1">IF(($AF$18&lt;$F$2)*AND(D103=12)*AND(C117=0),OFFSET($U$6,(ROUNDUP((ROW()-10)/29,0)-1),0),0)*C103</f>
        <v>0</v>
      </c>
      <c r="D118" s="2923">
        <f>D117+D117*$AG$7</f>
        <v>3247.2252204106153</v>
      </c>
      <c r="E118" s="1594"/>
      <c r="F118" s="511">
        <f ca="1">IF(($AF$19&lt;$F$2)*AND(D103&gt;=3)*AND(F117=0),OFFSET($U$6,(ROUNDUP((ROW()-10)/29,0)-1),0),0)*C103</f>
        <v>0</v>
      </c>
      <c r="G118" s="511">
        <f ca="1">IF(($AF$20&lt;$F$2)*AND(D103&gt;=3)*AND(G117=0),OFFSET($U$6,(ROUNDUP((ROW()-10)/29,0)-1),0),0)*C103</f>
        <v>0</v>
      </c>
      <c r="H118" s="511">
        <f ca="1">IF(($AF$21&lt;$F$2)*AND(D103&gt;=3)*AND(H117=0),OFFSET($U$6,(ROUNDUP((ROW()-10)/29,0)-1),0),0)*C103</f>
        <v>0</v>
      </c>
      <c r="I118" s="2930">
        <f>I117+I117*$AG$7</f>
        <v>5845.0053967391095</v>
      </c>
      <c r="J118" s="612"/>
      <c r="K118" s="2553">
        <f t="shared" ca="1" si="41"/>
        <v>0</v>
      </c>
      <c r="L118" s="2927">
        <f t="shared" ca="1" si="42"/>
        <v>0</v>
      </c>
      <c r="M118" s="2928"/>
    </row>
    <row r="119" spans="1:15" ht="15.75" hidden="1" thickBot="1" x14ac:dyDescent="0.3">
      <c r="C119" s="3616" t="s">
        <v>96</v>
      </c>
      <c r="D119" s="3617"/>
      <c r="E119" s="2933">
        <f ca="1">SUM(E107:E117)</f>
        <v>0</v>
      </c>
      <c r="F119" s="60"/>
      <c r="G119" s="2936" t="s">
        <v>102</v>
      </c>
      <c r="H119" s="3618" t="s">
        <v>57</v>
      </c>
      <c r="I119" s="3619"/>
      <c r="J119" s="2934">
        <f ca="1">SUM(J107:J117)</f>
        <v>0</v>
      </c>
      <c r="K119" s="3610" t="s">
        <v>103</v>
      </c>
      <c r="L119" s="3611"/>
      <c r="M119" s="2935">
        <f ca="1">SUM(M107:M118)</f>
        <v>0</v>
      </c>
    </row>
    <row r="120" spans="1:15" ht="15.75" hidden="1" thickBot="1" x14ac:dyDescent="0.3">
      <c r="A120" s="71"/>
      <c r="B120" s="71"/>
      <c r="C120" s="71"/>
      <c r="D120" s="71"/>
      <c r="E120" s="71"/>
      <c r="F120" s="71"/>
      <c r="G120" s="71"/>
      <c r="H120" s="71"/>
      <c r="I120" s="71"/>
      <c r="J120" s="71"/>
      <c r="K120" s="71"/>
      <c r="L120" s="71"/>
      <c r="M120" s="71"/>
    </row>
    <row r="121" spans="1:15" ht="16.5" hidden="1" thickTop="1" thickBot="1" x14ac:dyDescent="0.3"/>
    <row r="122" spans="1:15" ht="15.75" hidden="1" thickBot="1" x14ac:dyDescent="0.3">
      <c r="A122" s="64" t="str">
        <f>'DATA INPUT'!B33</f>
        <v>GA #05 / Sponsor Funds</v>
      </c>
      <c r="B122" s="64"/>
      <c r="C122" s="65"/>
      <c r="D122" s="65"/>
      <c r="E122" s="65"/>
      <c r="F122" s="65"/>
      <c r="G122" s="65"/>
      <c r="H122" s="65"/>
      <c r="I122" s="65"/>
      <c r="J122" s="65"/>
      <c r="K122" s="65"/>
      <c r="L122" s="65"/>
      <c r="M122" s="1598"/>
      <c r="N122" s="1598"/>
    </row>
    <row r="123" spans="1:15" ht="15" hidden="1" customHeight="1" thickBot="1" x14ac:dyDescent="0.3">
      <c r="A123" s="3620" t="s">
        <v>80</v>
      </c>
      <c r="B123" s="3621"/>
      <c r="C123" s="1712">
        <f>'DATA INPUT'!C33</f>
        <v>0</v>
      </c>
      <c r="E123" s="1760" t="s">
        <v>135</v>
      </c>
      <c r="F123" s="1761">
        <f>'DATA INPUT'!E33</f>
        <v>0</v>
      </c>
      <c r="G123" s="1760" t="s">
        <v>82</v>
      </c>
      <c r="H123" s="1734">
        <f>'DATA INPUT'!F33</f>
        <v>0.49</v>
      </c>
      <c r="I123" s="1737" t="s">
        <v>88</v>
      </c>
      <c r="J123" s="1746">
        <f>IFERROR(VLOOKUP(C123,Table_Units[],IF(F123='Reference Sheet'!$H$37,3,2),FALSE)*1,0)</f>
        <v>0</v>
      </c>
      <c r="K123" s="1746"/>
      <c r="L123" s="66"/>
      <c r="M123" s="1712"/>
      <c r="N123" s="1762"/>
    </row>
    <row r="124" spans="1:15" ht="15" hidden="1" customHeight="1" thickBot="1" x14ac:dyDescent="0.3">
      <c r="A124" s="1716"/>
      <c r="B124" s="3445" t="s">
        <v>254</v>
      </c>
      <c r="C124" s="3560" t="s">
        <v>517</v>
      </c>
      <c r="D124" s="3444" t="s">
        <v>518</v>
      </c>
      <c r="E124" s="3445" t="s">
        <v>519</v>
      </c>
      <c r="F124" s="3445" t="s">
        <v>521</v>
      </c>
      <c r="G124" s="3614" t="s">
        <v>65</v>
      </c>
      <c r="H124" s="3614"/>
      <c r="I124" s="3614"/>
      <c r="J124" s="3614"/>
      <c r="K124" s="3445" t="s">
        <v>84</v>
      </c>
      <c r="L124" s="1996" t="s">
        <v>78</v>
      </c>
      <c r="M124" s="1997"/>
      <c r="N124" s="3558" t="s">
        <v>87</v>
      </c>
    </row>
    <row r="125" spans="1:15" ht="15.75" hidden="1" customHeight="1" thickBot="1" x14ac:dyDescent="0.3">
      <c r="A125" s="3445" t="s">
        <v>253</v>
      </c>
      <c r="B125" s="3445"/>
      <c r="C125" s="3561"/>
      <c r="D125" s="3445"/>
      <c r="E125" s="3445"/>
      <c r="F125" s="3445"/>
      <c r="G125" s="3444" t="s">
        <v>86</v>
      </c>
      <c r="H125" s="3444" t="s">
        <v>59</v>
      </c>
      <c r="I125" s="3444" t="s">
        <v>60</v>
      </c>
      <c r="J125" s="3444" t="s">
        <v>66</v>
      </c>
      <c r="K125" s="3445"/>
      <c r="L125" s="1998" t="s">
        <v>616</v>
      </c>
      <c r="M125" s="1999">
        <f>'Reference Sheet'!$E$14</f>
        <v>0.28499999999999998</v>
      </c>
      <c r="N125" s="3566"/>
    </row>
    <row r="126" spans="1:15" ht="15.75" hidden="1" thickBot="1" x14ac:dyDescent="0.3">
      <c r="A126" s="3446"/>
      <c r="B126" s="3446"/>
      <c r="C126" s="3615"/>
      <c r="D126" s="3446"/>
      <c r="E126" s="3446"/>
      <c r="F126" s="3446"/>
      <c r="G126" s="3446"/>
      <c r="H126" s="3446"/>
      <c r="I126" s="3446"/>
      <c r="J126" s="3446"/>
      <c r="K126" s="3446"/>
      <c r="L126" s="1769" t="s">
        <v>67</v>
      </c>
      <c r="M126" s="1683" t="s">
        <v>68</v>
      </c>
      <c r="N126" s="3612"/>
    </row>
    <row r="127" spans="1:15" hidden="1" x14ac:dyDescent="0.25">
      <c r="A127" s="1685">
        <v>1</v>
      </c>
      <c r="B127" s="1770">
        <f>$K$3</f>
        <v>12</v>
      </c>
      <c r="C127" s="1685">
        <f>'DATA INPUT'!I33</f>
        <v>0</v>
      </c>
      <c r="D127" s="1693">
        <f>IF(C127&lt;1,0,IF((B127&gt;0),'DATA INPUT'!$G$33,0))</f>
        <v>0</v>
      </c>
      <c r="E127" s="1773">
        <f t="shared" ref="E127:E132" ca="1" si="43">(D127*(2080/12))*OFFSET($H$7,29*(ROUNDUP(ROW()/29,0)-1),0)</f>
        <v>0</v>
      </c>
      <c r="F127" s="1684">
        <f t="shared" ref="F127:F132" ca="1" si="44">((D127*(2080/12))*OFFSET($H$7,29*(ROUNDUP(ROW()/29,0)-1),0))*C127</f>
        <v>0</v>
      </c>
      <c r="G127" s="1149">
        <v>0.03</v>
      </c>
      <c r="H127" s="460">
        <f>(J123*G127)+J123</f>
        <v>0</v>
      </c>
      <c r="I127" s="492">
        <f t="shared" ref="I127:I132" ca="1" si="45">H127/12*OFFSET($H$7,29*(ROUNDUP(ROW(H127)/29,0)-1),0)</f>
        <v>0</v>
      </c>
      <c r="J127" s="2400">
        <f t="shared" ref="J127:J132" si="46">(H127/12)/(2080/12)</f>
        <v>0</v>
      </c>
      <c r="K127" s="1766">
        <f t="shared" ref="K127:K132" ca="1" si="47">I127*D127*C127</f>
        <v>0</v>
      </c>
      <c r="L127" s="626">
        <f>IF($U$3&lt;$T$3, M125, IF($U$3&gt;$W$3, M125+2*$Q$6, M125+$Q$6))</f>
        <v>0.28499999999999998</v>
      </c>
      <c r="M127" s="1500">
        <f t="shared" ref="M127:M132" ca="1" si="48">L127*K127</f>
        <v>0</v>
      </c>
      <c r="N127" s="2400">
        <f t="shared" ref="N127:N132" si="49">((H127/12)/(2080/12))+(((H127/12)*L127)/(2080/12))</f>
        <v>0</v>
      </c>
      <c r="O127" s="58" t="str">
        <f ca="1">IF(ABS(C127*D127*OFFSET($U$6,(ROUNDUP((ROW()-10)/29,0)-1),0)-3*SUM(C136:C137,F136:H137))&gt; 0.01,"Mismatch: Tuition vs Months","")</f>
        <v/>
      </c>
    </row>
    <row r="128" spans="1:15" hidden="1" x14ac:dyDescent="0.25">
      <c r="A128" s="1687">
        <v>2</v>
      </c>
      <c r="B128" s="1771">
        <f>$L$3</f>
        <v>0</v>
      </c>
      <c r="C128" s="1687">
        <f>'DATA INPUT'!J33</f>
        <v>0</v>
      </c>
      <c r="D128" s="1693">
        <f>IF(C128&lt;1,0,IF((B128&gt;0),'DATA INPUT'!$G$33,0))</f>
        <v>0</v>
      </c>
      <c r="E128" s="1774">
        <f t="shared" ca="1" si="43"/>
        <v>0</v>
      </c>
      <c r="F128" s="1686">
        <f t="shared" ca="1" si="44"/>
        <v>0</v>
      </c>
      <c r="G128" s="461">
        <v>0.03</v>
      </c>
      <c r="H128" s="462">
        <f>(H127*G128)+H127</f>
        <v>0</v>
      </c>
      <c r="I128" s="501">
        <f t="shared" ca="1" si="45"/>
        <v>0</v>
      </c>
      <c r="J128" s="2397">
        <f t="shared" si="46"/>
        <v>0</v>
      </c>
      <c r="K128" s="1767">
        <f t="shared" ca="1" si="47"/>
        <v>0</v>
      </c>
      <c r="L128" s="625">
        <f>L127+$Q$6</f>
        <v>0.30499999999999999</v>
      </c>
      <c r="M128" s="1541">
        <f t="shared" ca="1" si="48"/>
        <v>0</v>
      </c>
      <c r="N128" s="2398">
        <f t="shared" si="49"/>
        <v>0</v>
      </c>
      <c r="O128" s="58" t="str">
        <f ca="1">IF(ABS(C128*D128*OFFSET($U$6,(ROUNDUP((ROW()-10)/29,0)-1),0)-3*SUM(C138:C139,F138:H139))&gt;0.01,"Mismatch: Tuition vs Months","")</f>
        <v/>
      </c>
    </row>
    <row r="129" spans="1:15" hidden="1" x14ac:dyDescent="0.25">
      <c r="A129" s="1687">
        <v>3</v>
      </c>
      <c r="B129" s="1771">
        <f>$M$3</f>
        <v>0</v>
      </c>
      <c r="C129" s="1687">
        <f>'DATA INPUT'!K33</f>
        <v>0</v>
      </c>
      <c r="D129" s="1693">
        <f>IF(C129&lt;1,0,IF((B129&gt;0),'DATA INPUT'!$G$33,0))</f>
        <v>0</v>
      </c>
      <c r="E129" s="1774">
        <f t="shared" ca="1" si="43"/>
        <v>0</v>
      </c>
      <c r="F129" s="1686">
        <f t="shared" ca="1" si="44"/>
        <v>0</v>
      </c>
      <c r="G129" s="461">
        <v>0.03</v>
      </c>
      <c r="H129" s="462">
        <f>(H128*G129)+H128</f>
        <v>0</v>
      </c>
      <c r="I129" s="501">
        <f t="shared" ca="1" si="45"/>
        <v>0</v>
      </c>
      <c r="J129" s="2397">
        <f t="shared" si="46"/>
        <v>0</v>
      </c>
      <c r="K129" s="1767">
        <f t="shared" ca="1" si="47"/>
        <v>0</v>
      </c>
      <c r="L129" s="625">
        <f>L128+$Q$6</f>
        <v>0.32500000000000001</v>
      </c>
      <c r="M129" s="1541">
        <f t="shared" ca="1" si="48"/>
        <v>0</v>
      </c>
      <c r="N129" s="2398">
        <f t="shared" si="49"/>
        <v>0</v>
      </c>
      <c r="O129" s="58" t="str">
        <f ca="1">IF(ABS(C129*D129*OFFSET($U$6,(ROUNDUP((ROW()-10)/29,0)-1),0)-3*SUM(C140:C141,F140:H141))&gt;0.01,"Mismatch: Tuition vs Months","")</f>
        <v/>
      </c>
    </row>
    <row r="130" spans="1:15" hidden="1" x14ac:dyDescent="0.25">
      <c r="A130" s="1687">
        <v>4</v>
      </c>
      <c r="B130" s="1771">
        <f>$N$3</f>
        <v>0</v>
      </c>
      <c r="C130" s="1687">
        <f>'DATA INPUT'!L33</f>
        <v>0</v>
      </c>
      <c r="D130" s="1693">
        <f>IF(C130&lt;1,0,IF((B130&gt;0),'DATA INPUT'!$G$33,0))</f>
        <v>0</v>
      </c>
      <c r="E130" s="1774">
        <f t="shared" ca="1" si="43"/>
        <v>0</v>
      </c>
      <c r="F130" s="1686">
        <f t="shared" ca="1" si="44"/>
        <v>0</v>
      </c>
      <c r="G130" s="461">
        <v>0.03</v>
      </c>
      <c r="H130" s="462">
        <f>(H129*G130)+H129</f>
        <v>0</v>
      </c>
      <c r="I130" s="501">
        <f t="shared" ca="1" si="45"/>
        <v>0</v>
      </c>
      <c r="J130" s="2397">
        <f t="shared" si="46"/>
        <v>0</v>
      </c>
      <c r="K130" s="1767">
        <f t="shared" ca="1" si="47"/>
        <v>0</v>
      </c>
      <c r="L130" s="625">
        <f>L129+$Q$6</f>
        <v>0.34500000000000003</v>
      </c>
      <c r="M130" s="1541">
        <f t="shared" ca="1" si="48"/>
        <v>0</v>
      </c>
      <c r="N130" s="2398">
        <f t="shared" si="49"/>
        <v>0</v>
      </c>
      <c r="O130" s="58" t="str">
        <f ca="1">IF(ABS(C130*D130*OFFSET($U$6,(ROUNDUP((ROW()-10)/29,0)-1),0)-3*SUM(C142:C143,F142:H143))&gt;0.01,"Mismatch: Tuition vs Months","")</f>
        <v/>
      </c>
    </row>
    <row r="131" spans="1:15" hidden="1" x14ac:dyDescent="0.25">
      <c r="A131" s="1687">
        <v>5</v>
      </c>
      <c r="B131" s="1771">
        <f>$O$3</f>
        <v>0</v>
      </c>
      <c r="C131" s="1687">
        <f>'DATA INPUT'!M33</f>
        <v>0</v>
      </c>
      <c r="D131" s="1693">
        <f>IF(C131&lt;1,0,IF((B131&gt;0),'DATA INPUT'!$G$33,0))</f>
        <v>0</v>
      </c>
      <c r="E131" s="1774">
        <f t="shared" ca="1" si="43"/>
        <v>0</v>
      </c>
      <c r="F131" s="1686">
        <f t="shared" ca="1" si="44"/>
        <v>0</v>
      </c>
      <c r="G131" s="461">
        <v>0.03</v>
      </c>
      <c r="H131" s="462">
        <f>(H130*G131)+H130</f>
        <v>0</v>
      </c>
      <c r="I131" s="501">
        <f t="shared" ca="1" si="45"/>
        <v>0</v>
      </c>
      <c r="J131" s="2397">
        <f t="shared" si="46"/>
        <v>0</v>
      </c>
      <c r="K131" s="1767">
        <f t="shared" ca="1" si="47"/>
        <v>0</v>
      </c>
      <c r="L131" s="625">
        <f>L130+$Q$6</f>
        <v>0.36500000000000005</v>
      </c>
      <c r="M131" s="1541">
        <f t="shared" ca="1" si="48"/>
        <v>0</v>
      </c>
      <c r="N131" s="2398">
        <f t="shared" si="49"/>
        <v>0</v>
      </c>
      <c r="O131" s="58" t="str">
        <f ca="1">IF(ABS(C131*D131*OFFSET($U$6,(ROUNDUP((ROW()-10)/29,0)-1),0)-3*SUM(C144:C145,F144:H145))&gt;0.01,"Mismatch: Tuition vs Months","")</f>
        <v/>
      </c>
    </row>
    <row r="132" spans="1:15" ht="15.75" hidden="1" thickBot="1" x14ac:dyDescent="0.3">
      <c r="A132" s="1691">
        <v>6</v>
      </c>
      <c r="B132" s="1772">
        <f>$P$3</f>
        <v>0</v>
      </c>
      <c r="C132" s="1689">
        <f>'DATA INPUT'!N33</f>
        <v>0</v>
      </c>
      <c r="D132" s="1694">
        <f>IF(C132&lt;1,0,IF((B132&gt;0),'DATA INPUT'!$G$33,0))</f>
        <v>0</v>
      </c>
      <c r="E132" s="1733">
        <f t="shared" ca="1" si="43"/>
        <v>0</v>
      </c>
      <c r="F132" s="1688">
        <f t="shared" ca="1" si="44"/>
        <v>0</v>
      </c>
      <c r="G132" s="463">
        <v>0.03</v>
      </c>
      <c r="H132" s="464">
        <f>(H131*G132)+H131</f>
        <v>0</v>
      </c>
      <c r="I132" s="502">
        <f t="shared" ca="1" si="45"/>
        <v>0</v>
      </c>
      <c r="J132" s="2413">
        <f t="shared" si="46"/>
        <v>0</v>
      </c>
      <c r="K132" s="1768">
        <f t="shared" ca="1" si="47"/>
        <v>0</v>
      </c>
      <c r="L132" s="627">
        <f>L131+$Q$6</f>
        <v>0.38500000000000006</v>
      </c>
      <c r="M132" s="1690">
        <f t="shared" ca="1" si="48"/>
        <v>0</v>
      </c>
      <c r="N132" s="2399">
        <f t="shared" si="49"/>
        <v>0</v>
      </c>
      <c r="O132" s="58" t="str">
        <f ca="1">IF(ABS(C132*D132*OFFSET($U$6,(ROUNDUP((ROW()-10)/29,0)-1),0)-3*SUM(C146:C147,F146:H147))&gt;0.01,"Mismatch: Tuition vs Months","")</f>
        <v/>
      </c>
    </row>
    <row r="133" spans="1:15" ht="15.75" hidden="1" thickBot="1" x14ac:dyDescent="0.3">
      <c r="A133" s="624" t="s">
        <v>85</v>
      </c>
      <c r="B133" s="519">
        <f>SUM(B127:B132)</f>
        <v>12</v>
      </c>
      <c r="C133" s="519">
        <f>SUM(C127:C132)</f>
        <v>0</v>
      </c>
      <c r="D133" s="1692">
        <f>SUM(D127:D132)</f>
        <v>0</v>
      </c>
      <c r="E133" s="1695">
        <f ca="1">SUM(E127:E132)</f>
        <v>0</v>
      </c>
      <c r="F133" s="1695">
        <f ca="1">SUM(F127:F132)</f>
        <v>0</v>
      </c>
      <c r="K133" s="1508">
        <f ca="1">SUM(K127:K132)</f>
        <v>0</v>
      </c>
      <c r="M133" s="1508">
        <f ca="1">SUM(M127:M132)</f>
        <v>0</v>
      </c>
      <c r="N133" s="60"/>
    </row>
    <row r="134" spans="1:15" ht="15.75" hidden="1" thickBot="1" x14ac:dyDescent="0.3"/>
    <row r="135" spans="1:15" ht="33" hidden="1" customHeight="1" thickBot="1" x14ac:dyDescent="0.3">
      <c r="A135" s="1990" t="s">
        <v>253</v>
      </c>
      <c r="B135" s="1990" t="s">
        <v>299</v>
      </c>
      <c r="C135" s="1979" t="s">
        <v>17</v>
      </c>
      <c r="D135" s="1980" t="s">
        <v>96</v>
      </c>
      <c r="E135" s="1981" t="s">
        <v>474</v>
      </c>
      <c r="F135" s="1991" t="s">
        <v>41</v>
      </c>
      <c r="G135" s="1992" t="s">
        <v>42</v>
      </c>
      <c r="H135" s="1992" t="s">
        <v>43</v>
      </c>
      <c r="I135" s="1992" t="s">
        <v>57</v>
      </c>
      <c r="J135" s="1993" t="s">
        <v>472</v>
      </c>
      <c r="K135" s="1980" t="s">
        <v>100</v>
      </c>
      <c r="L135" s="1991" t="s">
        <v>99</v>
      </c>
      <c r="M135" s="1994" t="s">
        <v>101</v>
      </c>
    </row>
    <row r="136" spans="1:15" hidden="1" x14ac:dyDescent="0.25">
      <c r="A136" s="3613">
        <v>1</v>
      </c>
      <c r="B136" s="2005">
        <f>IF($C$2&lt;DATE($Z$6,4,15),$Z$6,IF($C$2&lt;DATE($AA$6,4,15),$AA$6,IF($C$2&lt;DATE($AB$6,4,15),$AB$6,IF($C$2&lt;DATE($AC$6,4,15),$AC$6,$AD$6))))</f>
        <v>2027</v>
      </c>
      <c r="C136" s="2000">
        <f ca="1">(IF($C$2&lt;=$Z$14*AND(D127&gt;=3)*AND($F$2&gt;=$Z$18),OFFSET($U$6,(ROUNDUP((ROW()-10)/29,0)-1),0),0)*IF(D127=9,0,1))*C127</f>
        <v>0</v>
      </c>
      <c r="D136" s="2921">
        <f>IF(OR($C123="COE",$C123="CCE",$C123="CBEE",$C123="EECS",$C123="MIME",$C123="NSE",$C123="PMEC"),HLOOKUP($B136,$Z$6:$AF$10,3),
IF(($C123="COB"),HLOOKUP($B136,$Z$25:$AF$27,3),
IF(($C123="CPH"),HLOOKUP($B136,$Z$31:$AF$33,3),
IF(($C123="VetMed"),HLOOKUP($B136,$Z$37:$AF$39,3),
IF(($C123="Pharm"),HLOOKUP($B136,$Z$43:$AF$45,3),
HLOOKUP($B136,$Z$49:$AF$51,3))))))</f>
        <v>2719.5</v>
      </c>
      <c r="E136" s="1987">
        <f ca="1">(C136*D136)+(C137*D137)</f>
        <v>0</v>
      </c>
      <c r="F136" s="1988">
        <f ca="1">IF($C$2&lt;=$Z$15*AND(D127&gt;=3)*AND($F$2&gt;=$Z$19),OFFSET($U$6,(ROUNDUP((ROW()-10)/29,0)-1),0),0)*C127</f>
        <v>0</v>
      </c>
      <c r="G136" s="1988">
        <f ca="1">IF($C$2&lt;=$Z$16*AND(D127&gt;=3)*AND($F$2&gt;=$Z$20),OFFSET($U$6,(ROUNDUP((ROW()-10)/29,0)-1),0),0)*C127</f>
        <v>0</v>
      </c>
      <c r="H136" s="1988">
        <f ca="1">IF($C$2&lt;=$Z$17*AND(D127&gt;=3)*AND($F$2&gt;=$Z$21),OFFSET($U$6,(ROUNDUP((ROW()-10)/29,0)-1),0),0)*C127</f>
        <v>0</v>
      </c>
      <c r="I136" s="2921">
        <f>IF(OR($C123="COE",$C123="CCE",$C123="CBEE",$C123="EECS",$C123="MIME",$C123="NSE",$C123="PMEC"),HLOOKUP($B136,$Z$6:$AF$10,2),
IF(($C123="COB"),HLOOKUP($B136,$Z$25:$AF$27,2),
IF(($C123="CPH"),HLOOKUP($B136,$Z$31:$AF$33,2),
IF(($C123="VetMed"),HLOOKUP($B136,$Z$37:$AF$39,2),
IF(($C123="Pharm"),HLOOKUP($B136,$Z$43:$AF$45,2),
HLOOKUP($B136,$Z$49:$AF$51,2))))))</f>
        <v>4895.1000000000004</v>
      </c>
      <c r="J136" s="1989">
        <f ca="1">((SUM(F136:H136)*I136)+(SUM(F137:H137)*I137))</f>
        <v>0</v>
      </c>
      <c r="K136" s="2552">
        <f t="shared" ref="K136:K147" ca="1" si="50">C136*HLOOKUP($B136,$Z$6:$AF$10,5)</f>
        <v>0</v>
      </c>
      <c r="L136" s="2925">
        <f t="shared" ref="L136:L147" ca="1" si="51">SUM(F136:H136)*HLOOKUP($B136,$Z$6:$AF$10,4)</f>
        <v>0</v>
      </c>
      <c r="M136" s="2926">
        <f ca="1">SUM(K136:L137)</f>
        <v>0</v>
      </c>
    </row>
    <row r="137" spans="1:15" ht="15.75" hidden="1" thickBot="1" x14ac:dyDescent="0.3">
      <c r="A137" s="3609"/>
      <c r="B137" s="2006">
        <f>B136+1</f>
        <v>2028</v>
      </c>
      <c r="C137" s="2001">
        <f ca="1">(IF($C$2&lt;=$AA$14*AND(D127&gt;=3)*AND($F$2&gt;=$AA$18),OFFSET($U$6,(ROUNDUP((ROW()-10)/29,0)-1),0),0)*IF(D127=9,0,1)*IF(C136=0,1,0))*C127</f>
        <v>0</v>
      </c>
      <c r="D137" s="2921">
        <f>IF(OR($C123="COE",$C123="CCE",$C123="CBEE",$C123="EECS",$C123="MIME",$C123="NSE",$C123="PMEC"),HLOOKUP($B137,$Z$6:$AF$10,3),
IF(($C123="COB"),HLOOKUP($B137,$Z$25:$AF$27,3),
IF(($C123="CPH"),HLOOKUP($B137,$Z$31:$AF$33,3),
IF(($C123="VetMed"),HLOOKUP($B137,$Z$37:$AF$39,3),
IF(($C123="Pharm"),HLOOKUP($B137,$Z$43:$AF$45,3),
HLOOKUP($B137,$Z$49:$AF$51,3))))))</f>
        <v>2801.085</v>
      </c>
      <c r="E137" s="1594"/>
      <c r="F137" s="511">
        <f ca="1">IF(($C$2&lt;=$AA$15)*AND(D127&gt;=3)*AND(F136=0)*AND($F$2&gt;=$AA$19),OFFSET($U$6,(ROUNDUP((ROW()-10)/29,0)-1),0),0)*C127</f>
        <v>0</v>
      </c>
      <c r="G137" s="511">
        <f ca="1">IF(($C$2&lt;=$AA$16)*AND(D127&gt;=3)*AND(G136=0)*AND($F$2&gt;=$AA$20),OFFSET($U$6,(ROUNDUP((ROW()-10)/29,0)-1),0),0)*C127</f>
        <v>0</v>
      </c>
      <c r="H137" s="511">
        <f ca="1">IF($C$2&lt;=$AA$17*AND(D127&gt;=3)*AND(H136=0)*AND($F$2&gt;=$AA$21),OFFSET($U$6,(ROUNDUP((ROW()-10)/29,0)-1),0),0)*C127</f>
        <v>0</v>
      </c>
      <c r="I137" s="2921">
        <f>IF(OR($C123="COE",$C123="CCE",$C123="CBEE",$C123="EECS",$C123="MIME",$C123="NSE",$C123="PMEC"),HLOOKUP($B137,$Z$6:$AF$10,2),
IF(($C123="COB"),HLOOKUP($B137,$Z$25:$AF$27,2),
IF(($C123="CPH"),HLOOKUP($B137,$Z$31:$AF$33,2),
IF(($C123="VetMed"),HLOOKUP($B137,$Z$37:$AF$39,2),
IF(($C123="Pharm"),HLOOKUP($B137,$Z$43:$AF$45,2),
HLOOKUP($B137,$Z$49:$AF$51,2))))))</f>
        <v>5041.9530000000004</v>
      </c>
      <c r="J137" s="612"/>
      <c r="K137" s="2553">
        <f t="shared" ca="1" si="50"/>
        <v>0</v>
      </c>
      <c r="L137" s="2927">
        <f t="shared" ca="1" si="51"/>
        <v>0</v>
      </c>
      <c r="M137" s="2928"/>
    </row>
    <row r="138" spans="1:15" hidden="1" x14ac:dyDescent="0.25">
      <c r="A138" s="3608">
        <v>2</v>
      </c>
      <c r="B138" s="2005">
        <f>B137</f>
        <v>2028</v>
      </c>
      <c r="C138" s="2002">
        <f ca="1">(IF(($AA$18&lt;$F$2)*AND(D128=12)*AND(C137=0),OFFSET($U$6,(ROUNDUP((ROW()-10)/29,0)-1),0),0))*C128</f>
        <v>0</v>
      </c>
      <c r="D138" s="2922">
        <f>D137</f>
        <v>2801.085</v>
      </c>
      <c r="E138" s="1595">
        <f ca="1">(C138*D138)+(C139*D139)</f>
        <v>0</v>
      </c>
      <c r="F138" s="510">
        <f ca="1">IF(($AA$19&lt;$F$2)*AND(D128&gt;=3)*AND(F137=0),OFFSET($U$6,(ROUNDUP((ROW()-10)/29,0)-1),0),0)*C128</f>
        <v>0</v>
      </c>
      <c r="G138" s="510">
        <f ca="1">IF(($AA$20&lt;$F$2)*AND(D128&gt;=3)*AND(G137=0),OFFSET($U$6,(ROUNDUP((ROW()-10)/29,0)-1),0),0)*C128</f>
        <v>0</v>
      </c>
      <c r="H138" s="510">
        <f ca="1">IF(($AA$21&lt;$F$2)*AND(D128&gt;=3)*AND(H137=0),OFFSET($U$6,(ROUNDUP((ROW()-10)/29,0)-1),0),0)*C128</f>
        <v>0</v>
      </c>
      <c r="I138" s="2929">
        <f>I137</f>
        <v>5041.9530000000004</v>
      </c>
      <c r="J138" s="611">
        <f ca="1">((SUM(F138:H138)*I138)+(SUM(F139:H139)*I139))</f>
        <v>0</v>
      </c>
      <c r="K138" s="2552">
        <f t="shared" ca="1" si="50"/>
        <v>0</v>
      </c>
      <c r="L138" s="2925">
        <f t="shared" ca="1" si="51"/>
        <v>0</v>
      </c>
      <c r="M138" s="2926">
        <f ca="1">SUM(K138:L139)</f>
        <v>0</v>
      </c>
    </row>
    <row r="139" spans="1:15" ht="15.75" hidden="1" thickBot="1" x14ac:dyDescent="0.3">
      <c r="A139" s="3613"/>
      <c r="B139" s="2007">
        <f>B138+1</f>
        <v>2029</v>
      </c>
      <c r="C139" s="2003">
        <f ca="1">(IF(($AB$18&lt;$F$2)*AND(D128=12)*AND(C138=0),OFFSET($U$6,(ROUNDUP((ROW()-10)/29,0)-1),0),0))*C128</f>
        <v>0</v>
      </c>
      <c r="D139" s="2931">
        <f>D138+D138*$AG$7</f>
        <v>2885.1175499999999</v>
      </c>
      <c r="E139" s="1594"/>
      <c r="F139" s="511">
        <f ca="1">IF(($AB$19&lt;$F$2)*AND(D128&gt;=3)*AND(F138=0),OFFSET($U$6,(ROUNDUP((ROW()-10)/29,0)-1),0),0)*C128</f>
        <v>0</v>
      </c>
      <c r="G139" s="511">
        <f ca="1">IF(($AB$20&lt;$F$2)*AND(D128&gt;=3)*AND(G138=0),OFFSET($U$6,(ROUNDUP((ROW()-10)/29,0)-1),0),0)*C128</f>
        <v>0</v>
      </c>
      <c r="H139" s="511">
        <f ca="1">IF(($AB$21&lt;$F$2)*AND(D128&gt;=3)*AND(H138=0),OFFSET($U$6,(ROUNDUP((ROW()-10)/29,0)-1),0),0)*C128</f>
        <v>0</v>
      </c>
      <c r="I139" s="2930">
        <f>I138+I138*$AG$7</f>
        <v>5193.2115900000008</v>
      </c>
      <c r="J139" s="612"/>
      <c r="K139" s="2553">
        <f t="shared" ca="1" si="50"/>
        <v>0</v>
      </c>
      <c r="L139" s="2927">
        <f t="shared" ca="1" si="51"/>
        <v>0</v>
      </c>
      <c r="M139" s="2928"/>
    </row>
    <row r="140" spans="1:15" hidden="1" x14ac:dyDescent="0.25">
      <c r="A140" s="3608">
        <v>3</v>
      </c>
      <c r="B140" s="2005">
        <f>B139</f>
        <v>2029</v>
      </c>
      <c r="C140" s="2002">
        <f ca="1">IF(($AB$18&lt;$F$2)*AND(D129=12)*AND(C139=0),OFFSET($U$6,(ROUNDUP((ROW()-10)/29,0)-1),0),0)*C129</f>
        <v>0</v>
      </c>
      <c r="D140" s="2924">
        <f>D139</f>
        <v>2885.1175499999999</v>
      </c>
      <c r="E140" s="1595">
        <f ca="1">(C140*D140)+(C141*D141)</f>
        <v>0</v>
      </c>
      <c r="F140" s="510">
        <f ca="1">IF(($AB$19&lt;$F$2)*AND(D129&gt;=3)*AND(F139=0),OFFSET($U$6,(ROUNDUP((ROW()-10)/29,0)-1),0),0)*C129</f>
        <v>0</v>
      </c>
      <c r="G140" s="510">
        <f ca="1">IF(($AB$20&lt;$F$2)*AND(D129&gt;=3)*AND(G139=0),OFFSET($U$6,(ROUNDUP((ROW()-10)/29,0)-1),0),0)*C129</f>
        <v>0</v>
      </c>
      <c r="H140" s="510">
        <f ca="1">IF(($AB$21&lt;$F$2)*AND(D129&gt;=3)*AND(H139=0),OFFSET($U$6,(ROUNDUP((ROW()-10)/29,0)-1),0),0)*C129</f>
        <v>0</v>
      </c>
      <c r="I140" s="2929">
        <f>I139</f>
        <v>5193.2115900000008</v>
      </c>
      <c r="J140" s="611">
        <f ca="1">((SUM(F140:H140)*I140)+(SUM(F141:H141)*I141))</f>
        <v>0</v>
      </c>
      <c r="K140" s="2552">
        <f t="shared" ca="1" si="50"/>
        <v>0</v>
      </c>
      <c r="L140" s="2925">
        <f t="shared" ca="1" si="51"/>
        <v>0</v>
      </c>
      <c r="M140" s="2926">
        <f ca="1">SUM(K140:L141)</f>
        <v>0</v>
      </c>
    </row>
    <row r="141" spans="1:15" ht="15.75" hidden="1" thickBot="1" x14ac:dyDescent="0.3">
      <c r="A141" s="3609"/>
      <c r="B141" s="2006">
        <f>B140+1</f>
        <v>2030</v>
      </c>
      <c r="C141" s="2001">
        <f ca="1">IF(($AC$18&lt;$F$2)*AND(D129=12)*AND(C140=0),OFFSET($U$6,(ROUNDUP((ROW()-10)/29,0)-1),0),0)*C129</f>
        <v>0</v>
      </c>
      <c r="D141" s="2932">
        <f>D140+D140*$AG$7</f>
        <v>2971.6710764999998</v>
      </c>
      <c r="E141" s="1594"/>
      <c r="F141" s="511">
        <f ca="1">IF(($AC$19&lt;$F$2)*AND(D129&gt;=3)*AND(F140=0),OFFSET($U$6,(ROUNDUP((ROW()-10)/29,0)-1),0),0)*C129</f>
        <v>0</v>
      </c>
      <c r="G141" s="511">
        <f ca="1">IF(($AC$20&lt;$F$2)*AND(D129&gt;=3)*AND(G140=0),OFFSET($U$6,(ROUNDUP((ROW()-10)/29,0)-1),0),0)*C129</f>
        <v>0</v>
      </c>
      <c r="H141" s="511">
        <f ca="1">IF(($AC$21&lt;$F$2)*AND(D129&gt;=3)*AND(H140=0),OFFSET($U$6,(ROUNDUP((ROW()-10)/29,0)-1),0),0)*C129</f>
        <v>0</v>
      </c>
      <c r="I141" s="2930">
        <f>I140+I140*$AG$7</f>
        <v>5349.0079377000011</v>
      </c>
      <c r="J141" s="612"/>
      <c r="K141" s="2553">
        <f t="shared" ca="1" si="50"/>
        <v>0</v>
      </c>
      <c r="L141" s="2927">
        <f t="shared" ca="1" si="51"/>
        <v>0</v>
      </c>
      <c r="M141" s="2928"/>
    </row>
    <row r="142" spans="1:15" hidden="1" x14ac:dyDescent="0.25">
      <c r="A142" s="3613">
        <v>4</v>
      </c>
      <c r="B142" s="2008">
        <f>B141</f>
        <v>2030</v>
      </c>
      <c r="C142" s="2000">
        <f ca="1">IF(($AC$11&lt;$F$2)*AND(D130=12)*AND(C141=0),OFFSET($U$6,(ROUNDUP((ROW()-10)/29,0)-1),0),0)*C130</f>
        <v>0</v>
      </c>
      <c r="D142" s="2921">
        <f>D141</f>
        <v>2971.6710764999998</v>
      </c>
      <c r="E142" s="1595">
        <f ca="1">(C142*D142)+(C143*D143)</f>
        <v>0</v>
      </c>
      <c r="F142" s="510">
        <f ca="1">IF(($AC$19&lt;$F$2)*AND(D130&gt;=3)*AND(F141=0),OFFSET($U$6,(ROUNDUP((ROW()-10)/29,0)-1),0),0)*C130</f>
        <v>0</v>
      </c>
      <c r="G142" s="510">
        <f ca="1">IF(($AC$20&lt;$F$2)*AND(D130&gt;=3)*AND(G141=0),OFFSET($U$6,(ROUNDUP((ROW()-10)/29,0)-1),0),0)*C130</f>
        <v>0</v>
      </c>
      <c r="H142" s="510">
        <f ca="1">IF(($AC$21&lt;$F$2)*AND(D130&gt;=3)*AND(H141=0),OFFSET($U$6,(ROUNDUP((ROW()-10)/29,0)-1),0),0)*C130</f>
        <v>0</v>
      </c>
      <c r="I142" s="2929">
        <f>I141</f>
        <v>5349.0079377000011</v>
      </c>
      <c r="J142" s="611">
        <f ca="1">((SUM(F142:H142)*I142)+(SUM(F143:H143)*I143))</f>
        <v>0</v>
      </c>
      <c r="K142" s="2552">
        <f t="shared" ca="1" si="50"/>
        <v>0</v>
      </c>
      <c r="L142" s="2925">
        <f t="shared" ca="1" si="51"/>
        <v>0</v>
      </c>
      <c r="M142" s="2926">
        <f ca="1">SUM(K142:L143)</f>
        <v>0</v>
      </c>
    </row>
    <row r="143" spans="1:15" ht="15.75" hidden="1" thickBot="1" x14ac:dyDescent="0.3">
      <c r="A143" s="3609"/>
      <c r="B143" s="2006">
        <f>B142+1</f>
        <v>2031</v>
      </c>
      <c r="C143" s="2001">
        <f ca="1">IF(($AD$18&lt;$F$2)*AND(D130=12)*AND(C142=0),OFFSET($U$6,(ROUNDUP((ROW()-10)/29,0)-1),0),0)*C130</f>
        <v>0</v>
      </c>
      <c r="D143" s="2923">
        <f>D142+D142*$AG$7</f>
        <v>3060.8212087949996</v>
      </c>
      <c r="E143" s="1594"/>
      <c r="F143" s="511">
        <f ca="1">IF(($AD$19&lt;$F$2)*AND(D130&gt;=3)*AND(F142=0),OFFSET($U$6,(ROUNDUP((ROW()-10)/29,0)-1),0),0)*C130</f>
        <v>0</v>
      </c>
      <c r="G143" s="511">
        <f ca="1">IF(($AD$20&lt;$F$2)*AND(D130&gt;=3)*AND(G142=0),OFFSET($U$6,(ROUNDUP((ROW()-10)/29,0)-1),0),0)*C130</f>
        <v>0</v>
      </c>
      <c r="H143" s="511">
        <f ca="1">IF(($AD$21&lt;$F$2)*AND(D130&gt;=3)*AND(H142=0),OFFSET($U$6,(ROUNDUP((ROW()-10)/29,0)-1),0),0)*C130</f>
        <v>0</v>
      </c>
      <c r="I143" s="2930">
        <f>I142+I142*$AG$7</f>
        <v>5509.478175831001</v>
      </c>
      <c r="J143" s="612"/>
      <c r="K143" s="2553">
        <f t="shared" ca="1" si="50"/>
        <v>0</v>
      </c>
      <c r="L143" s="2927">
        <f t="shared" ca="1" si="51"/>
        <v>0</v>
      </c>
      <c r="M143" s="2928"/>
    </row>
    <row r="144" spans="1:15" hidden="1" x14ac:dyDescent="0.25">
      <c r="A144" s="3608">
        <v>5</v>
      </c>
      <c r="B144" s="2005">
        <f>B143</f>
        <v>2031</v>
      </c>
      <c r="C144" s="2002">
        <f ca="1">IF(($AD$18&lt;$F$2)*AND(D131=12)*AND(C143=0),OFFSET($U$6,(ROUNDUP((ROW()-10)/29,0)-1),0),0)*C131</f>
        <v>0</v>
      </c>
      <c r="D144" s="2922">
        <f>D143</f>
        <v>3060.8212087949996</v>
      </c>
      <c r="E144" s="1595">
        <f ca="1">(C144*D144)+(C145*D145)</f>
        <v>0</v>
      </c>
      <c r="F144" s="510">
        <f ca="1">IF(($AD$19&lt;$F$2)*AND(D131&gt;=3)*AND(F143=0),OFFSET($U$6,(ROUNDUP((ROW()-10)/29,0)-1),0),0)*C131</f>
        <v>0</v>
      </c>
      <c r="G144" s="510">
        <f ca="1">IF(($AD$20&lt;$F$2)*AND(D131&gt;=3)*AND(G143=0),OFFSET($U$6,(ROUNDUP((ROW()-10)/29,0)-1),0),0)*C131</f>
        <v>0</v>
      </c>
      <c r="H144" s="510">
        <f ca="1">IF(($AD$21&lt;$F$2)*AND(D131&gt;=3)*AND(H143=0),OFFSET($U$6,(ROUNDUP((ROW()-10)/29,0)-1),0),0)*C131</f>
        <v>0</v>
      </c>
      <c r="I144" s="2929">
        <f>I143</f>
        <v>5509.478175831001</v>
      </c>
      <c r="J144" s="611">
        <f ca="1">((SUM(F144:H144)*I144)+(SUM(F145:H145)*I145))</f>
        <v>0</v>
      </c>
      <c r="K144" s="2552">
        <f t="shared" ca="1" si="50"/>
        <v>0</v>
      </c>
      <c r="L144" s="2925">
        <f t="shared" ca="1" si="51"/>
        <v>0</v>
      </c>
      <c r="M144" s="2926">
        <f ca="1">SUM(K144:L145)</f>
        <v>0</v>
      </c>
    </row>
    <row r="145" spans="1:15" ht="15.75" hidden="1" thickBot="1" x14ac:dyDescent="0.3">
      <c r="A145" s="3609"/>
      <c r="B145" s="2006">
        <f>B144+1</f>
        <v>2032</v>
      </c>
      <c r="C145" s="2001">
        <f ca="1">IF(($AE$18&lt;$F$2)*AND(D131=12)*AND(C144=0),OFFSET($U$6,(ROUNDUP((ROW()-10)/29,0)-1),0),0)*C131</f>
        <v>0</v>
      </c>
      <c r="D145" s="2923">
        <f>D144+D144*$AG$7</f>
        <v>3152.6458450588498</v>
      </c>
      <c r="E145" s="1594"/>
      <c r="F145" s="511">
        <f ca="1">IF(($AE$19&lt;$F$2)*AND(D131&gt;=3)*AND(F144=0),OFFSET($U$6,(ROUNDUP((ROW()-10)/29,0)-1),0),0)*C131</f>
        <v>0</v>
      </c>
      <c r="G145" s="511">
        <f ca="1">IF(($AE$20&lt;$F$2)*AND(D131&gt;=3)*AND(G144=0),OFFSET($U$6,(ROUNDUP((ROW()-10)/29,0)-1),0),0)*C131</f>
        <v>0</v>
      </c>
      <c r="H145" s="511">
        <f ca="1">IF(($AE$21&lt;$F$2)*AND(D131&gt;=3)*AND(H144=0),OFFSET($U$6,(ROUNDUP((ROW()-10)/29,0)-1),0),0)*C131</f>
        <v>0</v>
      </c>
      <c r="I145" s="2930">
        <f>I144+I144*$AG$7</f>
        <v>5674.7625211059312</v>
      </c>
      <c r="J145" s="612"/>
      <c r="K145" s="2553">
        <f t="shared" ca="1" si="50"/>
        <v>0</v>
      </c>
      <c r="L145" s="2927">
        <f t="shared" ca="1" si="51"/>
        <v>0</v>
      </c>
      <c r="M145" s="2928"/>
    </row>
    <row r="146" spans="1:15" hidden="1" x14ac:dyDescent="0.25">
      <c r="A146" s="3608">
        <v>6</v>
      </c>
      <c r="B146" s="2005">
        <f>B145</f>
        <v>2032</v>
      </c>
      <c r="C146" s="2002">
        <f ca="1">IF(($AE$18&lt;$F$2)*AND(D132=12)*AND(C145=0),OFFSET($U$6,(ROUNDUP((ROW()-10)/29,0)-1),0),0)*C132</f>
        <v>0</v>
      </c>
      <c r="D146" s="2922">
        <f>D145</f>
        <v>3152.6458450588498</v>
      </c>
      <c r="E146" s="1595">
        <f ca="1">(C146*D146)+(C147*D147)</f>
        <v>0</v>
      </c>
      <c r="F146" s="510">
        <f ca="1">IF(($AE$19&lt;$F$2)*AND(D132&gt;=3)*AND(F145=0),OFFSET($U$6,(ROUNDUP((ROW()-10)/29,0)-1),0),0)*C132</f>
        <v>0</v>
      </c>
      <c r="G146" s="510">
        <f ca="1">IF(($AE$20&lt;$F$2)*AND(D132&gt;=3)*AND(G145=0),OFFSET($U$6,(ROUNDUP((ROW()-10)/29,0)-1),0),0)*C132</f>
        <v>0</v>
      </c>
      <c r="H146" s="510">
        <f ca="1">IF(($AE$21&lt;$F$2)*AND(D132&gt;=3)*AND(H145=0),OFFSET($U$6,(ROUNDUP((ROW()-10)/29,0)-1),0),0)*C132</f>
        <v>0</v>
      </c>
      <c r="I146" s="2929">
        <f>I145</f>
        <v>5674.7625211059312</v>
      </c>
      <c r="J146" s="611">
        <f ca="1">((SUM(F146:H146)*I146)+(SUM(F147:H147)*I147))</f>
        <v>0</v>
      </c>
      <c r="K146" s="2552">
        <f t="shared" ca="1" si="50"/>
        <v>0</v>
      </c>
      <c r="L146" s="2925">
        <f t="shared" ca="1" si="51"/>
        <v>0</v>
      </c>
      <c r="M146" s="2926">
        <f ca="1">SUM(K146:L147)</f>
        <v>0</v>
      </c>
    </row>
    <row r="147" spans="1:15" ht="15.75" hidden="1" thickBot="1" x14ac:dyDescent="0.3">
      <c r="A147" s="3609"/>
      <c r="B147" s="2006">
        <f>B146+1</f>
        <v>2033</v>
      </c>
      <c r="C147" s="2004">
        <f ca="1">IF(($AF$18&lt;$F$2)*AND(D132=12)*AND(C146=0),OFFSET($U$6,(ROUNDUP((ROW()-10)/29,0)-1),0),0)*C132</f>
        <v>0</v>
      </c>
      <c r="D147" s="2923">
        <f>D146+D146*$AG$7</f>
        <v>3247.2252204106153</v>
      </c>
      <c r="E147" s="1594"/>
      <c r="F147" s="511">
        <f ca="1">IF(($AF$19&lt;$F$2)*AND(D132&gt;=3)*AND(F146=0),OFFSET($U$6,(ROUNDUP((ROW()-10)/29,0)-1),0),0)*C132</f>
        <v>0</v>
      </c>
      <c r="G147" s="511">
        <f ca="1">IF(($AF$20&lt;$F$2)*AND(D132&gt;=3)*AND(G146=0),OFFSET($U$6,(ROUNDUP((ROW()-10)/29,0)-1),0),0)*C132</f>
        <v>0</v>
      </c>
      <c r="H147" s="511">
        <f ca="1">IF(($AF$21&lt;$F$2)*AND(D132&gt;=3)*AND(H146=0),OFFSET($U$6,(ROUNDUP((ROW()-10)/29,0)-1),0),0)*C132</f>
        <v>0</v>
      </c>
      <c r="I147" s="2930">
        <f>I146+I146*$AG$7</f>
        <v>5845.0053967391095</v>
      </c>
      <c r="J147" s="612"/>
      <c r="K147" s="2553">
        <f t="shared" ca="1" si="50"/>
        <v>0</v>
      </c>
      <c r="L147" s="2927">
        <f t="shared" ca="1" si="51"/>
        <v>0</v>
      </c>
      <c r="M147" s="2928"/>
    </row>
    <row r="148" spans="1:15" ht="15.75" hidden="1" thickBot="1" x14ac:dyDescent="0.3">
      <c r="C148" s="3616" t="s">
        <v>96</v>
      </c>
      <c r="D148" s="3617"/>
      <c r="E148" s="2933">
        <f ca="1">SUM(E136:E146)</f>
        <v>0</v>
      </c>
      <c r="F148" s="60"/>
      <c r="G148" s="2936" t="s">
        <v>102</v>
      </c>
      <c r="H148" s="3618" t="s">
        <v>57</v>
      </c>
      <c r="I148" s="3619"/>
      <c r="J148" s="2934">
        <f ca="1">SUM(J136:J146)</f>
        <v>0</v>
      </c>
      <c r="K148" s="3610" t="s">
        <v>103</v>
      </c>
      <c r="L148" s="3611"/>
      <c r="M148" s="2935">
        <f ca="1">SUM(M136:M147)</f>
        <v>0</v>
      </c>
      <c r="O148" s="1138"/>
    </row>
    <row r="149" spans="1:15" ht="15.75" hidden="1" thickBot="1" x14ac:dyDescent="0.3">
      <c r="A149" s="71"/>
      <c r="B149" s="71"/>
      <c r="C149" s="71"/>
      <c r="D149" s="71"/>
      <c r="E149" s="71"/>
      <c r="F149" s="71"/>
      <c r="G149" s="71"/>
      <c r="H149" s="71"/>
      <c r="I149" s="71"/>
      <c r="J149" s="71"/>
      <c r="K149" s="71"/>
      <c r="L149" s="71"/>
      <c r="M149" s="615"/>
      <c r="O149" s="1138"/>
    </row>
    <row r="150" spans="1:15" ht="16.5" hidden="1" thickTop="1" thickBot="1" x14ac:dyDescent="0.3"/>
    <row r="151" spans="1:15" ht="15.75" hidden="1" thickBot="1" x14ac:dyDescent="0.3">
      <c r="A151" s="64" t="str">
        <f>'DATA INPUT'!B34</f>
        <v>GA #06 / Sponsor Funds</v>
      </c>
      <c r="B151" s="65"/>
      <c r="C151" s="65"/>
      <c r="D151" s="65"/>
      <c r="E151" s="65"/>
      <c r="F151" s="65"/>
      <c r="G151" s="65"/>
      <c r="H151" s="65"/>
      <c r="I151" s="65"/>
      <c r="J151" s="65"/>
      <c r="K151" s="65"/>
      <c r="L151" s="65"/>
      <c r="M151" s="1598"/>
      <c r="N151" s="1598"/>
    </row>
    <row r="152" spans="1:15" ht="15" hidden="1" customHeight="1" thickBot="1" x14ac:dyDescent="0.3">
      <c r="A152" s="3620" t="s">
        <v>80</v>
      </c>
      <c r="B152" s="3621"/>
      <c r="C152" s="1712">
        <f>'DATA INPUT'!C34</f>
        <v>0</v>
      </c>
      <c r="E152" s="1760" t="s">
        <v>135</v>
      </c>
      <c r="F152" s="1761">
        <f>'DATA INPUT'!E34</f>
        <v>0</v>
      </c>
      <c r="G152" s="1760" t="s">
        <v>82</v>
      </c>
      <c r="H152" s="1734">
        <f>'DATA INPUT'!F34</f>
        <v>0.49</v>
      </c>
      <c r="I152" s="1737" t="s">
        <v>88</v>
      </c>
      <c r="J152" s="1746">
        <f>IFERROR(VLOOKUP(C152,Table_Units[],IF(F152='Reference Sheet'!$H$37,3,2),FALSE)*1,0)</f>
        <v>0</v>
      </c>
      <c r="K152" s="1746"/>
      <c r="L152" s="66"/>
      <c r="M152" s="1712"/>
      <c r="N152" s="1762"/>
    </row>
    <row r="153" spans="1:15" ht="15" hidden="1" customHeight="1" thickBot="1" x14ac:dyDescent="0.3">
      <c r="A153" s="1716"/>
      <c r="B153" s="3445" t="s">
        <v>254</v>
      </c>
      <c r="C153" s="3560" t="s">
        <v>517</v>
      </c>
      <c r="D153" s="3444" t="s">
        <v>518</v>
      </c>
      <c r="E153" s="3445" t="s">
        <v>519</v>
      </c>
      <c r="F153" s="3445" t="s">
        <v>521</v>
      </c>
      <c r="G153" s="3614" t="s">
        <v>65</v>
      </c>
      <c r="H153" s="3614"/>
      <c r="I153" s="3614"/>
      <c r="J153" s="3614"/>
      <c r="K153" s="3445" t="s">
        <v>84</v>
      </c>
      <c r="L153" s="1996" t="s">
        <v>78</v>
      </c>
      <c r="M153" s="1997"/>
      <c r="N153" s="3558" t="s">
        <v>87</v>
      </c>
    </row>
    <row r="154" spans="1:15" ht="15" hidden="1" customHeight="1" thickBot="1" x14ac:dyDescent="0.3">
      <c r="A154" s="3445" t="s">
        <v>253</v>
      </c>
      <c r="B154" s="3445"/>
      <c r="C154" s="3561"/>
      <c r="D154" s="3445"/>
      <c r="E154" s="3445"/>
      <c r="F154" s="3445"/>
      <c r="G154" s="3444" t="s">
        <v>86</v>
      </c>
      <c r="H154" s="3444" t="s">
        <v>59</v>
      </c>
      <c r="I154" s="3444" t="s">
        <v>60</v>
      </c>
      <c r="J154" s="3444" t="s">
        <v>66</v>
      </c>
      <c r="K154" s="3445"/>
      <c r="L154" s="1998" t="s">
        <v>616</v>
      </c>
      <c r="M154" s="1999">
        <f>'Reference Sheet'!$E$14</f>
        <v>0.28499999999999998</v>
      </c>
      <c r="N154" s="3566"/>
    </row>
    <row r="155" spans="1:15" ht="15.75" hidden="1" thickBot="1" x14ac:dyDescent="0.3">
      <c r="A155" s="3446"/>
      <c r="B155" s="3446"/>
      <c r="C155" s="3615"/>
      <c r="D155" s="3446"/>
      <c r="E155" s="3446"/>
      <c r="F155" s="3446"/>
      <c r="G155" s="3446"/>
      <c r="H155" s="3446"/>
      <c r="I155" s="3446"/>
      <c r="J155" s="3446"/>
      <c r="K155" s="3446"/>
      <c r="L155" s="1769" t="s">
        <v>67</v>
      </c>
      <c r="M155" s="1683" t="s">
        <v>68</v>
      </c>
      <c r="N155" s="3612"/>
    </row>
    <row r="156" spans="1:15" hidden="1" x14ac:dyDescent="0.25">
      <c r="A156" s="1685">
        <v>1</v>
      </c>
      <c r="B156" s="1770">
        <f>$K$3</f>
        <v>12</v>
      </c>
      <c r="C156" s="1685">
        <f>'DATA INPUT'!I34</f>
        <v>0</v>
      </c>
      <c r="D156" s="1693">
        <f>IF(C156&lt;1,0,IF((B156&gt;0),'DATA INPUT'!$G$34,0))</f>
        <v>0</v>
      </c>
      <c r="E156" s="1773">
        <f t="shared" ref="E156:E161" ca="1" si="52">(D156*(2080/12))*OFFSET($H$7,29*(ROUNDUP(ROW()/29,0)-1),0)</f>
        <v>0</v>
      </c>
      <c r="F156" s="1684">
        <f t="shared" ref="F156:F161" ca="1" si="53">((D156*(2080/12))*OFFSET($H$7,29*(ROUNDUP(ROW()/29,0)-1),0))*C156</f>
        <v>0</v>
      </c>
      <c r="G156" s="1149">
        <v>0.03</v>
      </c>
      <c r="H156" s="460">
        <f>(J152*G156)+J152</f>
        <v>0</v>
      </c>
      <c r="I156" s="492">
        <f t="shared" ref="I156:I161" ca="1" si="54">H156/12*OFFSET($H$7,29*(ROUNDUP(ROW(H156)/29,0)-1),0)</f>
        <v>0</v>
      </c>
      <c r="J156" s="2400">
        <f t="shared" ref="J156:J161" si="55">(H156/12)/(2080/12)</f>
        <v>0</v>
      </c>
      <c r="K156" s="1766">
        <f t="shared" ref="K156:K161" ca="1" si="56">I156*D156*C156</f>
        <v>0</v>
      </c>
      <c r="L156" s="626">
        <f>IF($U$3&lt;$T$3, M154, IF($U$3&gt;$W$3, M154+2*$Q$6, M154+$Q$6))</f>
        <v>0.28499999999999998</v>
      </c>
      <c r="M156" s="1500">
        <f t="shared" ref="M156:M161" ca="1" si="57">L156*K156</f>
        <v>0</v>
      </c>
      <c r="N156" s="2400">
        <f t="shared" ref="N156:N161" si="58">((H156/12)/(2080/12))+(((H156/12)*L156)/(2080/12))</f>
        <v>0</v>
      </c>
      <c r="O156" s="58" t="str">
        <f ca="1">IF(ABS(C156*D156*OFFSET($U$6,(ROUNDUP((ROW()-10)/29,0)-1),0)-3*SUM(C165:C166,F165:H166))&gt; 0.01,"Mismatch: Tuition vs Months","")</f>
        <v/>
      </c>
    </row>
    <row r="157" spans="1:15" hidden="1" x14ac:dyDescent="0.25">
      <c r="A157" s="1687">
        <v>2</v>
      </c>
      <c r="B157" s="1771">
        <f>$L$3</f>
        <v>0</v>
      </c>
      <c r="C157" s="1687">
        <f>'DATA INPUT'!J34</f>
        <v>0</v>
      </c>
      <c r="D157" s="1693">
        <f>IF(C157&lt;1,0,IF((B157&gt;0),'DATA INPUT'!$G$34,0))</f>
        <v>0</v>
      </c>
      <c r="E157" s="1774">
        <f t="shared" ca="1" si="52"/>
        <v>0</v>
      </c>
      <c r="F157" s="1686">
        <f t="shared" ca="1" si="53"/>
        <v>0</v>
      </c>
      <c r="G157" s="461">
        <v>0.03</v>
      </c>
      <c r="H157" s="462">
        <f>(H156*G157)+H156</f>
        <v>0</v>
      </c>
      <c r="I157" s="501">
        <f t="shared" ca="1" si="54"/>
        <v>0</v>
      </c>
      <c r="J157" s="2397">
        <f t="shared" si="55"/>
        <v>0</v>
      </c>
      <c r="K157" s="1767">
        <f t="shared" ca="1" si="56"/>
        <v>0</v>
      </c>
      <c r="L157" s="625">
        <f>L156+$Q$6</f>
        <v>0.30499999999999999</v>
      </c>
      <c r="M157" s="1541">
        <f t="shared" ca="1" si="57"/>
        <v>0</v>
      </c>
      <c r="N157" s="2398">
        <f t="shared" si="58"/>
        <v>0</v>
      </c>
      <c r="O157" s="58" t="str">
        <f ca="1">IF(ABS(C157*D157*OFFSET($U$6,(ROUNDUP((ROW()-10)/29,0)-1),0)-3*SUM(C167:C168,F167:H168))&gt;0.01,"Mismatch: Tuition vs Months","")</f>
        <v/>
      </c>
    </row>
    <row r="158" spans="1:15" hidden="1" x14ac:dyDescent="0.25">
      <c r="A158" s="1687">
        <v>3</v>
      </c>
      <c r="B158" s="1771">
        <f>$M$3</f>
        <v>0</v>
      </c>
      <c r="C158" s="1687">
        <f>'DATA INPUT'!K34</f>
        <v>0</v>
      </c>
      <c r="D158" s="1693">
        <f>IF(C158&lt;1,0,IF((B158&gt;0),'DATA INPUT'!$G$34,0))</f>
        <v>0</v>
      </c>
      <c r="E158" s="1774">
        <f t="shared" ca="1" si="52"/>
        <v>0</v>
      </c>
      <c r="F158" s="1686">
        <f t="shared" ca="1" si="53"/>
        <v>0</v>
      </c>
      <c r="G158" s="461">
        <v>0.03</v>
      </c>
      <c r="H158" s="462">
        <f>(H157*G158)+H157</f>
        <v>0</v>
      </c>
      <c r="I158" s="501">
        <f t="shared" ca="1" si="54"/>
        <v>0</v>
      </c>
      <c r="J158" s="2397">
        <f t="shared" si="55"/>
        <v>0</v>
      </c>
      <c r="K158" s="1767">
        <f t="shared" ca="1" si="56"/>
        <v>0</v>
      </c>
      <c r="L158" s="625">
        <f>L157+$Q$6</f>
        <v>0.32500000000000001</v>
      </c>
      <c r="M158" s="1541">
        <f t="shared" ca="1" si="57"/>
        <v>0</v>
      </c>
      <c r="N158" s="2398">
        <f t="shared" si="58"/>
        <v>0</v>
      </c>
      <c r="O158" s="58" t="str">
        <f ca="1">IF(ABS(C158*D158*OFFSET($U$6,(ROUNDUP((ROW()-10)/29,0)-1),0)-3*SUM(C169:C170,F169:H170))&gt;0.01,"Mismatch: Tuition vs Months","")</f>
        <v/>
      </c>
    </row>
    <row r="159" spans="1:15" hidden="1" x14ac:dyDescent="0.25">
      <c r="A159" s="1687">
        <v>4</v>
      </c>
      <c r="B159" s="1771">
        <f>$N$3</f>
        <v>0</v>
      </c>
      <c r="C159" s="1687">
        <f>'DATA INPUT'!L34</f>
        <v>0</v>
      </c>
      <c r="D159" s="1693">
        <f>IF(C159&lt;1,0,IF((B159&gt;0),'DATA INPUT'!$G$34,0))</f>
        <v>0</v>
      </c>
      <c r="E159" s="1774">
        <f t="shared" ca="1" si="52"/>
        <v>0</v>
      </c>
      <c r="F159" s="1686">
        <f t="shared" ca="1" si="53"/>
        <v>0</v>
      </c>
      <c r="G159" s="461">
        <v>0.03</v>
      </c>
      <c r="H159" s="462">
        <f>(H158*G159)+H158</f>
        <v>0</v>
      </c>
      <c r="I159" s="501">
        <f t="shared" ca="1" si="54"/>
        <v>0</v>
      </c>
      <c r="J159" s="2397">
        <f t="shared" si="55"/>
        <v>0</v>
      </c>
      <c r="K159" s="1767">
        <f t="shared" ca="1" si="56"/>
        <v>0</v>
      </c>
      <c r="L159" s="625">
        <f>L158+$Q$6</f>
        <v>0.34500000000000003</v>
      </c>
      <c r="M159" s="1541">
        <f t="shared" ca="1" si="57"/>
        <v>0</v>
      </c>
      <c r="N159" s="2398">
        <f t="shared" si="58"/>
        <v>0</v>
      </c>
      <c r="O159" s="58" t="str">
        <f ca="1">IF(ABS(C159*D159*OFFSET($U$6,(ROUNDUP((ROW()-10)/29,0)-1),0)-3*SUM(C171:C172,F171:H172))&gt;0.01,"Mismatch: Tuition vs Months","")</f>
        <v/>
      </c>
    </row>
    <row r="160" spans="1:15" hidden="1" x14ac:dyDescent="0.25">
      <c r="A160" s="1687">
        <v>5</v>
      </c>
      <c r="B160" s="1771">
        <f>$O$3</f>
        <v>0</v>
      </c>
      <c r="C160" s="1687">
        <f>'DATA INPUT'!M34</f>
        <v>0</v>
      </c>
      <c r="D160" s="1693">
        <f>IF(C160&lt;1,0,IF((B160&gt;0),'DATA INPUT'!$G$34,0))</f>
        <v>0</v>
      </c>
      <c r="E160" s="1774">
        <f t="shared" ca="1" si="52"/>
        <v>0</v>
      </c>
      <c r="F160" s="1686">
        <f t="shared" ca="1" si="53"/>
        <v>0</v>
      </c>
      <c r="G160" s="461">
        <v>0.03</v>
      </c>
      <c r="H160" s="462">
        <f>(H159*G160)+H159</f>
        <v>0</v>
      </c>
      <c r="I160" s="501">
        <f t="shared" ca="1" si="54"/>
        <v>0</v>
      </c>
      <c r="J160" s="2397">
        <f t="shared" si="55"/>
        <v>0</v>
      </c>
      <c r="K160" s="1767">
        <f t="shared" ca="1" si="56"/>
        <v>0</v>
      </c>
      <c r="L160" s="625">
        <f>L159+$Q$6</f>
        <v>0.36500000000000005</v>
      </c>
      <c r="M160" s="1541">
        <f t="shared" ca="1" si="57"/>
        <v>0</v>
      </c>
      <c r="N160" s="2398">
        <f t="shared" si="58"/>
        <v>0</v>
      </c>
      <c r="O160" s="58" t="str">
        <f ca="1">IF(ABS(C160*D160*OFFSET($U$6,(ROUNDUP((ROW()-10)/29,0)-1),0)-3*SUM(C173:C174,F173:H174))&gt;0.01,"Mismatch: Tuition vs Months","")</f>
        <v/>
      </c>
    </row>
    <row r="161" spans="1:15" ht="15.75" hidden="1" thickBot="1" x14ac:dyDescent="0.3">
      <c r="A161" s="1691">
        <v>6</v>
      </c>
      <c r="B161" s="1772">
        <f>$P$3</f>
        <v>0</v>
      </c>
      <c r="C161" s="1689">
        <f>'DATA INPUT'!N34</f>
        <v>0</v>
      </c>
      <c r="D161" s="1694">
        <f>IF(C161&lt;1,0,IF((B161&gt;0),'DATA INPUT'!$G$34,0))</f>
        <v>0</v>
      </c>
      <c r="E161" s="1733">
        <f t="shared" ca="1" si="52"/>
        <v>0</v>
      </c>
      <c r="F161" s="1688">
        <f t="shared" ca="1" si="53"/>
        <v>0</v>
      </c>
      <c r="G161" s="463">
        <v>0.03</v>
      </c>
      <c r="H161" s="464">
        <f>(H160*G161)+H160</f>
        <v>0</v>
      </c>
      <c r="I161" s="502">
        <f t="shared" ca="1" si="54"/>
        <v>0</v>
      </c>
      <c r="J161" s="2413">
        <f t="shared" si="55"/>
        <v>0</v>
      </c>
      <c r="K161" s="1768">
        <f t="shared" ca="1" si="56"/>
        <v>0</v>
      </c>
      <c r="L161" s="627">
        <f>L160+$Q$6</f>
        <v>0.38500000000000006</v>
      </c>
      <c r="M161" s="1690">
        <f t="shared" ca="1" si="57"/>
        <v>0</v>
      </c>
      <c r="N161" s="2399">
        <f t="shared" si="58"/>
        <v>0</v>
      </c>
      <c r="O161" s="58" t="str">
        <f ca="1">IF(ABS(C161*D161*OFFSET($U$6,(ROUNDUP((ROW()-10)/29,0)-1),0)-3*SUM(C175:C176,F175:H176))&gt;0.01,"Mismatch: Tuition vs Months","")</f>
        <v/>
      </c>
    </row>
    <row r="162" spans="1:15" ht="15.75" hidden="1" thickBot="1" x14ac:dyDescent="0.3">
      <c r="A162" s="624" t="s">
        <v>85</v>
      </c>
      <c r="B162" s="519">
        <f>SUM(B156:B161)</f>
        <v>12</v>
      </c>
      <c r="C162" s="519">
        <f>SUM(C156:C161)</f>
        <v>0</v>
      </c>
      <c r="D162" s="1692">
        <f>SUM(D156:D161)</f>
        <v>0</v>
      </c>
      <c r="E162" s="1695">
        <f ca="1">SUM(E156:E161)</f>
        <v>0</v>
      </c>
      <c r="F162" s="1695">
        <f ca="1">SUM(F156:F161)</f>
        <v>0</v>
      </c>
      <c r="K162" s="1508">
        <f ca="1">SUM(K156:K161)</f>
        <v>0</v>
      </c>
      <c r="M162" s="1508">
        <f ca="1">SUM(M156:M161)</f>
        <v>0</v>
      </c>
      <c r="N162" s="60"/>
    </row>
    <row r="163" spans="1:15" ht="15.75" hidden="1" thickBot="1" x14ac:dyDescent="0.3"/>
    <row r="164" spans="1:15" ht="30.75" hidden="1" thickBot="1" x14ac:dyDescent="0.3">
      <c r="A164" s="1990" t="s">
        <v>253</v>
      </c>
      <c r="B164" s="1990" t="s">
        <v>299</v>
      </c>
      <c r="C164" s="1979" t="s">
        <v>17</v>
      </c>
      <c r="D164" s="1980" t="s">
        <v>96</v>
      </c>
      <c r="E164" s="1981" t="s">
        <v>474</v>
      </c>
      <c r="F164" s="1991" t="s">
        <v>41</v>
      </c>
      <c r="G164" s="1992" t="s">
        <v>42</v>
      </c>
      <c r="H164" s="1992" t="s">
        <v>43</v>
      </c>
      <c r="I164" s="1992" t="s">
        <v>57</v>
      </c>
      <c r="J164" s="1993" t="s">
        <v>472</v>
      </c>
      <c r="K164" s="1980" t="s">
        <v>100</v>
      </c>
      <c r="L164" s="1991" t="s">
        <v>99</v>
      </c>
      <c r="M164" s="1994" t="s">
        <v>101</v>
      </c>
    </row>
    <row r="165" spans="1:15" hidden="1" x14ac:dyDescent="0.25">
      <c r="A165" s="3613">
        <v>1</v>
      </c>
      <c r="B165" s="2005">
        <f>IF($C$2&lt;DATE($Z$6,4,15),$Z$6,IF($C$2&lt;DATE($AA$6,4,15),$AA$6,IF($C$2&lt;DATE($AB$6,4,15),$AB$6,IF($C$2&lt;DATE($AC$6,4,15),$AC$6,$AD$6))))</f>
        <v>2027</v>
      </c>
      <c r="C165" s="2000">
        <f ca="1">(IF($C$2&lt;=$Z$14*AND(D156&gt;=3)*AND($F$2&gt;=$Z$18),OFFSET($U$6,(ROUNDUP((ROW()-10)/29,0)-1),0),0)*IF(D156=9,0,1))*C156</f>
        <v>0</v>
      </c>
      <c r="D165" s="2921">
        <f>IF(OR($C152="COE",$C152="CCE",$C152="CBEE",$C152="EECS",$C152="MIME",$C152="NSE",$C152="PMEC"),HLOOKUP($B165,$Z$6:$AF$10,3),
IF(($C152="COB"),HLOOKUP($B165,$Z$25:$AF$27,3),
IF(($C152="CPH"),HLOOKUP($B165,$Z$31:$AF$33,3),
IF(($C152="VetMed"),HLOOKUP($B165,$Z$37:$AF$39,3),
IF(($C152="Pharm"),HLOOKUP($B165,$Z$43:$AF$45,3),
HLOOKUP($B165,$Z$49:$AF$51,3))))))</f>
        <v>2719.5</v>
      </c>
      <c r="E165" s="1987">
        <f ca="1">(C165*D165)+(C166*D166)</f>
        <v>0</v>
      </c>
      <c r="F165" s="1988">
        <f ca="1">IF($C$2&lt;=$Z$15*AND(D156&gt;=3)*AND($F$2&gt;=$Z$19),OFFSET($U$6,(ROUNDUP((ROW()-10)/29,0)-1),0),0)*C156</f>
        <v>0</v>
      </c>
      <c r="G165" s="1988">
        <f ca="1">IF($C$2&lt;=$Z$16*AND(D156&gt;=3)*AND($F$2&gt;=$Z$20),OFFSET($U$6,(ROUNDUP((ROW()-10)/29,0)-1),0),0)*C156</f>
        <v>0</v>
      </c>
      <c r="H165" s="1988">
        <f ca="1">IF($C$2&lt;=$Z$17*AND(D156&gt;=3)*AND($F$2&gt;=$Z$21),OFFSET($U$6,(ROUNDUP((ROW()-10)/29,0)-1),0),0)*C156</f>
        <v>0</v>
      </c>
      <c r="I165" s="2921">
        <f>IF(OR($C152="COE",$C152="CCE",$C152="CBEE",$C152="EECS",$C152="MIME",$C152="NSE",$C152="PMEC"),HLOOKUP($B165,$Z$6:$AF$10,2),
IF(($C152="COB"),HLOOKUP($B165,$Z$25:$AF$27,2),
IF(($C152="CPH"),HLOOKUP($B165,$Z$31:$AF$33,2),
IF(($C152="VetMed"),HLOOKUP($B165,$Z$37:$AF$39,2),
IF(($C152="Pharm"),HLOOKUP($B165,$Z$43:$AF$45,2),
HLOOKUP($B165,$Z$49:$AF$51,2))))))</f>
        <v>4895.1000000000004</v>
      </c>
      <c r="J165" s="1989">
        <f ca="1">((SUM(F165:H165)*I165)+(SUM(F166:H166)*I166))</f>
        <v>0</v>
      </c>
      <c r="K165" s="2552">
        <f t="shared" ref="K165:K176" ca="1" si="59">C165*HLOOKUP($B165,$Z$6:$AF$10,5)</f>
        <v>0</v>
      </c>
      <c r="L165" s="2925">
        <f t="shared" ref="L165:L176" ca="1" si="60">SUM(F165:H165)*HLOOKUP($B165,$Z$6:$AF$10,4)</f>
        <v>0</v>
      </c>
      <c r="M165" s="2926">
        <f ca="1">SUM(K165:L166)</f>
        <v>0</v>
      </c>
    </row>
    <row r="166" spans="1:15" ht="15.75" hidden="1" thickBot="1" x14ac:dyDescent="0.3">
      <c r="A166" s="3609"/>
      <c r="B166" s="2006">
        <f>B165+1</f>
        <v>2028</v>
      </c>
      <c r="C166" s="2001">
        <f ca="1">(IF($C$2&lt;=$AA$14*AND(D156&gt;=3)*AND($F$2&gt;=$AA$18),OFFSET($U$6,(ROUNDUP((ROW()-10)/29,0)-1),0),0)*IF(D156=9,0,1)*IF(C165=0,1,0))*C156</f>
        <v>0</v>
      </c>
      <c r="D166" s="2921">
        <f>IF(OR($C152="COE",$C152="CCE",$C152="CBEE",$C152="EECS",$C152="MIME",$C152="NSE",$C152="PMEC"),HLOOKUP($B166,$Z$6:$AF$10,3),
IF(($C152="COB"),HLOOKUP($B166,$Z$25:$AF$27,3),
IF(($C152="CPH"),HLOOKUP($B166,$Z$31:$AF$33,3),
IF(($C152="VetMed"),HLOOKUP($B166,$Z$37:$AF$39,3),
IF(($C152="Pharm"),HLOOKUP($B166,$Z$43:$AF$45,3),
HLOOKUP($B166,$Z$49:$AF$51,3))))))</f>
        <v>2801.085</v>
      </c>
      <c r="E166" s="1594"/>
      <c r="F166" s="511">
        <f ca="1">IF(($C$2&lt;=$AA$15)*AND(D156&gt;=3)*AND(F165=0)*AND($F$2&gt;=$AA$19),OFFSET($U$6,(ROUNDUP((ROW()-10)/29,0)-1),0),0)*C156</f>
        <v>0</v>
      </c>
      <c r="G166" s="511">
        <f ca="1">IF(($C$2&lt;=$AA$16)*AND(D156&gt;=3)*AND(G165=0)*AND($F$2&gt;=$AA$20),OFFSET($U$6,(ROUNDUP((ROW()-10)/29,0)-1),0),0)*C156</f>
        <v>0</v>
      </c>
      <c r="H166" s="511">
        <f ca="1">IF($C$2&lt;=$AA$17*AND(D156&gt;=3)*AND(H165=0)*AND($F$2&gt;=$AA$21),OFFSET($U$6,(ROUNDUP((ROW()-10)/29,0)-1),0),0)*C156</f>
        <v>0</v>
      </c>
      <c r="I166" s="2921">
        <f>IF(OR($C152="COE",$C152="CCE",$C152="CBEE",$C152="EECS",$C152="MIME",$C152="NSE",$C152="PMEC"),HLOOKUP($B166,$Z$6:$AF$10,2),
IF(($C152="COB"),HLOOKUP($B166,$Z$25:$AF$27,2),
IF(($C152="CPH"),HLOOKUP($B166,$Z$31:$AF$33,2),
IF(($C152="VetMed"),HLOOKUP($B166,$Z$37:$AF$39,2),
IF(($C152="Pharm"),HLOOKUP($B166,$Z$43:$AF$45,2),
HLOOKUP($B166,$Z$49:$AF$51,2))))))</f>
        <v>5041.9530000000004</v>
      </c>
      <c r="J166" s="612"/>
      <c r="K166" s="2553">
        <f t="shared" ca="1" si="59"/>
        <v>0</v>
      </c>
      <c r="L166" s="2927">
        <f t="shared" ca="1" si="60"/>
        <v>0</v>
      </c>
      <c r="M166" s="2928"/>
    </row>
    <row r="167" spans="1:15" hidden="1" x14ac:dyDescent="0.25">
      <c r="A167" s="3608">
        <v>2</v>
      </c>
      <c r="B167" s="2005">
        <f>B166</f>
        <v>2028</v>
      </c>
      <c r="C167" s="2002">
        <f ca="1">(IF(($AA$18&lt;$F$2)*AND(D157=12)*AND(C166=0),OFFSET($U$6,(ROUNDUP((ROW()-10)/29,0)-1),0),0))*C157</f>
        <v>0</v>
      </c>
      <c r="D167" s="2922">
        <f>D166</f>
        <v>2801.085</v>
      </c>
      <c r="E167" s="1595">
        <f ca="1">(C167*D167)+(C168*D168)</f>
        <v>0</v>
      </c>
      <c r="F167" s="510">
        <f ca="1">IF(($AA$19&lt;$F$2)*AND(D157&gt;=3)*AND(F166=0),OFFSET($U$6,(ROUNDUP((ROW()-10)/29,0)-1),0),0)*C157</f>
        <v>0</v>
      </c>
      <c r="G167" s="510">
        <f ca="1">IF(($AA$20&lt;$F$2)*AND(D157&gt;=3)*AND(G166=0),OFFSET($U$6,(ROUNDUP((ROW()-10)/29,0)-1),0),0)*C157</f>
        <v>0</v>
      </c>
      <c r="H167" s="510">
        <f ca="1">IF(($AA$21&lt;$F$2)*AND(D157&gt;=3)*AND(H166=0),OFFSET($U$6,(ROUNDUP((ROW()-10)/29,0)-1),0),0)*C157</f>
        <v>0</v>
      </c>
      <c r="I167" s="2929">
        <f>I166</f>
        <v>5041.9530000000004</v>
      </c>
      <c r="J167" s="611">
        <f ca="1">((SUM(F167:H167)*I167)+(SUM(F168:H168)*I168))</f>
        <v>0</v>
      </c>
      <c r="K167" s="2552">
        <f t="shared" ca="1" si="59"/>
        <v>0</v>
      </c>
      <c r="L167" s="2925">
        <f t="shared" ca="1" si="60"/>
        <v>0</v>
      </c>
      <c r="M167" s="2926">
        <f ca="1">SUM(K167:L168)</f>
        <v>0</v>
      </c>
    </row>
    <row r="168" spans="1:15" ht="15.75" hidden="1" thickBot="1" x14ac:dyDescent="0.3">
      <c r="A168" s="3613"/>
      <c r="B168" s="2007">
        <f>B167+1</f>
        <v>2029</v>
      </c>
      <c r="C168" s="2003">
        <f ca="1">(IF(($AB$18&lt;$F$2)*AND(D157=12)*AND(C167=0),OFFSET($U$6,(ROUNDUP((ROW()-10)/29,0)-1),0),0))*C157</f>
        <v>0</v>
      </c>
      <c r="D168" s="2931">
        <f>D167+D167*$AG$7</f>
        <v>2885.1175499999999</v>
      </c>
      <c r="E168" s="1594"/>
      <c r="F168" s="511">
        <f ca="1">IF(($AB$19&lt;$F$2)*AND(D157&gt;=3)*AND(F167=0),OFFSET($U$6,(ROUNDUP((ROW()-10)/29,0)-1),0),0)*C157</f>
        <v>0</v>
      </c>
      <c r="G168" s="511">
        <f ca="1">IF(($AB$20&lt;$F$2)*AND(D157&gt;=3)*AND(G167=0),OFFSET($U$6,(ROUNDUP((ROW()-10)/29,0)-1),0),0)*C157</f>
        <v>0</v>
      </c>
      <c r="H168" s="511">
        <f ca="1">IF(($AB$21&lt;$F$2)*AND(D157&gt;=3)*AND(H167=0),OFFSET($U$6,(ROUNDUP((ROW()-10)/29,0)-1),0),0)*C157</f>
        <v>0</v>
      </c>
      <c r="I168" s="2930">
        <f>I167+I167*$AG$7</f>
        <v>5193.2115900000008</v>
      </c>
      <c r="J168" s="612"/>
      <c r="K168" s="2553">
        <f t="shared" ca="1" si="59"/>
        <v>0</v>
      </c>
      <c r="L168" s="2927">
        <f t="shared" ca="1" si="60"/>
        <v>0</v>
      </c>
      <c r="M168" s="2928"/>
    </row>
    <row r="169" spans="1:15" hidden="1" x14ac:dyDescent="0.25">
      <c r="A169" s="3608">
        <v>3</v>
      </c>
      <c r="B169" s="2005">
        <f>B168</f>
        <v>2029</v>
      </c>
      <c r="C169" s="2002">
        <f ca="1">IF(($AB$18&lt;$F$2)*AND(D158=12)*AND(C168=0),OFFSET($U$6,(ROUNDUP((ROW()-10)/29,0)-1),0),0)*C158</f>
        <v>0</v>
      </c>
      <c r="D169" s="2924">
        <f>D168</f>
        <v>2885.1175499999999</v>
      </c>
      <c r="E169" s="1595">
        <f ca="1">(C169*D169)+(C170*D170)</f>
        <v>0</v>
      </c>
      <c r="F169" s="510">
        <f ca="1">IF(($AB$19&lt;$F$2)*AND(D158&gt;=3)*AND(F168=0),OFFSET($U$6,(ROUNDUP((ROW()-10)/29,0)-1),0),0)*C158</f>
        <v>0</v>
      </c>
      <c r="G169" s="510">
        <f ca="1">IF(($AB$20&lt;$F$2)*AND(D158&gt;=3)*AND(G168=0),OFFSET($U$6,(ROUNDUP((ROW()-10)/29,0)-1),0),0)*C158</f>
        <v>0</v>
      </c>
      <c r="H169" s="510">
        <f ca="1">IF(($AB$21&lt;$F$2)*AND(D158&gt;=3)*AND(H168=0),OFFSET($U$6,(ROUNDUP((ROW()-10)/29,0)-1),0),0)*C158</f>
        <v>0</v>
      </c>
      <c r="I169" s="2929">
        <f>I168</f>
        <v>5193.2115900000008</v>
      </c>
      <c r="J169" s="611">
        <f ca="1">((SUM(F169:H169)*I169)+(SUM(F170:H170)*I170))</f>
        <v>0</v>
      </c>
      <c r="K169" s="2552">
        <f t="shared" ca="1" si="59"/>
        <v>0</v>
      </c>
      <c r="L169" s="2925">
        <f t="shared" ca="1" si="60"/>
        <v>0</v>
      </c>
      <c r="M169" s="2926">
        <f ca="1">SUM(K169:L170)</f>
        <v>0</v>
      </c>
    </row>
    <row r="170" spans="1:15" ht="15.75" hidden="1" thickBot="1" x14ac:dyDescent="0.3">
      <c r="A170" s="3609"/>
      <c r="B170" s="2006">
        <f>B169+1</f>
        <v>2030</v>
      </c>
      <c r="C170" s="2001">
        <f ca="1">IF(($AC$18&lt;$F$2)*AND(D158=12)*AND(C169=0),OFFSET($U$6,(ROUNDUP((ROW()-10)/29,0)-1),0),0)*C158</f>
        <v>0</v>
      </c>
      <c r="D170" s="2932">
        <f>D169+D169*$AG$7</f>
        <v>2971.6710764999998</v>
      </c>
      <c r="E170" s="1594"/>
      <c r="F170" s="511">
        <f ca="1">IF(($AC$19&lt;$F$2)*AND(D158&gt;=3)*AND(F169=0),OFFSET($U$6,(ROUNDUP((ROW()-10)/29,0)-1),0),0)*C158</f>
        <v>0</v>
      </c>
      <c r="G170" s="511">
        <f ca="1">IF(($AC$20&lt;$F$2)*AND(D158&gt;=3)*AND(G169=0),OFFSET($U$6,(ROUNDUP((ROW()-10)/29,0)-1),0),0)*C158</f>
        <v>0</v>
      </c>
      <c r="H170" s="511">
        <f ca="1">IF(($AC$21&lt;$F$2)*AND(D158&gt;=3)*AND(H169=0),OFFSET($U$6,(ROUNDUP((ROW()-10)/29,0)-1),0),0)*C158</f>
        <v>0</v>
      </c>
      <c r="I170" s="2930">
        <f>I169+I169*$AG$7</f>
        <v>5349.0079377000011</v>
      </c>
      <c r="J170" s="612"/>
      <c r="K170" s="2553">
        <f t="shared" ca="1" si="59"/>
        <v>0</v>
      </c>
      <c r="L170" s="2927">
        <f t="shared" ca="1" si="60"/>
        <v>0</v>
      </c>
      <c r="M170" s="2928"/>
    </row>
    <row r="171" spans="1:15" hidden="1" x14ac:dyDescent="0.25">
      <c r="A171" s="3613">
        <v>4</v>
      </c>
      <c r="B171" s="2008">
        <f>B170</f>
        <v>2030</v>
      </c>
      <c r="C171" s="2000">
        <f ca="1">IF(($AC$11&lt;$F$2)*AND(D159=12)*AND(C170=0),OFFSET($U$6,(ROUNDUP((ROW()-10)/29,0)-1),0),0)*C159</f>
        <v>0</v>
      </c>
      <c r="D171" s="2921">
        <f>D170</f>
        <v>2971.6710764999998</v>
      </c>
      <c r="E171" s="1595">
        <f ca="1">(C171*D171)+(C172*D172)</f>
        <v>0</v>
      </c>
      <c r="F171" s="510">
        <f ca="1">IF(($AC$19&lt;$F$2)*AND(D159&gt;=3)*AND(F170=0),OFFSET($U$6,(ROUNDUP((ROW()-10)/29,0)-1),0),0)*C159</f>
        <v>0</v>
      </c>
      <c r="G171" s="510">
        <f ca="1">IF(($AC$20&lt;$F$2)*AND(D159&gt;=3)*AND(G170=0),OFFSET($U$6,(ROUNDUP((ROW()-10)/29,0)-1),0),0)*C159</f>
        <v>0</v>
      </c>
      <c r="H171" s="510">
        <f ca="1">IF(($AC$21&lt;$F$2)*AND(D159&gt;=3)*AND(H170=0),OFFSET($U$6,(ROUNDUP((ROW()-10)/29,0)-1),0),0)*C159</f>
        <v>0</v>
      </c>
      <c r="I171" s="2929">
        <f>I170</f>
        <v>5349.0079377000011</v>
      </c>
      <c r="J171" s="611">
        <f ca="1">((SUM(F171:H171)*I171)+(SUM(F172:H172)*I172))</f>
        <v>0</v>
      </c>
      <c r="K171" s="2552">
        <f t="shared" ca="1" si="59"/>
        <v>0</v>
      </c>
      <c r="L171" s="2925">
        <f t="shared" ca="1" si="60"/>
        <v>0</v>
      </c>
      <c r="M171" s="2926">
        <f ca="1">SUM(K171:L172)</f>
        <v>0</v>
      </c>
    </row>
    <row r="172" spans="1:15" ht="15.75" hidden="1" thickBot="1" x14ac:dyDescent="0.3">
      <c r="A172" s="3609"/>
      <c r="B172" s="2006">
        <f>B171+1</f>
        <v>2031</v>
      </c>
      <c r="C172" s="2001">
        <f ca="1">IF(($AD$18&lt;$F$2)*AND(D159=12)*AND(C171=0),OFFSET($U$6,(ROUNDUP((ROW()-10)/29,0)-1),0),0)*C159</f>
        <v>0</v>
      </c>
      <c r="D172" s="2923">
        <f>D171+D171*$AG$7</f>
        <v>3060.8212087949996</v>
      </c>
      <c r="E172" s="1594"/>
      <c r="F172" s="511">
        <f ca="1">IF(($AD$19&lt;$F$2)*AND(D159&gt;=3)*AND(F171=0),OFFSET($U$6,(ROUNDUP((ROW()-10)/29,0)-1),0),0)*C159</f>
        <v>0</v>
      </c>
      <c r="G172" s="511">
        <f ca="1">IF(($AD$20&lt;$F$2)*AND(D159&gt;=3)*AND(G171=0),OFFSET($U$6,(ROUNDUP((ROW()-10)/29,0)-1),0),0)*C159</f>
        <v>0</v>
      </c>
      <c r="H172" s="511">
        <f ca="1">IF(($AD$21&lt;$F$2)*AND(D159&gt;=3)*AND(H171=0),OFFSET($U$6,(ROUNDUP((ROW()-10)/29,0)-1),0),0)*C159</f>
        <v>0</v>
      </c>
      <c r="I172" s="2930">
        <f>I171+I171*$AG$7</f>
        <v>5509.478175831001</v>
      </c>
      <c r="J172" s="612"/>
      <c r="K172" s="2553">
        <f t="shared" ca="1" si="59"/>
        <v>0</v>
      </c>
      <c r="L172" s="2927">
        <f t="shared" ca="1" si="60"/>
        <v>0</v>
      </c>
      <c r="M172" s="2928"/>
    </row>
    <row r="173" spans="1:15" hidden="1" x14ac:dyDescent="0.25">
      <c r="A173" s="3608">
        <v>5</v>
      </c>
      <c r="B173" s="2005">
        <f>B172</f>
        <v>2031</v>
      </c>
      <c r="C173" s="2002">
        <f ca="1">IF(($AD$18&lt;$F$2)*AND(D160=12)*AND(C172=0),OFFSET($U$6,(ROUNDUP((ROW()-10)/29,0)-1),0),0)*C160</f>
        <v>0</v>
      </c>
      <c r="D173" s="2922">
        <f>D172</f>
        <v>3060.8212087949996</v>
      </c>
      <c r="E173" s="1595">
        <f ca="1">(C173*D173)+(C174*D174)</f>
        <v>0</v>
      </c>
      <c r="F173" s="510">
        <f ca="1">IF(($AD$19&lt;$F$2)*AND(D160&gt;=3)*AND(F172=0),OFFSET($U$6,(ROUNDUP((ROW()-10)/29,0)-1),0),0)*C160</f>
        <v>0</v>
      </c>
      <c r="G173" s="510">
        <f ca="1">IF(($AD$20&lt;$F$2)*AND(D160&gt;=3)*AND(G172=0),OFFSET($U$6,(ROUNDUP((ROW()-10)/29,0)-1),0),0)*C160</f>
        <v>0</v>
      </c>
      <c r="H173" s="510">
        <f ca="1">IF(($AD$21&lt;$F$2)*AND(D160&gt;=3)*AND(H172=0),OFFSET($U$6,(ROUNDUP((ROW()-10)/29,0)-1),0),0)*C160</f>
        <v>0</v>
      </c>
      <c r="I173" s="2929">
        <f>I172</f>
        <v>5509.478175831001</v>
      </c>
      <c r="J173" s="611">
        <f ca="1">((SUM(F173:H173)*I173)+(SUM(F174:H174)*I174))</f>
        <v>0</v>
      </c>
      <c r="K173" s="2552">
        <f t="shared" ca="1" si="59"/>
        <v>0</v>
      </c>
      <c r="L173" s="2925">
        <f t="shared" ca="1" si="60"/>
        <v>0</v>
      </c>
      <c r="M173" s="2926">
        <f ca="1">SUM(K173:L174)</f>
        <v>0</v>
      </c>
    </row>
    <row r="174" spans="1:15" ht="15.75" hidden="1" thickBot="1" x14ac:dyDescent="0.3">
      <c r="A174" s="3609"/>
      <c r="B174" s="2006">
        <f>B173+1</f>
        <v>2032</v>
      </c>
      <c r="C174" s="2001">
        <f ca="1">IF(($AE$18&lt;$F$2)*AND(D160=12)*AND(C173=0),OFFSET($U$6,(ROUNDUP((ROW()-10)/29,0)-1),0),0)*C160</f>
        <v>0</v>
      </c>
      <c r="D174" s="2923">
        <f>D173+D173*$AG$7</f>
        <v>3152.6458450588498</v>
      </c>
      <c r="E174" s="1594"/>
      <c r="F174" s="511">
        <f ca="1">IF(($AE$19&lt;$F$2)*AND(D160&gt;=3)*AND(F173=0),OFFSET($U$6,(ROUNDUP((ROW()-10)/29,0)-1),0),0)*C160</f>
        <v>0</v>
      </c>
      <c r="G174" s="511">
        <f ca="1">IF(($AE$20&lt;$F$2)*AND(D160&gt;=3)*AND(G173=0),OFFSET($U$6,(ROUNDUP((ROW()-10)/29,0)-1),0),0)*C160</f>
        <v>0</v>
      </c>
      <c r="H174" s="511">
        <f ca="1">IF(($AE$21&lt;$F$2)*AND(D160&gt;=3)*AND(H173=0),OFFSET($U$6,(ROUNDUP((ROW()-10)/29,0)-1),0),0)*C160</f>
        <v>0</v>
      </c>
      <c r="I174" s="2930">
        <f>I173+I173*$AG$7</f>
        <v>5674.7625211059312</v>
      </c>
      <c r="J174" s="612"/>
      <c r="K174" s="2553">
        <f t="shared" ca="1" si="59"/>
        <v>0</v>
      </c>
      <c r="L174" s="2927">
        <f t="shared" ca="1" si="60"/>
        <v>0</v>
      </c>
      <c r="M174" s="2928"/>
    </row>
    <row r="175" spans="1:15" hidden="1" x14ac:dyDescent="0.25">
      <c r="A175" s="3608">
        <v>6</v>
      </c>
      <c r="B175" s="2005">
        <f>B174</f>
        <v>2032</v>
      </c>
      <c r="C175" s="2002">
        <f ca="1">IF(($AE$18&lt;$F$2)*AND(D161=12)*AND(C174=0),OFFSET($U$6,(ROUNDUP((ROW()-10)/29,0)-1),0),0)*C161</f>
        <v>0</v>
      </c>
      <c r="D175" s="2922">
        <f>D174</f>
        <v>3152.6458450588498</v>
      </c>
      <c r="E175" s="1595">
        <f ca="1">(C175*D175)+(C176*D176)</f>
        <v>0</v>
      </c>
      <c r="F175" s="510">
        <f ca="1">IF(($AE$19&lt;$F$2)*AND(D161&gt;=3)*AND(F174=0),OFFSET($U$6,(ROUNDUP((ROW()-10)/29,0)-1),0),0)*C161</f>
        <v>0</v>
      </c>
      <c r="G175" s="510">
        <f ca="1">IF(($AE$20&lt;$F$2)*AND(D161&gt;=3)*AND(G174=0),OFFSET($U$6,(ROUNDUP((ROW()-10)/29,0)-1),0),0)*C161</f>
        <v>0</v>
      </c>
      <c r="H175" s="510">
        <f ca="1">IF(($AE$21&lt;$F$2)*AND(D161&gt;=3)*AND(H174=0),OFFSET($U$6,(ROUNDUP((ROW()-10)/29,0)-1),0),0)*C161</f>
        <v>0</v>
      </c>
      <c r="I175" s="2929">
        <f>I174</f>
        <v>5674.7625211059312</v>
      </c>
      <c r="J175" s="611">
        <f ca="1">((SUM(F175:H175)*I175)+(SUM(F176:H176)*I176))</f>
        <v>0</v>
      </c>
      <c r="K175" s="2552">
        <f t="shared" ca="1" si="59"/>
        <v>0</v>
      </c>
      <c r="L175" s="2925">
        <f t="shared" ca="1" si="60"/>
        <v>0</v>
      </c>
      <c r="M175" s="2926">
        <f ca="1">SUM(K175:L176)</f>
        <v>0</v>
      </c>
    </row>
    <row r="176" spans="1:15" ht="15.75" hidden="1" thickBot="1" x14ac:dyDescent="0.3">
      <c r="A176" s="3609"/>
      <c r="B176" s="2006">
        <f>B175+1</f>
        <v>2033</v>
      </c>
      <c r="C176" s="2004">
        <f ca="1">IF(($AF$18&lt;$F$2)*AND(D161=12)*AND(C175=0),OFFSET($U$6,(ROUNDUP((ROW()-10)/29,0)-1),0),0)*C161</f>
        <v>0</v>
      </c>
      <c r="D176" s="2923">
        <f>D175+D175*$AG$7</f>
        <v>3247.2252204106153</v>
      </c>
      <c r="E176" s="1594"/>
      <c r="F176" s="511">
        <f ca="1">IF(($AF$19&lt;$F$2)*AND(D161&gt;=3)*AND(F175=0),OFFSET($U$6,(ROUNDUP((ROW()-10)/29,0)-1),0),0)*C161</f>
        <v>0</v>
      </c>
      <c r="G176" s="511">
        <f ca="1">IF(($AF$20&lt;$F$2)*AND(D161&gt;=3)*AND(G175=0),OFFSET($U$6,(ROUNDUP((ROW()-10)/29,0)-1),0),0)*C161</f>
        <v>0</v>
      </c>
      <c r="H176" s="511">
        <f ca="1">IF(($AF$21&lt;$F$2)*AND(D161&gt;=3)*AND(H175=0),OFFSET($U$6,(ROUNDUP((ROW()-10)/29,0)-1),0),0)*C161</f>
        <v>0</v>
      </c>
      <c r="I176" s="2930">
        <f>I175+I175*$AG$7</f>
        <v>5845.0053967391095</v>
      </c>
      <c r="J176" s="612"/>
      <c r="K176" s="2553">
        <f t="shared" ca="1" si="59"/>
        <v>0</v>
      </c>
      <c r="L176" s="2927">
        <f t="shared" ca="1" si="60"/>
        <v>0</v>
      </c>
      <c r="M176" s="2928"/>
    </row>
    <row r="177" spans="1:15" ht="15.75" hidden="1" thickBot="1" x14ac:dyDescent="0.3">
      <c r="C177" s="3616" t="s">
        <v>96</v>
      </c>
      <c r="D177" s="3617"/>
      <c r="E177" s="2933">
        <f ca="1">SUM(E165:E175)</f>
        <v>0</v>
      </c>
      <c r="F177" s="60"/>
      <c r="G177" s="2936" t="s">
        <v>102</v>
      </c>
      <c r="H177" s="3618" t="s">
        <v>57</v>
      </c>
      <c r="I177" s="3619"/>
      <c r="J177" s="2934">
        <f ca="1">SUM(J165:J175)</f>
        <v>0</v>
      </c>
      <c r="K177" s="3610" t="s">
        <v>103</v>
      </c>
      <c r="L177" s="3611"/>
      <c r="M177" s="2935">
        <f ca="1">SUM(M165:M176)</f>
        <v>0</v>
      </c>
    </row>
    <row r="178" spans="1:15" ht="15.75" hidden="1" thickBot="1" x14ac:dyDescent="0.3">
      <c r="A178" s="71"/>
      <c r="B178" s="71"/>
      <c r="C178" s="71"/>
      <c r="D178" s="71"/>
      <c r="E178" s="71"/>
      <c r="F178" s="71"/>
      <c r="G178" s="71"/>
      <c r="H178" s="71"/>
      <c r="I178" s="71"/>
      <c r="J178" s="71"/>
      <c r="K178" s="71"/>
      <c r="L178" s="71"/>
      <c r="M178" s="615"/>
    </row>
    <row r="179" spans="1:15" ht="16.5" hidden="1" thickTop="1" thickBot="1" x14ac:dyDescent="0.3"/>
    <row r="180" spans="1:15" ht="15.75" hidden="1" thickBot="1" x14ac:dyDescent="0.3">
      <c r="A180" s="64" t="str">
        <f>'DATA INPUT'!B35</f>
        <v>GA #07 / Sponsor Funds</v>
      </c>
      <c r="B180" s="65"/>
      <c r="C180" s="65"/>
      <c r="D180" s="65"/>
      <c r="E180" s="65"/>
      <c r="F180" s="65"/>
      <c r="G180" s="65"/>
      <c r="H180" s="65"/>
      <c r="I180" s="65"/>
      <c r="J180" s="65"/>
      <c r="K180" s="65"/>
      <c r="L180" s="65"/>
      <c r="M180" s="1598"/>
      <c r="N180" s="1598"/>
    </row>
    <row r="181" spans="1:15" ht="15" hidden="1" customHeight="1" thickBot="1" x14ac:dyDescent="0.3">
      <c r="A181" s="3620" t="s">
        <v>80</v>
      </c>
      <c r="B181" s="3621"/>
      <c r="C181" s="1712">
        <f>'DATA INPUT'!C35</f>
        <v>0</v>
      </c>
      <c r="E181" s="1760" t="s">
        <v>135</v>
      </c>
      <c r="F181" s="1761">
        <f>'DATA INPUT'!E35</f>
        <v>0</v>
      </c>
      <c r="G181" s="1760" t="s">
        <v>82</v>
      </c>
      <c r="H181" s="1734">
        <f>'DATA INPUT'!F35</f>
        <v>0.49</v>
      </c>
      <c r="I181" s="1737" t="s">
        <v>88</v>
      </c>
      <c r="J181" s="1746">
        <f>IFERROR(VLOOKUP(C181,Table_Units[],IF(F181='Reference Sheet'!$H$37,3,2),FALSE)*1,0)</f>
        <v>0</v>
      </c>
      <c r="K181" s="1746"/>
      <c r="L181" s="66"/>
      <c r="M181" s="1712"/>
      <c r="N181" s="1762"/>
    </row>
    <row r="182" spans="1:15" ht="15" hidden="1" customHeight="1" thickBot="1" x14ac:dyDescent="0.3">
      <c r="A182" s="1716"/>
      <c r="B182" s="3445" t="s">
        <v>254</v>
      </c>
      <c r="C182" s="3560" t="s">
        <v>517</v>
      </c>
      <c r="D182" s="3444" t="s">
        <v>518</v>
      </c>
      <c r="E182" s="3445" t="s">
        <v>519</v>
      </c>
      <c r="F182" s="3445" t="s">
        <v>521</v>
      </c>
      <c r="G182" s="3614" t="s">
        <v>65</v>
      </c>
      <c r="H182" s="3614"/>
      <c r="I182" s="3614"/>
      <c r="J182" s="3614"/>
      <c r="K182" s="3445" t="s">
        <v>84</v>
      </c>
      <c r="L182" s="1996" t="s">
        <v>78</v>
      </c>
      <c r="M182" s="1997"/>
      <c r="N182" s="3558" t="s">
        <v>87</v>
      </c>
    </row>
    <row r="183" spans="1:15" ht="15" hidden="1" customHeight="1" thickBot="1" x14ac:dyDescent="0.3">
      <c r="A183" s="3445" t="s">
        <v>253</v>
      </c>
      <c r="B183" s="3445"/>
      <c r="C183" s="3561"/>
      <c r="D183" s="3445"/>
      <c r="E183" s="3445"/>
      <c r="F183" s="3445"/>
      <c r="G183" s="3444" t="s">
        <v>86</v>
      </c>
      <c r="H183" s="3444" t="s">
        <v>59</v>
      </c>
      <c r="I183" s="3444" t="s">
        <v>60</v>
      </c>
      <c r="J183" s="3444" t="s">
        <v>66</v>
      </c>
      <c r="K183" s="3445"/>
      <c r="L183" s="1998" t="s">
        <v>616</v>
      </c>
      <c r="M183" s="1999">
        <f>'Reference Sheet'!$E$14</f>
        <v>0.28499999999999998</v>
      </c>
      <c r="N183" s="3566"/>
    </row>
    <row r="184" spans="1:15" ht="15.75" hidden="1" thickBot="1" x14ac:dyDescent="0.3">
      <c r="A184" s="3446"/>
      <c r="B184" s="3446"/>
      <c r="C184" s="3615"/>
      <c r="D184" s="3446"/>
      <c r="E184" s="3446"/>
      <c r="F184" s="3446"/>
      <c r="G184" s="3446"/>
      <c r="H184" s="3446"/>
      <c r="I184" s="3446"/>
      <c r="J184" s="3446"/>
      <c r="K184" s="3446"/>
      <c r="L184" s="1769" t="s">
        <v>67</v>
      </c>
      <c r="M184" s="1683" t="s">
        <v>68</v>
      </c>
      <c r="N184" s="3612"/>
    </row>
    <row r="185" spans="1:15" hidden="1" x14ac:dyDescent="0.25">
      <c r="A185" s="1685">
        <v>1</v>
      </c>
      <c r="B185" s="1770">
        <f>$K$3</f>
        <v>12</v>
      </c>
      <c r="C185" s="1685">
        <f>'DATA INPUT'!I35</f>
        <v>0</v>
      </c>
      <c r="D185" s="1693">
        <f>IF(C185&lt;1,0,IF((B185&gt;0),'DATA INPUT'!$G$35,0))</f>
        <v>0</v>
      </c>
      <c r="E185" s="1773">
        <f t="shared" ref="E185:E190" ca="1" si="61">(D185*(2080/12))*OFFSET($H$7,29*(ROUNDUP(ROW()/29,0)-1),0)</f>
        <v>0</v>
      </c>
      <c r="F185" s="1684">
        <f t="shared" ref="F185:F190" ca="1" si="62">((D185*(2080/12))*OFFSET($H$7,29*(ROUNDUP(ROW()/29,0)-1),0))*C185</f>
        <v>0</v>
      </c>
      <c r="G185" s="1149">
        <v>0.03</v>
      </c>
      <c r="H185" s="460">
        <f>(J181*G185)+J181</f>
        <v>0</v>
      </c>
      <c r="I185" s="492">
        <f t="shared" ref="I185:I190" ca="1" si="63">H185/12*OFFSET($H$7,29*(ROUNDUP(ROW(H185)/29,0)-1),0)</f>
        <v>0</v>
      </c>
      <c r="J185" s="2400">
        <f t="shared" ref="J185:J190" si="64">(H185/12)/(2080/12)</f>
        <v>0</v>
      </c>
      <c r="K185" s="1766">
        <f t="shared" ref="K185:K190" ca="1" si="65">I185*D185*C185</f>
        <v>0</v>
      </c>
      <c r="L185" s="626">
        <f>IF($U$3&lt;$T$3, M183, IF($U$3&gt;$W$3, M183+2*$Q$6, M183+$Q$6))</f>
        <v>0.28499999999999998</v>
      </c>
      <c r="M185" s="1500">
        <f t="shared" ref="M185:M190" ca="1" si="66">L185*K185</f>
        <v>0</v>
      </c>
      <c r="N185" s="2400">
        <f t="shared" ref="N185:N190" si="67">((H185/12)/(2080/12))+(((H185/12)*L185)/(2080/12))</f>
        <v>0</v>
      </c>
      <c r="O185" s="58" t="str">
        <f ca="1">IF(ABS(C185*D185*OFFSET($U$6,(ROUNDUP((ROW()-10)/29,0)-1),0)-3*SUM(C194:C195,F194:H195))&gt; 0.01,"Mismatch: Tuition vs Months","")</f>
        <v/>
      </c>
    </row>
    <row r="186" spans="1:15" hidden="1" x14ac:dyDescent="0.25">
      <c r="A186" s="1687">
        <v>2</v>
      </c>
      <c r="B186" s="1771">
        <f>$L$3</f>
        <v>0</v>
      </c>
      <c r="C186" s="1687">
        <f>'DATA INPUT'!J35</f>
        <v>0</v>
      </c>
      <c r="D186" s="1693">
        <f>IF(C186&lt;1,0,IF((B186&gt;0),'DATA INPUT'!$G$35,0))</f>
        <v>0</v>
      </c>
      <c r="E186" s="1774">
        <f t="shared" ca="1" si="61"/>
        <v>0</v>
      </c>
      <c r="F186" s="1686">
        <f t="shared" ca="1" si="62"/>
        <v>0</v>
      </c>
      <c r="G186" s="461">
        <v>0.03</v>
      </c>
      <c r="H186" s="462">
        <f>(H185*G186)+H185</f>
        <v>0</v>
      </c>
      <c r="I186" s="501">
        <f t="shared" ca="1" si="63"/>
        <v>0</v>
      </c>
      <c r="J186" s="2397">
        <f t="shared" si="64"/>
        <v>0</v>
      </c>
      <c r="K186" s="1767">
        <f t="shared" ca="1" si="65"/>
        <v>0</v>
      </c>
      <c r="L186" s="625">
        <f>L185+$Q$6</f>
        <v>0.30499999999999999</v>
      </c>
      <c r="M186" s="1541">
        <f t="shared" ca="1" si="66"/>
        <v>0</v>
      </c>
      <c r="N186" s="2398">
        <f t="shared" si="67"/>
        <v>0</v>
      </c>
      <c r="O186" s="58" t="str">
        <f ca="1">IF(ABS(C186*D186*OFFSET($U$6,(ROUNDUP((ROW()-10)/29,0)-1),0)-3*SUM(C196:C197,F196:H197))&gt;0.01,"Mismatch: Tuition vs Months","")</f>
        <v/>
      </c>
    </row>
    <row r="187" spans="1:15" hidden="1" x14ac:dyDescent="0.25">
      <c r="A187" s="1687">
        <v>3</v>
      </c>
      <c r="B187" s="1771">
        <f>$M$3</f>
        <v>0</v>
      </c>
      <c r="C187" s="1687">
        <f>'DATA INPUT'!K35</f>
        <v>0</v>
      </c>
      <c r="D187" s="1693">
        <f>IF(C187&lt;1,0,IF((B187&gt;0),'DATA INPUT'!$G$35,0))</f>
        <v>0</v>
      </c>
      <c r="E187" s="1774">
        <f t="shared" ca="1" si="61"/>
        <v>0</v>
      </c>
      <c r="F187" s="1686">
        <f t="shared" ca="1" si="62"/>
        <v>0</v>
      </c>
      <c r="G187" s="461">
        <v>0.03</v>
      </c>
      <c r="H187" s="462">
        <f>(H186*G187)+H186</f>
        <v>0</v>
      </c>
      <c r="I187" s="501">
        <f t="shared" ca="1" si="63"/>
        <v>0</v>
      </c>
      <c r="J187" s="2397">
        <f t="shared" si="64"/>
        <v>0</v>
      </c>
      <c r="K187" s="1767">
        <f t="shared" ca="1" si="65"/>
        <v>0</v>
      </c>
      <c r="L187" s="625">
        <f>L186+$Q$6</f>
        <v>0.32500000000000001</v>
      </c>
      <c r="M187" s="1541">
        <f t="shared" ca="1" si="66"/>
        <v>0</v>
      </c>
      <c r="N187" s="2398">
        <f t="shared" si="67"/>
        <v>0</v>
      </c>
      <c r="O187" s="58" t="str">
        <f ca="1">IF(ABS(C187*D187*OFFSET($U$6,(ROUNDUP((ROW()-10)/29,0)-1),0)-3*SUM(C198:C199,F198:H199))&gt;0.01,"Mismatch: Tuition vs Months","")</f>
        <v/>
      </c>
    </row>
    <row r="188" spans="1:15" hidden="1" x14ac:dyDescent="0.25">
      <c r="A188" s="1687">
        <v>4</v>
      </c>
      <c r="B188" s="1771">
        <f>$N$3</f>
        <v>0</v>
      </c>
      <c r="C188" s="1687">
        <f>'DATA INPUT'!L35</f>
        <v>0</v>
      </c>
      <c r="D188" s="1693">
        <f>IF(C188&lt;1,0,IF((B188&gt;0),'DATA INPUT'!$G$35,0))</f>
        <v>0</v>
      </c>
      <c r="E188" s="1774">
        <f t="shared" ca="1" si="61"/>
        <v>0</v>
      </c>
      <c r="F188" s="1686">
        <f t="shared" ca="1" si="62"/>
        <v>0</v>
      </c>
      <c r="G188" s="461">
        <v>0.03</v>
      </c>
      <c r="H188" s="462">
        <f>(H187*G188)+H187</f>
        <v>0</v>
      </c>
      <c r="I188" s="501">
        <f t="shared" ca="1" si="63"/>
        <v>0</v>
      </c>
      <c r="J188" s="2397">
        <f t="shared" si="64"/>
        <v>0</v>
      </c>
      <c r="K188" s="1767">
        <f t="shared" ca="1" si="65"/>
        <v>0</v>
      </c>
      <c r="L188" s="625">
        <f>L187+$Q$6</f>
        <v>0.34500000000000003</v>
      </c>
      <c r="M188" s="1541">
        <f t="shared" ca="1" si="66"/>
        <v>0</v>
      </c>
      <c r="N188" s="2398">
        <f t="shared" si="67"/>
        <v>0</v>
      </c>
      <c r="O188" s="58" t="str">
        <f ca="1">IF(ABS(C188*D188*OFFSET($U$6,(ROUNDUP((ROW()-10)/29,0)-1),0)-3*SUM(C200:C201,F200:H201))&gt;0.01,"Mismatch: Tuition vs Months","")</f>
        <v/>
      </c>
    </row>
    <row r="189" spans="1:15" hidden="1" x14ac:dyDescent="0.25">
      <c r="A189" s="1687">
        <v>5</v>
      </c>
      <c r="B189" s="1771">
        <f>$O$3</f>
        <v>0</v>
      </c>
      <c r="C189" s="1687">
        <f>'DATA INPUT'!M35</f>
        <v>0</v>
      </c>
      <c r="D189" s="1693">
        <f>IF(C189&lt;1,0,IF((B189&gt;0),'DATA INPUT'!$G$35,0))</f>
        <v>0</v>
      </c>
      <c r="E189" s="1774">
        <f t="shared" ca="1" si="61"/>
        <v>0</v>
      </c>
      <c r="F189" s="1686">
        <f t="shared" ca="1" si="62"/>
        <v>0</v>
      </c>
      <c r="G189" s="461">
        <v>0.03</v>
      </c>
      <c r="H189" s="462">
        <f>(H188*G189)+H188</f>
        <v>0</v>
      </c>
      <c r="I189" s="501">
        <f t="shared" ca="1" si="63"/>
        <v>0</v>
      </c>
      <c r="J189" s="2397">
        <f t="shared" si="64"/>
        <v>0</v>
      </c>
      <c r="K189" s="1767">
        <f t="shared" ca="1" si="65"/>
        <v>0</v>
      </c>
      <c r="L189" s="625">
        <f>L188+$Q$6</f>
        <v>0.36500000000000005</v>
      </c>
      <c r="M189" s="1541">
        <f t="shared" ca="1" si="66"/>
        <v>0</v>
      </c>
      <c r="N189" s="2398">
        <f t="shared" si="67"/>
        <v>0</v>
      </c>
      <c r="O189" s="58" t="str">
        <f ca="1">IF(ABS(C189*D189*OFFSET($U$6,(ROUNDUP((ROW()-10)/29,0)-1),0)-3*SUM(C202:C203,F202:H203))&gt;0.01,"Mismatch: Tuition vs Months","")</f>
        <v/>
      </c>
    </row>
    <row r="190" spans="1:15" ht="15.75" hidden="1" thickBot="1" x14ac:dyDescent="0.3">
      <c r="A190" s="1691">
        <v>6</v>
      </c>
      <c r="B190" s="1772">
        <f>$P$3</f>
        <v>0</v>
      </c>
      <c r="C190" s="1689">
        <f>'DATA INPUT'!N35</f>
        <v>0</v>
      </c>
      <c r="D190" s="1694">
        <f>IF(C190&lt;1,0,IF((B190&gt;0),'DATA INPUT'!$G$35,0))</f>
        <v>0</v>
      </c>
      <c r="E190" s="1733">
        <f t="shared" ca="1" si="61"/>
        <v>0</v>
      </c>
      <c r="F190" s="1688">
        <f t="shared" ca="1" si="62"/>
        <v>0</v>
      </c>
      <c r="G190" s="463">
        <v>0.03</v>
      </c>
      <c r="H190" s="464">
        <f>(H189*G190)+H189</f>
        <v>0</v>
      </c>
      <c r="I190" s="502">
        <f t="shared" ca="1" si="63"/>
        <v>0</v>
      </c>
      <c r="J190" s="2413">
        <f t="shared" si="64"/>
        <v>0</v>
      </c>
      <c r="K190" s="1768">
        <f t="shared" ca="1" si="65"/>
        <v>0</v>
      </c>
      <c r="L190" s="627">
        <f>L189+$Q$6</f>
        <v>0.38500000000000006</v>
      </c>
      <c r="M190" s="1690">
        <f t="shared" ca="1" si="66"/>
        <v>0</v>
      </c>
      <c r="N190" s="2399">
        <f t="shared" si="67"/>
        <v>0</v>
      </c>
      <c r="O190" s="58" t="str">
        <f ca="1">IF(ABS(C190*D190*OFFSET($U$6,(ROUNDUP((ROW()-10)/29,0)-1),0)-3*SUM(C204:C205,F204:H205))&gt;0.01,"Mismatch: Tuition vs Months","")</f>
        <v/>
      </c>
    </row>
    <row r="191" spans="1:15" ht="15.75" hidden="1" thickBot="1" x14ac:dyDescent="0.3">
      <c r="A191" s="624" t="s">
        <v>85</v>
      </c>
      <c r="B191" s="519">
        <f>SUM(B185:B190)</f>
        <v>12</v>
      </c>
      <c r="C191" s="519">
        <f>SUM(C185:C190)</f>
        <v>0</v>
      </c>
      <c r="D191" s="1692">
        <f>SUM(D185:D190)</f>
        <v>0</v>
      </c>
      <c r="E191" s="1695">
        <f ca="1">SUM(E185:E190)</f>
        <v>0</v>
      </c>
      <c r="F191" s="1695">
        <f ca="1">SUM(F185:F190)</f>
        <v>0</v>
      </c>
      <c r="K191" s="1508">
        <f ca="1">SUM(K185:K190)</f>
        <v>0</v>
      </c>
      <c r="M191" s="1508">
        <f ca="1">SUM(M185:M190)</f>
        <v>0</v>
      </c>
      <c r="N191" s="60"/>
    </row>
    <row r="192" spans="1:15" ht="15.75" hidden="1" thickBot="1" x14ac:dyDescent="0.3"/>
    <row r="193" spans="1:13" ht="30.75" hidden="1" thickBot="1" x14ac:dyDescent="0.3">
      <c r="A193" s="1990" t="s">
        <v>253</v>
      </c>
      <c r="B193" s="1990" t="s">
        <v>299</v>
      </c>
      <c r="C193" s="1979" t="s">
        <v>17</v>
      </c>
      <c r="D193" s="1980" t="s">
        <v>96</v>
      </c>
      <c r="E193" s="1981" t="s">
        <v>474</v>
      </c>
      <c r="F193" s="1991" t="s">
        <v>41</v>
      </c>
      <c r="G193" s="1992" t="s">
        <v>42</v>
      </c>
      <c r="H193" s="1992" t="s">
        <v>43</v>
      </c>
      <c r="I193" s="1992" t="s">
        <v>57</v>
      </c>
      <c r="J193" s="1993" t="s">
        <v>472</v>
      </c>
      <c r="K193" s="1980" t="s">
        <v>100</v>
      </c>
      <c r="L193" s="1991" t="s">
        <v>99</v>
      </c>
      <c r="M193" s="1994" t="s">
        <v>101</v>
      </c>
    </row>
    <row r="194" spans="1:13" hidden="1" x14ac:dyDescent="0.25">
      <c r="A194" s="3613">
        <v>1</v>
      </c>
      <c r="B194" s="2005">
        <f>IF($C$2&lt;DATE($Z$6,4,15),$Z$6,IF($C$2&lt;DATE($AA$6,4,15),$AA$6,IF($C$2&lt;DATE($AB$6,4,15),$AB$6,IF($C$2&lt;DATE($AC$6,4,15),$AC$6,$AD$6))))</f>
        <v>2027</v>
      </c>
      <c r="C194" s="2000">
        <f ca="1">(IF($C$2&lt;=$Z$14*AND(D185&gt;=3)*AND($F$2&gt;=$Z$18),OFFSET($U$6,(ROUNDUP((ROW()-10)/29,0)-1),0),0)*IF(D185=9,0,1))*C185</f>
        <v>0</v>
      </c>
      <c r="D194" s="2921">
        <f>IF(OR($C181="COE",$C181="CCE",$C181="CBEE",$C181="EECS",$C181="MIME",$C181="NSE",$C181="PMEC"),HLOOKUP($B194,$Z$6:$AF$10,3),
IF(($C181="COB"),HLOOKUP($B194,$Z$25:$AF$27,3),
IF(($C181="CPH"),HLOOKUP($B194,$Z$31:$AF$33,3),
IF(($C181="VetMed"),HLOOKUP($B194,$Z$37:$AF$39,3),
IF(($C181="Pharm"),HLOOKUP($B194,$Z$43:$AF$45,3),
HLOOKUP($B194,$Z$49:$AF$51,3))))))</f>
        <v>2719.5</v>
      </c>
      <c r="E194" s="1987">
        <f ca="1">(C194*D194)+(C195*D195)</f>
        <v>0</v>
      </c>
      <c r="F194" s="1988">
        <f ca="1">IF($C$2&lt;=$Z$15*AND(D185&gt;=3)*AND($F$2&gt;=$Z$19),OFFSET($U$6,(ROUNDUP((ROW()-10)/29,0)-1),0),0)*C185</f>
        <v>0</v>
      </c>
      <c r="G194" s="1988">
        <f ca="1">IF($C$2&lt;=$Z$16*AND(D185&gt;=3)*AND($F$2&gt;=$Z$20),OFFSET($U$6,(ROUNDUP((ROW()-10)/29,0)-1),0),0)*C185</f>
        <v>0</v>
      </c>
      <c r="H194" s="1988">
        <f ca="1">IF($C$2&lt;=$Z$17*AND(D185&gt;=3)*AND($F$2&gt;=$Z$21),OFFSET($U$6,(ROUNDUP((ROW()-10)/29,0)-1),0),0)*C185</f>
        <v>0</v>
      </c>
      <c r="I194" s="2921">
        <f>IF(OR($C181="COE",$C181="CCE",$C181="CBEE",$C181="EECS",$C181="MIME",$C181="NSE",$C181="PMEC"),HLOOKUP($B194,$Z$6:$AF$10,2),
IF(($C181="COB"),HLOOKUP($B194,$Z$25:$AF$27,2),
IF(($C181="CPH"),HLOOKUP($B194,$Z$31:$AF$33,2),
IF(($C181="VetMed"),HLOOKUP($B194,$Z$37:$AF$39,2),
IF(($C181="Pharm"),HLOOKUP($B194,$Z$43:$AF$45,2),
HLOOKUP($B194,$Z$49:$AF$51,2))))))</f>
        <v>4895.1000000000004</v>
      </c>
      <c r="J194" s="1989">
        <f ca="1">((SUM(F194:H194)*I194)+(SUM(F195:H195)*I195))</f>
        <v>0</v>
      </c>
      <c r="K194" s="2552">
        <f t="shared" ref="K194:K205" ca="1" si="68">C194*HLOOKUP($B194,$Z$6:$AF$10,5)</f>
        <v>0</v>
      </c>
      <c r="L194" s="2925">
        <f t="shared" ref="L194:L205" ca="1" si="69">SUM(F194:H194)*HLOOKUP($B194,$Z$6:$AF$10,4)</f>
        <v>0</v>
      </c>
      <c r="M194" s="2926">
        <f ca="1">SUM(K194:L195)</f>
        <v>0</v>
      </c>
    </row>
    <row r="195" spans="1:13" ht="15.75" hidden="1" thickBot="1" x14ac:dyDescent="0.3">
      <c r="A195" s="3609"/>
      <c r="B195" s="2006">
        <f>B194+1</f>
        <v>2028</v>
      </c>
      <c r="C195" s="2001">
        <f ca="1">(IF($C$2&lt;=$AA$14*AND(D185&gt;=3)*AND($F$2&gt;=$AA$18),OFFSET($U$6,(ROUNDUP((ROW()-10)/29,0)-1),0),0)*IF(D185=9,0,1)*IF(C194=0,1,0))*C185</f>
        <v>0</v>
      </c>
      <c r="D195" s="2921">
        <f>IF(OR($C181="COE",$C181="CCE",$C181="CBEE",$C181="EECS",$C181="MIME",$C181="NSE",$C181="PMEC"),HLOOKUP($B195,$Z$6:$AF$10,3),
IF(($C181="COB"),HLOOKUP($B195,$Z$25:$AF$27,3),
IF(($C181="CPH"),HLOOKUP($B195,$Z$31:$AF$33,3),
IF(($C181="VetMed"),HLOOKUP($B195,$Z$37:$AF$39,3),
IF(($C181="Pharm"),HLOOKUP($B195,$Z$43:$AF$45,3),
HLOOKUP($B195,$Z$49:$AF$51,3))))))</f>
        <v>2801.085</v>
      </c>
      <c r="E195" s="1594"/>
      <c r="F195" s="511">
        <f ca="1">IF(($C$2&lt;=$AA$15)*AND(D185&gt;=3)*AND(F194=0)*AND($F$2&gt;=$AA$19),OFFSET($U$6,(ROUNDUP((ROW()-10)/29,0)-1),0),0)*C185</f>
        <v>0</v>
      </c>
      <c r="G195" s="511">
        <f ca="1">IF(($C$2&lt;=$AA$16)*AND(D185&gt;=3)*AND(G194=0)*AND($F$2&gt;=$AA$20),OFFSET($U$6,(ROUNDUP((ROW()-10)/29,0)-1),0),0)*C185</f>
        <v>0</v>
      </c>
      <c r="H195" s="511">
        <f ca="1">IF($C$2&lt;=$AA$17*AND(D185&gt;=3)*AND(H194=0)*AND($F$2&gt;=$AA$21),OFFSET($U$6,(ROUNDUP((ROW()-10)/29,0)-1),0),0)*C185</f>
        <v>0</v>
      </c>
      <c r="I195" s="2921">
        <f>IF(OR($C181="COE",$C181="CCE",$C181="CBEE",$C181="EECS",$C181="MIME",$C181="NSE",$C181="PMEC"),HLOOKUP($B195,$Z$6:$AF$10,2),
IF(($C181="COB"),HLOOKUP($B195,$Z$25:$AF$27,2),
IF(($C181="CPH"),HLOOKUP($B195,$Z$31:$AF$33,2),
IF(($C181="VetMed"),HLOOKUP($B195,$Z$37:$AF$39,2),
IF(($C181="Pharm"),HLOOKUP($B195,$Z$43:$AF$45,2),
HLOOKUP($B195,$Z$49:$AF$51,2))))))</f>
        <v>5041.9530000000004</v>
      </c>
      <c r="J195" s="612"/>
      <c r="K195" s="2553">
        <f t="shared" ca="1" si="68"/>
        <v>0</v>
      </c>
      <c r="L195" s="2927">
        <f t="shared" ca="1" si="69"/>
        <v>0</v>
      </c>
      <c r="M195" s="2928"/>
    </row>
    <row r="196" spans="1:13" hidden="1" x14ac:dyDescent="0.25">
      <c r="A196" s="3608">
        <v>2</v>
      </c>
      <c r="B196" s="2005">
        <f>B195</f>
        <v>2028</v>
      </c>
      <c r="C196" s="2002">
        <f ca="1">(IF(($AA$18&lt;$F$2)*AND(D186=12)*AND(C195=0),OFFSET($U$6,(ROUNDUP((ROW()-10)/29,0)-1),0),0))*C186</f>
        <v>0</v>
      </c>
      <c r="D196" s="2922">
        <f>D195</f>
        <v>2801.085</v>
      </c>
      <c r="E196" s="1595">
        <f ca="1">(C196*D196)+(C197*D197)</f>
        <v>0</v>
      </c>
      <c r="F196" s="510">
        <f ca="1">IF(($AA$19&lt;$F$2)*AND(D186&gt;=3)*AND(F195=0),OFFSET($U$6,(ROUNDUP((ROW()-10)/29,0)-1),0),0)*C186</f>
        <v>0</v>
      </c>
      <c r="G196" s="510">
        <f ca="1">IF(($AA$20&lt;$F$2)*AND(D186&gt;=3)*AND(G195=0),OFFSET($U$6,(ROUNDUP((ROW()-10)/29,0)-1),0),0)*C186</f>
        <v>0</v>
      </c>
      <c r="H196" s="510">
        <f ca="1">IF(($AA$21&lt;$F$2)*AND(D186&gt;=3)*AND(H195=0),OFFSET($U$6,(ROUNDUP((ROW()-10)/29,0)-1),0),0)*C186</f>
        <v>0</v>
      </c>
      <c r="I196" s="2929">
        <f>I195</f>
        <v>5041.9530000000004</v>
      </c>
      <c r="J196" s="611">
        <f ca="1">((SUM(F196:H196)*I196)+(SUM(F197:H197)*I197))</f>
        <v>0</v>
      </c>
      <c r="K196" s="2552">
        <f t="shared" ca="1" si="68"/>
        <v>0</v>
      </c>
      <c r="L196" s="2925">
        <f t="shared" ca="1" si="69"/>
        <v>0</v>
      </c>
      <c r="M196" s="2926">
        <f ca="1">SUM(K196:L197)</f>
        <v>0</v>
      </c>
    </row>
    <row r="197" spans="1:13" ht="15.75" hidden="1" thickBot="1" x14ac:dyDescent="0.3">
      <c r="A197" s="3613"/>
      <c r="B197" s="2007">
        <f>B196+1</f>
        <v>2029</v>
      </c>
      <c r="C197" s="2003">
        <f ca="1">(IF(($AB$18&lt;$F$2)*AND(D186=12)*AND(C196=0),OFFSET($U$6,(ROUNDUP((ROW()-10)/29,0)-1),0),0))*C186</f>
        <v>0</v>
      </c>
      <c r="D197" s="2931">
        <f>D196+D196*$AG$7</f>
        <v>2885.1175499999999</v>
      </c>
      <c r="E197" s="1594"/>
      <c r="F197" s="511">
        <f ca="1">IF(($AB$19&lt;$F$2)*AND(D186&gt;=3)*AND(F196=0),OFFSET($U$6,(ROUNDUP((ROW()-10)/29,0)-1),0),0)*C186</f>
        <v>0</v>
      </c>
      <c r="G197" s="511">
        <f ca="1">IF(($AB$20&lt;$F$2)*AND(D186&gt;=3)*AND(G196=0),OFFSET($U$6,(ROUNDUP((ROW()-10)/29,0)-1),0),0)*C186</f>
        <v>0</v>
      </c>
      <c r="H197" s="511">
        <f ca="1">IF(($AB$21&lt;$F$2)*AND(D186&gt;=3)*AND(H196=0),OFFSET($U$6,(ROUNDUP((ROW()-10)/29,0)-1),0),0)*C186</f>
        <v>0</v>
      </c>
      <c r="I197" s="2930">
        <f>I196+I196*$AG$7</f>
        <v>5193.2115900000008</v>
      </c>
      <c r="J197" s="612"/>
      <c r="K197" s="2553">
        <f t="shared" ca="1" si="68"/>
        <v>0</v>
      </c>
      <c r="L197" s="2927">
        <f t="shared" ca="1" si="69"/>
        <v>0</v>
      </c>
      <c r="M197" s="2928"/>
    </row>
    <row r="198" spans="1:13" hidden="1" x14ac:dyDescent="0.25">
      <c r="A198" s="3608">
        <v>3</v>
      </c>
      <c r="B198" s="2005">
        <f>B197</f>
        <v>2029</v>
      </c>
      <c r="C198" s="2002">
        <f ca="1">IF(($AB$18&lt;$F$2)*AND(D187=12)*AND(C197=0),OFFSET($U$6,(ROUNDUP((ROW()-10)/29,0)-1),0),0)*C187</f>
        <v>0</v>
      </c>
      <c r="D198" s="2924">
        <f>D197</f>
        <v>2885.1175499999999</v>
      </c>
      <c r="E198" s="1595">
        <f ca="1">(C198*D198)+(C199*D199)</f>
        <v>0</v>
      </c>
      <c r="F198" s="510">
        <f ca="1">IF(($AB$19&lt;$F$2)*AND(D187&gt;=3)*AND(F197=0),OFFSET($U$6,(ROUNDUP((ROW()-10)/29,0)-1),0),0)*C187</f>
        <v>0</v>
      </c>
      <c r="G198" s="510">
        <f ca="1">IF(($AB$20&lt;$F$2)*AND(D187&gt;=3)*AND(G197=0),OFFSET($U$6,(ROUNDUP((ROW()-10)/29,0)-1),0),0)*C187</f>
        <v>0</v>
      </c>
      <c r="H198" s="510">
        <f ca="1">IF(($AB$21&lt;$F$2)*AND(D187&gt;=3)*AND(H197=0),OFFSET($U$6,(ROUNDUP((ROW()-10)/29,0)-1),0),0)*C187</f>
        <v>0</v>
      </c>
      <c r="I198" s="2929">
        <f>I197</f>
        <v>5193.2115900000008</v>
      </c>
      <c r="J198" s="611">
        <f ca="1">((SUM(F198:H198)*I198)+(SUM(F199:H199)*I199))</f>
        <v>0</v>
      </c>
      <c r="K198" s="2552">
        <f t="shared" ca="1" si="68"/>
        <v>0</v>
      </c>
      <c r="L198" s="2925">
        <f t="shared" ca="1" si="69"/>
        <v>0</v>
      </c>
      <c r="M198" s="2926">
        <f ca="1">SUM(K198:L199)</f>
        <v>0</v>
      </c>
    </row>
    <row r="199" spans="1:13" ht="15.75" hidden="1" thickBot="1" x14ac:dyDescent="0.3">
      <c r="A199" s="3609"/>
      <c r="B199" s="2006">
        <f>B198+1</f>
        <v>2030</v>
      </c>
      <c r="C199" s="2001">
        <f ca="1">IF(($AC$18&lt;$F$2)*AND(D187=12)*AND(C198=0),OFFSET($U$6,(ROUNDUP((ROW()-10)/29,0)-1),0),0)*C187</f>
        <v>0</v>
      </c>
      <c r="D199" s="2932">
        <f>D198+D198*$AG$7</f>
        <v>2971.6710764999998</v>
      </c>
      <c r="E199" s="1594"/>
      <c r="F199" s="511">
        <f ca="1">IF(($AC$19&lt;$F$2)*AND(D187&gt;=3)*AND(F198=0),OFFSET($U$6,(ROUNDUP((ROW()-10)/29,0)-1),0),0)*C187</f>
        <v>0</v>
      </c>
      <c r="G199" s="511">
        <f ca="1">IF(($AC$20&lt;$F$2)*AND(D187&gt;=3)*AND(G198=0),OFFSET($U$6,(ROUNDUP((ROW()-10)/29,0)-1),0),0)*C187</f>
        <v>0</v>
      </c>
      <c r="H199" s="511">
        <f ca="1">IF(($AC$21&lt;$F$2)*AND(D187&gt;=3)*AND(H198=0),OFFSET($U$6,(ROUNDUP((ROW()-10)/29,0)-1),0),0)*C187</f>
        <v>0</v>
      </c>
      <c r="I199" s="2930">
        <f>I198+I198*$AG$7</f>
        <v>5349.0079377000011</v>
      </c>
      <c r="J199" s="612"/>
      <c r="K199" s="2553">
        <f t="shared" ca="1" si="68"/>
        <v>0</v>
      </c>
      <c r="L199" s="2927">
        <f t="shared" ca="1" si="69"/>
        <v>0</v>
      </c>
      <c r="M199" s="2928"/>
    </row>
    <row r="200" spans="1:13" hidden="1" x14ac:dyDescent="0.25">
      <c r="A200" s="3613">
        <v>4</v>
      </c>
      <c r="B200" s="2008">
        <f>B199</f>
        <v>2030</v>
      </c>
      <c r="C200" s="2000">
        <f ca="1">IF(($AC$11&lt;$F$2)*AND(D188=12)*AND(C199=0),OFFSET($U$6,(ROUNDUP((ROW()-10)/29,0)-1),0),0)*C188</f>
        <v>0</v>
      </c>
      <c r="D200" s="2921">
        <f>D199</f>
        <v>2971.6710764999998</v>
      </c>
      <c r="E200" s="1595">
        <f ca="1">(C200*D200)+(C201*D201)</f>
        <v>0</v>
      </c>
      <c r="F200" s="510">
        <f ca="1">IF(($AC$19&lt;$F$2)*AND(D188&gt;=3)*AND(F199=0),OFFSET($U$6,(ROUNDUP((ROW()-10)/29,0)-1),0),0)*C188</f>
        <v>0</v>
      </c>
      <c r="G200" s="510">
        <f ca="1">IF(($AC$20&lt;$F$2)*AND(D188&gt;=3)*AND(G199=0),OFFSET($U$6,(ROUNDUP((ROW()-10)/29,0)-1),0),0)*C188</f>
        <v>0</v>
      </c>
      <c r="H200" s="510">
        <f ca="1">IF(($AC$21&lt;$F$2)*AND(D188&gt;=3)*AND(H199=0),OFFSET($U$6,(ROUNDUP((ROW()-10)/29,0)-1),0),0)*C188</f>
        <v>0</v>
      </c>
      <c r="I200" s="2929">
        <f>I199</f>
        <v>5349.0079377000011</v>
      </c>
      <c r="J200" s="611">
        <f ca="1">((SUM(F200:H200)*I200)+(SUM(F201:H201)*I201))</f>
        <v>0</v>
      </c>
      <c r="K200" s="2552">
        <f t="shared" ca="1" si="68"/>
        <v>0</v>
      </c>
      <c r="L200" s="2925">
        <f t="shared" ca="1" si="69"/>
        <v>0</v>
      </c>
      <c r="M200" s="2926">
        <f ca="1">SUM(K200:L201)</f>
        <v>0</v>
      </c>
    </row>
    <row r="201" spans="1:13" ht="15.75" hidden="1" thickBot="1" x14ac:dyDescent="0.3">
      <c r="A201" s="3609"/>
      <c r="B201" s="2006">
        <f>B200+1</f>
        <v>2031</v>
      </c>
      <c r="C201" s="2001">
        <f ca="1">IF(($AD$18&lt;$F$2)*AND(D188=12)*AND(C200=0),OFFSET($U$6,(ROUNDUP((ROW()-10)/29,0)-1),0),0)*C188</f>
        <v>0</v>
      </c>
      <c r="D201" s="2923">
        <f>D200+D200*$AG$7</f>
        <v>3060.8212087949996</v>
      </c>
      <c r="E201" s="1594"/>
      <c r="F201" s="511">
        <f ca="1">IF(($AD$19&lt;$F$2)*AND(D188&gt;=3)*AND(F200=0),OFFSET($U$6,(ROUNDUP((ROW()-10)/29,0)-1),0),0)*C188</f>
        <v>0</v>
      </c>
      <c r="G201" s="511">
        <f ca="1">IF(($AD$20&lt;$F$2)*AND(D188&gt;=3)*AND(G200=0),OFFSET($U$6,(ROUNDUP((ROW()-10)/29,0)-1),0),0)*C188</f>
        <v>0</v>
      </c>
      <c r="H201" s="511">
        <f ca="1">IF(($AD$21&lt;$F$2)*AND(D188&gt;=3)*AND(H200=0),OFFSET($U$6,(ROUNDUP((ROW()-10)/29,0)-1),0),0)*C188</f>
        <v>0</v>
      </c>
      <c r="I201" s="2930">
        <f>I200+I200*$AG$7</f>
        <v>5509.478175831001</v>
      </c>
      <c r="J201" s="612"/>
      <c r="K201" s="2553">
        <f t="shared" ca="1" si="68"/>
        <v>0</v>
      </c>
      <c r="L201" s="2927">
        <f t="shared" ca="1" si="69"/>
        <v>0</v>
      </c>
      <c r="M201" s="2928"/>
    </row>
    <row r="202" spans="1:13" hidden="1" x14ac:dyDescent="0.25">
      <c r="A202" s="3608">
        <v>5</v>
      </c>
      <c r="B202" s="2005">
        <f>B201</f>
        <v>2031</v>
      </c>
      <c r="C202" s="2002">
        <f ca="1">IF(($AD$18&lt;$F$2)*AND(D189=12)*AND(C201=0),OFFSET($U$6,(ROUNDUP((ROW()-10)/29,0)-1),0),0)*C189</f>
        <v>0</v>
      </c>
      <c r="D202" s="2922">
        <f>D201</f>
        <v>3060.8212087949996</v>
      </c>
      <c r="E202" s="1595">
        <f ca="1">(C202*D202)+(C203*D203)</f>
        <v>0</v>
      </c>
      <c r="F202" s="510">
        <f ca="1">IF(($AD$19&lt;$F$2)*AND(D189&gt;=3)*AND(F201=0),OFFSET($U$6,(ROUNDUP((ROW()-10)/29,0)-1),0),0)*C189</f>
        <v>0</v>
      </c>
      <c r="G202" s="510">
        <f ca="1">IF(($AD$20&lt;$F$2)*AND(D189&gt;=3)*AND(G201=0),OFFSET($U$6,(ROUNDUP((ROW()-10)/29,0)-1),0),0)*C189</f>
        <v>0</v>
      </c>
      <c r="H202" s="510">
        <f ca="1">IF(($AD$21&lt;$F$2)*AND(D189&gt;=3)*AND(H201=0),OFFSET($U$6,(ROUNDUP((ROW()-10)/29,0)-1),0),0)*C189</f>
        <v>0</v>
      </c>
      <c r="I202" s="2929">
        <f>I201</f>
        <v>5509.478175831001</v>
      </c>
      <c r="J202" s="611">
        <f ca="1">((SUM(F202:H202)*I202)+(SUM(F203:H203)*I203))</f>
        <v>0</v>
      </c>
      <c r="K202" s="2552">
        <f t="shared" ca="1" si="68"/>
        <v>0</v>
      </c>
      <c r="L202" s="2925">
        <f t="shared" ca="1" si="69"/>
        <v>0</v>
      </c>
      <c r="M202" s="2926">
        <f ca="1">SUM(K202:L203)</f>
        <v>0</v>
      </c>
    </row>
    <row r="203" spans="1:13" ht="15.75" hidden="1" thickBot="1" x14ac:dyDescent="0.3">
      <c r="A203" s="3609"/>
      <c r="B203" s="2006">
        <f>B202+1</f>
        <v>2032</v>
      </c>
      <c r="C203" s="2001">
        <f ca="1">IF(($AE$18&lt;$F$2)*AND(D189=12)*AND(C202=0),OFFSET($U$6,(ROUNDUP((ROW()-10)/29,0)-1),0),0)*C189</f>
        <v>0</v>
      </c>
      <c r="D203" s="2923">
        <f>D202+D202*$AG$7</f>
        <v>3152.6458450588498</v>
      </c>
      <c r="E203" s="1594"/>
      <c r="F203" s="511">
        <f ca="1">IF(($AE$19&lt;$F$2)*AND(D189&gt;=3)*AND(F202=0),OFFSET($U$6,(ROUNDUP((ROW()-10)/29,0)-1),0),0)*C189</f>
        <v>0</v>
      </c>
      <c r="G203" s="511">
        <f ca="1">IF(($AE$20&lt;$F$2)*AND(D189&gt;=3)*AND(G202=0),OFFSET($U$6,(ROUNDUP((ROW()-10)/29,0)-1),0),0)*C189</f>
        <v>0</v>
      </c>
      <c r="H203" s="511">
        <f ca="1">IF(($AE$21&lt;$F$2)*AND(D189&gt;=3)*AND(H202=0),OFFSET($U$6,(ROUNDUP((ROW()-10)/29,0)-1),0),0)*C189</f>
        <v>0</v>
      </c>
      <c r="I203" s="2930">
        <f>I202+I202*$AG$7</f>
        <v>5674.7625211059312</v>
      </c>
      <c r="J203" s="612"/>
      <c r="K203" s="2553">
        <f t="shared" ca="1" si="68"/>
        <v>0</v>
      </c>
      <c r="L203" s="2927">
        <f t="shared" ca="1" si="69"/>
        <v>0</v>
      </c>
      <c r="M203" s="2928"/>
    </row>
    <row r="204" spans="1:13" hidden="1" x14ac:dyDescent="0.25">
      <c r="A204" s="3608">
        <v>6</v>
      </c>
      <c r="B204" s="2005">
        <f>B203</f>
        <v>2032</v>
      </c>
      <c r="C204" s="2002">
        <f ca="1">IF(($AE$18&lt;$F$2)*AND(D190=12)*AND(C203=0),OFFSET($U$6,(ROUNDUP((ROW()-10)/29,0)-1),0),0)*C190</f>
        <v>0</v>
      </c>
      <c r="D204" s="2922">
        <f>D203</f>
        <v>3152.6458450588498</v>
      </c>
      <c r="E204" s="1595">
        <f ca="1">(C204*D204)+(C205*D205)</f>
        <v>0</v>
      </c>
      <c r="F204" s="510">
        <f ca="1">IF(($AE$19&lt;$F$2)*AND(D190&gt;=3)*AND(F203=0),OFFSET($U$6,(ROUNDUP((ROW()-10)/29,0)-1),0),0)*C190</f>
        <v>0</v>
      </c>
      <c r="G204" s="510">
        <f ca="1">IF(($AE$20&lt;$F$2)*AND(D190&gt;=3)*AND(G203=0),OFFSET($U$6,(ROUNDUP((ROW()-10)/29,0)-1),0),0)*C190</f>
        <v>0</v>
      </c>
      <c r="H204" s="510">
        <f ca="1">IF(($AE$21&lt;$F$2)*AND(D190&gt;=3)*AND(H203=0),OFFSET($U$6,(ROUNDUP((ROW()-10)/29,0)-1),0),0)*C190</f>
        <v>0</v>
      </c>
      <c r="I204" s="2929">
        <f>I203</f>
        <v>5674.7625211059312</v>
      </c>
      <c r="J204" s="611">
        <f ca="1">((SUM(F204:H204)*I204)+(SUM(F205:H205)*I205))</f>
        <v>0</v>
      </c>
      <c r="K204" s="2552">
        <f t="shared" ca="1" si="68"/>
        <v>0</v>
      </c>
      <c r="L204" s="2925">
        <f t="shared" ca="1" si="69"/>
        <v>0</v>
      </c>
      <c r="M204" s="2926">
        <f ca="1">SUM(K204:L205)</f>
        <v>0</v>
      </c>
    </row>
    <row r="205" spans="1:13" ht="15.75" hidden="1" thickBot="1" x14ac:dyDescent="0.3">
      <c r="A205" s="3609"/>
      <c r="B205" s="2006">
        <f>B204+1</f>
        <v>2033</v>
      </c>
      <c r="C205" s="2004">
        <f ca="1">IF(($AF$18&lt;$F$2)*AND(D190=12)*AND(C204=0),OFFSET($U$6,(ROUNDUP((ROW()-10)/29,0)-1),0),0)*C190</f>
        <v>0</v>
      </c>
      <c r="D205" s="2923">
        <f>D204+D204*$AG$7</f>
        <v>3247.2252204106153</v>
      </c>
      <c r="E205" s="1594"/>
      <c r="F205" s="511">
        <f ca="1">IF(($AF$19&lt;$F$2)*AND(D190&gt;=3)*AND(F204=0),OFFSET($U$6,(ROUNDUP((ROW()-10)/29,0)-1),0),0)*C190</f>
        <v>0</v>
      </c>
      <c r="G205" s="511">
        <f ca="1">IF(($AF$20&lt;$F$2)*AND(D190&gt;=3)*AND(G204=0),OFFSET($U$6,(ROUNDUP((ROW()-10)/29,0)-1),0),0)*C190</f>
        <v>0</v>
      </c>
      <c r="H205" s="511">
        <f ca="1">IF(($AF$21&lt;$F$2)*AND(D190&gt;=3)*AND(H204=0),OFFSET($U$6,(ROUNDUP((ROW()-10)/29,0)-1),0),0)*C190</f>
        <v>0</v>
      </c>
      <c r="I205" s="2930">
        <f>I204+I204*$AG$7</f>
        <v>5845.0053967391095</v>
      </c>
      <c r="J205" s="612"/>
      <c r="K205" s="2553">
        <f t="shared" ca="1" si="68"/>
        <v>0</v>
      </c>
      <c r="L205" s="2927">
        <f t="shared" ca="1" si="69"/>
        <v>0</v>
      </c>
      <c r="M205" s="2928"/>
    </row>
    <row r="206" spans="1:13" ht="15.75" hidden="1" thickBot="1" x14ac:dyDescent="0.3">
      <c r="C206" s="3616" t="s">
        <v>96</v>
      </c>
      <c r="D206" s="3617"/>
      <c r="E206" s="2933">
        <f ca="1">SUM(E194:E204)</f>
        <v>0</v>
      </c>
      <c r="F206" s="60"/>
      <c r="G206" s="2936" t="s">
        <v>102</v>
      </c>
      <c r="H206" s="3618" t="s">
        <v>57</v>
      </c>
      <c r="I206" s="3619"/>
      <c r="J206" s="2934">
        <f ca="1">SUM(J194:J204)</f>
        <v>0</v>
      </c>
      <c r="K206" s="3610" t="s">
        <v>103</v>
      </c>
      <c r="L206" s="3611"/>
      <c r="M206" s="2935">
        <f ca="1">SUM(M194:M205)</f>
        <v>0</v>
      </c>
    </row>
    <row r="207" spans="1:13" ht="15.75" hidden="1" thickBot="1" x14ac:dyDescent="0.3">
      <c r="A207" s="71"/>
      <c r="B207" s="71"/>
      <c r="C207" s="71"/>
      <c r="D207" s="71"/>
      <c r="E207" s="71"/>
      <c r="F207" s="71"/>
      <c r="G207" s="71"/>
      <c r="H207" s="71"/>
      <c r="I207" s="71"/>
      <c r="J207" s="71"/>
      <c r="K207" s="71"/>
      <c r="L207" s="71"/>
      <c r="M207" s="615"/>
    </row>
    <row r="208" spans="1:13" ht="16.5" hidden="1" thickTop="1" thickBot="1" x14ac:dyDescent="0.3"/>
    <row r="209" spans="1:15" ht="15.75" hidden="1" thickBot="1" x14ac:dyDescent="0.3">
      <c r="A209" s="64" t="str">
        <f>'DATA INPUT'!B36</f>
        <v>GA #08 / Sponsor Funds</v>
      </c>
      <c r="B209" s="65"/>
      <c r="C209" s="65"/>
      <c r="D209" s="65"/>
      <c r="E209" s="65"/>
      <c r="F209" s="65"/>
      <c r="G209" s="65"/>
      <c r="H209" s="65"/>
      <c r="I209" s="65"/>
      <c r="J209" s="65"/>
      <c r="K209" s="65"/>
      <c r="L209" s="65"/>
      <c r="M209" s="1598"/>
      <c r="N209" s="1598"/>
    </row>
    <row r="210" spans="1:15" ht="15" hidden="1" customHeight="1" thickBot="1" x14ac:dyDescent="0.3">
      <c r="A210" s="3620" t="s">
        <v>80</v>
      </c>
      <c r="B210" s="3621"/>
      <c r="C210" s="1712">
        <f>'DATA INPUT'!C36</f>
        <v>0</v>
      </c>
      <c r="E210" s="1760" t="s">
        <v>135</v>
      </c>
      <c r="F210" s="1761">
        <f>'DATA INPUT'!E36</f>
        <v>0</v>
      </c>
      <c r="G210" s="1760" t="s">
        <v>82</v>
      </c>
      <c r="H210" s="1734">
        <f>'DATA INPUT'!F36</f>
        <v>0.49</v>
      </c>
      <c r="I210" s="1737" t="s">
        <v>88</v>
      </c>
      <c r="J210" s="1746">
        <f>IFERROR(VLOOKUP(C210,Table_Units[],IF(F210='Reference Sheet'!$H$37,3,2),FALSE)*1,0)</f>
        <v>0</v>
      </c>
      <c r="K210" s="1746"/>
      <c r="L210" s="66"/>
      <c r="M210" s="1712"/>
      <c r="N210" s="1762"/>
    </row>
    <row r="211" spans="1:15" ht="15" hidden="1" customHeight="1" thickBot="1" x14ac:dyDescent="0.3">
      <c r="A211" s="1716"/>
      <c r="B211" s="3445" t="s">
        <v>254</v>
      </c>
      <c r="C211" s="3560" t="s">
        <v>517</v>
      </c>
      <c r="D211" s="3444" t="s">
        <v>518</v>
      </c>
      <c r="E211" s="3445" t="s">
        <v>519</v>
      </c>
      <c r="F211" s="3445" t="s">
        <v>521</v>
      </c>
      <c r="G211" s="3614" t="s">
        <v>65</v>
      </c>
      <c r="H211" s="3614"/>
      <c r="I211" s="3614"/>
      <c r="J211" s="3614"/>
      <c r="K211" s="3445" t="s">
        <v>84</v>
      </c>
      <c r="L211" s="1996" t="s">
        <v>78</v>
      </c>
      <c r="M211" s="1997"/>
      <c r="N211" s="3558" t="s">
        <v>87</v>
      </c>
    </row>
    <row r="212" spans="1:15" ht="15" hidden="1" customHeight="1" thickBot="1" x14ac:dyDescent="0.3">
      <c r="A212" s="3445" t="s">
        <v>253</v>
      </c>
      <c r="B212" s="3445"/>
      <c r="C212" s="3561"/>
      <c r="D212" s="3445"/>
      <c r="E212" s="3445"/>
      <c r="F212" s="3445"/>
      <c r="G212" s="3444" t="s">
        <v>86</v>
      </c>
      <c r="H212" s="3444" t="s">
        <v>59</v>
      </c>
      <c r="I212" s="3444" t="s">
        <v>60</v>
      </c>
      <c r="J212" s="3444" t="s">
        <v>66</v>
      </c>
      <c r="K212" s="3445"/>
      <c r="L212" s="1998" t="s">
        <v>616</v>
      </c>
      <c r="M212" s="1999">
        <f>'Reference Sheet'!$E$14</f>
        <v>0.28499999999999998</v>
      </c>
      <c r="N212" s="3566"/>
    </row>
    <row r="213" spans="1:15" ht="15.75" hidden="1" thickBot="1" x14ac:dyDescent="0.3">
      <c r="A213" s="3446"/>
      <c r="B213" s="3446"/>
      <c r="C213" s="3615"/>
      <c r="D213" s="3446"/>
      <c r="E213" s="3446"/>
      <c r="F213" s="3446"/>
      <c r="G213" s="3446"/>
      <c r="H213" s="3446"/>
      <c r="I213" s="3446"/>
      <c r="J213" s="3446"/>
      <c r="K213" s="3446"/>
      <c r="L213" s="1769" t="s">
        <v>67</v>
      </c>
      <c r="M213" s="1683" t="s">
        <v>68</v>
      </c>
      <c r="N213" s="3612"/>
    </row>
    <row r="214" spans="1:15" hidden="1" x14ac:dyDescent="0.25">
      <c r="A214" s="1685">
        <v>1</v>
      </c>
      <c r="B214" s="1770">
        <f>$K$3</f>
        <v>12</v>
      </c>
      <c r="C214" s="1685">
        <f>'DATA INPUT'!I36</f>
        <v>0</v>
      </c>
      <c r="D214" s="1693">
        <f>IF(C214&lt;1,0,IF((B214&gt;0),'DATA INPUT'!$G$36,0))</f>
        <v>0</v>
      </c>
      <c r="E214" s="1773">
        <f t="shared" ref="E214:E219" ca="1" si="70">(D214*(2080/12))*OFFSET($H$7,29*(ROUNDUP(ROW()/29,0)-1),0)</f>
        <v>0</v>
      </c>
      <c r="F214" s="1684">
        <f t="shared" ref="F214:F219" ca="1" si="71">((D214*(2080/12))*OFFSET($H$7,29*(ROUNDUP(ROW()/29,0)-1),0))*C214</f>
        <v>0</v>
      </c>
      <c r="G214" s="1149">
        <v>0.03</v>
      </c>
      <c r="H214" s="460">
        <f>(J210*G214)+J210</f>
        <v>0</v>
      </c>
      <c r="I214" s="492">
        <f t="shared" ref="I214:I219" ca="1" si="72">H214/12*OFFSET($H$7,29*(ROUNDUP(ROW(H214)/29,0)-1),0)</f>
        <v>0</v>
      </c>
      <c r="J214" s="2400">
        <f t="shared" ref="J214:J219" si="73">(H214/12)/(2080/12)</f>
        <v>0</v>
      </c>
      <c r="K214" s="1766">
        <f t="shared" ref="K214:K219" ca="1" si="74">I214*D214*C214</f>
        <v>0</v>
      </c>
      <c r="L214" s="626">
        <f>IF($U$3&lt;$T$3, M212, IF($U$3&gt;$W$3, M212+2*$Q$6, M212+$Q$6))</f>
        <v>0.28499999999999998</v>
      </c>
      <c r="M214" s="1500">
        <f t="shared" ref="M214:M219" ca="1" si="75">L214*K214</f>
        <v>0</v>
      </c>
      <c r="N214" s="2400">
        <f t="shared" ref="N214:N219" si="76">((H214/12)/(2080/12))+(((H214/12)*L214)/(2080/12))</f>
        <v>0</v>
      </c>
      <c r="O214" s="58" t="str">
        <f ca="1">IF(ABS(C214*D214*OFFSET($U$6,(ROUNDUP((ROW()-10)/29,0)-1),0)-3*SUM(C223:C224,F223:H224))&gt; 0.01,"Mismatch: Tuition vs Months","")</f>
        <v/>
      </c>
    </row>
    <row r="215" spans="1:15" hidden="1" x14ac:dyDescent="0.25">
      <c r="A215" s="1687">
        <v>2</v>
      </c>
      <c r="B215" s="1771">
        <f>$L$3</f>
        <v>0</v>
      </c>
      <c r="C215" s="1687">
        <f>'DATA INPUT'!J36</f>
        <v>0</v>
      </c>
      <c r="D215" s="1693">
        <f>IF(C215&lt;1,0,IF((B215&gt;0),'DATA INPUT'!$G$36,0))</f>
        <v>0</v>
      </c>
      <c r="E215" s="1774">
        <f t="shared" ca="1" si="70"/>
        <v>0</v>
      </c>
      <c r="F215" s="1686">
        <f t="shared" ca="1" si="71"/>
        <v>0</v>
      </c>
      <c r="G215" s="461">
        <v>0.03</v>
      </c>
      <c r="H215" s="462">
        <f>(H214*G215)+H214</f>
        <v>0</v>
      </c>
      <c r="I215" s="501">
        <f t="shared" ca="1" si="72"/>
        <v>0</v>
      </c>
      <c r="J215" s="2397">
        <f t="shared" si="73"/>
        <v>0</v>
      </c>
      <c r="K215" s="1767">
        <f t="shared" ca="1" si="74"/>
        <v>0</v>
      </c>
      <c r="L215" s="625">
        <f>L214+$Q$6</f>
        <v>0.30499999999999999</v>
      </c>
      <c r="M215" s="1541">
        <f t="shared" ca="1" si="75"/>
        <v>0</v>
      </c>
      <c r="N215" s="2398">
        <f t="shared" si="76"/>
        <v>0</v>
      </c>
      <c r="O215" s="58" t="str">
        <f ca="1">IF(ABS(C215*D215*OFFSET($U$6,(ROUNDUP((ROW()-10)/29,0)-1),0)-3*SUM(C225:C226,F225:H226))&gt;0.01,"Mismatch: Tuition vs Months","")</f>
        <v/>
      </c>
    </row>
    <row r="216" spans="1:15" hidden="1" x14ac:dyDescent="0.25">
      <c r="A216" s="1687">
        <v>3</v>
      </c>
      <c r="B216" s="1771">
        <f>$M$3</f>
        <v>0</v>
      </c>
      <c r="C216" s="1687">
        <f>'DATA INPUT'!K36</f>
        <v>0</v>
      </c>
      <c r="D216" s="1693">
        <f>IF(C216&lt;1,0,IF((B216&gt;0),'DATA INPUT'!$G$36,0))</f>
        <v>0</v>
      </c>
      <c r="E216" s="1774">
        <f t="shared" ca="1" si="70"/>
        <v>0</v>
      </c>
      <c r="F216" s="1686">
        <f t="shared" ca="1" si="71"/>
        <v>0</v>
      </c>
      <c r="G216" s="461">
        <v>0.03</v>
      </c>
      <c r="H216" s="462">
        <f>(H215*G216)+H215</f>
        <v>0</v>
      </c>
      <c r="I216" s="501">
        <f t="shared" ca="1" si="72"/>
        <v>0</v>
      </c>
      <c r="J216" s="2397">
        <f t="shared" si="73"/>
        <v>0</v>
      </c>
      <c r="K216" s="1767">
        <f t="shared" ca="1" si="74"/>
        <v>0</v>
      </c>
      <c r="L216" s="625">
        <f>L215+$Q$6</f>
        <v>0.32500000000000001</v>
      </c>
      <c r="M216" s="1541">
        <f t="shared" ca="1" si="75"/>
        <v>0</v>
      </c>
      <c r="N216" s="2398">
        <f t="shared" si="76"/>
        <v>0</v>
      </c>
      <c r="O216" s="58" t="str">
        <f ca="1">IF(ABS(C216*D216*OFFSET($U$6,(ROUNDUP((ROW()-10)/29,0)-1),0)-3*SUM(C227:C228,F227:H228))&gt;0.01,"Mismatch: Tuition vs Months","")</f>
        <v/>
      </c>
    </row>
    <row r="217" spans="1:15" hidden="1" x14ac:dyDescent="0.25">
      <c r="A217" s="1687">
        <v>4</v>
      </c>
      <c r="B217" s="1771">
        <f>$N$3</f>
        <v>0</v>
      </c>
      <c r="C217" s="1687">
        <f>'DATA INPUT'!L36</f>
        <v>0</v>
      </c>
      <c r="D217" s="1693">
        <f>IF(C217&lt;1,0,IF((B217&gt;0),'DATA INPUT'!$G$36,0))</f>
        <v>0</v>
      </c>
      <c r="E217" s="1774">
        <f t="shared" ca="1" si="70"/>
        <v>0</v>
      </c>
      <c r="F217" s="1686">
        <f t="shared" ca="1" si="71"/>
        <v>0</v>
      </c>
      <c r="G217" s="461">
        <v>0.03</v>
      </c>
      <c r="H217" s="462">
        <f>(H216*G217)+H216</f>
        <v>0</v>
      </c>
      <c r="I217" s="501">
        <f t="shared" ca="1" si="72"/>
        <v>0</v>
      </c>
      <c r="J217" s="2397">
        <f t="shared" si="73"/>
        <v>0</v>
      </c>
      <c r="K217" s="1767">
        <f t="shared" ca="1" si="74"/>
        <v>0</v>
      </c>
      <c r="L217" s="625">
        <f>L216+$Q$6</f>
        <v>0.34500000000000003</v>
      </c>
      <c r="M217" s="1541">
        <f t="shared" ca="1" si="75"/>
        <v>0</v>
      </c>
      <c r="N217" s="2398">
        <f t="shared" si="76"/>
        <v>0</v>
      </c>
      <c r="O217" s="58" t="str">
        <f ca="1">IF(ABS(C217*D217*OFFSET($U$6,(ROUNDUP((ROW()-10)/29,0)-1),0)-3*SUM(C229:C230,F229:H230))&gt;0.01,"Mismatch: Tuition vs Months","")</f>
        <v/>
      </c>
    </row>
    <row r="218" spans="1:15" hidden="1" x14ac:dyDescent="0.25">
      <c r="A218" s="1687">
        <v>5</v>
      </c>
      <c r="B218" s="1771">
        <f>$O$3</f>
        <v>0</v>
      </c>
      <c r="C218" s="1687">
        <f>'DATA INPUT'!M36</f>
        <v>0</v>
      </c>
      <c r="D218" s="1693">
        <f>IF(C218&lt;1,0,IF((B218&gt;0),'DATA INPUT'!$G$36,0))</f>
        <v>0</v>
      </c>
      <c r="E218" s="1774">
        <f t="shared" ca="1" si="70"/>
        <v>0</v>
      </c>
      <c r="F218" s="1686">
        <f t="shared" ca="1" si="71"/>
        <v>0</v>
      </c>
      <c r="G218" s="461">
        <v>0.03</v>
      </c>
      <c r="H218" s="462">
        <f>(H217*G218)+H217</f>
        <v>0</v>
      </c>
      <c r="I218" s="501">
        <f t="shared" ca="1" si="72"/>
        <v>0</v>
      </c>
      <c r="J218" s="2397">
        <f t="shared" si="73"/>
        <v>0</v>
      </c>
      <c r="K218" s="1767">
        <f t="shared" ca="1" si="74"/>
        <v>0</v>
      </c>
      <c r="L218" s="625">
        <f>L217+$Q$6</f>
        <v>0.36500000000000005</v>
      </c>
      <c r="M218" s="1541">
        <f t="shared" ca="1" si="75"/>
        <v>0</v>
      </c>
      <c r="N218" s="2398">
        <f t="shared" si="76"/>
        <v>0</v>
      </c>
      <c r="O218" s="58" t="str">
        <f ca="1">IF(ABS(C218*D218*OFFSET($U$6,(ROUNDUP((ROW()-10)/29,0)-1),0)-3*SUM(C231:C232,F231:H232))&gt;0.01,"Mismatch: Tuition vs Months","")</f>
        <v/>
      </c>
    </row>
    <row r="219" spans="1:15" ht="15.75" hidden="1" thickBot="1" x14ac:dyDescent="0.3">
      <c r="A219" s="1691">
        <v>6</v>
      </c>
      <c r="B219" s="1772">
        <f>$P$3</f>
        <v>0</v>
      </c>
      <c r="C219" s="1689">
        <f>'DATA INPUT'!N36</f>
        <v>0</v>
      </c>
      <c r="D219" s="1694">
        <f>IF(C219&lt;1,0,IF((B219&gt;0),'DATA INPUT'!$G$36,0))</f>
        <v>0</v>
      </c>
      <c r="E219" s="1733">
        <f t="shared" ca="1" si="70"/>
        <v>0</v>
      </c>
      <c r="F219" s="1688">
        <f t="shared" ca="1" si="71"/>
        <v>0</v>
      </c>
      <c r="G219" s="463">
        <v>0.03</v>
      </c>
      <c r="H219" s="464">
        <f>(H218*G219)+H218</f>
        <v>0</v>
      </c>
      <c r="I219" s="502">
        <f t="shared" ca="1" si="72"/>
        <v>0</v>
      </c>
      <c r="J219" s="2413">
        <f t="shared" si="73"/>
        <v>0</v>
      </c>
      <c r="K219" s="1768">
        <f t="shared" ca="1" si="74"/>
        <v>0</v>
      </c>
      <c r="L219" s="627">
        <f>L218+$Q$6</f>
        <v>0.38500000000000006</v>
      </c>
      <c r="M219" s="1690">
        <f t="shared" ca="1" si="75"/>
        <v>0</v>
      </c>
      <c r="N219" s="2399">
        <f t="shared" si="76"/>
        <v>0</v>
      </c>
      <c r="O219" s="58" t="str">
        <f ca="1">IF(ABS(C219*D219*OFFSET($U$6,(ROUNDUP((ROW()-10)/29,0)-1),0)-3*SUM(C233:C234,F233:H234))&gt;0.01,"Mismatch: Tuition vs Months","")</f>
        <v/>
      </c>
    </row>
    <row r="220" spans="1:15" ht="15.75" hidden="1" thickBot="1" x14ac:dyDescent="0.3">
      <c r="A220" s="624" t="s">
        <v>85</v>
      </c>
      <c r="B220" s="519">
        <f>SUM(B214:B219)</f>
        <v>12</v>
      </c>
      <c r="C220" s="519">
        <f>SUM(C214:C219)</f>
        <v>0</v>
      </c>
      <c r="D220" s="1692">
        <f>SUM(D214:D219)</f>
        <v>0</v>
      </c>
      <c r="E220" s="1695">
        <f ca="1">SUM(E214:E219)</f>
        <v>0</v>
      </c>
      <c r="F220" s="1695">
        <f ca="1">SUM(F214:F219)</f>
        <v>0</v>
      </c>
      <c r="K220" s="1508">
        <f ca="1">SUM(K214:K219)</f>
        <v>0</v>
      </c>
      <c r="M220" s="1508">
        <f ca="1">SUM(M214:M219)</f>
        <v>0</v>
      </c>
      <c r="N220" s="60"/>
    </row>
    <row r="221" spans="1:15" ht="15.75" hidden="1" thickBot="1" x14ac:dyDescent="0.3"/>
    <row r="222" spans="1:15" ht="30.75" hidden="1" thickBot="1" x14ac:dyDescent="0.3">
      <c r="A222" s="1990" t="s">
        <v>253</v>
      </c>
      <c r="B222" s="1990" t="s">
        <v>299</v>
      </c>
      <c r="C222" s="1979" t="s">
        <v>17</v>
      </c>
      <c r="D222" s="1980" t="s">
        <v>96</v>
      </c>
      <c r="E222" s="1981" t="s">
        <v>474</v>
      </c>
      <c r="F222" s="1991" t="s">
        <v>41</v>
      </c>
      <c r="G222" s="1992" t="s">
        <v>42</v>
      </c>
      <c r="H222" s="1992" t="s">
        <v>43</v>
      </c>
      <c r="I222" s="1992" t="s">
        <v>57</v>
      </c>
      <c r="J222" s="1993" t="s">
        <v>472</v>
      </c>
      <c r="K222" s="1980" t="s">
        <v>100</v>
      </c>
      <c r="L222" s="1991" t="s">
        <v>99</v>
      </c>
      <c r="M222" s="1994" t="s">
        <v>101</v>
      </c>
    </row>
    <row r="223" spans="1:15" hidden="1" x14ac:dyDescent="0.25">
      <c r="A223" s="3613">
        <v>1</v>
      </c>
      <c r="B223" s="2005">
        <f>IF($C$2&lt;DATE($Z$6,4,15),$Z$6,IF($C$2&lt;DATE($AA$6,4,15),$AA$6,IF($C$2&lt;DATE($AB$6,4,15),$AB$6,IF($C$2&lt;DATE($AC$6,4,15),$AC$6,$AD$6))))</f>
        <v>2027</v>
      </c>
      <c r="C223" s="2000">
        <f ca="1">(IF($C$2&lt;=$Z$14*AND(D214&gt;=3)*AND($F$2&gt;=$Z$18),OFFSET($U$6,(ROUNDUP((ROW()-10)/29,0)-1),0),0)*IF(D214=9,0,1))*C214</f>
        <v>0</v>
      </c>
      <c r="D223" s="2921">
        <f>IF(OR($C210="COE",$C210="CCE",$C210="CBEE",$C210="EECS",$C210="MIME",$C210="NSE",$C210="PMEC"),HLOOKUP($B223,$Z$6:$AF$10,3),
IF(($C210="COB"),HLOOKUP($B223,$Z$25:$AF$27,3),
IF(($C210="CPH"),HLOOKUP($B223,$Z$31:$AF$33,3),
IF(($C210="VetMed"),HLOOKUP($B223,$Z$37:$AF$39,3),
IF(($C210="Pharm"),HLOOKUP($B223,$Z$43:$AF$45,3),
HLOOKUP($B223,$Z$49:$AF$51,3))))))</f>
        <v>2719.5</v>
      </c>
      <c r="E223" s="1987">
        <f ca="1">(C223*D223)+(C224*D224)</f>
        <v>0</v>
      </c>
      <c r="F223" s="1988">
        <f ca="1">IF($C$2&lt;=$Z$15*AND(D214&gt;=3)*AND($F$2&gt;=$Z$19),OFFSET($U$6,(ROUNDUP((ROW()-10)/29,0)-1),0),0)*C214</f>
        <v>0</v>
      </c>
      <c r="G223" s="1988">
        <f ca="1">IF($C$2&lt;=$Z$16*AND(D214&gt;=3)*AND($F$2&gt;=$Z$20),OFFSET($U$6,(ROUNDUP((ROW()-10)/29,0)-1),0),0)*C214</f>
        <v>0</v>
      </c>
      <c r="H223" s="1988">
        <f ca="1">IF($C$2&lt;=$Z$17*AND(D214&gt;=3)*AND($F$2&gt;=$Z$21),OFFSET($U$6,(ROUNDUP((ROW()-10)/29,0)-1),0),0)*C214</f>
        <v>0</v>
      </c>
      <c r="I223" s="2921">
        <f>IF(OR($C210="COE",$C210="CCE",$C210="CBEE",$C210="EECS",$C210="MIME",$C210="NSE",$C210="PMEC"),HLOOKUP($B223,$Z$6:$AF$10,2),
IF(($C210="COB"),HLOOKUP($B223,$Z$25:$AF$27,2),
IF(($C210="CPH"),HLOOKUP($B223,$Z$31:$AF$33,2),
IF(($C210="VetMed"),HLOOKUP($B223,$Z$37:$AF$39,2),
IF(($C210="Pharm"),HLOOKUP($B223,$Z$43:$AF$45,2),
HLOOKUP($B223,$Z$49:$AF$51,2))))))</f>
        <v>4895.1000000000004</v>
      </c>
      <c r="J223" s="1989">
        <f ca="1">((SUM(F223:H223)*I223)+(SUM(F224:H224)*I224))</f>
        <v>0</v>
      </c>
      <c r="K223" s="2552">
        <f t="shared" ref="K223:K234" ca="1" si="77">C223*HLOOKUP($B223,$Z$6:$AF$10,5)</f>
        <v>0</v>
      </c>
      <c r="L223" s="2925">
        <f t="shared" ref="L223:L234" ca="1" si="78">SUM(F223:H223)*HLOOKUP($B223,$Z$6:$AF$10,4)</f>
        <v>0</v>
      </c>
      <c r="M223" s="2926">
        <f ca="1">SUM(K223:L224)</f>
        <v>0</v>
      </c>
    </row>
    <row r="224" spans="1:15" ht="15.75" hidden="1" thickBot="1" x14ac:dyDescent="0.3">
      <c r="A224" s="3609"/>
      <c r="B224" s="2006">
        <f>B223+1</f>
        <v>2028</v>
      </c>
      <c r="C224" s="2001">
        <f ca="1">(IF($C$2&lt;=$AA$14*AND(D214&gt;=3)*AND($F$2&gt;=$AA$18),OFFSET($U$6,(ROUNDUP((ROW()-10)/29,0)-1),0),0)*IF(D214=9,0,1)*IF(C223=0,1,0))*C214</f>
        <v>0</v>
      </c>
      <c r="D224" s="2921">
        <f>IF(OR($C210="COE",$C210="CCE",$C210="CBEE",$C210="EECS",$C210="MIME",$C210="NSE",$C210="PMEC"),HLOOKUP($B224,$Z$6:$AF$10,3),
IF(($C210="COB"),HLOOKUP($B224,$Z$25:$AF$27,3),
IF(($C210="CPH"),HLOOKUP($B224,$Z$31:$AF$33,3),
IF(($C210="VetMed"),HLOOKUP($B224,$Z$37:$AF$39,3),
IF(($C210="Pharm"),HLOOKUP($B224,$Z$43:$AF$45,3),
HLOOKUP($B224,$Z$49:$AF$51,3))))))</f>
        <v>2801.085</v>
      </c>
      <c r="E224" s="1594"/>
      <c r="F224" s="511">
        <f ca="1">IF(($C$2&lt;=$AA$15)*AND(D214&gt;=3)*AND(F223=0)*AND($F$2&gt;=$AA$19),OFFSET($U$6,(ROUNDUP((ROW()-10)/29,0)-1),0),0)*C214</f>
        <v>0</v>
      </c>
      <c r="G224" s="511">
        <f ca="1">IF(($C$2&lt;=$AA$16)*AND(D214&gt;=3)*AND(G223=0)*AND($F$2&gt;=$AA$20),OFFSET($U$6,(ROUNDUP((ROW()-10)/29,0)-1),0),0)*C214</f>
        <v>0</v>
      </c>
      <c r="H224" s="511">
        <f ca="1">IF($C$2&lt;=$AA$17*AND(D214&gt;=3)*AND(H223=0)*AND($F$2&gt;=$AA$21),OFFSET($U$6,(ROUNDUP((ROW()-10)/29,0)-1),0),0)*C214</f>
        <v>0</v>
      </c>
      <c r="I224" s="2921">
        <f>IF(OR($C210="COE",$C210="CCE",$C210="CBEE",$C210="EECS",$C210="MIME",$C210="NSE",$C210="PMEC"),HLOOKUP($B224,$Z$6:$AF$10,2),
IF(($C210="COB"),HLOOKUP($B224,$Z$25:$AF$27,2),
IF(($C210="CPH"),HLOOKUP($B224,$Z$31:$AF$33,2),
IF(($C210="VetMed"),HLOOKUP($B224,$Z$37:$AF$39,2),
IF(($C210="Pharm"),HLOOKUP($B224,$Z$43:$AF$45,2),
HLOOKUP($B224,$Z$49:$AF$51,2))))))</f>
        <v>5041.9530000000004</v>
      </c>
      <c r="J224" s="612"/>
      <c r="K224" s="2553">
        <f t="shared" ca="1" si="77"/>
        <v>0</v>
      </c>
      <c r="L224" s="2927">
        <f t="shared" ca="1" si="78"/>
        <v>0</v>
      </c>
      <c r="M224" s="2928"/>
    </row>
    <row r="225" spans="1:14" hidden="1" x14ac:dyDescent="0.25">
      <c r="A225" s="3608">
        <v>2</v>
      </c>
      <c r="B225" s="2005">
        <f>B224</f>
        <v>2028</v>
      </c>
      <c r="C225" s="2002">
        <f ca="1">(IF(($AA$18&lt;$F$2)*AND(D215=12)*AND(C224=0),OFFSET($U$6,(ROUNDUP((ROW()-10)/29,0)-1),0),0))*C215</f>
        <v>0</v>
      </c>
      <c r="D225" s="2922">
        <f>D224</f>
        <v>2801.085</v>
      </c>
      <c r="E225" s="1595">
        <f ca="1">(C225*D225)+(C226*D226)</f>
        <v>0</v>
      </c>
      <c r="F225" s="510">
        <f ca="1">IF(($AA$19&lt;$F$2)*AND(D215&gt;=3)*AND(F224=0),OFFSET($U$6,(ROUNDUP((ROW()-10)/29,0)-1),0),0)*C215</f>
        <v>0</v>
      </c>
      <c r="G225" s="510">
        <f ca="1">IF(($AA$20&lt;$F$2)*AND(D215&gt;=3)*AND(G224=0),OFFSET($U$6,(ROUNDUP((ROW()-10)/29,0)-1),0),0)*C215</f>
        <v>0</v>
      </c>
      <c r="H225" s="510">
        <f ca="1">IF(($AA$21&lt;$F$2)*AND(D215&gt;=3)*AND(H224=0),OFFSET($U$6,(ROUNDUP((ROW()-10)/29,0)-1),0),0)*C215</f>
        <v>0</v>
      </c>
      <c r="I225" s="2929">
        <f>I224</f>
        <v>5041.9530000000004</v>
      </c>
      <c r="J225" s="611">
        <f ca="1">((SUM(F225:H225)*I225)+(SUM(F226:H226)*I226))</f>
        <v>0</v>
      </c>
      <c r="K225" s="2552">
        <f t="shared" ca="1" si="77"/>
        <v>0</v>
      </c>
      <c r="L225" s="2925">
        <f t="shared" ca="1" si="78"/>
        <v>0</v>
      </c>
      <c r="M225" s="2926">
        <f ca="1">SUM(K225:L226)</f>
        <v>0</v>
      </c>
    </row>
    <row r="226" spans="1:14" ht="15.75" hidden="1" thickBot="1" x14ac:dyDescent="0.3">
      <c r="A226" s="3613"/>
      <c r="B226" s="2007">
        <f>B225+1</f>
        <v>2029</v>
      </c>
      <c r="C226" s="2003">
        <f ca="1">(IF(($AB$18&lt;$F$2)*AND(D215=12)*AND(C225=0),OFFSET($U$6,(ROUNDUP((ROW()-10)/29,0)-1),0),0))*C215</f>
        <v>0</v>
      </c>
      <c r="D226" s="2931">
        <f>D225+D225*$AG$7</f>
        <v>2885.1175499999999</v>
      </c>
      <c r="E226" s="1594"/>
      <c r="F226" s="511">
        <f ca="1">IF(($AB$19&lt;$F$2)*AND(D215&gt;=3)*AND(F225=0),OFFSET($U$6,(ROUNDUP((ROW()-10)/29,0)-1),0),0)*C215</f>
        <v>0</v>
      </c>
      <c r="G226" s="511">
        <f ca="1">IF(($AB$20&lt;$F$2)*AND(D215&gt;=3)*AND(G225=0),OFFSET($U$6,(ROUNDUP((ROW()-10)/29,0)-1),0),0)*C215</f>
        <v>0</v>
      </c>
      <c r="H226" s="511">
        <f ca="1">IF(($AB$21&lt;$F$2)*AND(D215&gt;=3)*AND(H225=0),OFFSET($U$6,(ROUNDUP((ROW()-10)/29,0)-1),0),0)*C215</f>
        <v>0</v>
      </c>
      <c r="I226" s="2930">
        <f>I225+I225*$AG$7</f>
        <v>5193.2115900000008</v>
      </c>
      <c r="J226" s="612"/>
      <c r="K226" s="2553">
        <f t="shared" ca="1" si="77"/>
        <v>0</v>
      </c>
      <c r="L226" s="2927">
        <f t="shared" ca="1" si="78"/>
        <v>0</v>
      </c>
      <c r="M226" s="2928"/>
    </row>
    <row r="227" spans="1:14" hidden="1" x14ac:dyDescent="0.25">
      <c r="A227" s="3608">
        <v>3</v>
      </c>
      <c r="B227" s="2005">
        <f>B226</f>
        <v>2029</v>
      </c>
      <c r="C227" s="2002">
        <f ca="1">IF(($AB$18&lt;$F$2)*AND(D216=12)*AND(C226=0),OFFSET($U$6,(ROUNDUP((ROW()-10)/29,0)-1),0),0)*C216</f>
        <v>0</v>
      </c>
      <c r="D227" s="2924">
        <f>D226</f>
        <v>2885.1175499999999</v>
      </c>
      <c r="E227" s="1595">
        <f ca="1">(C227*D227)+(C228*D228)</f>
        <v>0</v>
      </c>
      <c r="F227" s="510">
        <f ca="1">IF(($AB$19&lt;$F$2)*AND(D216&gt;=3)*AND(F226=0),OFFSET($U$6,(ROUNDUP((ROW()-10)/29,0)-1),0),0)*C216</f>
        <v>0</v>
      </c>
      <c r="G227" s="510">
        <f ca="1">IF(($AB$20&lt;$F$2)*AND(D216&gt;=3)*AND(G226=0),OFFSET($U$6,(ROUNDUP((ROW()-10)/29,0)-1),0),0)*C216</f>
        <v>0</v>
      </c>
      <c r="H227" s="510">
        <f ca="1">IF(($AB$21&lt;$F$2)*AND(D216&gt;=3)*AND(H226=0),OFFSET($U$6,(ROUNDUP((ROW()-10)/29,0)-1),0),0)*C216</f>
        <v>0</v>
      </c>
      <c r="I227" s="2929">
        <f>I226</f>
        <v>5193.2115900000008</v>
      </c>
      <c r="J227" s="611">
        <f ca="1">((SUM(F227:H227)*I227)+(SUM(F228:H228)*I228))</f>
        <v>0</v>
      </c>
      <c r="K227" s="2552">
        <f t="shared" ca="1" si="77"/>
        <v>0</v>
      </c>
      <c r="L227" s="2925">
        <f t="shared" ca="1" si="78"/>
        <v>0</v>
      </c>
      <c r="M227" s="2926">
        <f ca="1">SUM(K227:L228)</f>
        <v>0</v>
      </c>
    </row>
    <row r="228" spans="1:14" ht="15.75" hidden="1" thickBot="1" x14ac:dyDescent="0.3">
      <c r="A228" s="3609"/>
      <c r="B228" s="2006">
        <f>B227+1</f>
        <v>2030</v>
      </c>
      <c r="C228" s="2001">
        <f ca="1">IF(($AC$18&lt;$F$2)*AND(D216=12)*AND(C227=0),OFFSET($U$6,(ROUNDUP((ROW()-10)/29,0)-1),0),0)*C216</f>
        <v>0</v>
      </c>
      <c r="D228" s="2932">
        <f>D227+D227*$AG$7</f>
        <v>2971.6710764999998</v>
      </c>
      <c r="E228" s="1594"/>
      <c r="F228" s="511">
        <f ca="1">IF(($AC$19&lt;$F$2)*AND(D216&gt;=3)*AND(F227=0),OFFSET($U$6,(ROUNDUP((ROW()-10)/29,0)-1),0),0)*C216</f>
        <v>0</v>
      </c>
      <c r="G228" s="511">
        <f ca="1">IF(($AC$20&lt;$F$2)*AND(D216&gt;=3)*AND(G227=0),OFFSET($U$6,(ROUNDUP((ROW()-10)/29,0)-1),0),0)*C216</f>
        <v>0</v>
      </c>
      <c r="H228" s="511">
        <f ca="1">IF(($AC$21&lt;$F$2)*AND(D216&gt;=3)*AND(H227=0),OFFSET($U$6,(ROUNDUP((ROW()-10)/29,0)-1),0),0)*C216</f>
        <v>0</v>
      </c>
      <c r="I228" s="2930">
        <f>I227+I227*$AG$7</f>
        <v>5349.0079377000011</v>
      </c>
      <c r="J228" s="612"/>
      <c r="K228" s="2553">
        <f t="shared" ca="1" si="77"/>
        <v>0</v>
      </c>
      <c r="L228" s="2927">
        <f t="shared" ca="1" si="78"/>
        <v>0</v>
      </c>
      <c r="M228" s="2928"/>
    </row>
    <row r="229" spans="1:14" hidden="1" x14ac:dyDescent="0.25">
      <c r="A229" s="3613">
        <v>4</v>
      </c>
      <c r="B229" s="2008">
        <f>B228</f>
        <v>2030</v>
      </c>
      <c r="C229" s="2000">
        <f ca="1">IF(($AC$11&lt;$F$2)*AND(D217=12)*AND(C228=0),OFFSET($U$6,(ROUNDUP((ROW()-10)/29,0)-1),0),0)*C217</f>
        <v>0</v>
      </c>
      <c r="D229" s="2921">
        <f>D228</f>
        <v>2971.6710764999998</v>
      </c>
      <c r="E229" s="1595">
        <f ca="1">(C229*D229)+(C230*D230)</f>
        <v>0</v>
      </c>
      <c r="F229" s="510">
        <f ca="1">IF(($AC$19&lt;$F$2)*AND(D217&gt;=3)*AND(F228=0),OFFSET($U$6,(ROUNDUP((ROW()-10)/29,0)-1),0),0)*C217</f>
        <v>0</v>
      </c>
      <c r="G229" s="510">
        <f ca="1">IF(($AC$20&lt;$F$2)*AND(D217&gt;=3)*AND(G228=0),OFFSET($U$6,(ROUNDUP((ROW()-10)/29,0)-1),0),0)*C217</f>
        <v>0</v>
      </c>
      <c r="H229" s="510">
        <f ca="1">IF(($AC$21&lt;$F$2)*AND(D217&gt;=3)*AND(H228=0),OFFSET($U$6,(ROUNDUP((ROW()-10)/29,0)-1),0),0)*C217</f>
        <v>0</v>
      </c>
      <c r="I229" s="2929">
        <f>I228</f>
        <v>5349.0079377000011</v>
      </c>
      <c r="J229" s="611">
        <f ca="1">((SUM(F229:H229)*I229)+(SUM(F230:H230)*I230))</f>
        <v>0</v>
      </c>
      <c r="K229" s="2552">
        <f t="shared" ca="1" si="77"/>
        <v>0</v>
      </c>
      <c r="L229" s="2925">
        <f t="shared" ca="1" si="78"/>
        <v>0</v>
      </c>
      <c r="M229" s="2926">
        <f ca="1">SUM(K229:L230)</f>
        <v>0</v>
      </c>
    </row>
    <row r="230" spans="1:14" ht="15.75" hidden="1" thickBot="1" x14ac:dyDescent="0.3">
      <c r="A230" s="3609"/>
      <c r="B230" s="2006">
        <f>B229+1</f>
        <v>2031</v>
      </c>
      <c r="C230" s="2001">
        <f ca="1">IF(($AD$18&lt;$F$2)*AND(D217=12)*AND(C229=0),OFFSET($U$6,(ROUNDUP((ROW()-10)/29,0)-1),0),0)*C217</f>
        <v>0</v>
      </c>
      <c r="D230" s="2923">
        <f>D229+D229*$AG$7</f>
        <v>3060.8212087949996</v>
      </c>
      <c r="E230" s="1594"/>
      <c r="F230" s="511">
        <f ca="1">IF(($AD$19&lt;$F$2)*AND(D217&gt;=3)*AND(F229=0),OFFSET($U$6,(ROUNDUP((ROW()-10)/29,0)-1),0),0)*C217</f>
        <v>0</v>
      </c>
      <c r="G230" s="511">
        <f ca="1">IF(($AD$20&lt;$F$2)*AND(D217&gt;=3)*AND(G229=0),OFFSET($U$6,(ROUNDUP((ROW()-10)/29,0)-1),0),0)*C217</f>
        <v>0</v>
      </c>
      <c r="H230" s="511">
        <f ca="1">IF(($AD$21&lt;$F$2)*AND(D217&gt;=3)*AND(H229=0),OFFSET($U$6,(ROUNDUP((ROW()-10)/29,0)-1),0),0)*C217</f>
        <v>0</v>
      </c>
      <c r="I230" s="2930">
        <f>I229+I229*$AG$7</f>
        <v>5509.478175831001</v>
      </c>
      <c r="J230" s="612"/>
      <c r="K230" s="2553">
        <f t="shared" ca="1" si="77"/>
        <v>0</v>
      </c>
      <c r="L230" s="2927">
        <f t="shared" ca="1" si="78"/>
        <v>0</v>
      </c>
      <c r="M230" s="2928"/>
    </row>
    <row r="231" spans="1:14" hidden="1" x14ac:dyDescent="0.25">
      <c r="A231" s="3608">
        <v>5</v>
      </c>
      <c r="B231" s="2005">
        <f>B230</f>
        <v>2031</v>
      </c>
      <c r="C231" s="2002">
        <f ca="1">IF(($AD$18&lt;$F$2)*AND(D218=12)*AND(C230=0),OFFSET($U$6,(ROUNDUP((ROW()-10)/29,0)-1),0),0)*C218</f>
        <v>0</v>
      </c>
      <c r="D231" s="2922">
        <f>D230</f>
        <v>3060.8212087949996</v>
      </c>
      <c r="E231" s="1595">
        <f ca="1">(C231*D231)+(C232*D232)</f>
        <v>0</v>
      </c>
      <c r="F231" s="510">
        <f ca="1">IF(($AD$19&lt;$F$2)*AND(D218&gt;=3)*AND(F230=0),OFFSET($U$6,(ROUNDUP((ROW()-10)/29,0)-1),0),0)*C218</f>
        <v>0</v>
      </c>
      <c r="G231" s="510">
        <f ca="1">IF(($AD$20&lt;$F$2)*AND(D218&gt;=3)*AND(G230=0),OFFSET($U$6,(ROUNDUP((ROW()-10)/29,0)-1),0),0)*C218</f>
        <v>0</v>
      </c>
      <c r="H231" s="510">
        <f ca="1">IF(($AD$21&lt;$F$2)*AND(D218&gt;=3)*AND(H230=0),OFFSET($U$6,(ROUNDUP((ROW()-10)/29,0)-1),0),0)*C218</f>
        <v>0</v>
      </c>
      <c r="I231" s="2929">
        <f>I230</f>
        <v>5509.478175831001</v>
      </c>
      <c r="J231" s="611">
        <f ca="1">((SUM(F231:H231)*I231)+(SUM(F232:H232)*I232))</f>
        <v>0</v>
      </c>
      <c r="K231" s="2552">
        <f t="shared" ca="1" si="77"/>
        <v>0</v>
      </c>
      <c r="L231" s="2925">
        <f t="shared" ca="1" si="78"/>
        <v>0</v>
      </c>
      <c r="M231" s="2926">
        <f ca="1">SUM(K231:L232)</f>
        <v>0</v>
      </c>
    </row>
    <row r="232" spans="1:14" ht="15.75" hidden="1" thickBot="1" x14ac:dyDescent="0.3">
      <c r="A232" s="3609"/>
      <c r="B232" s="2006">
        <f>B231+1</f>
        <v>2032</v>
      </c>
      <c r="C232" s="2001">
        <f ca="1">IF(($AE$18&lt;$F$2)*AND(D218=12)*AND(C231=0),OFFSET($U$6,(ROUNDUP((ROW()-10)/29,0)-1),0),0)*C218</f>
        <v>0</v>
      </c>
      <c r="D232" s="2923">
        <f>D231+D231*$AG$7</f>
        <v>3152.6458450588498</v>
      </c>
      <c r="E232" s="1594"/>
      <c r="F232" s="511">
        <f ca="1">IF(($AE$19&lt;$F$2)*AND(D218&gt;=3)*AND(F231=0),OFFSET($U$6,(ROUNDUP((ROW()-10)/29,0)-1),0),0)*C218</f>
        <v>0</v>
      </c>
      <c r="G232" s="511">
        <f ca="1">IF(($AE$20&lt;$F$2)*AND(D218&gt;=3)*AND(G231=0),OFFSET($U$6,(ROUNDUP((ROW()-10)/29,0)-1),0),0)*C218</f>
        <v>0</v>
      </c>
      <c r="H232" s="511">
        <f ca="1">IF(($AE$21&lt;$F$2)*AND(D218&gt;=3)*AND(H231=0),OFFSET($U$6,(ROUNDUP((ROW()-10)/29,0)-1),0),0)*C218</f>
        <v>0</v>
      </c>
      <c r="I232" s="2930">
        <f>I231+I231*$AG$7</f>
        <v>5674.7625211059312</v>
      </c>
      <c r="J232" s="612"/>
      <c r="K232" s="2553">
        <f t="shared" ca="1" si="77"/>
        <v>0</v>
      </c>
      <c r="L232" s="2927">
        <f t="shared" ca="1" si="78"/>
        <v>0</v>
      </c>
      <c r="M232" s="2928"/>
    </row>
    <row r="233" spans="1:14" hidden="1" x14ac:dyDescent="0.25">
      <c r="A233" s="3608">
        <v>6</v>
      </c>
      <c r="B233" s="2005">
        <f>B232</f>
        <v>2032</v>
      </c>
      <c r="C233" s="2002">
        <f ca="1">IF(($AE$18&lt;$F$2)*AND(D219=12)*AND(C232=0),OFFSET($U$6,(ROUNDUP((ROW()-10)/29,0)-1),0),0)*C219</f>
        <v>0</v>
      </c>
      <c r="D233" s="2922">
        <f>D232</f>
        <v>3152.6458450588498</v>
      </c>
      <c r="E233" s="1595">
        <f ca="1">(C233*D233)+(C234*D234)</f>
        <v>0</v>
      </c>
      <c r="F233" s="510">
        <f ca="1">IF(($AE$19&lt;$F$2)*AND(D219&gt;=3)*AND(F232=0),OFFSET($U$6,(ROUNDUP((ROW()-10)/29,0)-1),0),0)*C219</f>
        <v>0</v>
      </c>
      <c r="G233" s="510">
        <f ca="1">IF(($AE$20&lt;$F$2)*AND(D219&gt;=3)*AND(G232=0),OFFSET($U$6,(ROUNDUP((ROW()-10)/29,0)-1),0),0)*C219</f>
        <v>0</v>
      </c>
      <c r="H233" s="510">
        <f ca="1">IF(($AE$21&lt;$F$2)*AND(D219&gt;=3)*AND(H232=0),OFFSET($U$6,(ROUNDUP((ROW()-10)/29,0)-1),0),0)*C219</f>
        <v>0</v>
      </c>
      <c r="I233" s="2929">
        <f>I232</f>
        <v>5674.7625211059312</v>
      </c>
      <c r="J233" s="611">
        <f ca="1">((SUM(F233:H233)*I233)+(SUM(F234:H234)*I234))</f>
        <v>0</v>
      </c>
      <c r="K233" s="2552">
        <f t="shared" ca="1" si="77"/>
        <v>0</v>
      </c>
      <c r="L233" s="2925">
        <f t="shared" ca="1" si="78"/>
        <v>0</v>
      </c>
      <c r="M233" s="2926">
        <f ca="1">SUM(K233:L234)</f>
        <v>0</v>
      </c>
    </row>
    <row r="234" spans="1:14" ht="15.75" hidden="1" thickBot="1" x14ac:dyDescent="0.3">
      <c r="A234" s="3609"/>
      <c r="B234" s="2006">
        <f>B233+1</f>
        <v>2033</v>
      </c>
      <c r="C234" s="2004">
        <f ca="1">IF(($AF$18&lt;$F$2)*AND(D219=12)*AND(C233=0),OFFSET($U$6,(ROUNDUP((ROW()-10)/29,0)-1),0),0)*C219</f>
        <v>0</v>
      </c>
      <c r="D234" s="2923">
        <f>D233+D233*$AG$7</f>
        <v>3247.2252204106153</v>
      </c>
      <c r="E234" s="1594"/>
      <c r="F234" s="511">
        <f ca="1">IF(($AF$19&lt;$F$2)*AND(D219&gt;=3)*AND(F233=0),OFFSET($U$6,(ROUNDUP((ROW()-10)/29,0)-1),0),0)*C219</f>
        <v>0</v>
      </c>
      <c r="G234" s="511">
        <f ca="1">IF(($AF$20&lt;$F$2)*AND(D219&gt;=3)*AND(G233=0),OFFSET($U$6,(ROUNDUP((ROW()-10)/29,0)-1),0),0)*C219</f>
        <v>0</v>
      </c>
      <c r="H234" s="511">
        <f ca="1">IF(($AF$21&lt;$F$2)*AND(D219&gt;=3)*AND(H233=0),OFFSET($U$6,(ROUNDUP((ROW()-10)/29,0)-1),0),0)*C219</f>
        <v>0</v>
      </c>
      <c r="I234" s="2930">
        <f>I233+I233*$AG$7</f>
        <v>5845.0053967391095</v>
      </c>
      <c r="J234" s="612"/>
      <c r="K234" s="2553">
        <f t="shared" ca="1" si="77"/>
        <v>0</v>
      </c>
      <c r="L234" s="2927">
        <f t="shared" ca="1" si="78"/>
        <v>0</v>
      </c>
      <c r="M234" s="2928"/>
    </row>
    <row r="235" spans="1:14" ht="15.75" hidden="1" thickBot="1" x14ac:dyDescent="0.3">
      <c r="C235" s="3616" t="s">
        <v>96</v>
      </c>
      <c r="D235" s="3617"/>
      <c r="E235" s="2933">
        <f ca="1">SUM(E223:E233)</f>
        <v>0</v>
      </c>
      <c r="F235" s="60"/>
      <c r="G235" s="2936" t="s">
        <v>102</v>
      </c>
      <c r="H235" s="3618" t="s">
        <v>57</v>
      </c>
      <c r="I235" s="3619"/>
      <c r="J235" s="2934">
        <f ca="1">SUM(J223:J233)</f>
        <v>0</v>
      </c>
      <c r="K235" s="3610" t="s">
        <v>103</v>
      </c>
      <c r="L235" s="3611"/>
      <c r="M235" s="2935">
        <f ca="1">SUM(M223:M234)</f>
        <v>0</v>
      </c>
    </row>
    <row r="236" spans="1:14" ht="15.75" hidden="1" thickBot="1" x14ac:dyDescent="0.3">
      <c r="A236" s="71"/>
      <c r="B236" s="71"/>
      <c r="C236" s="71"/>
      <c r="D236" s="71"/>
      <c r="E236" s="71"/>
      <c r="F236" s="71"/>
      <c r="G236" s="71"/>
      <c r="H236" s="71"/>
      <c r="I236" s="71"/>
      <c r="J236" s="71"/>
      <c r="K236" s="71"/>
      <c r="L236" s="71"/>
      <c r="M236" s="615"/>
    </row>
    <row r="237" spans="1:14" ht="16.5" hidden="1" thickTop="1" thickBot="1" x14ac:dyDescent="0.3"/>
    <row r="238" spans="1:14" ht="15.75" hidden="1" thickBot="1" x14ac:dyDescent="0.3">
      <c r="A238" s="64" t="str">
        <f>'DATA INPUT'!B37</f>
        <v>GA #09 / Sponsor Funds</v>
      </c>
      <c r="B238" s="65"/>
      <c r="C238" s="65"/>
      <c r="D238" s="65"/>
      <c r="E238" s="65"/>
      <c r="F238" s="65"/>
      <c r="G238" s="65"/>
      <c r="H238" s="65"/>
      <c r="I238" s="65"/>
      <c r="J238" s="65"/>
      <c r="K238" s="65"/>
      <c r="L238" s="65"/>
      <c r="M238" s="1598"/>
      <c r="N238" s="1598"/>
    </row>
    <row r="239" spans="1:14" ht="15" hidden="1" customHeight="1" thickBot="1" x14ac:dyDescent="0.3">
      <c r="A239" s="3620" t="s">
        <v>80</v>
      </c>
      <c r="B239" s="3621"/>
      <c r="C239" s="1712">
        <f>'DATA INPUT'!C37</f>
        <v>0</v>
      </c>
      <c r="E239" s="1760" t="s">
        <v>135</v>
      </c>
      <c r="F239" s="1761">
        <f>'DATA INPUT'!E37</f>
        <v>0</v>
      </c>
      <c r="G239" s="1760" t="s">
        <v>82</v>
      </c>
      <c r="H239" s="1734">
        <f>'DATA INPUT'!F37</f>
        <v>0.49</v>
      </c>
      <c r="I239" s="1737" t="s">
        <v>88</v>
      </c>
      <c r="J239" s="1746">
        <f>IFERROR(VLOOKUP(C239,Table_Units[],IF(F239='Reference Sheet'!$H$37,3,2),FALSE)*1,0)</f>
        <v>0</v>
      </c>
      <c r="K239" s="1746"/>
      <c r="L239" s="66"/>
      <c r="M239" s="1712"/>
      <c r="N239" s="1762"/>
    </row>
    <row r="240" spans="1:14" ht="15" hidden="1" customHeight="1" thickBot="1" x14ac:dyDescent="0.3">
      <c r="A240" s="1716"/>
      <c r="B240" s="3445" t="s">
        <v>254</v>
      </c>
      <c r="C240" s="3560" t="s">
        <v>517</v>
      </c>
      <c r="D240" s="3444" t="s">
        <v>518</v>
      </c>
      <c r="E240" s="3445" t="s">
        <v>519</v>
      </c>
      <c r="F240" s="3445" t="s">
        <v>521</v>
      </c>
      <c r="G240" s="3614" t="s">
        <v>65</v>
      </c>
      <c r="H240" s="3614"/>
      <c r="I240" s="3614"/>
      <c r="J240" s="3614"/>
      <c r="K240" s="3445" t="s">
        <v>84</v>
      </c>
      <c r="L240" s="1996" t="s">
        <v>78</v>
      </c>
      <c r="M240" s="1997"/>
      <c r="N240" s="3558" t="s">
        <v>87</v>
      </c>
    </row>
    <row r="241" spans="1:15" ht="15" hidden="1" customHeight="1" thickBot="1" x14ac:dyDescent="0.3">
      <c r="A241" s="3445" t="s">
        <v>253</v>
      </c>
      <c r="B241" s="3445"/>
      <c r="C241" s="3561"/>
      <c r="D241" s="3445"/>
      <c r="E241" s="3445"/>
      <c r="F241" s="3445"/>
      <c r="G241" s="3444" t="s">
        <v>86</v>
      </c>
      <c r="H241" s="3444" t="s">
        <v>59</v>
      </c>
      <c r="I241" s="3444" t="s">
        <v>60</v>
      </c>
      <c r="J241" s="3444" t="s">
        <v>66</v>
      </c>
      <c r="K241" s="3445"/>
      <c r="L241" s="1998" t="s">
        <v>616</v>
      </c>
      <c r="M241" s="1999">
        <f>'Reference Sheet'!$E$14</f>
        <v>0.28499999999999998</v>
      </c>
      <c r="N241" s="3566"/>
    </row>
    <row r="242" spans="1:15" ht="15.75" hidden="1" thickBot="1" x14ac:dyDescent="0.3">
      <c r="A242" s="3446"/>
      <c r="B242" s="3446"/>
      <c r="C242" s="3615"/>
      <c r="D242" s="3446"/>
      <c r="E242" s="3446"/>
      <c r="F242" s="3446"/>
      <c r="G242" s="3446"/>
      <c r="H242" s="3446"/>
      <c r="I242" s="3446"/>
      <c r="J242" s="3446"/>
      <c r="K242" s="3446"/>
      <c r="L242" s="1769" t="s">
        <v>67</v>
      </c>
      <c r="M242" s="1683" t="s">
        <v>68</v>
      </c>
      <c r="N242" s="3612"/>
    </row>
    <row r="243" spans="1:15" hidden="1" x14ac:dyDescent="0.25">
      <c r="A243" s="1685">
        <v>1</v>
      </c>
      <c r="B243" s="1770">
        <f>$K$3</f>
        <v>12</v>
      </c>
      <c r="C243" s="1685">
        <f>'DATA INPUT'!I37</f>
        <v>0</v>
      </c>
      <c r="D243" s="1693">
        <f>IF(C243&lt;1,0,IF((B243&gt;0),'DATA INPUT'!$G$37,0))</f>
        <v>0</v>
      </c>
      <c r="E243" s="1773">
        <f t="shared" ref="E243:E248" ca="1" si="79">(D243*(2080/12))*OFFSET($H$7,29*(ROUNDUP(ROW()/29,0)-1),0)</f>
        <v>0</v>
      </c>
      <c r="F243" s="1684">
        <f t="shared" ref="F243:F248" ca="1" si="80">((D243*(2080/12))*OFFSET($H$7,29*(ROUNDUP(ROW()/29,0)-1),0))*C243</f>
        <v>0</v>
      </c>
      <c r="G243" s="1149">
        <v>0.03</v>
      </c>
      <c r="H243" s="460">
        <f>(J239*G243)+J239</f>
        <v>0</v>
      </c>
      <c r="I243" s="492">
        <f t="shared" ref="I243:I248" ca="1" si="81">H243/12*OFFSET($H$7,29*(ROUNDUP(ROW(H243)/29,0)-1),0)</f>
        <v>0</v>
      </c>
      <c r="J243" s="2400">
        <f t="shared" ref="J243:J248" si="82">(H243/12)/(2080/12)</f>
        <v>0</v>
      </c>
      <c r="K243" s="1766">
        <f t="shared" ref="K243:K248" ca="1" si="83">I243*D243*C243</f>
        <v>0</v>
      </c>
      <c r="L243" s="626">
        <f>IF($U$3&lt;$T$3, M241, IF($U$3&gt;$W$3, M241+2*$Q$6, M241+$Q$6))</f>
        <v>0.28499999999999998</v>
      </c>
      <c r="M243" s="1500">
        <f t="shared" ref="M243:M248" ca="1" si="84">L243*K243</f>
        <v>0</v>
      </c>
      <c r="N243" s="2400">
        <f t="shared" ref="N243:N248" si="85">((H243/12)/(2080/12))+(((H243/12)*L243)/(2080/12))</f>
        <v>0</v>
      </c>
      <c r="O243" s="58" t="str">
        <f ca="1">IF(ABS(C243*D243*OFFSET($U$6,(ROUNDUP((ROW()-10)/29,0)-1),0)-3*SUM(C252:C253,F252:H253))&gt; 0.01,"Mismatch: Tuition vs Months","")</f>
        <v/>
      </c>
    </row>
    <row r="244" spans="1:15" hidden="1" x14ac:dyDescent="0.25">
      <c r="A244" s="1687">
        <v>2</v>
      </c>
      <c r="B244" s="1771">
        <f>$L$3</f>
        <v>0</v>
      </c>
      <c r="C244" s="1687">
        <f>'DATA INPUT'!J37</f>
        <v>0</v>
      </c>
      <c r="D244" s="1693">
        <f>IF(C244&lt;1,0,IF((B244&gt;0),'DATA INPUT'!$G$37,0))</f>
        <v>0</v>
      </c>
      <c r="E244" s="1774">
        <f t="shared" ca="1" si="79"/>
        <v>0</v>
      </c>
      <c r="F244" s="1686">
        <f t="shared" ca="1" si="80"/>
        <v>0</v>
      </c>
      <c r="G244" s="461">
        <v>0.03</v>
      </c>
      <c r="H244" s="462">
        <f>(H243*G244)+H243</f>
        <v>0</v>
      </c>
      <c r="I244" s="501">
        <f t="shared" ca="1" si="81"/>
        <v>0</v>
      </c>
      <c r="J244" s="2397">
        <f t="shared" si="82"/>
        <v>0</v>
      </c>
      <c r="K244" s="1767">
        <f t="shared" ca="1" si="83"/>
        <v>0</v>
      </c>
      <c r="L244" s="625">
        <f>L243+$Q$6</f>
        <v>0.30499999999999999</v>
      </c>
      <c r="M244" s="1541">
        <f t="shared" ca="1" si="84"/>
        <v>0</v>
      </c>
      <c r="N244" s="2398">
        <f t="shared" si="85"/>
        <v>0</v>
      </c>
      <c r="O244" s="58" t="str">
        <f ca="1">IF(ABS(C244*D244*OFFSET($U$6,(ROUNDUP((ROW()-10)/29,0)-1),0)-3*SUM(C254:C255,F254:H255))&gt;0.01,"Mismatch: Tuition vs Months","")</f>
        <v/>
      </c>
    </row>
    <row r="245" spans="1:15" hidden="1" x14ac:dyDescent="0.25">
      <c r="A245" s="1687">
        <v>3</v>
      </c>
      <c r="B245" s="1771">
        <f>$M$3</f>
        <v>0</v>
      </c>
      <c r="C245" s="1687">
        <f>'DATA INPUT'!K37</f>
        <v>0</v>
      </c>
      <c r="D245" s="1693">
        <f>IF(C245&lt;1,0,IF((B245&gt;0),'DATA INPUT'!$G$37,0))</f>
        <v>0</v>
      </c>
      <c r="E245" s="1774">
        <f t="shared" ca="1" si="79"/>
        <v>0</v>
      </c>
      <c r="F245" s="1686">
        <f t="shared" ca="1" si="80"/>
        <v>0</v>
      </c>
      <c r="G245" s="461">
        <v>0.03</v>
      </c>
      <c r="H245" s="462">
        <f>(H244*G245)+H244</f>
        <v>0</v>
      </c>
      <c r="I245" s="501">
        <f t="shared" ca="1" si="81"/>
        <v>0</v>
      </c>
      <c r="J245" s="2397">
        <f t="shared" si="82"/>
        <v>0</v>
      </c>
      <c r="K245" s="1767">
        <f t="shared" ca="1" si="83"/>
        <v>0</v>
      </c>
      <c r="L245" s="625">
        <f>L244+$Q$6</f>
        <v>0.32500000000000001</v>
      </c>
      <c r="M245" s="1541">
        <f t="shared" ca="1" si="84"/>
        <v>0</v>
      </c>
      <c r="N245" s="2398">
        <f t="shared" si="85"/>
        <v>0</v>
      </c>
      <c r="O245" s="58" t="str">
        <f ca="1">IF(ABS(C245*D245*OFFSET($U$6,(ROUNDUP((ROW()-10)/29,0)-1),0)-3*SUM(C256:C257,F256:H257))&gt;0.01,"Mismatch: Tuition vs Months","")</f>
        <v/>
      </c>
    </row>
    <row r="246" spans="1:15" hidden="1" x14ac:dyDescent="0.25">
      <c r="A246" s="1687">
        <v>4</v>
      </c>
      <c r="B246" s="1771">
        <f>$N$3</f>
        <v>0</v>
      </c>
      <c r="C246" s="1687">
        <f>'DATA INPUT'!L37</f>
        <v>0</v>
      </c>
      <c r="D246" s="1693">
        <f>IF(C246&lt;1,0,IF((B246&gt;0),'DATA INPUT'!$G$37,0))</f>
        <v>0</v>
      </c>
      <c r="E246" s="1774">
        <f t="shared" ca="1" si="79"/>
        <v>0</v>
      </c>
      <c r="F246" s="1686">
        <f t="shared" ca="1" si="80"/>
        <v>0</v>
      </c>
      <c r="G246" s="461">
        <v>0.03</v>
      </c>
      <c r="H246" s="462">
        <f>(H245*G246)+H245</f>
        <v>0</v>
      </c>
      <c r="I246" s="501">
        <f t="shared" ca="1" si="81"/>
        <v>0</v>
      </c>
      <c r="J246" s="2397">
        <f t="shared" si="82"/>
        <v>0</v>
      </c>
      <c r="K246" s="1767">
        <f t="shared" ca="1" si="83"/>
        <v>0</v>
      </c>
      <c r="L246" s="625">
        <f>L245+$Q$6</f>
        <v>0.34500000000000003</v>
      </c>
      <c r="M246" s="1541">
        <f t="shared" ca="1" si="84"/>
        <v>0</v>
      </c>
      <c r="N246" s="2398">
        <f t="shared" si="85"/>
        <v>0</v>
      </c>
      <c r="O246" s="58" t="str">
        <f ca="1">IF(ABS(C246*D246*OFFSET($U$6,(ROUNDUP((ROW()-10)/29,0)-1),0)-3*SUM(C258:C259,F258:H259))&gt;0.01,"Mismatch: Tuition vs Months","")</f>
        <v/>
      </c>
    </row>
    <row r="247" spans="1:15" hidden="1" x14ac:dyDescent="0.25">
      <c r="A247" s="1687">
        <v>5</v>
      </c>
      <c r="B247" s="1771">
        <f>$O$3</f>
        <v>0</v>
      </c>
      <c r="C247" s="1687">
        <f>'DATA INPUT'!M37</f>
        <v>0</v>
      </c>
      <c r="D247" s="1693">
        <f>IF(C247&lt;1,0,IF((B247&gt;0),'DATA INPUT'!$G$37,0))</f>
        <v>0</v>
      </c>
      <c r="E247" s="1774">
        <f t="shared" ca="1" si="79"/>
        <v>0</v>
      </c>
      <c r="F247" s="1686">
        <f t="shared" ca="1" si="80"/>
        <v>0</v>
      </c>
      <c r="G247" s="461">
        <v>0.03</v>
      </c>
      <c r="H247" s="462">
        <f>(H246*G247)+H246</f>
        <v>0</v>
      </c>
      <c r="I247" s="501">
        <f t="shared" ca="1" si="81"/>
        <v>0</v>
      </c>
      <c r="J247" s="2397">
        <f t="shared" si="82"/>
        <v>0</v>
      </c>
      <c r="K247" s="1767">
        <f t="shared" ca="1" si="83"/>
        <v>0</v>
      </c>
      <c r="L247" s="625">
        <f>L246+$Q$6</f>
        <v>0.36500000000000005</v>
      </c>
      <c r="M247" s="1541">
        <f t="shared" ca="1" si="84"/>
        <v>0</v>
      </c>
      <c r="N247" s="2398">
        <f t="shared" si="85"/>
        <v>0</v>
      </c>
      <c r="O247" s="58" t="str">
        <f ca="1">IF(ABS(C247*D247*OFFSET($U$6,(ROUNDUP((ROW()-10)/29,0)-1),0)-3*SUM(C260:C261,F260:H261))&gt;0.01,"Mismatch: Tuition vs Months","")</f>
        <v/>
      </c>
    </row>
    <row r="248" spans="1:15" ht="15.75" hidden="1" thickBot="1" x14ac:dyDescent="0.3">
      <c r="A248" s="1691">
        <v>6</v>
      </c>
      <c r="B248" s="1772">
        <f>$P$3</f>
        <v>0</v>
      </c>
      <c r="C248" s="1689">
        <f>'DATA INPUT'!N37</f>
        <v>0</v>
      </c>
      <c r="D248" s="1694">
        <f>IF(C248&lt;1,0,IF((B248&gt;0),'DATA INPUT'!$G$37,0))</f>
        <v>0</v>
      </c>
      <c r="E248" s="1733">
        <f t="shared" ca="1" si="79"/>
        <v>0</v>
      </c>
      <c r="F248" s="1688">
        <f t="shared" ca="1" si="80"/>
        <v>0</v>
      </c>
      <c r="G248" s="463">
        <v>0.03</v>
      </c>
      <c r="H248" s="464">
        <f>(H247*G248)+H247</f>
        <v>0</v>
      </c>
      <c r="I248" s="502">
        <f t="shared" ca="1" si="81"/>
        <v>0</v>
      </c>
      <c r="J248" s="2413">
        <f t="shared" si="82"/>
        <v>0</v>
      </c>
      <c r="K248" s="1768">
        <f t="shared" ca="1" si="83"/>
        <v>0</v>
      </c>
      <c r="L248" s="627">
        <f>L247+$Q$6</f>
        <v>0.38500000000000006</v>
      </c>
      <c r="M248" s="1690">
        <f t="shared" ca="1" si="84"/>
        <v>0</v>
      </c>
      <c r="N248" s="2399">
        <f t="shared" si="85"/>
        <v>0</v>
      </c>
      <c r="O248" s="58" t="str">
        <f ca="1">IF(ABS(C248*D248*OFFSET($U$6,(ROUNDUP((ROW()-10)/29,0)-1),0)-3*SUM(C262:C263,F262:H263))&gt;0.01,"Mismatch: Tuition vs Months","")</f>
        <v/>
      </c>
    </row>
    <row r="249" spans="1:15" ht="15.75" hidden="1" thickBot="1" x14ac:dyDescent="0.3">
      <c r="A249" s="624" t="s">
        <v>85</v>
      </c>
      <c r="B249" s="519">
        <f>SUM(B243:B248)</f>
        <v>12</v>
      </c>
      <c r="C249" s="519">
        <f>SUM(C243:C248)</f>
        <v>0</v>
      </c>
      <c r="D249" s="1692">
        <f>SUM(D243:D248)</f>
        <v>0</v>
      </c>
      <c r="E249" s="1695">
        <f ca="1">SUM(E243:E248)</f>
        <v>0</v>
      </c>
      <c r="F249" s="1695">
        <f ca="1">SUM(F243:F248)</f>
        <v>0</v>
      </c>
      <c r="K249" s="1508">
        <f ca="1">SUM(K243:K248)</f>
        <v>0</v>
      </c>
      <c r="M249" s="1508">
        <f ca="1">SUM(M243:M248)</f>
        <v>0</v>
      </c>
      <c r="N249" s="60"/>
    </row>
    <row r="250" spans="1:15" ht="15.75" hidden="1" thickBot="1" x14ac:dyDescent="0.3"/>
    <row r="251" spans="1:15" ht="30.75" hidden="1" thickBot="1" x14ac:dyDescent="0.3">
      <c r="A251" s="1990" t="s">
        <v>253</v>
      </c>
      <c r="B251" s="1990" t="s">
        <v>299</v>
      </c>
      <c r="C251" s="1979" t="s">
        <v>17</v>
      </c>
      <c r="D251" s="1980" t="s">
        <v>96</v>
      </c>
      <c r="E251" s="1981" t="s">
        <v>474</v>
      </c>
      <c r="F251" s="1991" t="s">
        <v>41</v>
      </c>
      <c r="G251" s="1992" t="s">
        <v>42</v>
      </c>
      <c r="H251" s="1992" t="s">
        <v>43</v>
      </c>
      <c r="I251" s="1992" t="s">
        <v>57</v>
      </c>
      <c r="J251" s="1993" t="s">
        <v>472</v>
      </c>
      <c r="K251" s="1980" t="s">
        <v>100</v>
      </c>
      <c r="L251" s="1991" t="s">
        <v>99</v>
      </c>
      <c r="M251" s="1994" t="s">
        <v>101</v>
      </c>
    </row>
    <row r="252" spans="1:15" hidden="1" x14ac:dyDescent="0.25">
      <c r="A252" s="3613">
        <v>1</v>
      </c>
      <c r="B252" s="2005">
        <f>IF($C$2&lt;DATE($Z$6,4,15),$Z$6,IF($C$2&lt;DATE($AA$6,4,15),$AA$6,IF($C$2&lt;DATE($AB$6,4,15),$AB$6,IF($C$2&lt;DATE($AC$6,4,15),$AC$6,$AD$6))))</f>
        <v>2027</v>
      </c>
      <c r="C252" s="2000">
        <f ca="1">(IF($C$2&lt;=$Z$14*AND(D243&gt;=3)*AND($F$2&gt;=$Z$18),OFFSET($U$6,(ROUNDUP((ROW()-10)/29,0)-1),0),0)*IF(D243=9,0,1))*C243</f>
        <v>0</v>
      </c>
      <c r="D252" s="2921">
        <f>IF(OR($C239="COE",$C239="CCE",$C239="CBEE",$C239="EECS",$C239="MIME",$C239="NSE",$C239="PMEC"),HLOOKUP($B252,$Z$6:$AF$10,3),
IF(($C239="COB"),HLOOKUP($B252,$Z$25:$AF$27,3),
IF(($C239="CPH"),HLOOKUP($B252,$Z$31:$AF$33,3),
IF(($C239="VetMed"),HLOOKUP($B252,$Z$37:$AF$39,3),
IF(($C239="Pharm"),HLOOKUP($B252,$Z$43:$AF$45,3),
HLOOKUP($B252,$Z$49:$AF$51,3))))))</f>
        <v>2719.5</v>
      </c>
      <c r="E252" s="1987">
        <f ca="1">(C252*D252)+(C253*D253)</f>
        <v>0</v>
      </c>
      <c r="F252" s="1988">
        <f ca="1">IF($C$2&lt;=$Z$15*AND(D243&gt;=3)*AND($F$2&gt;=$Z$19),OFFSET($U$6,(ROUNDUP((ROW()-10)/29,0)-1),0),0)*C243</f>
        <v>0</v>
      </c>
      <c r="G252" s="1988">
        <f ca="1">IF($C$2&lt;=$Z$16*AND(D243&gt;=3)*AND($F$2&gt;=$Z$20),OFFSET($U$6,(ROUNDUP((ROW()-10)/29,0)-1),0),0)*C243</f>
        <v>0</v>
      </c>
      <c r="H252" s="1988">
        <f ca="1">IF($C$2&lt;=$Z$17*AND(D243&gt;=3)*AND($F$2&gt;=$Z$21),OFFSET($U$6,(ROUNDUP((ROW()-10)/29,0)-1),0),0)*C243</f>
        <v>0</v>
      </c>
      <c r="I252" s="2921">
        <f>IF(OR($C239="COE",$C239="CCE",$C239="CBEE",$C239="EECS",$C239="MIME",$C239="NSE",$C239="PMEC"),HLOOKUP($B252,$Z$6:$AF$10,2),
IF(($C239="COB"),HLOOKUP($B252,$Z$25:$AF$27,2),
IF(($C239="CPH"),HLOOKUP($B252,$Z$31:$AF$33,2),
IF(($C239="VetMed"),HLOOKUP($B252,$Z$37:$AF$39,2),
IF(($C239="Pharm"),HLOOKUP($B252,$Z$43:$AF$45,2),
HLOOKUP($B252,$Z$49:$AF$51,2))))))</f>
        <v>4895.1000000000004</v>
      </c>
      <c r="J252" s="1989">
        <f ca="1">((SUM(F252:H252)*I252)+(SUM(F253:H253)*I253))</f>
        <v>0</v>
      </c>
      <c r="K252" s="2552">
        <f t="shared" ref="K252:K263" ca="1" si="86">C252*HLOOKUP($B252,$Z$6:$AF$10,5)</f>
        <v>0</v>
      </c>
      <c r="L252" s="2925">
        <f t="shared" ref="L252:L263" ca="1" si="87">SUM(F252:H252)*HLOOKUP($B252,$Z$6:$AF$10,4)</f>
        <v>0</v>
      </c>
      <c r="M252" s="2926">
        <f ca="1">SUM(K252:L253)</f>
        <v>0</v>
      </c>
    </row>
    <row r="253" spans="1:15" ht="15.75" hidden="1" thickBot="1" x14ac:dyDescent="0.3">
      <c r="A253" s="3609"/>
      <c r="B253" s="2006">
        <f>B252+1</f>
        <v>2028</v>
      </c>
      <c r="C253" s="2001">
        <f ca="1">(IF($C$2&lt;=$AA$14*AND(D243&gt;=3)*AND($F$2&gt;=$AA$18),OFFSET($U$6,(ROUNDUP((ROW()-10)/29,0)-1),0),0)*IF(D243=9,0,1)*IF(C252=0,1,0))*C243</f>
        <v>0</v>
      </c>
      <c r="D253" s="2921">
        <f>IF(OR($C239="COE",$C239="CCE",$C239="CBEE",$C239="EECS",$C239="MIME",$C239="NSE",$C239="PMEC"),HLOOKUP($B253,$Z$6:$AF$10,3),
IF(($C239="COB"),HLOOKUP($B253,$Z$25:$AF$27,3),
IF(($C239="CPH"),HLOOKUP($B253,$Z$31:$AF$33,3),
IF(($C239="VetMed"),HLOOKUP($B253,$Z$37:$AF$39,3),
IF(($C239="Pharm"),HLOOKUP($B253,$Z$43:$AF$45,3),
HLOOKUP($B253,$Z$49:$AF$51,3))))))</f>
        <v>2801.085</v>
      </c>
      <c r="E253" s="1594"/>
      <c r="F253" s="511">
        <f ca="1">IF(($C$2&lt;=$AA$15)*AND(D243&gt;=3)*AND(F252=0)*AND($F$2&gt;=$AA$19),OFFSET($U$6,(ROUNDUP((ROW()-10)/29,0)-1),0),0)*C243</f>
        <v>0</v>
      </c>
      <c r="G253" s="511">
        <f ca="1">IF(($C$2&lt;=$AA$16)*AND(D243&gt;=3)*AND(G252=0)*AND($F$2&gt;=$AA$20),OFFSET($U$6,(ROUNDUP((ROW()-10)/29,0)-1),0),0)*C243</f>
        <v>0</v>
      </c>
      <c r="H253" s="511">
        <f ca="1">IF($C$2&lt;=$AA$17*AND(D243&gt;=3)*AND(H252=0)*AND($F$2&gt;=$AA$21),OFFSET($U$6,(ROUNDUP((ROW()-10)/29,0)-1),0),0)*C243</f>
        <v>0</v>
      </c>
      <c r="I253" s="2921">
        <f>IF(OR($C239="COE",$C239="CCE",$C239="CBEE",$C239="EECS",$C239="MIME",$C239="NSE",$C239="PMEC"),HLOOKUP($B253,$Z$6:$AF$10,2),
IF(($C239="COB"),HLOOKUP($B253,$Z$25:$AF$27,2),
IF(($C239="CPH"),HLOOKUP($B253,$Z$31:$AF$33,2),
IF(($C239="VetMed"),HLOOKUP($B253,$Z$37:$AF$39,2),
IF(($C239="Pharm"),HLOOKUP($B253,$Z$43:$AF$45,2),
HLOOKUP($B253,$Z$49:$AF$51,2))))))</f>
        <v>5041.9530000000004</v>
      </c>
      <c r="J253" s="612"/>
      <c r="K253" s="2553">
        <f t="shared" ca="1" si="86"/>
        <v>0</v>
      </c>
      <c r="L253" s="2927">
        <f t="shared" ca="1" si="87"/>
        <v>0</v>
      </c>
      <c r="M253" s="2928"/>
    </row>
    <row r="254" spans="1:15" hidden="1" x14ac:dyDescent="0.25">
      <c r="A254" s="3608">
        <v>2</v>
      </c>
      <c r="B254" s="2005">
        <f>B253</f>
        <v>2028</v>
      </c>
      <c r="C254" s="2002">
        <f ca="1">(IF(($AA$18&lt;$F$2)*AND(D244=12)*AND(C253=0),OFFSET($U$6,(ROUNDUP((ROW()-10)/29,0)-1),0),0))*C244</f>
        <v>0</v>
      </c>
      <c r="D254" s="2922">
        <f>D253</f>
        <v>2801.085</v>
      </c>
      <c r="E254" s="1595">
        <f ca="1">(C254*D254)+(C255*D255)</f>
        <v>0</v>
      </c>
      <c r="F254" s="510">
        <f ca="1">IF(($AA$19&lt;$F$2)*AND(D244&gt;=3)*AND(F253=0),OFFSET($U$6,(ROUNDUP((ROW()-10)/29,0)-1),0),0)*C244</f>
        <v>0</v>
      </c>
      <c r="G254" s="510">
        <f ca="1">IF(($AA$20&lt;$F$2)*AND(D244&gt;=3)*AND(G253=0),OFFSET($U$6,(ROUNDUP((ROW()-10)/29,0)-1),0),0)*C244</f>
        <v>0</v>
      </c>
      <c r="H254" s="510">
        <f ca="1">IF(($AA$21&lt;$F$2)*AND(D244&gt;=3)*AND(H253=0),OFFSET($U$6,(ROUNDUP((ROW()-10)/29,0)-1),0),0)*C244</f>
        <v>0</v>
      </c>
      <c r="I254" s="2929">
        <f>I253</f>
        <v>5041.9530000000004</v>
      </c>
      <c r="J254" s="611">
        <f ca="1">((SUM(F254:H254)*I254)+(SUM(F255:H255)*I255))</f>
        <v>0</v>
      </c>
      <c r="K254" s="2552">
        <f t="shared" ca="1" si="86"/>
        <v>0</v>
      </c>
      <c r="L254" s="2925">
        <f t="shared" ca="1" si="87"/>
        <v>0</v>
      </c>
      <c r="M254" s="2926">
        <f ca="1">SUM(K254:L255)</f>
        <v>0</v>
      </c>
    </row>
    <row r="255" spans="1:15" ht="15.75" hidden="1" thickBot="1" x14ac:dyDescent="0.3">
      <c r="A255" s="3613"/>
      <c r="B255" s="2007">
        <f>B254+1</f>
        <v>2029</v>
      </c>
      <c r="C255" s="2003">
        <f ca="1">(IF(($AB$18&lt;$F$2)*AND(D244=12)*AND(C254=0),OFFSET($U$6,(ROUNDUP((ROW()-10)/29,0)-1),0),0))*C244</f>
        <v>0</v>
      </c>
      <c r="D255" s="2931">
        <f>D254+D254*$AG$7</f>
        <v>2885.1175499999999</v>
      </c>
      <c r="E255" s="1594"/>
      <c r="F255" s="511">
        <f ca="1">IF(($AB$19&lt;$F$2)*AND(D244&gt;=3)*AND(F254=0),OFFSET($U$6,(ROUNDUP((ROW()-10)/29,0)-1),0),0)*C244</f>
        <v>0</v>
      </c>
      <c r="G255" s="511">
        <f ca="1">IF(($AB$20&lt;$F$2)*AND(D244&gt;=3)*AND(G254=0),OFFSET($U$6,(ROUNDUP((ROW()-10)/29,0)-1),0),0)*C244</f>
        <v>0</v>
      </c>
      <c r="H255" s="511">
        <f ca="1">IF(($AB$21&lt;$F$2)*AND(D244&gt;=3)*AND(H254=0),OFFSET($U$6,(ROUNDUP((ROW()-10)/29,0)-1),0),0)*C244</f>
        <v>0</v>
      </c>
      <c r="I255" s="2930">
        <f>I254+I254*$AG$7</f>
        <v>5193.2115900000008</v>
      </c>
      <c r="J255" s="612"/>
      <c r="K255" s="2553">
        <f t="shared" ca="1" si="86"/>
        <v>0</v>
      </c>
      <c r="L255" s="2927">
        <f t="shared" ca="1" si="87"/>
        <v>0</v>
      </c>
      <c r="M255" s="2928"/>
    </row>
    <row r="256" spans="1:15" hidden="1" x14ac:dyDescent="0.25">
      <c r="A256" s="3608">
        <v>3</v>
      </c>
      <c r="B256" s="2005">
        <f>B255</f>
        <v>2029</v>
      </c>
      <c r="C256" s="2002">
        <f ca="1">IF(($AB$18&lt;$F$2)*AND(D245=12)*AND(C255=0),OFFSET($U$6,(ROUNDUP((ROW()-10)/29,0)-1),0),0)*C245</f>
        <v>0</v>
      </c>
      <c r="D256" s="2924">
        <f>D255</f>
        <v>2885.1175499999999</v>
      </c>
      <c r="E256" s="1595">
        <f ca="1">(C256*D256)+(C257*D257)</f>
        <v>0</v>
      </c>
      <c r="F256" s="510">
        <f ca="1">IF(($AB$19&lt;$F$2)*AND(D245&gt;=3)*AND(F255=0),OFFSET($U$6,(ROUNDUP((ROW()-10)/29,0)-1),0),0)*C245</f>
        <v>0</v>
      </c>
      <c r="G256" s="510">
        <f ca="1">IF(($AB$20&lt;$F$2)*AND(D245&gt;=3)*AND(G255=0),OFFSET($U$6,(ROUNDUP((ROW()-10)/29,0)-1),0),0)*C245</f>
        <v>0</v>
      </c>
      <c r="H256" s="510">
        <f ca="1">IF(($AB$21&lt;$F$2)*AND(D245&gt;=3)*AND(H255=0),OFFSET($U$6,(ROUNDUP((ROW()-10)/29,0)-1),0),0)*C245</f>
        <v>0</v>
      </c>
      <c r="I256" s="2929">
        <f>I255</f>
        <v>5193.2115900000008</v>
      </c>
      <c r="J256" s="611">
        <f ca="1">((SUM(F256:H256)*I256)+(SUM(F257:H257)*I257))</f>
        <v>0</v>
      </c>
      <c r="K256" s="2552">
        <f t="shared" ca="1" si="86"/>
        <v>0</v>
      </c>
      <c r="L256" s="2925">
        <f t="shared" ca="1" si="87"/>
        <v>0</v>
      </c>
      <c r="M256" s="2926">
        <f ca="1">SUM(K256:L257)</f>
        <v>0</v>
      </c>
    </row>
    <row r="257" spans="1:15" ht="15.75" hidden="1" thickBot="1" x14ac:dyDescent="0.3">
      <c r="A257" s="3609"/>
      <c r="B257" s="2006">
        <f>B256+1</f>
        <v>2030</v>
      </c>
      <c r="C257" s="2001">
        <f ca="1">IF(($AC$18&lt;$F$2)*AND(D245=12)*AND(C256=0),OFFSET($U$6,(ROUNDUP((ROW()-10)/29,0)-1),0),0)*C245</f>
        <v>0</v>
      </c>
      <c r="D257" s="2932">
        <f>D256+D256*$AG$7</f>
        <v>2971.6710764999998</v>
      </c>
      <c r="E257" s="1594"/>
      <c r="F257" s="511">
        <f ca="1">IF(($AC$19&lt;$F$2)*AND(D245&gt;=3)*AND(F256=0),OFFSET($U$6,(ROUNDUP((ROW()-10)/29,0)-1),0),0)*C245</f>
        <v>0</v>
      </c>
      <c r="G257" s="511">
        <f ca="1">IF(($AC$20&lt;$F$2)*AND(D245&gt;=3)*AND(G256=0),OFFSET($U$6,(ROUNDUP((ROW()-10)/29,0)-1),0),0)*C245</f>
        <v>0</v>
      </c>
      <c r="H257" s="511">
        <f ca="1">IF(($AC$21&lt;$F$2)*AND(D245&gt;=3)*AND(H256=0),OFFSET($U$6,(ROUNDUP((ROW()-10)/29,0)-1),0),0)*C245</f>
        <v>0</v>
      </c>
      <c r="I257" s="2930">
        <f>I256+I256*$AG$7</f>
        <v>5349.0079377000011</v>
      </c>
      <c r="J257" s="612"/>
      <c r="K257" s="2553">
        <f t="shared" ca="1" si="86"/>
        <v>0</v>
      </c>
      <c r="L257" s="2927">
        <f t="shared" ca="1" si="87"/>
        <v>0</v>
      </c>
      <c r="M257" s="2928"/>
    </row>
    <row r="258" spans="1:15" hidden="1" x14ac:dyDescent="0.25">
      <c r="A258" s="3613">
        <v>4</v>
      </c>
      <c r="B258" s="2008">
        <f>B257</f>
        <v>2030</v>
      </c>
      <c r="C258" s="2000">
        <f ca="1">IF(($AC$11&lt;$F$2)*AND(D246=12)*AND(C257=0),OFFSET($U$6,(ROUNDUP((ROW()-10)/29,0)-1),0),0)*C246</f>
        <v>0</v>
      </c>
      <c r="D258" s="2921">
        <f>D257</f>
        <v>2971.6710764999998</v>
      </c>
      <c r="E258" s="1595">
        <f ca="1">(C258*D258)+(C259*D259)</f>
        <v>0</v>
      </c>
      <c r="F258" s="510">
        <f ca="1">IF(($AC$19&lt;$F$2)*AND(D246&gt;=3)*AND(F257=0),OFFSET($U$6,(ROUNDUP((ROW()-10)/29,0)-1),0),0)*C246</f>
        <v>0</v>
      </c>
      <c r="G258" s="510">
        <f ca="1">IF(($AC$20&lt;$F$2)*AND(D246&gt;=3)*AND(G257=0),OFFSET($U$6,(ROUNDUP((ROW()-10)/29,0)-1),0),0)*C246</f>
        <v>0</v>
      </c>
      <c r="H258" s="510">
        <f ca="1">IF(($AC$21&lt;$F$2)*AND(D246&gt;=3)*AND(H257=0),OFFSET($U$6,(ROUNDUP((ROW()-10)/29,0)-1),0),0)*C246</f>
        <v>0</v>
      </c>
      <c r="I258" s="2929">
        <f>I257</f>
        <v>5349.0079377000011</v>
      </c>
      <c r="J258" s="611">
        <f ca="1">((SUM(F258:H258)*I258)+(SUM(F259:H259)*I259))</f>
        <v>0</v>
      </c>
      <c r="K258" s="2552">
        <f t="shared" ca="1" si="86"/>
        <v>0</v>
      </c>
      <c r="L258" s="2925">
        <f t="shared" ca="1" si="87"/>
        <v>0</v>
      </c>
      <c r="M258" s="2926">
        <f ca="1">SUM(K258:L259)</f>
        <v>0</v>
      </c>
    </row>
    <row r="259" spans="1:15" ht="15.75" hidden="1" thickBot="1" x14ac:dyDescent="0.3">
      <c r="A259" s="3609"/>
      <c r="B259" s="2006">
        <f>B258+1</f>
        <v>2031</v>
      </c>
      <c r="C259" s="2001">
        <f ca="1">IF(($AD$18&lt;$F$2)*AND(D246=12)*AND(C258=0),OFFSET($U$6,(ROUNDUP((ROW()-10)/29,0)-1),0),0)*C246</f>
        <v>0</v>
      </c>
      <c r="D259" s="2923">
        <f>D258+D258*$AG$7</f>
        <v>3060.8212087949996</v>
      </c>
      <c r="E259" s="1594"/>
      <c r="F259" s="511">
        <f ca="1">IF(($AD$19&lt;$F$2)*AND(D246&gt;=3)*AND(F258=0),OFFSET($U$6,(ROUNDUP((ROW()-10)/29,0)-1),0),0)*C246</f>
        <v>0</v>
      </c>
      <c r="G259" s="511">
        <f ca="1">IF(($AD$20&lt;$F$2)*AND(D246&gt;=3)*AND(G258=0),OFFSET($U$6,(ROUNDUP((ROW()-10)/29,0)-1),0),0)*C246</f>
        <v>0</v>
      </c>
      <c r="H259" s="511">
        <f ca="1">IF(($AD$21&lt;$F$2)*AND(D246&gt;=3)*AND(H258=0),OFFSET($U$6,(ROUNDUP((ROW()-10)/29,0)-1),0),0)*C246</f>
        <v>0</v>
      </c>
      <c r="I259" s="2930">
        <f>I258+I258*$AG$7</f>
        <v>5509.478175831001</v>
      </c>
      <c r="J259" s="612"/>
      <c r="K259" s="2553">
        <f t="shared" ca="1" si="86"/>
        <v>0</v>
      </c>
      <c r="L259" s="2927">
        <f t="shared" ca="1" si="87"/>
        <v>0</v>
      </c>
      <c r="M259" s="2928"/>
    </row>
    <row r="260" spans="1:15" hidden="1" x14ac:dyDescent="0.25">
      <c r="A260" s="3608">
        <v>5</v>
      </c>
      <c r="B260" s="2005">
        <f>B259</f>
        <v>2031</v>
      </c>
      <c r="C260" s="2002">
        <f ca="1">IF(($AD$18&lt;$F$2)*AND(D247=12)*AND(C259=0),OFFSET($U$6,(ROUNDUP((ROW()-10)/29,0)-1),0),0)*C247</f>
        <v>0</v>
      </c>
      <c r="D260" s="2922">
        <f>D259</f>
        <v>3060.8212087949996</v>
      </c>
      <c r="E260" s="1595">
        <f ca="1">(C260*D260)+(C261*D261)</f>
        <v>0</v>
      </c>
      <c r="F260" s="510">
        <f ca="1">IF(($AD$19&lt;$F$2)*AND(D247&gt;=3)*AND(F259=0),OFFSET($U$6,(ROUNDUP((ROW()-10)/29,0)-1),0),0)*C247</f>
        <v>0</v>
      </c>
      <c r="G260" s="510">
        <f ca="1">IF(($AD$20&lt;$F$2)*AND(D247&gt;=3)*AND(G259=0),OFFSET($U$6,(ROUNDUP((ROW()-10)/29,0)-1),0),0)*C247</f>
        <v>0</v>
      </c>
      <c r="H260" s="510">
        <f ca="1">IF(($AD$21&lt;$F$2)*AND(D247&gt;=3)*AND(H259=0),OFFSET($U$6,(ROUNDUP((ROW()-10)/29,0)-1),0),0)*C247</f>
        <v>0</v>
      </c>
      <c r="I260" s="2929">
        <f>I259</f>
        <v>5509.478175831001</v>
      </c>
      <c r="J260" s="611">
        <f ca="1">((SUM(F260:H260)*I260)+(SUM(F261:H261)*I261))</f>
        <v>0</v>
      </c>
      <c r="K260" s="2552">
        <f t="shared" ca="1" si="86"/>
        <v>0</v>
      </c>
      <c r="L260" s="2925">
        <f t="shared" ca="1" si="87"/>
        <v>0</v>
      </c>
      <c r="M260" s="2926">
        <f ca="1">SUM(K260:L261)</f>
        <v>0</v>
      </c>
    </row>
    <row r="261" spans="1:15" ht="15.75" hidden="1" thickBot="1" x14ac:dyDescent="0.3">
      <c r="A261" s="3609"/>
      <c r="B261" s="2006">
        <f>B260+1</f>
        <v>2032</v>
      </c>
      <c r="C261" s="2001">
        <f ca="1">IF(($AE$18&lt;$F$2)*AND(D247=12)*AND(C260=0),OFFSET($U$6,(ROUNDUP((ROW()-10)/29,0)-1),0),0)*C247</f>
        <v>0</v>
      </c>
      <c r="D261" s="2923">
        <f>D260+D260*$AG$7</f>
        <v>3152.6458450588498</v>
      </c>
      <c r="E261" s="1594"/>
      <c r="F261" s="511">
        <f ca="1">IF(($AE$19&lt;$F$2)*AND(D247&gt;=3)*AND(F260=0),OFFSET($U$6,(ROUNDUP((ROW()-10)/29,0)-1),0),0)*C247</f>
        <v>0</v>
      </c>
      <c r="G261" s="511">
        <f ca="1">IF(($AE$20&lt;$F$2)*AND(D247&gt;=3)*AND(G260=0),OFFSET($U$6,(ROUNDUP((ROW()-10)/29,0)-1),0),0)*C247</f>
        <v>0</v>
      </c>
      <c r="H261" s="511">
        <f ca="1">IF(($AE$21&lt;$F$2)*AND(D247&gt;=3)*AND(H260=0),OFFSET($U$6,(ROUNDUP((ROW()-10)/29,0)-1),0),0)*C247</f>
        <v>0</v>
      </c>
      <c r="I261" s="2930">
        <f>I260+I260*$AG$7</f>
        <v>5674.7625211059312</v>
      </c>
      <c r="J261" s="612"/>
      <c r="K261" s="2553">
        <f t="shared" ca="1" si="86"/>
        <v>0</v>
      </c>
      <c r="L261" s="2927">
        <f t="shared" ca="1" si="87"/>
        <v>0</v>
      </c>
      <c r="M261" s="2928"/>
    </row>
    <row r="262" spans="1:15" hidden="1" x14ac:dyDescent="0.25">
      <c r="A262" s="3608">
        <v>6</v>
      </c>
      <c r="B262" s="2005">
        <f>B261</f>
        <v>2032</v>
      </c>
      <c r="C262" s="2002">
        <f ca="1">IF(($AE$18&lt;$F$2)*AND(D248=12)*AND(C261=0),OFFSET($U$6,(ROUNDUP((ROW()-10)/29,0)-1),0),0)*C248</f>
        <v>0</v>
      </c>
      <c r="D262" s="2922">
        <f>D261</f>
        <v>3152.6458450588498</v>
      </c>
      <c r="E262" s="1595">
        <f ca="1">(C262*D262)+(C263*D263)</f>
        <v>0</v>
      </c>
      <c r="F262" s="510">
        <f ca="1">IF(($AE$19&lt;$F$2)*AND(D248&gt;=3)*AND(F261=0),OFFSET($U$6,(ROUNDUP((ROW()-10)/29,0)-1),0),0)*C248</f>
        <v>0</v>
      </c>
      <c r="G262" s="510">
        <f ca="1">IF(($AE$20&lt;$F$2)*AND(D248&gt;=3)*AND(G261=0),OFFSET($U$6,(ROUNDUP((ROW()-10)/29,0)-1),0),0)*C248</f>
        <v>0</v>
      </c>
      <c r="H262" s="510">
        <f ca="1">IF(($AE$21&lt;$F$2)*AND(D248&gt;=3)*AND(H261=0),OFFSET($U$6,(ROUNDUP((ROW()-10)/29,0)-1),0),0)*C248</f>
        <v>0</v>
      </c>
      <c r="I262" s="2929">
        <f>I261</f>
        <v>5674.7625211059312</v>
      </c>
      <c r="J262" s="611">
        <f ca="1">((SUM(F262:H262)*I262)+(SUM(F263:H263)*I263))</f>
        <v>0</v>
      </c>
      <c r="K262" s="2552">
        <f t="shared" ca="1" si="86"/>
        <v>0</v>
      </c>
      <c r="L262" s="2925">
        <f t="shared" ca="1" si="87"/>
        <v>0</v>
      </c>
      <c r="M262" s="2926">
        <f ca="1">SUM(K262:L263)</f>
        <v>0</v>
      </c>
    </row>
    <row r="263" spans="1:15" ht="15.75" hidden="1" thickBot="1" x14ac:dyDescent="0.3">
      <c r="A263" s="3609"/>
      <c r="B263" s="2006">
        <f>B262+1</f>
        <v>2033</v>
      </c>
      <c r="C263" s="2004">
        <f ca="1">IF(($AF$18&lt;$F$2)*AND(D248=12)*AND(C262=0),OFFSET($U$6,(ROUNDUP((ROW()-10)/29,0)-1),0),0)*C248</f>
        <v>0</v>
      </c>
      <c r="D263" s="2923">
        <f>D262+D262*$AG$7</f>
        <v>3247.2252204106153</v>
      </c>
      <c r="E263" s="1594"/>
      <c r="F263" s="511">
        <f ca="1">IF(($AF$19&lt;$F$2)*AND(D248&gt;=3)*AND(F262=0),OFFSET($U$6,(ROUNDUP((ROW()-10)/29,0)-1),0),0)*C248</f>
        <v>0</v>
      </c>
      <c r="G263" s="511">
        <f ca="1">IF(($AF$20&lt;$F$2)*AND(D248&gt;=3)*AND(G262=0),OFFSET($U$6,(ROUNDUP((ROW()-10)/29,0)-1),0),0)*C248</f>
        <v>0</v>
      </c>
      <c r="H263" s="511">
        <f ca="1">IF(($AF$21&lt;$F$2)*AND(D248&gt;=3)*AND(H262=0),OFFSET($U$6,(ROUNDUP((ROW()-10)/29,0)-1),0),0)*C248</f>
        <v>0</v>
      </c>
      <c r="I263" s="2930">
        <f>I262+I262*$AG$7</f>
        <v>5845.0053967391095</v>
      </c>
      <c r="J263" s="612"/>
      <c r="K263" s="2553">
        <f t="shared" ca="1" si="86"/>
        <v>0</v>
      </c>
      <c r="L263" s="2927">
        <f t="shared" ca="1" si="87"/>
        <v>0</v>
      </c>
      <c r="M263" s="2928"/>
    </row>
    <row r="264" spans="1:15" ht="15.75" hidden="1" thickBot="1" x14ac:dyDescent="0.3">
      <c r="C264" s="3616" t="s">
        <v>96</v>
      </c>
      <c r="D264" s="3617"/>
      <c r="E264" s="2933">
        <f ca="1">SUM(E252:E262)</f>
        <v>0</v>
      </c>
      <c r="F264" s="60"/>
      <c r="G264" s="2936" t="s">
        <v>102</v>
      </c>
      <c r="H264" s="3618" t="s">
        <v>57</v>
      </c>
      <c r="I264" s="3619"/>
      <c r="J264" s="2934">
        <f ca="1">SUM(J252:J262)</f>
        <v>0</v>
      </c>
      <c r="K264" s="3610" t="s">
        <v>103</v>
      </c>
      <c r="L264" s="3611"/>
      <c r="M264" s="2935">
        <f ca="1">SUM(M252:M263)</f>
        <v>0</v>
      </c>
    </row>
    <row r="265" spans="1:15" ht="15.75" hidden="1" thickBot="1" x14ac:dyDescent="0.3">
      <c r="A265" s="71"/>
      <c r="B265" s="71"/>
      <c r="C265" s="71"/>
      <c r="D265" s="71"/>
      <c r="E265" s="71"/>
      <c r="F265" s="71"/>
      <c r="G265" s="71"/>
      <c r="H265" s="71"/>
      <c r="I265" s="71"/>
      <c r="J265" s="71"/>
      <c r="K265" s="71"/>
      <c r="L265" s="71"/>
      <c r="M265" s="615"/>
    </row>
    <row r="266" spans="1:15" ht="16.5" hidden="1" thickTop="1" thickBot="1" x14ac:dyDescent="0.3"/>
    <row r="267" spans="1:15" ht="15.75" hidden="1" thickBot="1" x14ac:dyDescent="0.3">
      <c r="A267" s="64" t="str">
        <f>'DATA INPUT'!B38</f>
        <v>GA #10 / Sponsor Funds</v>
      </c>
      <c r="B267" s="65"/>
      <c r="C267" s="65"/>
      <c r="D267" s="65"/>
      <c r="E267" s="65"/>
      <c r="F267" s="65"/>
      <c r="G267" s="65"/>
      <c r="H267" s="65"/>
      <c r="I267" s="65"/>
      <c r="J267" s="65"/>
      <c r="K267" s="65"/>
      <c r="L267" s="65"/>
      <c r="M267" s="1598"/>
      <c r="N267" s="1598"/>
    </row>
    <row r="268" spans="1:15" ht="15" hidden="1" customHeight="1" thickBot="1" x14ac:dyDescent="0.3">
      <c r="A268" s="3620" t="s">
        <v>80</v>
      </c>
      <c r="B268" s="3621"/>
      <c r="C268" s="1712">
        <f>'DATA INPUT'!C38</f>
        <v>0</v>
      </c>
      <c r="E268" s="1760" t="s">
        <v>135</v>
      </c>
      <c r="F268" s="1761">
        <f>'DATA INPUT'!E38</f>
        <v>0</v>
      </c>
      <c r="G268" s="1760" t="s">
        <v>82</v>
      </c>
      <c r="H268" s="1734">
        <f>'DATA INPUT'!F38</f>
        <v>0.49</v>
      </c>
      <c r="I268" s="1737" t="s">
        <v>88</v>
      </c>
      <c r="J268" s="1746">
        <f>IFERROR(VLOOKUP(C268,Table_Units[],IF(F268='Reference Sheet'!$H$37,3,2),FALSE)*1,0)</f>
        <v>0</v>
      </c>
      <c r="K268" s="1746"/>
      <c r="L268" s="66"/>
      <c r="M268" s="1712"/>
      <c r="N268" s="1762"/>
    </row>
    <row r="269" spans="1:15" ht="15" hidden="1" customHeight="1" thickBot="1" x14ac:dyDescent="0.3">
      <c r="A269" s="1716"/>
      <c r="B269" s="3445" t="s">
        <v>254</v>
      </c>
      <c r="C269" s="3560" t="s">
        <v>517</v>
      </c>
      <c r="D269" s="3444" t="s">
        <v>518</v>
      </c>
      <c r="E269" s="3445" t="s">
        <v>519</v>
      </c>
      <c r="F269" s="3445" t="s">
        <v>521</v>
      </c>
      <c r="G269" s="3614" t="s">
        <v>65</v>
      </c>
      <c r="H269" s="3614"/>
      <c r="I269" s="3614"/>
      <c r="J269" s="3614"/>
      <c r="K269" s="3445" t="s">
        <v>84</v>
      </c>
      <c r="L269" s="1996" t="s">
        <v>78</v>
      </c>
      <c r="M269" s="1997"/>
      <c r="N269" s="3558" t="s">
        <v>87</v>
      </c>
    </row>
    <row r="270" spans="1:15" ht="15" hidden="1" customHeight="1" thickBot="1" x14ac:dyDescent="0.3">
      <c r="A270" s="3445" t="s">
        <v>253</v>
      </c>
      <c r="B270" s="3445"/>
      <c r="C270" s="3561"/>
      <c r="D270" s="3445"/>
      <c r="E270" s="3445"/>
      <c r="F270" s="3445"/>
      <c r="G270" s="3444" t="s">
        <v>86</v>
      </c>
      <c r="H270" s="3444" t="s">
        <v>59</v>
      </c>
      <c r="I270" s="3444" t="s">
        <v>60</v>
      </c>
      <c r="J270" s="3444" t="s">
        <v>66</v>
      </c>
      <c r="K270" s="3445"/>
      <c r="L270" s="1998" t="s">
        <v>616</v>
      </c>
      <c r="M270" s="1999">
        <f>'Reference Sheet'!$E$14</f>
        <v>0.28499999999999998</v>
      </c>
      <c r="N270" s="3566"/>
    </row>
    <row r="271" spans="1:15" ht="15.75" hidden="1" thickBot="1" x14ac:dyDescent="0.3">
      <c r="A271" s="3446"/>
      <c r="B271" s="3446"/>
      <c r="C271" s="3615"/>
      <c r="D271" s="3446"/>
      <c r="E271" s="3446"/>
      <c r="F271" s="3446"/>
      <c r="G271" s="3446"/>
      <c r="H271" s="3446"/>
      <c r="I271" s="3446"/>
      <c r="J271" s="3446"/>
      <c r="K271" s="3446"/>
      <c r="L271" s="1769" t="s">
        <v>67</v>
      </c>
      <c r="M271" s="1683" t="s">
        <v>68</v>
      </c>
      <c r="N271" s="3612"/>
    </row>
    <row r="272" spans="1:15" hidden="1" x14ac:dyDescent="0.25">
      <c r="A272" s="1685">
        <v>1</v>
      </c>
      <c r="B272" s="1770">
        <f>$K$3</f>
        <v>12</v>
      </c>
      <c r="C272" s="1685">
        <f>'DATA INPUT'!I38</f>
        <v>0</v>
      </c>
      <c r="D272" s="1693">
        <f>IF(C272&lt;1,0,IF((B272&gt;0),'DATA INPUT'!$G$38,0))</f>
        <v>0</v>
      </c>
      <c r="E272" s="1773">
        <f t="shared" ref="E272:E277" ca="1" si="88">(D272*(2080/12))*OFFSET($H$7,29*(ROUNDUP(ROW()/29,0)-1),0)</f>
        <v>0</v>
      </c>
      <c r="F272" s="1684">
        <f t="shared" ref="F272:F277" ca="1" si="89">((D272*(2080/12))*OFFSET($H$7,29*(ROUNDUP(ROW()/29,0)-1),0))*C272</f>
        <v>0</v>
      </c>
      <c r="G272" s="1149">
        <v>0.03</v>
      </c>
      <c r="H272" s="460">
        <f>(J268*G272)+J268</f>
        <v>0</v>
      </c>
      <c r="I272" s="492">
        <f t="shared" ref="I272:I277" ca="1" si="90">H272/12*OFFSET($H$7,29*(ROUNDUP(ROW(H272)/29,0)-1),0)</f>
        <v>0</v>
      </c>
      <c r="J272" s="2400">
        <f t="shared" ref="J272:J277" si="91">(H272/12)/(2080/12)</f>
        <v>0</v>
      </c>
      <c r="K272" s="1766">
        <f t="shared" ref="K272:K277" ca="1" si="92">I272*D272*C272</f>
        <v>0</v>
      </c>
      <c r="L272" s="626">
        <f>IF($U$3&lt;$T$3, M270, IF($U$3&gt;$W$3, M270+2*$Q$6, M270+$Q$6))</f>
        <v>0.28499999999999998</v>
      </c>
      <c r="M272" s="1500">
        <f t="shared" ref="M272:M277" ca="1" si="93">L272*K272</f>
        <v>0</v>
      </c>
      <c r="N272" s="2400">
        <f t="shared" ref="N272:N277" si="94">((H272/12)/(2080/12))+(((H272/12)*L272)/(2080/12))</f>
        <v>0</v>
      </c>
      <c r="O272" s="58" t="str">
        <f ca="1">IF(ABS(C272*D272*OFFSET($U$6,(ROUNDUP((ROW()-10)/29,0)-1),0)-3*SUM(C281:C282,F281:H282))&gt; 0.01,"Mismatch: Tuition vs Months","")</f>
        <v/>
      </c>
    </row>
    <row r="273" spans="1:15" hidden="1" x14ac:dyDescent="0.25">
      <c r="A273" s="1687">
        <v>2</v>
      </c>
      <c r="B273" s="1771">
        <f>$L$3</f>
        <v>0</v>
      </c>
      <c r="C273" s="1687">
        <f>'DATA INPUT'!J38</f>
        <v>0</v>
      </c>
      <c r="D273" s="1693">
        <f>IF(C273&lt;1,0,IF((B273&gt;0),'DATA INPUT'!$G$38,0))</f>
        <v>0</v>
      </c>
      <c r="E273" s="1774">
        <f t="shared" ca="1" si="88"/>
        <v>0</v>
      </c>
      <c r="F273" s="1686">
        <f t="shared" ca="1" si="89"/>
        <v>0</v>
      </c>
      <c r="G273" s="461">
        <v>0.03</v>
      </c>
      <c r="H273" s="462">
        <f>(H272*G273)+H272</f>
        <v>0</v>
      </c>
      <c r="I273" s="501">
        <f t="shared" ca="1" si="90"/>
        <v>0</v>
      </c>
      <c r="J273" s="2397">
        <f t="shared" si="91"/>
        <v>0</v>
      </c>
      <c r="K273" s="1767">
        <f t="shared" ca="1" si="92"/>
        <v>0</v>
      </c>
      <c r="L273" s="625">
        <f>L272+$Q$6</f>
        <v>0.30499999999999999</v>
      </c>
      <c r="M273" s="1541">
        <f t="shared" ca="1" si="93"/>
        <v>0</v>
      </c>
      <c r="N273" s="2398">
        <f t="shared" si="94"/>
        <v>0</v>
      </c>
      <c r="O273" s="58" t="str">
        <f ca="1">IF(ABS(C273*D273*OFFSET($U$6,(ROUNDUP((ROW()-10)/29,0)-1),0)-3*SUM(C283:C284,F283:H284))&gt;0.01,"Mismatch: Tuition vs Months","")</f>
        <v/>
      </c>
    </row>
    <row r="274" spans="1:15" hidden="1" x14ac:dyDescent="0.25">
      <c r="A274" s="1687">
        <v>3</v>
      </c>
      <c r="B274" s="1771">
        <f>$M$3</f>
        <v>0</v>
      </c>
      <c r="C274" s="1687">
        <f>'DATA INPUT'!K38</f>
        <v>0</v>
      </c>
      <c r="D274" s="1693">
        <f>IF(C274&lt;1,0,IF((B274&gt;0),'DATA INPUT'!$G$38,0))</f>
        <v>0</v>
      </c>
      <c r="E274" s="1774">
        <f t="shared" ca="1" si="88"/>
        <v>0</v>
      </c>
      <c r="F274" s="1686">
        <f t="shared" ca="1" si="89"/>
        <v>0</v>
      </c>
      <c r="G274" s="461">
        <v>0.03</v>
      </c>
      <c r="H274" s="462">
        <f>(H273*G274)+H273</f>
        <v>0</v>
      </c>
      <c r="I274" s="501">
        <f t="shared" ca="1" si="90"/>
        <v>0</v>
      </c>
      <c r="J274" s="2397">
        <f t="shared" si="91"/>
        <v>0</v>
      </c>
      <c r="K274" s="1767">
        <f t="shared" ca="1" si="92"/>
        <v>0</v>
      </c>
      <c r="L274" s="625">
        <f>L273+$Q$6</f>
        <v>0.32500000000000001</v>
      </c>
      <c r="M274" s="1541">
        <f t="shared" ca="1" si="93"/>
        <v>0</v>
      </c>
      <c r="N274" s="2398">
        <f t="shared" si="94"/>
        <v>0</v>
      </c>
      <c r="O274" s="58" t="str">
        <f ca="1">IF(ABS(C274*D274*OFFSET($U$6,(ROUNDUP((ROW()-10)/29,0)-1),0)-3*SUM(C285:C286,F285:H286))&gt;0.01,"Mismatch: Tuition vs Months","")</f>
        <v/>
      </c>
    </row>
    <row r="275" spans="1:15" hidden="1" x14ac:dyDescent="0.25">
      <c r="A275" s="1687">
        <v>4</v>
      </c>
      <c r="B275" s="1771">
        <f>$N$3</f>
        <v>0</v>
      </c>
      <c r="C275" s="1687">
        <f>'DATA INPUT'!L38</f>
        <v>0</v>
      </c>
      <c r="D275" s="1693">
        <f>IF(C275&lt;1,0,IF((B275&gt;0),'DATA INPUT'!$G$38,0))</f>
        <v>0</v>
      </c>
      <c r="E275" s="1774">
        <f t="shared" ca="1" si="88"/>
        <v>0</v>
      </c>
      <c r="F275" s="1686">
        <f t="shared" ca="1" si="89"/>
        <v>0</v>
      </c>
      <c r="G275" s="461">
        <v>0.03</v>
      </c>
      <c r="H275" s="462">
        <f>(H274*G275)+H274</f>
        <v>0</v>
      </c>
      <c r="I275" s="501">
        <f t="shared" ca="1" si="90"/>
        <v>0</v>
      </c>
      <c r="J275" s="2397">
        <f t="shared" si="91"/>
        <v>0</v>
      </c>
      <c r="K275" s="1767">
        <f t="shared" ca="1" si="92"/>
        <v>0</v>
      </c>
      <c r="L275" s="625">
        <f>L274+$Q$6</f>
        <v>0.34500000000000003</v>
      </c>
      <c r="M275" s="1541">
        <f t="shared" ca="1" si="93"/>
        <v>0</v>
      </c>
      <c r="N275" s="2398">
        <f t="shared" si="94"/>
        <v>0</v>
      </c>
      <c r="O275" s="58" t="str">
        <f ca="1">IF(ABS(C275*D275*OFFSET($U$6,(ROUNDUP((ROW()-10)/29,0)-1),0)-3*SUM(C287:C288,F287:H288))&gt;0.01,"Mismatch: Tuition vs Months","")</f>
        <v/>
      </c>
    </row>
    <row r="276" spans="1:15" hidden="1" x14ac:dyDescent="0.25">
      <c r="A276" s="1687">
        <v>5</v>
      </c>
      <c r="B276" s="1771">
        <f>$O$3</f>
        <v>0</v>
      </c>
      <c r="C276" s="1687">
        <f>'DATA INPUT'!M38</f>
        <v>0</v>
      </c>
      <c r="D276" s="1693">
        <f>IF(C276&lt;1,0,IF((B276&gt;0),'DATA INPUT'!$G$38,0))</f>
        <v>0</v>
      </c>
      <c r="E276" s="1774">
        <f t="shared" ca="1" si="88"/>
        <v>0</v>
      </c>
      <c r="F276" s="1686">
        <f t="shared" ca="1" si="89"/>
        <v>0</v>
      </c>
      <c r="G276" s="461">
        <v>0.03</v>
      </c>
      <c r="H276" s="462">
        <f>(H275*G276)+H275</f>
        <v>0</v>
      </c>
      <c r="I276" s="501">
        <f t="shared" ca="1" si="90"/>
        <v>0</v>
      </c>
      <c r="J276" s="2397">
        <f t="shared" si="91"/>
        <v>0</v>
      </c>
      <c r="K276" s="1767">
        <f t="shared" ca="1" si="92"/>
        <v>0</v>
      </c>
      <c r="L276" s="625">
        <f>L275+$Q$6</f>
        <v>0.36500000000000005</v>
      </c>
      <c r="M276" s="1541">
        <f t="shared" ca="1" si="93"/>
        <v>0</v>
      </c>
      <c r="N276" s="2398">
        <f t="shared" si="94"/>
        <v>0</v>
      </c>
      <c r="O276" s="58" t="str">
        <f ca="1">IF(ABS(C276*D276*OFFSET($U$6,(ROUNDUP((ROW()-10)/29,0)-1),0)-3*SUM(C289:C290,F289:H290))&gt;0.01,"Mismatch: Tuition vs Months","")</f>
        <v/>
      </c>
    </row>
    <row r="277" spans="1:15" ht="15.75" hidden="1" thickBot="1" x14ac:dyDescent="0.3">
      <c r="A277" s="1691">
        <v>6</v>
      </c>
      <c r="B277" s="1772">
        <f>$P$3</f>
        <v>0</v>
      </c>
      <c r="C277" s="1689">
        <f>'DATA INPUT'!N38</f>
        <v>0</v>
      </c>
      <c r="D277" s="1694">
        <f>IF(C277&lt;1,0,IF((B277&gt;0),'DATA INPUT'!$G$38,0))</f>
        <v>0</v>
      </c>
      <c r="E277" s="1733">
        <f t="shared" ca="1" si="88"/>
        <v>0</v>
      </c>
      <c r="F277" s="1688">
        <f t="shared" ca="1" si="89"/>
        <v>0</v>
      </c>
      <c r="G277" s="463">
        <v>0.03</v>
      </c>
      <c r="H277" s="464">
        <f>(H276*G277)+H276</f>
        <v>0</v>
      </c>
      <c r="I277" s="502">
        <f t="shared" ca="1" si="90"/>
        <v>0</v>
      </c>
      <c r="J277" s="2413">
        <f t="shared" si="91"/>
        <v>0</v>
      </c>
      <c r="K277" s="1768">
        <f t="shared" ca="1" si="92"/>
        <v>0</v>
      </c>
      <c r="L277" s="627">
        <f>L276+$Q$6</f>
        <v>0.38500000000000006</v>
      </c>
      <c r="M277" s="1690">
        <f t="shared" ca="1" si="93"/>
        <v>0</v>
      </c>
      <c r="N277" s="2399">
        <f t="shared" si="94"/>
        <v>0</v>
      </c>
      <c r="O277" s="58" t="str">
        <f ca="1">IF(ABS(C277*D277*OFFSET($U$6,(ROUNDUP((ROW()-10)/29,0)-1),0)-3*SUM(C291:C292,F291:H292))&gt;0.01,"Mismatch: Tuition vs Months","")</f>
        <v/>
      </c>
    </row>
    <row r="278" spans="1:15" ht="15.75" hidden="1" thickBot="1" x14ac:dyDescent="0.3">
      <c r="A278" s="624" t="s">
        <v>85</v>
      </c>
      <c r="B278" s="519">
        <f>SUM(B272:B277)</f>
        <v>12</v>
      </c>
      <c r="C278" s="519">
        <f>SUM(C272:C277)</f>
        <v>0</v>
      </c>
      <c r="D278" s="1692">
        <f>SUM(D272:D277)</f>
        <v>0</v>
      </c>
      <c r="E278" s="1695">
        <f ca="1">SUM(E272:E277)</f>
        <v>0</v>
      </c>
      <c r="F278" s="1695">
        <f ca="1">SUM(F272:F277)</f>
        <v>0</v>
      </c>
      <c r="K278" s="1508">
        <f ca="1">SUM(K272:K277)</f>
        <v>0</v>
      </c>
      <c r="M278" s="1508">
        <f ca="1">SUM(M272:M277)</f>
        <v>0</v>
      </c>
      <c r="N278" s="60"/>
    </row>
    <row r="279" spans="1:15" ht="15.75" hidden="1" thickBot="1" x14ac:dyDescent="0.3"/>
    <row r="280" spans="1:15" ht="30.75" hidden="1" thickBot="1" x14ac:dyDescent="0.3">
      <c r="A280" s="1990" t="s">
        <v>253</v>
      </c>
      <c r="B280" s="1990" t="s">
        <v>299</v>
      </c>
      <c r="C280" s="1979" t="s">
        <v>17</v>
      </c>
      <c r="D280" s="1980" t="s">
        <v>96</v>
      </c>
      <c r="E280" s="1981" t="s">
        <v>474</v>
      </c>
      <c r="F280" s="1991" t="s">
        <v>41</v>
      </c>
      <c r="G280" s="1992" t="s">
        <v>42</v>
      </c>
      <c r="H280" s="1992" t="s">
        <v>43</v>
      </c>
      <c r="I280" s="1992" t="s">
        <v>57</v>
      </c>
      <c r="J280" s="1993" t="s">
        <v>472</v>
      </c>
      <c r="K280" s="1980" t="s">
        <v>100</v>
      </c>
      <c r="L280" s="1991" t="s">
        <v>99</v>
      </c>
      <c r="M280" s="1994" t="s">
        <v>101</v>
      </c>
    </row>
    <row r="281" spans="1:15" hidden="1" x14ac:dyDescent="0.25">
      <c r="A281" s="3613">
        <v>1</v>
      </c>
      <c r="B281" s="2005">
        <f>IF($C$2&lt;DATE($Z$6,4,15),$Z$6,IF($C$2&lt;DATE($AA$6,4,15),$AA$6,IF($C$2&lt;DATE($AB$6,4,15),$AB$6,IF($C$2&lt;DATE($AC$6,4,15),$AC$6,$AD$6))))</f>
        <v>2027</v>
      </c>
      <c r="C281" s="2000">
        <f ca="1">(IF($C$2&lt;=$Z$14*AND(D272&gt;=3)*AND($F$2&gt;=$Z$18),OFFSET($U$6,(ROUNDUP((ROW()-10)/29,0)-1),0),0)*IF(D272=9,0,1))*C272</f>
        <v>0</v>
      </c>
      <c r="D281" s="2921">
        <f>IF(OR($C268="COE",$C268="CCE",$C268="CBEE",$C268="EECS",$C268="MIME",$C268="NSE",$C268="PMEC"),HLOOKUP($B281,$Z$6:$AF$10,3),
IF(($C268="COB"),HLOOKUP($B281,$Z$25:$AF$27,3),
IF(($C268="CPH"),HLOOKUP($B281,$Z$31:$AF$33,3),
IF(($C268="VetMed"),HLOOKUP($B281,$Z$37:$AF$39,3),
IF(($C268="Pharm"),HLOOKUP($B281,$Z$43:$AF$45,3),
HLOOKUP($B281,$Z$49:$AF$51,3))))))</f>
        <v>2719.5</v>
      </c>
      <c r="E281" s="1987">
        <f ca="1">(C281*D281)+(C282*D282)</f>
        <v>0</v>
      </c>
      <c r="F281" s="1988">
        <f ca="1">IF($C$2&lt;=$Z$15*AND(D272&gt;=3)*AND($F$2&gt;=$Z$19),OFFSET($U$6,(ROUNDUP((ROW()-10)/29,0)-1),0),0)*C272</f>
        <v>0</v>
      </c>
      <c r="G281" s="1988">
        <f ca="1">IF($C$2&lt;=$Z$16*AND(D272&gt;=3)*AND($F$2&gt;=$Z$20),OFFSET($U$6,(ROUNDUP((ROW()-10)/29,0)-1),0),0)*C272</f>
        <v>0</v>
      </c>
      <c r="H281" s="1988">
        <f ca="1">IF($C$2&lt;=$Z$17*AND(D272&gt;=3)*AND($F$2&gt;=$Z$21),OFFSET($U$6,(ROUNDUP((ROW()-10)/29,0)-1),0),0)*C272</f>
        <v>0</v>
      </c>
      <c r="I281" s="2921">
        <f>IF(OR($C268="COE",$C268="CCE",$C268="CBEE",$C268="EECS",$C268="MIME",$C268="NSE",$C268="PMEC"),HLOOKUP($B281,$Z$6:$AF$10,2),
IF(($C268="COB"),HLOOKUP($B281,$Z$25:$AF$27,2),
IF(($C268="CPH"),HLOOKUP($B281,$Z$31:$AF$33,2),
IF(($C268="VetMed"),HLOOKUP($B281,$Z$37:$AF$39,2),
IF(($C268="Pharm"),HLOOKUP($B281,$Z$43:$AF$45,2),
HLOOKUP($B281,$Z$49:$AF$51,2))))))</f>
        <v>4895.1000000000004</v>
      </c>
      <c r="J281" s="1989">
        <f ca="1">((SUM(F281:H281)*I281)+(SUM(F282:H282)*I282))</f>
        <v>0</v>
      </c>
      <c r="K281" s="2552">
        <f t="shared" ref="K281:K292" ca="1" si="95">C281*HLOOKUP($B281,$Z$6:$AF$10,5)</f>
        <v>0</v>
      </c>
      <c r="L281" s="2925">
        <f t="shared" ref="L281:L292" ca="1" si="96">SUM(F281:H281)*HLOOKUP($B281,$Z$6:$AF$10,4)</f>
        <v>0</v>
      </c>
      <c r="M281" s="2926">
        <f ca="1">SUM(K281:L282)</f>
        <v>0</v>
      </c>
    </row>
    <row r="282" spans="1:15" ht="15.75" hidden="1" thickBot="1" x14ac:dyDescent="0.3">
      <c r="A282" s="3609"/>
      <c r="B282" s="2006">
        <f>B281+1</f>
        <v>2028</v>
      </c>
      <c r="C282" s="2001">
        <f ca="1">(IF($C$2&lt;=$AA$14*AND(D272&gt;=3)*AND($F$2&gt;=$AA$18),OFFSET($U$6,(ROUNDUP((ROW()-10)/29,0)-1),0),0)*IF(D272=9,0,1)*IF(C281=0,1,0))*C272</f>
        <v>0</v>
      </c>
      <c r="D282" s="2921">
        <f>IF(OR($C268="COE",$C268="CCE",$C268="CBEE",$C268="EECS",$C268="MIME",$C268="NSE",$C268="PMEC"),HLOOKUP($B282,$Z$6:$AF$10,3),
IF(($C268="COB"),HLOOKUP($B282,$Z$25:$AF$27,3),
IF(($C268="CPH"),HLOOKUP($B282,$Z$31:$AF$33,3),
IF(($C268="VetMed"),HLOOKUP($B282,$Z$37:$AF$39,3),
IF(($C268="Pharm"),HLOOKUP($B282,$Z$43:$AF$45,3),
HLOOKUP($B282,$Z$49:$AF$51,3))))))</f>
        <v>2801.085</v>
      </c>
      <c r="E282" s="1594"/>
      <c r="F282" s="511">
        <f ca="1">IF(($C$2&lt;=$AA$15)*AND(D272&gt;=3)*AND(F281=0)*AND($F$2&gt;=$AA$19),OFFSET($U$6,(ROUNDUP((ROW()-10)/29,0)-1),0),0)*C272</f>
        <v>0</v>
      </c>
      <c r="G282" s="511">
        <f ca="1">IF(($C$2&lt;=$AA$16)*AND(D272&gt;=3)*AND(G281=0)*AND($F$2&gt;=$AA$20),OFFSET($U$6,(ROUNDUP((ROW()-10)/29,0)-1),0),0)*C272</f>
        <v>0</v>
      </c>
      <c r="H282" s="511">
        <f ca="1">IF($C$2&lt;=$AA$17*AND(D272&gt;=3)*AND(H281=0)*AND($F$2&gt;=$AA$21),OFFSET($U$6,(ROUNDUP((ROW()-10)/29,0)-1),0),0)*C272</f>
        <v>0</v>
      </c>
      <c r="I282" s="2921">
        <f>IF(OR($C268="COE",$C268="CCE",$C268="CBEE",$C268="EECS",$C268="MIME",$C268="NSE",$C268="PMEC"),HLOOKUP($B282,$Z$6:$AF$10,2),
IF(($C268="COB"),HLOOKUP($B282,$Z$25:$AF$27,2),
IF(($C268="CPH"),HLOOKUP($B282,$Z$31:$AF$33,2),
IF(($C268="VetMed"),HLOOKUP($B282,$Z$37:$AF$39,2),
IF(($C268="Pharm"),HLOOKUP($B282,$Z$43:$AF$45,2),
HLOOKUP($B282,$Z$49:$AF$51,2))))))</f>
        <v>5041.9530000000004</v>
      </c>
      <c r="J282" s="612"/>
      <c r="K282" s="2553">
        <f t="shared" ca="1" si="95"/>
        <v>0</v>
      </c>
      <c r="L282" s="2927">
        <f t="shared" ca="1" si="96"/>
        <v>0</v>
      </c>
      <c r="M282" s="2928"/>
    </row>
    <row r="283" spans="1:15" hidden="1" x14ac:dyDescent="0.25">
      <c r="A283" s="3608">
        <v>2</v>
      </c>
      <c r="B283" s="2005">
        <f>B282</f>
        <v>2028</v>
      </c>
      <c r="C283" s="2002">
        <f ca="1">(IF(($AA$18&lt;$F$2)*AND(D273=12)*AND(C282=0),OFFSET($U$6,(ROUNDUP((ROW()-10)/29,0)-1),0),0))*C273</f>
        <v>0</v>
      </c>
      <c r="D283" s="2922">
        <f>D282</f>
        <v>2801.085</v>
      </c>
      <c r="E283" s="1595">
        <f ca="1">(C283*D283)+(C284*D284)</f>
        <v>0</v>
      </c>
      <c r="F283" s="510">
        <f ca="1">IF(($AA$19&lt;$F$2)*AND(D273&gt;=3)*AND(F282=0),OFFSET($U$6,(ROUNDUP((ROW()-10)/29,0)-1),0),0)*C273</f>
        <v>0</v>
      </c>
      <c r="G283" s="510">
        <f ca="1">IF(($AA$20&lt;$F$2)*AND(D273&gt;=3)*AND(G282=0),OFFSET($U$6,(ROUNDUP((ROW()-10)/29,0)-1),0),0)*C273</f>
        <v>0</v>
      </c>
      <c r="H283" s="510">
        <f ca="1">IF(($AA$21&lt;$F$2)*AND(D273&gt;=3)*AND(H282=0),OFFSET($U$6,(ROUNDUP((ROW()-10)/29,0)-1),0),0)*C273</f>
        <v>0</v>
      </c>
      <c r="I283" s="2929">
        <f>I282</f>
        <v>5041.9530000000004</v>
      </c>
      <c r="J283" s="611">
        <f ca="1">((SUM(F283:H283)*I283)+(SUM(F284:H284)*I284))</f>
        <v>0</v>
      </c>
      <c r="K283" s="2552">
        <f t="shared" ca="1" si="95"/>
        <v>0</v>
      </c>
      <c r="L283" s="2925">
        <f t="shared" ca="1" si="96"/>
        <v>0</v>
      </c>
      <c r="M283" s="2926">
        <f ca="1">SUM(K283:L284)</f>
        <v>0</v>
      </c>
    </row>
    <row r="284" spans="1:15" ht="15.75" hidden="1" thickBot="1" x14ac:dyDescent="0.3">
      <c r="A284" s="3613"/>
      <c r="B284" s="2007">
        <f>B283+1</f>
        <v>2029</v>
      </c>
      <c r="C284" s="2003">
        <f ca="1">(IF(($AB$18&lt;$F$2)*AND(D273=12)*AND(C283=0),OFFSET($U$6,(ROUNDUP((ROW()-10)/29,0)-1),0),0))*C273</f>
        <v>0</v>
      </c>
      <c r="D284" s="2931">
        <f>D283+D283*$AG$7</f>
        <v>2885.1175499999999</v>
      </c>
      <c r="E284" s="1594"/>
      <c r="F284" s="511">
        <f ca="1">IF(($AB$19&lt;$F$2)*AND(D273&gt;=3)*AND(F283=0),OFFSET($U$6,(ROUNDUP((ROW()-10)/29,0)-1),0),0)*C273</f>
        <v>0</v>
      </c>
      <c r="G284" s="511">
        <f ca="1">IF(($AB$20&lt;$F$2)*AND(D273&gt;=3)*AND(G283=0),OFFSET($U$6,(ROUNDUP((ROW()-10)/29,0)-1),0),0)*C273</f>
        <v>0</v>
      </c>
      <c r="H284" s="511">
        <f ca="1">IF(($AB$21&lt;$F$2)*AND(D273&gt;=3)*AND(H283=0),OFFSET($U$6,(ROUNDUP((ROW()-10)/29,0)-1),0),0)*C273</f>
        <v>0</v>
      </c>
      <c r="I284" s="2930">
        <f>I283+I283*$AG$7</f>
        <v>5193.2115900000008</v>
      </c>
      <c r="J284" s="612"/>
      <c r="K284" s="2553">
        <f t="shared" ca="1" si="95"/>
        <v>0</v>
      </c>
      <c r="L284" s="2927">
        <f t="shared" ca="1" si="96"/>
        <v>0</v>
      </c>
      <c r="M284" s="2928"/>
    </row>
    <row r="285" spans="1:15" hidden="1" x14ac:dyDescent="0.25">
      <c r="A285" s="3608">
        <v>3</v>
      </c>
      <c r="B285" s="2005">
        <f>B284</f>
        <v>2029</v>
      </c>
      <c r="C285" s="2002">
        <f ca="1">IF(($AB$18&lt;$F$2)*AND(D274=12)*AND(C284=0),OFFSET($U$6,(ROUNDUP((ROW()-10)/29,0)-1),0),0)*C274</f>
        <v>0</v>
      </c>
      <c r="D285" s="2924">
        <f>D284</f>
        <v>2885.1175499999999</v>
      </c>
      <c r="E285" s="1595">
        <f ca="1">(C285*D285)+(C286*D286)</f>
        <v>0</v>
      </c>
      <c r="F285" s="510">
        <f ca="1">IF(($AB$19&lt;$F$2)*AND(D274&gt;=3)*AND(F284=0),OFFSET($U$6,(ROUNDUP((ROW()-10)/29,0)-1),0),0)*C274</f>
        <v>0</v>
      </c>
      <c r="G285" s="510">
        <f ca="1">IF(($AB$20&lt;$F$2)*AND(D274&gt;=3)*AND(G284=0),OFFSET($U$6,(ROUNDUP((ROW()-10)/29,0)-1),0),0)*C274</f>
        <v>0</v>
      </c>
      <c r="H285" s="510">
        <f ca="1">IF(($AB$21&lt;$F$2)*AND(D274&gt;=3)*AND(H284=0),OFFSET($U$6,(ROUNDUP((ROW()-10)/29,0)-1),0),0)*C274</f>
        <v>0</v>
      </c>
      <c r="I285" s="2929">
        <f>I284</f>
        <v>5193.2115900000008</v>
      </c>
      <c r="J285" s="611">
        <f ca="1">((SUM(F285:H285)*I285)+(SUM(F286:H286)*I286))</f>
        <v>0</v>
      </c>
      <c r="K285" s="2552">
        <f t="shared" ca="1" si="95"/>
        <v>0</v>
      </c>
      <c r="L285" s="2925">
        <f t="shared" ca="1" si="96"/>
        <v>0</v>
      </c>
      <c r="M285" s="2926">
        <f ca="1">SUM(K285:L286)</f>
        <v>0</v>
      </c>
    </row>
    <row r="286" spans="1:15" ht="15.75" hidden="1" thickBot="1" x14ac:dyDescent="0.3">
      <c r="A286" s="3609"/>
      <c r="B286" s="2006">
        <f>B285+1</f>
        <v>2030</v>
      </c>
      <c r="C286" s="2001">
        <f ca="1">IF(($AC$18&lt;$F$2)*AND(D274=12)*AND(C285=0),OFFSET($U$6,(ROUNDUP((ROW()-10)/29,0)-1),0),0)*C274</f>
        <v>0</v>
      </c>
      <c r="D286" s="2932">
        <f>D285+D285*$AG$7</f>
        <v>2971.6710764999998</v>
      </c>
      <c r="E286" s="1594"/>
      <c r="F286" s="511">
        <f ca="1">IF(($AC$19&lt;$F$2)*AND(D274&gt;=3)*AND(F285=0),OFFSET($U$6,(ROUNDUP((ROW()-10)/29,0)-1),0),0)*C274</f>
        <v>0</v>
      </c>
      <c r="G286" s="511">
        <f ca="1">IF(($AC$20&lt;$F$2)*AND(D274&gt;=3)*AND(G285=0),OFFSET($U$6,(ROUNDUP((ROW()-10)/29,0)-1),0),0)*C274</f>
        <v>0</v>
      </c>
      <c r="H286" s="511">
        <f ca="1">IF(($AC$21&lt;$F$2)*AND(D274&gt;=3)*AND(H285=0),OFFSET($U$6,(ROUNDUP((ROW()-10)/29,0)-1),0),0)*C274</f>
        <v>0</v>
      </c>
      <c r="I286" s="2930">
        <f>I285+I285*$AG$7</f>
        <v>5349.0079377000011</v>
      </c>
      <c r="J286" s="612"/>
      <c r="K286" s="2553">
        <f t="shared" ca="1" si="95"/>
        <v>0</v>
      </c>
      <c r="L286" s="2927">
        <f t="shared" ca="1" si="96"/>
        <v>0</v>
      </c>
      <c r="M286" s="2928"/>
    </row>
    <row r="287" spans="1:15" hidden="1" x14ac:dyDescent="0.25">
      <c r="A287" s="3613">
        <v>4</v>
      </c>
      <c r="B287" s="2008">
        <f>B286</f>
        <v>2030</v>
      </c>
      <c r="C287" s="2000">
        <f ca="1">IF(($AC$11&lt;$F$2)*AND(D275=12)*AND(C286=0),OFFSET($U$6,(ROUNDUP((ROW()-10)/29,0)-1),0),0)*C275</f>
        <v>0</v>
      </c>
      <c r="D287" s="2921">
        <f>D286</f>
        <v>2971.6710764999998</v>
      </c>
      <c r="E287" s="1595">
        <f ca="1">(C287*D287)+(C288*D288)</f>
        <v>0</v>
      </c>
      <c r="F287" s="510">
        <f ca="1">IF(($AC$19&lt;$F$2)*AND(D275&gt;=3)*AND(F286=0),OFFSET($U$6,(ROUNDUP((ROW()-10)/29,0)-1),0),0)*C275</f>
        <v>0</v>
      </c>
      <c r="G287" s="510">
        <f ca="1">IF(($AC$20&lt;$F$2)*AND(D275&gt;=3)*AND(G286=0),OFFSET($U$6,(ROUNDUP((ROW()-10)/29,0)-1),0),0)*C275</f>
        <v>0</v>
      </c>
      <c r="H287" s="510">
        <f ca="1">IF(($AC$21&lt;$F$2)*AND(D275&gt;=3)*AND(H286=0),OFFSET($U$6,(ROUNDUP((ROW()-10)/29,0)-1),0),0)*C275</f>
        <v>0</v>
      </c>
      <c r="I287" s="2929">
        <f>I286</f>
        <v>5349.0079377000011</v>
      </c>
      <c r="J287" s="611">
        <f ca="1">((SUM(F287:H287)*I287)+(SUM(F288:H288)*I288))</f>
        <v>0</v>
      </c>
      <c r="K287" s="2552">
        <f t="shared" ca="1" si="95"/>
        <v>0</v>
      </c>
      <c r="L287" s="2925">
        <f t="shared" ca="1" si="96"/>
        <v>0</v>
      </c>
      <c r="M287" s="2926">
        <f ca="1">SUM(K287:L288)</f>
        <v>0</v>
      </c>
    </row>
    <row r="288" spans="1:15" ht="15.75" hidden="1" thickBot="1" x14ac:dyDescent="0.3">
      <c r="A288" s="3609"/>
      <c r="B288" s="2006">
        <f>B287+1</f>
        <v>2031</v>
      </c>
      <c r="C288" s="2001">
        <f ca="1">IF(($AD$18&lt;$F$2)*AND(D275=12)*AND(C287=0),OFFSET($U$6,(ROUNDUP((ROW()-10)/29,0)-1),0),0)*C275</f>
        <v>0</v>
      </c>
      <c r="D288" s="2923">
        <f>D287+D287*$AG$7</f>
        <v>3060.8212087949996</v>
      </c>
      <c r="E288" s="1594"/>
      <c r="F288" s="511">
        <f ca="1">IF(($AD$19&lt;$F$2)*AND(D275&gt;=3)*AND(F287=0),OFFSET($U$6,(ROUNDUP((ROW()-10)/29,0)-1),0),0)*C275</f>
        <v>0</v>
      </c>
      <c r="G288" s="511">
        <f ca="1">IF(($AD$20&lt;$F$2)*AND(D275&gt;=3)*AND(G287=0),OFFSET($U$6,(ROUNDUP((ROW()-10)/29,0)-1),0),0)*C275</f>
        <v>0</v>
      </c>
      <c r="H288" s="511">
        <f ca="1">IF(($AD$21&lt;$F$2)*AND(D275&gt;=3)*AND(H287=0),OFFSET($U$6,(ROUNDUP((ROW()-10)/29,0)-1),0),0)*C275</f>
        <v>0</v>
      </c>
      <c r="I288" s="2930">
        <f>I287+I287*$AG$7</f>
        <v>5509.478175831001</v>
      </c>
      <c r="J288" s="612"/>
      <c r="K288" s="2553">
        <f t="shared" ca="1" si="95"/>
        <v>0</v>
      </c>
      <c r="L288" s="2927">
        <f t="shared" ca="1" si="96"/>
        <v>0</v>
      </c>
      <c r="M288" s="2928"/>
    </row>
    <row r="289" spans="1:15" hidden="1" x14ac:dyDescent="0.25">
      <c r="A289" s="3608">
        <v>5</v>
      </c>
      <c r="B289" s="2005">
        <f>B288</f>
        <v>2031</v>
      </c>
      <c r="C289" s="2002">
        <f ca="1">IF(($AD$18&lt;$F$2)*AND(D276=12)*AND(C288=0),OFFSET($U$6,(ROUNDUP((ROW()-10)/29,0)-1),0),0)*C276</f>
        <v>0</v>
      </c>
      <c r="D289" s="2922">
        <f>D288</f>
        <v>3060.8212087949996</v>
      </c>
      <c r="E289" s="1595">
        <f ca="1">(C289*D289)+(C290*D290)</f>
        <v>0</v>
      </c>
      <c r="F289" s="510">
        <f ca="1">IF(($AD$19&lt;$F$2)*AND(D276&gt;=3)*AND(F288=0),OFFSET($U$6,(ROUNDUP((ROW()-10)/29,0)-1),0),0)*C276</f>
        <v>0</v>
      </c>
      <c r="G289" s="510">
        <f ca="1">IF(($AD$20&lt;$F$2)*AND(D276&gt;=3)*AND(G288=0),OFFSET($U$6,(ROUNDUP((ROW()-10)/29,0)-1),0),0)*C276</f>
        <v>0</v>
      </c>
      <c r="H289" s="510">
        <f ca="1">IF(($AD$21&lt;$F$2)*AND(D276&gt;=3)*AND(H288=0),OFFSET($U$6,(ROUNDUP((ROW()-10)/29,0)-1),0),0)*C276</f>
        <v>0</v>
      </c>
      <c r="I289" s="2929">
        <f>I288</f>
        <v>5509.478175831001</v>
      </c>
      <c r="J289" s="611">
        <f ca="1">((SUM(F289:H289)*I289)+(SUM(F290:H290)*I290))</f>
        <v>0</v>
      </c>
      <c r="K289" s="2552">
        <f t="shared" ca="1" si="95"/>
        <v>0</v>
      </c>
      <c r="L289" s="2925">
        <f t="shared" ca="1" si="96"/>
        <v>0</v>
      </c>
      <c r="M289" s="2926">
        <f ca="1">SUM(K289:L290)</f>
        <v>0</v>
      </c>
    </row>
    <row r="290" spans="1:15" ht="15.75" hidden="1" thickBot="1" x14ac:dyDescent="0.3">
      <c r="A290" s="3609"/>
      <c r="B290" s="2006">
        <f>B289+1</f>
        <v>2032</v>
      </c>
      <c r="C290" s="2001">
        <f ca="1">IF(($AE$18&lt;$F$2)*AND(D276=12)*AND(C289=0),OFFSET($U$6,(ROUNDUP((ROW()-10)/29,0)-1),0),0)*C276</f>
        <v>0</v>
      </c>
      <c r="D290" s="2923">
        <f>D289+D289*$AG$7</f>
        <v>3152.6458450588498</v>
      </c>
      <c r="E290" s="1594"/>
      <c r="F290" s="511">
        <f ca="1">IF(($AE$19&lt;$F$2)*AND(D276&gt;=3)*AND(F289=0),OFFSET($U$6,(ROUNDUP((ROW()-10)/29,0)-1),0),0)*C276</f>
        <v>0</v>
      </c>
      <c r="G290" s="511">
        <f ca="1">IF(($AE$20&lt;$F$2)*AND(D276&gt;=3)*AND(G289=0),OFFSET($U$6,(ROUNDUP((ROW()-10)/29,0)-1),0),0)*C276</f>
        <v>0</v>
      </c>
      <c r="H290" s="511">
        <f ca="1">IF(($AE$21&lt;$F$2)*AND(D276&gt;=3)*AND(H289=0),OFFSET($U$6,(ROUNDUP((ROW()-10)/29,0)-1),0),0)*C276</f>
        <v>0</v>
      </c>
      <c r="I290" s="2930">
        <f>I289+I289*$AG$7</f>
        <v>5674.7625211059312</v>
      </c>
      <c r="J290" s="612"/>
      <c r="K290" s="2553">
        <f t="shared" ca="1" si="95"/>
        <v>0</v>
      </c>
      <c r="L290" s="2927">
        <f t="shared" ca="1" si="96"/>
        <v>0</v>
      </c>
      <c r="M290" s="2928"/>
    </row>
    <row r="291" spans="1:15" hidden="1" x14ac:dyDescent="0.25">
      <c r="A291" s="3608">
        <v>6</v>
      </c>
      <c r="B291" s="2005">
        <f>B290</f>
        <v>2032</v>
      </c>
      <c r="C291" s="2002">
        <f ca="1">IF(($AE$18&lt;$F$2)*AND(D277=12)*AND(C290=0),OFFSET($U$6,(ROUNDUP((ROW()-10)/29,0)-1),0),0)*C277</f>
        <v>0</v>
      </c>
      <c r="D291" s="2922">
        <f>D290</f>
        <v>3152.6458450588498</v>
      </c>
      <c r="E291" s="1595">
        <f ca="1">(C291*D291)+(C292*D292)</f>
        <v>0</v>
      </c>
      <c r="F291" s="510">
        <f ca="1">IF(($AE$19&lt;$F$2)*AND(D277&gt;=3)*AND(F290=0),OFFSET($U$6,(ROUNDUP((ROW()-10)/29,0)-1),0),0)*C277</f>
        <v>0</v>
      </c>
      <c r="G291" s="510">
        <f ca="1">IF(($AE$20&lt;$F$2)*AND(D277&gt;=3)*AND(G290=0),OFFSET($U$6,(ROUNDUP((ROW()-10)/29,0)-1),0),0)*C277</f>
        <v>0</v>
      </c>
      <c r="H291" s="510">
        <f ca="1">IF(($AE$21&lt;$F$2)*AND(D277&gt;=3)*AND(H290=0),OFFSET($U$6,(ROUNDUP((ROW()-10)/29,0)-1),0),0)*C277</f>
        <v>0</v>
      </c>
      <c r="I291" s="2929">
        <f>I290</f>
        <v>5674.7625211059312</v>
      </c>
      <c r="J291" s="611">
        <f ca="1">((SUM(F291:H291)*I291)+(SUM(F292:H292)*I292))</f>
        <v>0</v>
      </c>
      <c r="K291" s="2552">
        <f t="shared" ca="1" si="95"/>
        <v>0</v>
      </c>
      <c r="L291" s="2925">
        <f t="shared" ca="1" si="96"/>
        <v>0</v>
      </c>
      <c r="M291" s="2926">
        <f ca="1">SUM(K291:L292)</f>
        <v>0</v>
      </c>
    </row>
    <row r="292" spans="1:15" ht="15.75" hidden="1" thickBot="1" x14ac:dyDescent="0.3">
      <c r="A292" s="3609"/>
      <c r="B292" s="2006">
        <f>B291+1</f>
        <v>2033</v>
      </c>
      <c r="C292" s="2004">
        <f ca="1">IF(($AF$18&lt;$F$2)*AND(D277=12)*AND(C291=0),OFFSET($U$6,(ROUNDUP((ROW()-10)/29,0)-1),0),0)*C277</f>
        <v>0</v>
      </c>
      <c r="D292" s="2923">
        <f>D291+D291*$AG$7</f>
        <v>3247.2252204106153</v>
      </c>
      <c r="E292" s="1594"/>
      <c r="F292" s="511">
        <f ca="1">IF(($AF$19&lt;$F$2)*AND(D277&gt;=3)*AND(F291=0),OFFSET($U$6,(ROUNDUP((ROW()-10)/29,0)-1),0),0)*C277</f>
        <v>0</v>
      </c>
      <c r="G292" s="511">
        <f ca="1">IF(($AF$20&lt;$F$2)*AND(D277&gt;=3)*AND(G291=0),OFFSET($U$6,(ROUNDUP((ROW()-10)/29,0)-1),0),0)*C277</f>
        <v>0</v>
      </c>
      <c r="H292" s="511">
        <f ca="1">IF(($AF$21&lt;$F$2)*AND(D277&gt;=3)*AND(H291=0),OFFSET($U$6,(ROUNDUP((ROW()-10)/29,0)-1),0),0)*C277</f>
        <v>0</v>
      </c>
      <c r="I292" s="2930">
        <f>I291+I291*$AG$7</f>
        <v>5845.0053967391095</v>
      </c>
      <c r="J292" s="612"/>
      <c r="K292" s="2553">
        <f t="shared" ca="1" si="95"/>
        <v>0</v>
      </c>
      <c r="L292" s="2927">
        <f t="shared" ca="1" si="96"/>
        <v>0</v>
      </c>
      <c r="M292" s="2928"/>
    </row>
    <row r="293" spans="1:15" ht="15.75" hidden="1" thickBot="1" x14ac:dyDescent="0.3">
      <c r="C293" s="3616" t="s">
        <v>96</v>
      </c>
      <c r="D293" s="3617"/>
      <c r="E293" s="2933">
        <f ca="1">SUM(E281:E291)</f>
        <v>0</v>
      </c>
      <c r="F293" s="60"/>
      <c r="G293" s="2936" t="s">
        <v>102</v>
      </c>
      <c r="H293" s="3618" t="s">
        <v>57</v>
      </c>
      <c r="I293" s="3619"/>
      <c r="J293" s="2934">
        <f ca="1">SUM(J281:J291)</f>
        <v>0</v>
      </c>
      <c r="K293" s="3610" t="s">
        <v>103</v>
      </c>
      <c r="L293" s="3611"/>
      <c r="M293" s="2935">
        <f ca="1">SUM(M281:M292)</f>
        <v>0</v>
      </c>
    </row>
    <row r="294" spans="1:15" ht="15.75" hidden="1" thickBot="1" x14ac:dyDescent="0.3">
      <c r="A294" s="71"/>
      <c r="B294" s="71"/>
      <c r="C294" s="71"/>
      <c r="D294" s="71"/>
      <c r="E294" s="71"/>
      <c r="F294" s="71"/>
      <c r="G294" s="71"/>
      <c r="H294" s="71"/>
      <c r="I294" s="71"/>
      <c r="J294" s="71"/>
      <c r="K294" s="71"/>
      <c r="L294" s="71"/>
      <c r="M294" s="615"/>
    </row>
    <row r="295" spans="1:15" ht="16.5" hidden="1" thickTop="1" thickBot="1" x14ac:dyDescent="0.3"/>
    <row r="296" spans="1:15" ht="15.75" hidden="1" thickBot="1" x14ac:dyDescent="0.3">
      <c r="A296" s="64" t="str">
        <f>'DATA INPUT'!B39</f>
        <v>GA #11 / Sponsor Funds</v>
      </c>
      <c r="B296" s="65"/>
      <c r="C296" s="65"/>
      <c r="D296" s="65"/>
      <c r="E296" s="65"/>
      <c r="F296" s="65"/>
      <c r="G296" s="65"/>
      <c r="H296" s="65"/>
      <c r="I296" s="65"/>
      <c r="J296" s="65"/>
      <c r="K296" s="65"/>
      <c r="L296" s="65"/>
      <c r="M296" s="1598"/>
      <c r="N296" s="1598"/>
    </row>
    <row r="297" spans="1:15" ht="15" hidden="1" customHeight="1" thickBot="1" x14ac:dyDescent="0.3">
      <c r="A297" s="3620" t="s">
        <v>80</v>
      </c>
      <c r="B297" s="3621"/>
      <c r="C297" s="1712">
        <f>'DATA INPUT'!C39</f>
        <v>0</v>
      </c>
      <c r="E297" s="1760" t="s">
        <v>135</v>
      </c>
      <c r="F297" s="1761">
        <f>'DATA INPUT'!E39</f>
        <v>0</v>
      </c>
      <c r="G297" s="1760" t="s">
        <v>82</v>
      </c>
      <c r="H297" s="1734">
        <f>'DATA INPUT'!F39</f>
        <v>0.49</v>
      </c>
      <c r="I297" s="1737" t="s">
        <v>88</v>
      </c>
      <c r="J297" s="1746">
        <f>IFERROR(VLOOKUP(C297,Table_Units[],IF(F297='Reference Sheet'!$H$37,3,2),FALSE)*1,0)</f>
        <v>0</v>
      </c>
      <c r="K297" s="1746"/>
      <c r="L297" s="66"/>
      <c r="M297" s="1712"/>
      <c r="N297" s="1762"/>
    </row>
    <row r="298" spans="1:15" ht="15" hidden="1" customHeight="1" thickBot="1" x14ac:dyDescent="0.3">
      <c r="A298" s="1716"/>
      <c r="B298" s="3445" t="s">
        <v>254</v>
      </c>
      <c r="C298" s="3560" t="s">
        <v>517</v>
      </c>
      <c r="D298" s="3444" t="s">
        <v>518</v>
      </c>
      <c r="E298" s="3445" t="s">
        <v>519</v>
      </c>
      <c r="F298" s="3445" t="s">
        <v>521</v>
      </c>
      <c r="G298" s="3614" t="s">
        <v>65</v>
      </c>
      <c r="H298" s="3614"/>
      <c r="I298" s="3614"/>
      <c r="J298" s="3614"/>
      <c r="K298" s="3445" t="s">
        <v>84</v>
      </c>
      <c r="L298" s="1996" t="s">
        <v>78</v>
      </c>
      <c r="M298" s="1997"/>
      <c r="N298" s="3558" t="s">
        <v>87</v>
      </c>
    </row>
    <row r="299" spans="1:15" ht="15" hidden="1" customHeight="1" thickBot="1" x14ac:dyDescent="0.3">
      <c r="A299" s="3445" t="s">
        <v>253</v>
      </c>
      <c r="B299" s="3445"/>
      <c r="C299" s="3561"/>
      <c r="D299" s="3445"/>
      <c r="E299" s="3445"/>
      <c r="F299" s="3445"/>
      <c r="G299" s="3444" t="s">
        <v>86</v>
      </c>
      <c r="H299" s="3444" t="s">
        <v>59</v>
      </c>
      <c r="I299" s="3444" t="s">
        <v>60</v>
      </c>
      <c r="J299" s="3444" t="s">
        <v>66</v>
      </c>
      <c r="K299" s="3445"/>
      <c r="L299" s="1998" t="s">
        <v>616</v>
      </c>
      <c r="M299" s="1999">
        <f>'Reference Sheet'!$E$14</f>
        <v>0.28499999999999998</v>
      </c>
      <c r="N299" s="3566"/>
    </row>
    <row r="300" spans="1:15" ht="15.75" hidden="1" thickBot="1" x14ac:dyDescent="0.3">
      <c r="A300" s="3446"/>
      <c r="B300" s="3446"/>
      <c r="C300" s="3615"/>
      <c r="D300" s="3446"/>
      <c r="E300" s="3446"/>
      <c r="F300" s="3446"/>
      <c r="G300" s="3446"/>
      <c r="H300" s="3446"/>
      <c r="I300" s="3446"/>
      <c r="J300" s="3446"/>
      <c r="K300" s="3446"/>
      <c r="L300" s="1769" t="s">
        <v>67</v>
      </c>
      <c r="M300" s="1683" t="s">
        <v>68</v>
      </c>
      <c r="N300" s="3612"/>
    </row>
    <row r="301" spans="1:15" hidden="1" x14ac:dyDescent="0.25">
      <c r="A301" s="1685">
        <v>1</v>
      </c>
      <c r="B301" s="1770">
        <f>$K$3</f>
        <v>12</v>
      </c>
      <c r="C301" s="1685">
        <f>'DATA INPUT'!I39</f>
        <v>0</v>
      </c>
      <c r="D301" s="1693">
        <f>IF(C301&lt;1,0,IF((B301&gt;0),'DATA INPUT'!$G$39,0))</f>
        <v>0</v>
      </c>
      <c r="E301" s="1773">
        <f t="shared" ref="E301:E306" ca="1" si="97">(D301*(2080/12))*OFFSET($H$7,29*(ROUNDUP(ROW()/29,0)-1),0)</f>
        <v>0</v>
      </c>
      <c r="F301" s="1684">
        <f t="shared" ref="F301:F306" ca="1" si="98">((D301*(2080/12))*OFFSET($H$7,29*(ROUNDUP(ROW()/29,0)-1),0))*C301</f>
        <v>0</v>
      </c>
      <c r="G301" s="1149">
        <v>0.03</v>
      </c>
      <c r="H301" s="460">
        <f>(J297*G301)+J297</f>
        <v>0</v>
      </c>
      <c r="I301" s="492">
        <f t="shared" ref="I301:I306" ca="1" si="99">H301/12*OFFSET($H$7,29*(ROUNDUP(ROW(H301)/29,0)-1),0)</f>
        <v>0</v>
      </c>
      <c r="J301" s="2400">
        <f t="shared" ref="J301:J306" si="100">(H301/12)/(2080/12)</f>
        <v>0</v>
      </c>
      <c r="K301" s="1766">
        <f t="shared" ref="K301:K306" ca="1" si="101">I301*D301*C301</f>
        <v>0</v>
      </c>
      <c r="L301" s="626">
        <f>IF($U$3&lt;$T$3, M299, IF($U$3&gt;$W$3, M299+2*$Q$6, M299+$Q$6))</f>
        <v>0.28499999999999998</v>
      </c>
      <c r="M301" s="1500">
        <f t="shared" ref="M301:M306" ca="1" si="102">L301*K301</f>
        <v>0</v>
      </c>
      <c r="N301" s="2400">
        <f t="shared" ref="N301:N306" si="103">((H301/12)/(2080/12))+(((H301/12)*L301)/(2080/12))</f>
        <v>0</v>
      </c>
      <c r="O301" s="58" t="str">
        <f ca="1">IF(ABS(C301*D301*OFFSET($U$6,(ROUNDUP((ROW()-10)/29,0)-1),0)-3*SUM(C310:C311,F310:H311))&gt; 0.01,"Mismatch: Tuition vs Months","")</f>
        <v/>
      </c>
    </row>
    <row r="302" spans="1:15" hidden="1" x14ac:dyDescent="0.25">
      <c r="A302" s="1687">
        <v>2</v>
      </c>
      <c r="B302" s="1771">
        <f>$L$3</f>
        <v>0</v>
      </c>
      <c r="C302" s="1687">
        <f>'DATA INPUT'!J39</f>
        <v>0</v>
      </c>
      <c r="D302" s="1693">
        <f>IF(C302&lt;1,0,IF((B302&gt;0),'DATA INPUT'!$G$39,0))</f>
        <v>0</v>
      </c>
      <c r="E302" s="1774">
        <f t="shared" ca="1" si="97"/>
        <v>0</v>
      </c>
      <c r="F302" s="1686">
        <f t="shared" ca="1" si="98"/>
        <v>0</v>
      </c>
      <c r="G302" s="461">
        <v>0.03</v>
      </c>
      <c r="H302" s="462">
        <f>(H301*G302)+H301</f>
        <v>0</v>
      </c>
      <c r="I302" s="501">
        <f t="shared" ca="1" si="99"/>
        <v>0</v>
      </c>
      <c r="J302" s="2397">
        <f t="shared" si="100"/>
        <v>0</v>
      </c>
      <c r="K302" s="1767">
        <f t="shared" ca="1" si="101"/>
        <v>0</v>
      </c>
      <c r="L302" s="625">
        <f>L301+$Q$6</f>
        <v>0.30499999999999999</v>
      </c>
      <c r="M302" s="1541">
        <f t="shared" ca="1" si="102"/>
        <v>0</v>
      </c>
      <c r="N302" s="2398">
        <f t="shared" si="103"/>
        <v>0</v>
      </c>
      <c r="O302" s="58" t="str">
        <f ca="1">IF(ABS(C302*D302*OFFSET($U$6,(ROUNDUP((ROW()-10)/29,0)-1),0)-3*SUM(C312:C313,F312:H313))&gt;0.01,"Mismatch: Tuition vs Months","")</f>
        <v/>
      </c>
    </row>
    <row r="303" spans="1:15" hidden="1" x14ac:dyDescent="0.25">
      <c r="A303" s="1687">
        <v>3</v>
      </c>
      <c r="B303" s="1771">
        <f>$M$3</f>
        <v>0</v>
      </c>
      <c r="C303" s="1687">
        <f>'DATA INPUT'!K39</f>
        <v>0</v>
      </c>
      <c r="D303" s="1693">
        <f>IF(C303&lt;1,0,IF((B303&gt;0),'DATA INPUT'!$G$39,0))</f>
        <v>0</v>
      </c>
      <c r="E303" s="1774">
        <f t="shared" ca="1" si="97"/>
        <v>0</v>
      </c>
      <c r="F303" s="1686">
        <f t="shared" ca="1" si="98"/>
        <v>0</v>
      </c>
      <c r="G303" s="461">
        <v>0.03</v>
      </c>
      <c r="H303" s="462">
        <f>(H302*G303)+H302</f>
        <v>0</v>
      </c>
      <c r="I303" s="501">
        <f t="shared" ca="1" si="99"/>
        <v>0</v>
      </c>
      <c r="J303" s="2397">
        <f t="shared" si="100"/>
        <v>0</v>
      </c>
      <c r="K303" s="1767">
        <f t="shared" ca="1" si="101"/>
        <v>0</v>
      </c>
      <c r="L303" s="625">
        <f>L302+$Q$6</f>
        <v>0.32500000000000001</v>
      </c>
      <c r="M303" s="1541">
        <f t="shared" ca="1" si="102"/>
        <v>0</v>
      </c>
      <c r="N303" s="2398">
        <f t="shared" si="103"/>
        <v>0</v>
      </c>
      <c r="O303" s="58" t="str">
        <f ca="1">IF(ABS(C303*D303*OFFSET($U$6,(ROUNDUP((ROW()-10)/29,0)-1),0)-3*SUM(C314:C315,F314:H315))&gt;0.01,"Mismatch: Tuition vs Months","")</f>
        <v/>
      </c>
    </row>
    <row r="304" spans="1:15" hidden="1" x14ac:dyDescent="0.25">
      <c r="A304" s="1687">
        <v>4</v>
      </c>
      <c r="B304" s="1771">
        <f>$N$3</f>
        <v>0</v>
      </c>
      <c r="C304" s="1687">
        <f>'DATA INPUT'!L39</f>
        <v>0</v>
      </c>
      <c r="D304" s="1693">
        <f>IF(C304&lt;1,0,IF((B304&gt;0),'DATA INPUT'!$G$39,0))</f>
        <v>0</v>
      </c>
      <c r="E304" s="1774">
        <f t="shared" ca="1" si="97"/>
        <v>0</v>
      </c>
      <c r="F304" s="1686">
        <f t="shared" ca="1" si="98"/>
        <v>0</v>
      </c>
      <c r="G304" s="461">
        <v>0.03</v>
      </c>
      <c r="H304" s="462">
        <f>(H303*G304)+H303</f>
        <v>0</v>
      </c>
      <c r="I304" s="501">
        <f t="shared" ca="1" si="99"/>
        <v>0</v>
      </c>
      <c r="J304" s="2397">
        <f t="shared" si="100"/>
        <v>0</v>
      </c>
      <c r="K304" s="1767">
        <f t="shared" ca="1" si="101"/>
        <v>0</v>
      </c>
      <c r="L304" s="625">
        <f>L303+$Q$6</f>
        <v>0.34500000000000003</v>
      </c>
      <c r="M304" s="1541">
        <f t="shared" ca="1" si="102"/>
        <v>0</v>
      </c>
      <c r="N304" s="2398">
        <f t="shared" si="103"/>
        <v>0</v>
      </c>
      <c r="O304" s="58" t="str">
        <f ca="1">IF(ABS(C304*D304*OFFSET($U$6,(ROUNDUP((ROW()-10)/29,0)-1),0)-3*SUM(C316:C317,F316:H317))&gt;0.01,"Mismatch: Tuition vs Months","")</f>
        <v/>
      </c>
    </row>
    <row r="305" spans="1:15" hidden="1" x14ac:dyDescent="0.25">
      <c r="A305" s="1687">
        <v>5</v>
      </c>
      <c r="B305" s="1771">
        <f>$O$3</f>
        <v>0</v>
      </c>
      <c r="C305" s="1687">
        <f>'DATA INPUT'!M39</f>
        <v>0</v>
      </c>
      <c r="D305" s="1693">
        <f>IF(C305&lt;1,0,IF((B305&gt;0),'DATA INPUT'!$G$39,0))</f>
        <v>0</v>
      </c>
      <c r="E305" s="1774">
        <f t="shared" ca="1" si="97"/>
        <v>0</v>
      </c>
      <c r="F305" s="1686">
        <f t="shared" ca="1" si="98"/>
        <v>0</v>
      </c>
      <c r="G305" s="461">
        <v>0.03</v>
      </c>
      <c r="H305" s="462">
        <f>(H304*G305)+H304</f>
        <v>0</v>
      </c>
      <c r="I305" s="501">
        <f t="shared" ca="1" si="99"/>
        <v>0</v>
      </c>
      <c r="J305" s="2397">
        <f t="shared" si="100"/>
        <v>0</v>
      </c>
      <c r="K305" s="1767">
        <f t="shared" ca="1" si="101"/>
        <v>0</v>
      </c>
      <c r="L305" s="625">
        <f>L304+$Q$6</f>
        <v>0.36500000000000005</v>
      </c>
      <c r="M305" s="1541">
        <f t="shared" ca="1" si="102"/>
        <v>0</v>
      </c>
      <c r="N305" s="2398">
        <f t="shared" si="103"/>
        <v>0</v>
      </c>
      <c r="O305" s="58" t="str">
        <f ca="1">IF(ABS(C305*D305*OFFSET($U$6,(ROUNDUP((ROW()-10)/29,0)-1),0)-3*SUM(C318:C319,F318:H319))&gt;0.01,"Mismatch: Tuition vs Months","")</f>
        <v/>
      </c>
    </row>
    <row r="306" spans="1:15" ht="15.75" hidden="1" thickBot="1" x14ac:dyDescent="0.3">
      <c r="A306" s="1691">
        <v>6</v>
      </c>
      <c r="B306" s="1772">
        <f>$P$3</f>
        <v>0</v>
      </c>
      <c r="C306" s="1689">
        <f>'DATA INPUT'!N39</f>
        <v>0</v>
      </c>
      <c r="D306" s="1694">
        <f>IF(C306&lt;1,0,IF((B306&gt;0),'DATA INPUT'!$G$39,0))</f>
        <v>0</v>
      </c>
      <c r="E306" s="1733">
        <f t="shared" ca="1" si="97"/>
        <v>0</v>
      </c>
      <c r="F306" s="1688">
        <f t="shared" ca="1" si="98"/>
        <v>0</v>
      </c>
      <c r="G306" s="463">
        <v>0.03</v>
      </c>
      <c r="H306" s="464">
        <f>(H305*G306)+H305</f>
        <v>0</v>
      </c>
      <c r="I306" s="502">
        <f t="shared" ca="1" si="99"/>
        <v>0</v>
      </c>
      <c r="J306" s="2413">
        <f t="shared" si="100"/>
        <v>0</v>
      </c>
      <c r="K306" s="1768">
        <f t="shared" ca="1" si="101"/>
        <v>0</v>
      </c>
      <c r="L306" s="627">
        <f>L305+$Q$6</f>
        <v>0.38500000000000006</v>
      </c>
      <c r="M306" s="1690">
        <f t="shared" ca="1" si="102"/>
        <v>0</v>
      </c>
      <c r="N306" s="2399">
        <f t="shared" si="103"/>
        <v>0</v>
      </c>
      <c r="O306" s="58" t="str">
        <f ca="1">IF(ABS(C306*D306*OFFSET($U$6,(ROUNDUP((ROW()-10)/29,0)-1),0)-3*SUM(C320:C321,F320:H321))&gt;0.01,"Mismatch: Tuition vs Months","")</f>
        <v/>
      </c>
    </row>
    <row r="307" spans="1:15" ht="15.75" hidden="1" thickBot="1" x14ac:dyDescent="0.3">
      <c r="A307" s="624" t="s">
        <v>85</v>
      </c>
      <c r="B307" s="519">
        <f>SUM(B301:B306)</f>
        <v>12</v>
      </c>
      <c r="C307" s="519">
        <f>SUM(C301:C306)</f>
        <v>0</v>
      </c>
      <c r="D307" s="1692">
        <f>SUM(D301:D306)</f>
        <v>0</v>
      </c>
      <c r="E307" s="1695">
        <f ca="1">SUM(E301:E306)</f>
        <v>0</v>
      </c>
      <c r="F307" s="1695">
        <f ca="1">SUM(F301:F306)</f>
        <v>0</v>
      </c>
      <c r="K307" s="1508">
        <f ca="1">SUM(K301:K306)</f>
        <v>0</v>
      </c>
      <c r="M307" s="1508">
        <f ca="1">SUM(M301:M306)</f>
        <v>0</v>
      </c>
      <c r="N307" s="60"/>
    </row>
    <row r="308" spans="1:15" ht="15.75" hidden="1" thickBot="1" x14ac:dyDescent="0.3"/>
    <row r="309" spans="1:15" ht="30.75" hidden="1" thickBot="1" x14ac:dyDescent="0.3">
      <c r="A309" s="1990" t="s">
        <v>253</v>
      </c>
      <c r="B309" s="1990" t="s">
        <v>299</v>
      </c>
      <c r="C309" s="1979" t="s">
        <v>17</v>
      </c>
      <c r="D309" s="1980" t="s">
        <v>96</v>
      </c>
      <c r="E309" s="1981" t="s">
        <v>474</v>
      </c>
      <c r="F309" s="1991" t="s">
        <v>41</v>
      </c>
      <c r="G309" s="1992" t="s">
        <v>42</v>
      </c>
      <c r="H309" s="1992" t="s">
        <v>43</v>
      </c>
      <c r="I309" s="1992" t="s">
        <v>57</v>
      </c>
      <c r="J309" s="1993" t="s">
        <v>472</v>
      </c>
      <c r="K309" s="1980" t="s">
        <v>100</v>
      </c>
      <c r="L309" s="1991" t="s">
        <v>99</v>
      </c>
      <c r="M309" s="1994" t="s">
        <v>101</v>
      </c>
    </row>
    <row r="310" spans="1:15" hidden="1" x14ac:dyDescent="0.25">
      <c r="A310" s="3613">
        <v>1</v>
      </c>
      <c r="B310" s="2005">
        <f>IF($C$2&lt;DATE($Z$6,4,15),$Z$6,IF($C$2&lt;DATE($AA$6,4,15),$AA$6,IF($C$2&lt;DATE($AB$6,4,15),$AB$6,IF($C$2&lt;DATE($AC$6,4,15),$AC$6,$AD$6))))</f>
        <v>2027</v>
      </c>
      <c r="C310" s="2000">
        <f ca="1">(IF($C$2&lt;=$Z$14*AND(D301&gt;=3)*AND($F$2&gt;=$Z$18),OFFSET($U$6,(ROUNDUP((ROW()-10)/29,0)-1),0),0)*IF(D301=9,0,1))*C301</f>
        <v>0</v>
      </c>
      <c r="D310" s="2921">
        <f>IF(OR($C297="COE",$C297="CCE",$C297="CBEE",$C297="EECS",$C297="MIME",$C297="NSE",$C297="PMEC"),HLOOKUP($B310,$Z$6:$AF$10,3),
IF(($C297="COB"),HLOOKUP($B310,$Z$25:$AF$27,3),
IF(($C297="CPH"),HLOOKUP($B310,$Z$31:$AF$33,3),
IF(($C297="VetMed"),HLOOKUP($B310,$Z$37:$AF$39,3),
IF(($C297="Pharm"),HLOOKUP($B310,$Z$43:$AF$45,3),
HLOOKUP($B310,$Z$49:$AF$51,3))))))</f>
        <v>2719.5</v>
      </c>
      <c r="E310" s="1987">
        <f ca="1">(C310*D310)+(C311*D311)</f>
        <v>0</v>
      </c>
      <c r="F310" s="1988">
        <f ca="1">IF($C$2&lt;=$Z$15*AND(D301&gt;=3)*AND($F$2&gt;=$Z$19),OFFSET($U$6,(ROUNDUP((ROW()-10)/29,0)-1),0),0)*C301</f>
        <v>0</v>
      </c>
      <c r="G310" s="1988">
        <f ca="1">IF($C$2&lt;=$Z$16*AND(D301&gt;=3)*AND($F$2&gt;=$Z$20),OFFSET($U$6,(ROUNDUP((ROW()-10)/29,0)-1),0),0)*C301</f>
        <v>0</v>
      </c>
      <c r="H310" s="1988">
        <f ca="1">IF($C$2&lt;=$Z$17*AND(D301&gt;=3)*AND($F$2&gt;=$Z$21),OFFSET($U$6,(ROUNDUP((ROW()-10)/29,0)-1),0),0)*C301</f>
        <v>0</v>
      </c>
      <c r="I310" s="2921">
        <f>IF(OR($C297="COE",$C297="CCE",$C297="CBEE",$C297="EECS",$C297="MIME",$C297="NSE",$C297="PMEC"),HLOOKUP($B310,$Z$6:$AF$10,2),
IF(($C297="COB"),HLOOKUP($B310,$Z$25:$AF$27,2),
IF(($C297="CPH"),HLOOKUP($B310,$Z$31:$AF$33,2),
IF(($C297="VetMed"),HLOOKUP($B310,$Z$37:$AF$39,2),
IF(($C297="Pharm"),HLOOKUP($B310,$Z$43:$AF$45,2),
HLOOKUP($B310,$Z$49:$AF$51,2))))))</f>
        <v>4895.1000000000004</v>
      </c>
      <c r="J310" s="1989">
        <f ca="1">((SUM(F310:H310)*I310)+(SUM(F311:H311)*I311))</f>
        <v>0</v>
      </c>
      <c r="K310" s="2552">
        <f t="shared" ref="K310:K321" ca="1" si="104">C310*HLOOKUP($B310,$Z$6:$AF$10,5)</f>
        <v>0</v>
      </c>
      <c r="L310" s="2925">
        <f t="shared" ref="L310:L321" ca="1" si="105">SUM(F310:H310)*HLOOKUP($B310,$Z$6:$AF$10,4)</f>
        <v>0</v>
      </c>
      <c r="M310" s="2926">
        <f ca="1">SUM(K310:L311)</f>
        <v>0</v>
      </c>
    </row>
    <row r="311" spans="1:15" ht="15.75" hidden="1" thickBot="1" x14ac:dyDescent="0.3">
      <c r="A311" s="3609"/>
      <c r="B311" s="2006">
        <f>B310+1</f>
        <v>2028</v>
      </c>
      <c r="C311" s="2001">
        <f ca="1">(IF($C$2&lt;=$AA$14*AND(D301&gt;=3)*AND($F$2&gt;=$AA$18),OFFSET($U$6,(ROUNDUP((ROW()-10)/29,0)-1),0),0)*IF(D301=9,0,1)*IF(C310=0,1,0))*C301</f>
        <v>0</v>
      </c>
      <c r="D311" s="2921">
        <f>IF(OR($C297="COE",$C297="CCE",$C297="CBEE",$C297="EECS",$C297="MIME",$C297="NSE",$C297="PMEC"),HLOOKUP($B311,$Z$6:$AF$10,3),
IF(($C297="COB"),HLOOKUP($B311,$Z$25:$AF$27,3),
IF(($C297="CPH"),HLOOKUP($B311,$Z$31:$AF$33,3),
IF(($C297="VetMed"),HLOOKUP($B311,$Z$37:$AF$39,3),
IF(($C297="Pharm"),HLOOKUP($B311,$Z$43:$AF$45,3),
HLOOKUP($B311,$Z$49:$AF$51,3))))))</f>
        <v>2801.085</v>
      </c>
      <c r="E311" s="1594"/>
      <c r="F311" s="511">
        <f ca="1">IF(($C$2&lt;=$AA$15)*AND(D301&gt;=3)*AND(F310=0)*AND($F$2&gt;=$AA$19),OFFSET($U$6,(ROUNDUP((ROW()-10)/29,0)-1),0),0)*C301</f>
        <v>0</v>
      </c>
      <c r="G311" s="511">
        <f ca="1">IF(($C$2&lt;=$AA$16)*AND(D301&gt;=3)*AND(G310=0)*AND($F$2&gt;=$AA$20),OFFSET($U$6,(ROUNDUP((ROW()-10)/29,0)-1),0),0)*C301</f>
        <v>0</v>
      </c>
      <c r="H311" s="511">
        <f ca="1">IF($C$2&lt;=$AA$17*AND(D301&gt;=3)*AND(H310=0)*AND($F$2&gt;=$AA$21),OFFSET($U$6,(ROUNDUP((ROW()-10)/29,0)-1),0),0)*C301</f>
        <v>0</v>
      </c>
      <c r="I311" s="2921">
        <f>IF(OR($C297="COE",$C297="CCE",$C297="CBEE",$C297="EECS",$C297="MIME",$C297="NSE",$C297="PMEC"),HLOOKUP($B311,$Z$6:$AF$10,2),
IF(($C297="COB"),HLOOKUP($B311,$Z$25:$AF$27,2),
IF(($C297="CPH"),HLOOKUP($B311,$Z$31:$AF$33,2),
IF(($C297="VetMed"),HLOOKUP($B311,$Z$37:$AF$39,2),
IF(($C297="Pharm"),HLOOKUP($B311,$Z$43:$AF$45,2),
HLOOKUP($B311,$Z$49:$AF$51,2))))))</f>
        <v>5041.9530000000004</v>
      </c>
      <c r="J311" s="612"/>
      <c r="K311" s="2553">
        <f t="shared" ca="1" si="104"/>
        <v>0</v>
      </c>
      <c r="L311" s="2927">
        <f t="shared" ca="1" si="105"/>
        <v>0</v>
      </c>
      <c r="M311" s="2928"/>
    </row>
    <row r="312" spans="1:15" hidden="1" x14ac:dyDescent="0.25">
      <c r="A312" s="3608">
        <v>2</v>
      </c>
      <c r="B312" s="2005">
        <f>B311</f>
        <v>2028</v>
      </c>
      <c r="C312" s="2002">
        <f ca="1">(IF(($AA$18&lt;$F$2)*AND(D302=12)*AND(C311=0),OFFSET($U$6,(ROUNDUP((ROW()-10)/29,0)-1),0),0))*C302</f>
        <v>0</v>
      </c>
      <c r="D312" s="2922">
        <f>D311</f>
        <v>2801.085</v>
      </c>
      <c r="E312" s="1595">
        <f ca="1">(C312*D312)+(C313*D313)</f>
        <v>0</v>
      </c>
      <c r="F312" s="510">
        <f ca="1">IF(($AA$19&lt;$F$2)*AND(D302&gt;=3)*AND(F311=0),OFFSET($U$6,(ROUNDUP((ROW()-10)/29,0)-1),0),0)*C302</f>
        <v>0</v>
      </c>
      <c r="G312" s="510">
        <f ca="1">IF(($AA$20&lt;$F$2)*AND(D302&gt;=3)*AND(G311=0),OFFSET($U$6,(ROUNDUP((ROW()-10)/29,0)-1),0),0)*C302</f>
        <v>0</v>
      </c>
      <c r="H312" s="510">
        <f ca="1">IF(($AA$21&lt;$F$2)*AND(D302&gt;=3)*AND(H311=0),OFFSET($U$6,(ROUNDUP((ROW()-10)/29,0)-1),0),0)*C302</f>
        <v>0</v>
      </c>
      <c r="I312" s="2929">
        <f>I311</f>
        <v>5041.9530000000004</v>
      </c>
      <c r="J312" s="611">
        <f ca="1">((SUM(F312:H312)*I312)+(SUM(F313:H313)*I313))</f>
        <v>0</v>
      </c>
      <c r="K312" s="2552">
        <f t="shared" ca="1" si="104"/>
        <v>0</v>
      </c>
      <c r="L312" s="2925">
        <f t="shared" ca="1" si="105"/>
        <v>0</v>
      </c>
      <c r="M312" s="2926">
        <f ca="1">SUM(K312:L313)</f>
        <v>0</v>
      </c>
    </row>
    <row r="313" spans="1:15" ht="15.75" hidden="1" thickBot="1" x14ac:dyDescent="0.3">
      <c r="A313" s="3613"/>
      <c r="B313" s="2007">
        <f>B312+1</f>
        <v>2029</v>
      </c>
      <c r="C313" s="2003">
        <f ca="1">(IF(($AB$18&lt;$F$2)*AND(D302=12)*AND(C312=0),OFFSET($U$6,(ROUNDUP((ROW()-10)/29,0)-1),0),0))*C302</f>
        <v>0</v>
      </c>
      <c r="D313" s="2931">
        <f>D312+D312*$AG$7</f>
        <v>2885.1175499999999</v>
      </c>
      <c r="E313" s="1594"/>
      <c r="F313" s="511">
        <f ca="1">IF(($AB$19&lt;$F$2)*AND(D302&gt;=3)*AND(F312=0),OFFSET($U$6,(ROUNDUP((ROW()-10)/29,0)-1),0),0)*C302</f>
        <v>0</v>
      </c>
      <c r="G313" s="511">
        <f ca="1">IF(($AB$20&lt;$F$2)*AND(D302&gt;=3)*AND(G312=0),OFFSET($U$6,(ROUNDUP((ROW()-10)/29,0)-1),0),0)*C302</f>
        <v>0</v>
      </c>
      <c r="H313" s="511">
        <f ca="1">IF(($AB$21&lt;$F$2)*AND(D302&gt;=3)*AND(H312=0),OFFSET($U$6,(ROUNDUP((ROW()-10)/29,0)-1),0),0)*C302</f>
        <v>0</v>
      </c>
      <c r="I313" s="2930">
        <f>I312+I312*$AG$7</f>
        <v>5193.2115900000008</v>
      </c>
      <c r="J313" s="612"/>
      <c r="K313" s="2553">
        <f t="shared" ca="1" si="104"/>
        <v>0</v>
      </c>
      <c r="L313" s="2927">
        <f t="shared" ca="1" si="105"/>
        <v>0</v>
      </c>
      <c r="M313" s="2928"/>
    </row>
    <row r="314" spans="1:15" hidden="1" x14ac:dyDescent="0.25">
      <c r="A314" s="3608">
        <v>3</v>
      </c>
      <c r="B314" s="2005">
        <f>B313</f>
        <v>2029</v>
      </c>
      <c r="C314" s="2002">
        <f ca="1">IF(($AB$18&lt;$F$2)*AND(D303=12)*AND(C313=0),OFFSET($U$6,(ROUNDUP((ROW()-10)/29,0)-1),0),0)*C303</f>
        <v>0</v>
      </c>
      <c r="D314" s="2924">
        <f>D313</f>
        <v>2885.1175499999999</v>
      </c>
      <c r="E314" s="1595">
        <f ca="1">(C314*D314)+(C315*D315)</f>
        <v>0</v>
      </c>
      <c r="F314" s="510">
        <f ca="1">IF(($AB$19&lt;$F$2)*AND(D303&gt;=3)*AND(F313=0),OFFSET($U$6,(ROUNDUP((ROW()-10)/29,0)-1),0),0)*C303</f>
        <v>0</v>
      </c>
      <c r="G314" s="510">
        <f ca="1">IF(($AB$20&lt;$F$2)*AND(D303&gt;=3)*AND(G313=0),OFFSET($U$6,(ROUNDUP((ROW()-10)/29,0)-1),0),0)*C303</f>
        <v>0</v>
      </c>
      <c r="H314" s="510">
        <f ca="1">IF(($AB$21&lt;$F$2)*AND(D303&gt;=3)*AND(H313=0),OFFSET($U$6,(ROUNDUP((ROW()-10)/29,0)-1),0),0)*C303</f>
        <v>0</v>
      </c>
      <c r="I314" s="2929">
        <f>I313</f>
        <v>5193.2115900000008</v>
      </c>
      <c r="J314" s="611">
        <f ca="1">((SUM(F314:H314)*I314)+(SUM(F315:H315)*I315))</f>
        <v>0</v>
      </c>
      <c r="K314" s="2552">
        <f t="shared" ca="1" si="104"/>
        <v>0</v>
      </c>
      <c r="L314" s="2925">
        <f t="shared" ca="1" si="105"/>
        <v>0</v>
      </c>
      <c r="M314" s="2926">
        <f ca="1">SUM(K314:L315)</f>
        <v>0</v>
      </c>
    </row>
    <row r="315" spans="1:15" ht="15.75" hidden="1" thickBot="1" x14ac:dyDescent="0.3">
      <c r="A315" s="3609"/>
      <c r="B315" s="2006">
        <f>B314+1</f>
        <v>2030</v>
      </c>
      <c r="C315" s="2001">
        <f ca="1">IF(($AC$18&lt;$F$2)*AND(D303=12)*AND(C314=0),OFFSET($U$6,(ROUNDUP((ROW()-10)/29,0)-1),0),0)*C303</f>
        <v>0</v>
      </c>
      <c r="D315" s="2932">
        <f>D314+D314*$AG$7</f>
        <v>2971.6710764999998</v>
      </c>
      <c r="E315" s="1594"/>
      <c r="F315" s="511">
        <f ca="1">IF(($AC$19&lt;$F$2)*AND(D303&gt;=3)*AND(F314=0),OFFSET($U$6,(ROUNDUP((ROW()-10)/29,0)-1),0),0)*C303</f>
        <v>0</v>
      </c>
      <c r="G315" s="511">
        <f ca="1">IF(($AC$20&lt;$F$2)*AND(D303&gt;=3)*AND(G314=0),OFFSET($U$6,(ROUNDUP((ROW()-10)/29,0)-1),0),0)*C303</f>
        <v>0</v>
      </c>
      <c r="H315" s="511">
        <f ca="1">IF(($AC$21&lt;$F$2)*AND(D303&gt;=3)*AND(H314=0),OFFSET($U$6,(ROUNDUP((ROW()-10)/29,0)-1),0),0)*C303</f>
        <v>0</v>
      </c>
      <c r="I315" s="2930">
        <f>I314+I314*$AG$7</f>
        <v>5349.0079377000011</v>
      </c>
      <c r="J315" s="612"/>
      <c r="K315" s="2553">
        <f t="shared" ca="1" si="104"/>
        <v>0</v>
      </c>
      <c r="L315" s="2927">
        <f t="shared" ca="1" si="105"/>
        <v>0</v>
      </c>
      <c r="M315" s="2928"/>
    </row>
    <row r="316" spans="1:15" hidden="1" x14ac:dyDescent="0.25">
      <c r="A316" s="3613">
        <v>4</v>
      </c>
      <c r="B316" s="2008">
        <f>B315</f>
        <v>2030</v>
      </c>
      <c r="C316" s="2000">
        <f ca="1">IF(($AC$11&lt;$F$2)*AND(D304=12)*AND(C315=0),OFFSET($U$6,(ROUNDUP((ROW()-10)/29,0)-1),0),0)*C304</f>
        <v>0</v>
      </c>
      <c r="D316" s="2921">
        <f>D315</f>
        <v>2971.6710764999998</v>
      </c>
      <c r="E316" s="1595">
        <f ca="1">(C316*D316)+(C317*D317)</f>
        <v>0</v>
      </c>
      <c r="F316" s="510">
        <f ca="1">IF(($AC$19&lt;$F$2)*AND(D304&gt;=3)*AND(F315=0),OFFSET($U$6,(ROUNDUP((ROW()-10)/29,0)-1),0),0)*C304</f>
        <v>0</v>
      </c>
      <c r="G316" s="510">
        <f ca="1">IF(($AC$20&lt;$F$2)*AND(D304&gt;=3)*AND(G315=0),OFFSET($U$6,(ROUNDUP((ROW()-10)/29,0)-1),0),0)*C304</f>
        <v>0</v>
      </c>
      <c r="H316" s="510">
        <f ca="1">IF(($AC$21&lt;$F$2)*AND(D304&gt;=3)*AND(H315=0),OFFSET($U$6,(ROUNDUP((ROW()-10)/29,0)-1),0),0)*C304</f>
        <v>0</v>
      </c>
      <c r="I316" s="2929">
        <f>I315</f>
        <v>5349.0079377000011</v>
      </c>
      <c r="J316" s="611">
        <f ca="1">((SUM(F316:H316)*I316)+(SUM(F317:H317)*I317))</f>
        <v>0</v>
      </c>
      <c r="K316" s="2552">
        <f t="shared" ca="1" si="104"/>
        <v>0</v>
      </c>
      <c r="L316" s="2925">
        <f t="shared" ca="1" si="105"/>
        <v>0</v>
      </c>
      <c r="M316" s="2926">
        <f ca="1">SUM(K316:L317)</f>
        <v>0</v>
      </c>
    </row>
    <row r="317" spans="1:15" ht="15.75" hidden="1" thickBot="1" x14ac:dyDescent="0.3">
      <c r="A317" s="3609"/>
      <c r="B317" s="2006">
        <f>B316+1</f>
        <v>2031</v>
      </c>
      <c r="C317" s="2001">
        <f ca="1">IF(($AD$18&lt;$F$2)*AND(D304=12)*AND(C316=0),OFFSET($U$6,(ROUNDUP((ROW()-10)/29,0)-1),0),0)*C304</f>
        <v>0</v>
      </c>
      <c r="D317" s="2923">
        <f>D316+D316*$AG$7</f>
        <v>3060.8212087949996</v>
      </c>
      <c r="E317" s="1594"/>
      <c r="F317" s="511">
        <f ca="1">IF(($AD$19&lt;$F$2)*AND(D304&gt;=3)*AND(F316=0),OFFSET($U$6,(ROUNDUP((ROW()-10)/29,0)-1),0),0)*C304</f>
        <v>0</v>
      </c>
      <c r="G317" s="511">
        <f ca="1">IF(($AD$20&lt;$F$2)*AND(D304&gt;=3)*AND(G316=0),OFFSET($U$6,(ROUNDUP((ROW()-10)/29,0)-1),0),0)*C304</f>
        <v>0</v>
      </c>
      <c r="H317" s="511">
        <f ca="1">IF(($AD$21&lt;$F$2)*AND(D304&gt;=3)*AND(H316=0),OFFSET($U$6,(ROUNDUP((ROW()-10)/29,0)-1),0),0)*C304</f>
        <v>0</v>
      </c>
      <c r="I317" s="2930">
        <f>I316+I316*$AG$7</f>
        <v>5509.478175831001</v>
      </c>
      <c r="J317" s="612"/>
      <c r="K317" s="2553">
        <f t="shared" ca="1" si="104"/>
        <v>0</v>
      </c>
      <c r="L317" s="2927">
        <f t="shared" ca="1" si="105"/>
        <v>0</v>
      </c>
      <c r="M317" s="2928"/>
    </row>
    <row r="318" spans="1:15" hidden="1" x14ac:dyDescent="0.25">
      <c r="A318" s="3608">
        <v>5</v>
      </c>
      <c r="B318" s="2005">
        <f>B317</f>
        <v>2031</v>
      </c>
      <c r="C318" s="2002">
        <f ca="1">IF(($AD$18&lt;$F$2)*AND(D305=12)*AND(C317=0),OFFSET($U$6,(ROUNDUP((ROW()-10)/29,0)-1),0),0)*C305</f>
        <v>0</v>
      </c>
      <c r="D318" s="2922">
        <f>D317</f>
        <v>3060.8212087949996</v>
      </c>
      <c r="E318" s="1595">
        <f ca="1">(C318*D318)+(C319*D319)</f>
        <v>0</v>
      </c>
      <c r="F318" s="510">
        <f ca="1">IF(($AD$19&lt;$F$2)*AND(D305&gt;=3)*AND(F317=0),OFFSET($U$6,(ROUNDUP((ROW()-10)/29,0)-1),0),0)*C305</f>
        <v>0</v>
      </c>
      <c r="G318" s="510">
        <f ca="1">IF(($AD$20&lt;$F$2)*AND(D305&gt;=3)*AND(G317=0),OFFSET($U$6,(ROUNDUP((ROW()-10)/29,0)-1),0),0)*C305</f>
        <v>0</v>
      </c>
      <c r="H318" s="510">
        <f ca="1">IF(($AD$21&lt;$F$2)*AND(D305&gt;=3)*AND(H317=0),OFFSET($U$6,(ROUNDUP((ROW()-10)/29,0)-1),0),0)*C305</f>
        <v>0</v>
      </c>
      <c r="I318" s="2929">
        <f>I317</f>
        <v>5509.478175831001</v>
      </c>
      <c r="J318" s="611">
        <f ca="1">((SUM(F318:H318)*I318)+(SUM(F319:H319)*I319))</f>
        <v>0</v>
      </c>
      <c r="K318" s="2552">
        <f t="shared" ca="1" si="104"/>
        <v>0</v>
      </c>
      <c r="L318" s="2925">
        <f t="shared" ca="1" si="105"/>
        <v>0</v>
      </c>
      <c r="M318" s="2926">
        <f ca="1">SUM(K318:L319)</f>
        <v>0</v>
      </c>
    </row>
    <row r="319" spans="1:15" ht="15.75" hidden="1" thickBot="1" x14ac:dyDescent="0.3">
      <c r="A319" s="3609"/>
      <c r="B319" s="2006">
        <f>B318+1</f>
        <v>2032</v>
      </c>
      <c r="C319" s="2001">
        <f ca="1">IF(($AE$18&lt;$F$2)*AND(D305=12)*AND(C318=0),OFFSET($U$6,(ROUNDUP((ROW()-10)/29,0)-1),0),0)*C305</f>
        <v>0</v>
      </c>
      <c r="D319" s="2923">
        <f>D318+D318*$AG$7</f>
        <v>3152.6458450588498</v>
      </c>
      <c r="E319" s="1594"/>
      <c r="F319" s="511">
        <f ca="1">IF(($AE$19&lt;$F$2)*AND(D305&gt;=3)*AND(F318=0),OFFSET($U$6,(ROUNDUP((ROW()-10)/29,0)-1),0),0)*C305</f>
        <v>0</v>
      </c>
      <c r="G319" s="511">
        <f ca="1">IF(($AE$20&lt;$F$2)*AND(D305&gt;=3)*AND(G318=0),OFFSET($U$6,(ROUNDUP((ROW()-10)/29,0)-1),0),0)*C305</f>
        <v>0</v>
      </c>
      <c r="H319" s="511">
        <f ca="1">IF(($AE$21&lt;$F$2)*AND(D305&gt;=3)*AND(H318=0),OFFSET($U$6,(ROUNDUP((ROW()-10)/29,0)-1),0),0)*C305</f>
        <v>0</v>
      </c>
      <c r="I319" s="2930">
        <f>I318+I318*$AG$7</f>
        <v>5674.7625211059312</v>
      </c>
      <c r="J319" s="612"/>
      <c r="K319" s="2553">
        <f t="shared" ca="1" si="104"/>
        <v>0</v>
      </c>
      <c r="L319" s="2927">
        <f t="shared" ca="1" si="105"/>
        <v>0</v>
      </c>
      <c r="M319" s="2928"/>
    </row>
    <row r="320" spans="1:15" hidden="1" x14ac:dyDescent="0.25">
      <c r="A320" s="3608">
        <v>6</v>
      </c>
      <c r="B320" s="2005">
        <f>B319</f>
        <v>2032</v>
      </c>
      <c r="C320" s="2002">
        <f ca="1">IF(($AE$18&lt;$F$2)*AND(D306=12)*AND(C319=0),OFFSET($U$6,(ROUNDUP((ROW()-10)/29,0)-1),0),0)*C306</f>
        <v>0</v>
      </c>
      <c r="D320" s="2922">
        <f>D319</f>
        <v>3152.6458450588498</v>
      </c>
      <c r="E320" s="1595">
        <f ca="1">(C320*D320)+(C321*D321)</f>
        <v>0</v>
      </c>
      <c r="F320" s="510">
        <f ca="1">IF(($AE$19&lt;$F$2)*AND(D306&gt;=3)*AND(F319=0),OFFSET($U$6,(ROUNDUP((ROW()-10)/29,0)-1),0),0)*C306</f>
        <v>0</v>
      </c>
      <c r="G320" s="510">
        <f ca="1">IF(($AE$20&lt;$F$2)*AND(D306&gt;=3)*AND(G319=0),OFFSET($U$6,(ROUNDUP((ROW()-10)/29,0)-1),0),0)*C306</f>
        <v>0</v>
      </c>
      <c r="H320" s="510">
        <f ca="1">IF(($AE$21&lt;$F$2)*AND(D306&gt;=3)*AND(H319=0),OFFSET($U$6,(ROUNDUP((ROW()-10)/29,0)-1),0),0)*C306</f>
        <v>0</v>
      </c>
      <c r="I320" s="2929">
        <f>I319</f>
        <v>5674.7625211059312</v>
      </c>
      <c r="J320" s="611">
        <f ca="1">((SUM(F320:H320)*I320)+(SUM(F321:H321)*I321))</f>
        <v>0</v>
      </c>
      <c r="K320" s="2552">
        <f t="shared" ca="1" si="104"/>
        <v>0</v>
      </c>
      <c r="L320" s="2925">
        <f t="shared" ca="1" si="105"/>
        <v>0</v>
      </c>
      <c r="M320" s="2926">
        <f ca="1">SUM(K320:L321)</f>
        <v>0</v>
      </c>
    </row>
    <row r="321" spans="1:15" ht="15.75" hidden="1" thickBot="1" x14ac:dyDescent="0.3">
      <c r="A321" s="3609"/>
      <c r="B321" s="2006">
        <f>B320+1</f>
        <v>2033</v>
      </c>
      <c r="C321" s="2004">
        <f ca="1">IF(($AF$18&lt;$F$2)*AND(D306=12)*AND(C320=0),OFFSET($U$6,(ROUNDUP((ROW()-10)/29,0)-1),0),0)*C306</f>
        <v>0</v>
      </c>
      <c r="D321" s="2923">
        <f>D320+D320*$AG$7</f>
        <v>3247.2252204106153</v>
      </c>
      <c r="E321" s="1594"/>
      <c r="F321" s="511">
        <f ca="1">IF(($AF$19&lt;$F$2)*AND(D306&gt;=3)*AND(F320=0),OFFSET($U$6,(ROUNDUP((ROW()-10)/29,0)-1),0),0)*C306</f>
        <v>0</v>
      </c>
      <c r="G321" s="511">
        <f ca="1">IF(($AF$20&lt;$F$2)*AND(D306&gt;=3)*AND(G320=0),OFFSET($U$6,(ROUNDUP((ROW()-10)/29,0)-1),0),0)*C306</f>
        <v>0</v>
      </c>
      <c r="H321" s="511">
        <f ca="1">IF(($AF$21&lt;$F$2)*AND(D306&gt;=3)*AND(H320=0),OFFSET($U$6,(ROUNDUP((ROW()-10)/29,0)-1),0),0)*C306</f>
        <v>0</v>
      </c>
      <c r="I321" s="2930">
        <f>I320+I320*$AG$7</f>
        <v>5845.0053967391095</v>
      </c>
      <c r="J321" s="612"/>
      <c r="K321" s="2553">
        <f t="shared" ca="1" si="104"/>
        <v>0</v>
      </c>
      <c r="L321" s="2927">
        <f t="shared" ca="1" si="105"/>
        <v>0</v>
      </c>
      <c r="M321" s="2928"/>
    </row>
    <row r="322" spans="1:15" ht="15.75" hidden="1" thickBot="1" x14ac:dyDescent="0.3">
      <c r="C322" s="3616" t="s">
        <v>96</v>
      </c>
      <c r="D322" s="3617"/>
      <c r="E322" s="2933">
        <f ca="1">SUM(E310:E320)</f>
        <v>0</v>
      </c>
      <c r="F322" s="60"/>
      <c r="G322" s="2936" t="s">
        <v>102</v>
      </c>
      <c r="H322" s="3618" t="s">
        <v>57</v>
      </c>
      <c r="I322" s="3619"/>
      <c r="J322" s="2934">
        <f ca="1">SUM(J310:J320)</f>
        <v>0</v>
      </c>
      <c r="K322" s="3610" t="s">
        <v>103</v>
      </c>
      <c r="L322" s="3611"/>
      <c r="M322" s="2935">
        <f ca="1">SUM(M310:M321)</f>
        <v>0</v>
      </c>
    </row>
    <row r="323" spans="1:15" ht="15.75" hidden="1" thickBot="1" x14ac:dyDescent="0.3">
      <c r="A323" s="71"/>
      <c r="B323" s="71"/>
      <c r="C323" s="71"/>
      <c r="D323" s="71"/>
      <c r="E323" s="71"/>
      <c r="F323" s="71"/>
      <c r="G323" s="71"/>
      <c r="H323" s="71"/>
      <c r="I323" s="71"/>
      <c r="J323" s="71"/>
      <c r="K323" s="71"/>
      <c r="L323" s="71"/>
      <c r="M323" s="615"/>
    </row>
    <row r="324" spans="1:15" ht="16.5" hidden="1" thickTop="1" thickBot="1" x14ac:dyDescent="0.3"/>
    <row r="325" spans="1:15" ht="15.75" hidden="1" thickBot="1" x14ac:dyDescent="0.3">
      <c r="A325" s="64" t="str">
        <f>'DATA INPUT'!B40</f>
        <v>GA #12 / Sponsor Funds</v>
      </c>
      <c r="B325" s="65"/>
      <c r="C325" s="65"/>
      <c r="D325" s="65"/>
      <c r="E325" s="65"/>
      <c r="F325" s="65"/>
      <c r="G325" s="65"/>
      <c r="H325" s="65"/>
      <c r="I325" s="65"/>
      <c r="J325" s="65"/>
      <c r="K325" s="65"/>
      <c r="L325" s="65"/>
      <c r="M325" s="1598"/>
      <c r="N325" s="1598"/>
    </row>
    <row r="326" spans="1:15" ht="15" hidden="1" customHeight="1" thickBot="1" x14ac:dyDescent="0.3">
      <c r="A326" s="3620" t="s">
        <v>80</v>
      </c>
      <c r="B326" s="3621"/>
      <c r="C326" s="1712">
        <f>'DATA INPUT'!C40</f>
        <v>0</v>
      </c>
      <c r="E326" s="1760" t="s">
        <v>135</v>
      </c>
      <c r="F326" s="1761">
        <f>'DATA INPUT'!E40</f>
        <v>0</v>
      </c>
      <c r="G326" s="1760" t="s">
        <v>82</v>
      </c>
      <c r="H326" s="1734">
        <f>'DATA INPUT'!F40</f>
        <v>0.49</v>
      </c>
      <c r="I326" s="1737" t="s">
        <v>88</v>
      </c>
      <c r="J326" s="1746">
        <f>IFERROR(VLOOKUP(C326,Table_Units[],IF(F326='Reference Sheet'!$H$37,3,2),FALSE)*1,0)</f>
        <v>0</v>
      </c>
      <c r="K326" s="1746"/>
      <c r="L326" s="66"/>
      <c r="M326" s="1712"/>
      <c r="N326" s="1762"/>
    </row>
    <row r="327" spans="1:15" ht="15" hidden="1" customHeight="1" thickBot="1" x14ac:dyDescent="0.3">
      <c r="A327" s="1716"/>
      <c r="B327" s="3445" t="s">
        <v>254</v>
      </c>
      <c r="C327" s="3560" t="s">
        <v>517</v>
      </c>
      <c r="D327" s="3444" t="s">
        <v>518</v>
      </c>
      <c r="E327" s="3445" t="s">
        <v>519</v>
      </c>
      <c r="F327" s="3445" t="s">
        <v>521</v>
      </c>
      <c r="G327" s="3614" t="s">
        <v>65</v>
      </c>
      <c r="H327" s="3614"/>
      <c r="I327" s="3614"/>
      <c r="J327" s="3614"/>
      <c r="K327" s="3445" t="s">
        <v>84</v>
      </c>
      <c r="L327" s="1996" t="s">
        <v>78</v>
      </c>
      <c r="M327" s="1997"/>
      <c r="N327" s="3558" t="s">
        <v>87</v>
      </c>
    </row>
    <row r="328" spans="1:15" ht="15" hidden="1" customHeight="1" thickBot="1" x14ac:dyDescent="0.3">
      <c r="A328" s="3445" t="s">
        <v>253</v>
      </c>
      <c r="B328" s="3445"/>
      <c r="C328" s="3561"/>
      <c r="D328" s="3445"/>
      <c r="E328" s="3445"/>
      <c r="F328" s="3445"/>
      <c r="G328" s="3444" t="s">
        <v>86</v>
      </c>
      <c r="H328" s="3444" t="s">
        <v>59</v>
      </c>
      <c r="I328" s="3444" t="s">
        <v>60</v>
      </c>
      <c r="J328" s="3444" t="s">
        <v>66</v>
      </c>
      <c r="K328" s="3445"/>
      <c r="L328" s="1998" t="s">
        <v>616</v>
      </c>
      <c r="M328" s="1999">
        <f>'Reference Sheet'!$E$14</f>
        <v>0.28499999999999998</v>
      </c>
      <c r="N328" s="3566"/>
    </row>
    <row r="329" spans="1:15" ht="15.75" hidden="1" thickBot="1" x14ac:dyDescent="0.3">
      <c r="A329" s="3446"/>
      <c r="B329" s="3446"/>
      <c r="C329" s="3615"/>
      <c r="D329" s="3446"/>
      <c r="E329" s="3446"/>
      <c r="F329" s="3446"/>
      <c r="G329" s="3446"/>
      <c r="H329" s="3446"/>
      <c r="I329" s="3446"/>
      <c r="J329" s="3446"/>
      <c r="K329" s="3446"/>
      <c r="L329" s="1769" t="s">
        <v>67</v>
      </c>
      <c r="M329" s="1683" t="s">
        <v>68</v>
      </c>
      <c r="N329" s="3612"/>
    </row>
    <row r="330" spans="1:15" hidden="1" x14ac:dyDescent="0.25">
      <c r="A330" s="1685">
        <v>1</v>
      </c>
      <c r="B330" s="1770">
        <f>$K$3</f>
        <v>12</v>
      </c>
      <c r="C330" s="1685">
        <f>'DATA INPUT'!I40</f>
        <v>0</v>
      </c>
      <c r="D330" s="1693">
        <f>IF(C330&lt;1,0,IF((B330&gt;0),'DATA INPUT'!$G$40,0))</f>
        <v>0</v>
      </c>
      <c r="E330" s="1773">
        <f t="shared" ref="E330:E335" ca="1" si="106">(D330*(2080/12))*OFFSET($H$7,29*(ROUNDUP(ROW()/29,0)-1),0)</f>
        <v>0</v>
      </c>
      <c r="F330" s="1684">
        <f t="shared" ref="F330:F335" ca="1" si="107">((D330*(2080/12))*OFFSET($H$7,29*(ROUNDUP(ROW()/29,0)-1),0))*C330</f>
        <v>0</v>
      </c>
      <c r="G330" s="1149">
        <v>0.03</v>
      </c>
      <c r="H330" s="460">
        <f>(J326*G330)+J326</f>
        <v>0</v>
      </c>
      <c r="I330" s="492">
        <f t="shared" ref="I330:I335" ca="1" si="108">H330/12*OFFSET($H$7,29*(ROUNDUP(ROW(H330)/29,0)-1),0)</f>
        <v>0</v>
      </c>
      <c r="J330" s="2400">
        <f t="shared" ref="J330:J335" si="109">(H330/12)/(2080/12)</f>
        <v>0</v>
      </c>
      <c r="K330" s="1766">
        <f t="shared" ref="K330:K335" ca="1" si="110">I330*D330*C330</f>
        <v>0</v>
      </c>
      <c r="L330" s="626">
        <f>IF($U$3&lt;$T$3, M328, IF($U$3&gt;$W$3, M328+2*$Q$6, M328+$Q$6))</f>
        <v>0.28499999999999998</v>
      </c>
      <c r="M330" s="1500">
        <f t="shared" ref="M330:M335" ca="1" si="111">L330*K330</f>
        <v>0</v>
      </c>
      <c r="N330" s="2400">
        <f t="shared" ref="N330:N335" si="112">((H330/12)/(2080/12))+(((H330/12)*L330)/(2080/12))</f>
        <v>0</v>
      </c>
      <c r="O330" s="58" t="str">
        <f ca="1">IF(ABS(C330*D330*OFFSET($U$6,(ROUNDUP((ROW()-10)/29,0)-1),0)-3*SUM(C339:C340,F339:H340))&gt; 0.01,"Mismatch: Tuition vs Months","")</f>
        <v/>
      </c>
    </row>
    <row r="331" spans="1:15" hidden="1" x14ac:dyDescent="0.25">
      <c r="A331" s="1687">
        <v>2</v>
      </c>
      <c r="B331" s="1771">
        <f>$L$3</f>
        <v>0</v>
      </c>
      <c r="C331" s="1687">
        <f>'DATA INPUT'!J40</f>
        <v>0</v>
      </c>
      <c r="D331" s="1693">
        <f>IF(C331&lt;1,0,IF((B331&gt;0),'DATA INPUT'!$G$40,0))</f>
        <v>0</v>
      </c>
      <c r="E331" s="1774">
        <f t="shared" ca="1" si="106"/>
        <v>0</v>
      </c>
      <c r="F331" s="1686">
        <f t="shared" ca="1" si="107"/>
        <v>0</v>
      </c>
      <c r="G331" s="461">
        <v>0.03</v>
      </c>
      <c r="H331" s="462">
        <f>(H330*G331)+H330</f>
        <v>0</v>
      </c>
      <c r="I331" s="501">
        <f t="shared" ca="1" si="108"/>
        <v>0</v>
      </c>
      <c r="J331" s="2397">
        <f t="shared" si="109"/>
        <v>0</v>
      </c>
      <c r="K331" s="1767">
        <f t="shared" ca="1" si="110"/>
        <v>0</v>
      </c>
      <c r="L331" s="625">
        <f>L330+$Q$6</f>
        <v>0.30499999999999999</v>
      </c>
      <c r="M331" s="1541">
        <f t="shared" ca="1" si="111"/>
        <v>0</v>
      </c>
      <c r="N331" s="2398">
        <f t="shared" si="112"/>
        <v>0</v>
      </c>
      <c r="O331" s="58" t="str">
        <f ca="1">IF(ABS(C331*D331*OFFSET($U$6,(ROUNDUP((ROW()-10)/29,0)-1),0)-3*SUM(C341:C342,F341:H342))&gt;0.01,"Mismatch: Tuition vs Months","")</f>
        <v/>
      </c>
    </row>
    <row r="332" spans="1:15" hidden="1" x14ac:dyDescent="0.25">
      <c r="A332" s="1687">
        <v>3</v>
      </c>
      <c r="B332" s="1771">
        <f>$M$3</f>
        <v>0</v>
      </c>
      <c r="C332" s="1687">
        <f>'DATA INPUT'!K40</f>
        <v>0</v>
      </c>
      <c r="D332" s="1693">
        <f>IF(C332&lt;1,0,IF((B332&gt;0),'DATA INPUT'!$G$40,0))</f>
        <v>0</v>
      </c>
      <c r="E332" s="1774">
        <f t="shared" ca="1" si="106"/>
        <v>0</v>
      </c>
      <c r="F332" s="1686">
        <f t="shared" ca="1" si="107"/>
        <v>0</v>
      </c>
      <c r="G332" s="461">
        <v>0.03</v>
      </c>
      <c r="H332" s="462">
        <f>(H331*G332)+H331</f>
        <v>0</v>
      </c>
      <c r="I332" s="501">
        <f t="shared" ca="1" si="108"/>
        <v>0</v>
      </c>
      <c r="J332" s="2397">
        <f t="shared" si="109"/>
        <v>0</v>
      </c>
      <c r="K332" s="1767">
        <f t="shared" ca="1" si="110"/>
        <v>0</v>
      </c>
      <c r="L332" s="625">
        <f>L331+$Q$6</f>
        <v>0.32500000000000001</v>
      </c>
      <c r="M332" s="1541">
        <f t="shared" ca="1" si="111"/>
        <v>0</v>
      </c>
      <c r="N332" s="2398">
        <f t="shared" si="112"/>
        <v>0</v>
      </c>
      <c r="O332" s="58" t="str">
        <f ca="1">IF(ABS(C332*D332*OFFSET($U$6,(ROUNDUP((ROW()-10)/29,0)-1),0)-3*SUM(C343:C344,F343:H344))&gt;0.01,"Mismatch: Tuition vs Months","")</f>
        <v/>
      </c>
    </row>
    <row r="333" spans="1:15" hidden="1" x14ac:dyDescent="0.25">
      <c r="A333" s="1687">
        <v>4</v>
      </c>
      <c r="B333" s="1771">
        <f>$N$3</f>
        <v>0</v>
      </c>
      <c r="C333" s="1687">
        <f>'DATA INPUT'!L40</f>
        <v>0</v>
      </c>
      <c r="D333" s="1693">
        <f>IF(C333&lt;1,0,IF((B333&gt;0),'DATA INPUT'!$G$40,0))</f>
        <v>0</v>
      </c>
      <c r="E333" s="1774">
        <f t="shared" ca="1" si="106"/>
        <v>0</v>
      </c>
      <c r="F333" s="1686">
        <f t="shared" ca="1" si="107"/>
        <v>0</v>
      </c>
      <c r="G333" s="461">
        <v>0.03</v>
      </c>
      <c r="H333" s="462">
        <f>(H332*G333)+H332</f>
        <v>0</v>
      </c>
      <c r="I333" s="501">
        <f t="shared" ca="1" si="108"/>
        <v>0</v>
      </c>
      <c r="J333" s="2397">
        <f t="shared" si="109"/>
        <v>0</v>
      </c>
      <c r="K333" s="1767">
        <f t="shared" ca="1" si="110"/>
        <v>0</v>
      </c>
      <c r="L333" s="625">
        <f>L332+$Q$6</f>
        <v>0.34500000000000003</v>
      </c>
      <c r="M333" s="1541">
        <f t="shared" ca="1" si="111"/>
        <v>0</v>
      </c>
      <c r="N333" s="2398">
        <f t="shared" si="112"/>
        <v>0</v>
      </c>
      <c r="O333" s="58" t="str">
        <f ca="1">IF(ABS(C333*D333*OFFSET($U$6,(ROUNDUP((ROW()-10)/29,0)-1),0)-3*SUM(C345:C346,F345:H346))&gt;0.01,"Mismatch: Tuition vs Months","")</f>
        <v/>
      </c>
    </row>
    <row r="334" spans="1:15" hidden="1" x14ac:dyDescent="0.25">
      <c r="A334" s="1687">
        <v>5</v>
      </c>
      <c r="B334" s="1771">
        <f>$O$3</f>
        <v>0</v>
      </c>
      <c r="C334" s="1687">
        <f>'DATA INPUT'!M40</f>
        <v>0</v>
      </c>
      <c r="D334" s="1693">
        <f>IF(C334&lt;1,0,IF((B334&gt;0),'DATA INPUT'!$G$40,0))</f>
        <v>0</v>
      </c>
      <c r="E334" s="1774">
        <f t="shared" ca="1" si="106"/>
        <v>0</v>
      </c>
      <c r="F334" s="1686">
        <f t="shared" ca="1" si="107"/>
        <v>0</v>
      </c>
      <c r="G334" s="461">
        <v>0.03</v>
      </c>
      <c r="H334" s="462">
        <f>(H333*G334)+H333</f>
        <v>0</v>
      </c>
      <c r="I334" s="501">
        <f t="shared" ca="1" si="108"/>
        <v>0</v>
      </c>
      <c r="J334" s="2397">
        <f t="shared" si="109"/>
        <v>0</v>
      </c>
      <c r="K334" s="1767">
        <f t="shared" ca="1" si="110"/>
        <v>0</v>
      </c>
      <c r="L334" s="625">
        <f>L333+$Q$6</f>
        <v>0.36500000000000005</v>
      </c>
      <c r="M334" s="1541">
        <f t="shared" ca="1" si="111"/>
        <v>0</v>
      </c>
      <c r="N334" s="2398">
        <f t="shared" si="112"/>
        <v>0</v>
      </c>
      <c r="O334" s="58" t="str">
        <f ca="1">IF(ABS(C334*D334*OFFSET($U$6,(ROUNDUP((ROW()-10)/29,0)-1),0)-3*SUM(C347:C348,F347:H348))&gt;0.01,"Mismatch: Tuition vs Months","")</f>
        <v/>
      </c>
    </row>
    <row r="335" spans="1:15" ht="15.75" hidden="1" thickBot="1" x14ac:dyDescent="0.3">
      <c r="A335" s="1691">
        <v>6</v>
      </c>
      <c r="B335" s="1772">
        <f>$P$3</f>
        <v>0</v>
      </c>
      <c r="C335" s="1689">
        <f>'DATA INPUT'!N40</f>
        <v>0</v>
      </c>
      <c r="D335" s="1694">
        <f>IF(C335&lt;1,0,IF((B335&gt;0),'DATA INPUT'!$G$40,0))</f>
        <v>0</v>
      </c>
      <c r="E335" s="1733">
        <f t="shared" ca="1" si="106"/>
        <v>0</v>
      </c>
      <c r="F335" s="1688">
        <f t="shared" ca="1" si="107"/>
        <v>0</v>
      </c>
      <c r="G335" s="463">
        <v>0.03</v>
      </c>
      <c r="H335" s="464">
        <f>(H334*G335)+H334</f>
        <v>0</v>
      </c>
      <c r="I335" s="502">
        <f t="shared" ca="1" si="108"/>
        <v>0</v>
      </c>
      <c r="J335" s="2413">
        <f t="shared" si="109"/>
        <v>0</v>
      </c>
      <c r="K335" s="1768">
        <f t="shared" ca="1" si="110"/>
        <v>0</v>
      </c>
      <c r="L335" s="627">
        <f>L334+$Q$6</f>
        <v>0.38500000000000006</v>
      </c>
      <c r="M335" s="1690">
        <f t="shared" ca="1" si="111"/>
        <v>0</v>
      </c>
      <c r="N335" s="2399">
        <f t="shared" si="112"/>
        <v>0</v>
      </c>
      <c r="O335" s="58" t="str">
        <f ca="1">IF(ABS(C335*D335*OFFSET($U$6,(ROUNDUP((ROW()-10)/29,0)-1),0)-3*SUM(C349:C350,F349:H350))&gt;0.01,"Mismatch: Tuition vs Months","")</f>
        <v/>
      </c>
    </row>
    <row r="336" spans="1:15" ht="15.75" hidden="1" thickBot="1" x14ac:dyDescent="0.3">
      <c r="A336" s="624" t="s">
        <v>85</v>
      </c>
      <c r="B336" s="519">
        <f>SUM(B330:B335)</f>
        <v>12</v>
      </c>
      <c r="C336" s="519">
        <f>SUM(C330:C335)</f>
        <v>0</v>
      </c>
      <c r="D336" s="1692">
        <f>SUM(D330:D335)</f>
        <v>0</v>
      </c>
      <c r="E336" s="1695">
        <f ca="1">SUM(E330:E335)</f>
        <v>0</v>
      </c>
      <c r="F336" s="1695">
        <f ca="1">SUM(F330:F335)</f>
        <v>0</v>
      </c>
      <c r="K336" s="1508">
        <f ca="1">SUM(K330:K335)</f>
        <v>0</v>
      </c>
      <c r="M336" s="1508">
        <f ca="1">SUM(M330:M335)</f>
        <v>0</v>
      </c>
      <c r="N336" s="60"/>
    </row>
    <row r="337" spans="1:13" ht="15.75" hidden="1" thickBot="1" x14ac:dyDescent="0.3"/>
    <row r="338" spans="1:13" ht="30.75" hidden="1" thickBot="1" x14ac:dyDescent="0.3">
      <c r="A338" s="1990" t="s">
        <v>253</v>
      </c>
      <c r="B338" s="1990" t="s">
        <v>299</v>
      </c>
      <c r="C338" s="1979" t="s">
        <v>17</v>
      </c>
      <c r="D338" s="1980" t="s">
        <v>96</v>
      </c>
      <c r="E338" s="1981" t="s">
        <v>474</v>
      </c>
      <c r="F338" s="1991" t="s">
        <v>41</v>
      </c>
      <c r="G338" s="1992" t="s">
        <v>42</v>
      </c>
      <c r="H338" s="1992" t="s">
        <v>43</v>
      </c>
      <c r="I338" s="1992" t="s">
        <v>57</v>
      </c>
      <c r="J338" s="1993" t="s">
        <v>472</v>
      </c>
      <c r="K338" s="1980" t="s">
        <v>100</v>
      </c>
      <c r="L338" s="1991" t="s">
        <v>99</v>
      </c>
      <c r="M338" s="1994" t="s">
        <v>101</v>
      </c>
    </row>
    <row r="339" spans="1:13" hidden="1" x14ac:dyDescent="0.25">
      <c r="A339" s="3613">
        <v>1</v>
      </c>
      <c r="B339" s="2005">
        <f>IF($C$2&lt;DATE($Z$6,4,15),$Z$6,IF($C$2&lt;DATE($AA$6,4,15),$AA$6,IF($C$2&lt;DATE($AB$6,4,15),$AB$6,IF($C$2&lt;DATE($AC$6,4,15),$AC$6,$AD$6))))</f>
        <v>2027</v>
      </c>
      <c r="C339" s="2000">
        <f ca="1">(IF($C$2&lt;=$Z$14*AND(D330&gt;=3)*AND($F$2&gt;=$Z$18),OFFSET($U$6,(ROUNDUP((ROW()-10)/29,0)-1),0),0)*IF(D330=9,0,1))*C330</f>
        <v>0</v>
      </c>
      <c r="D339" s="2921">
        <f>IF(OR($C326="COE",$C326="CCE",$C326="CBEE",$C326="EECS",$C326="MIME",$C326="NSE",$C326="PMEC"),HLOOKUP($B339,$Z$6:$AF$10,3),
IF(($C326="COB"),HLOOKUP($B339,$Z$25:$AF$27,3),
IF(($C326="CPH"),HLOOKUP($B339,$Z$31:$AF$33,3),
IF(($C326="VetMed"),HLOOKUP($B339,$Z$37:$AF$39,3),
IF(($C326="Pharm"),HLOOKUP($B339,$Z$43:$AF$45,3),
HLOOKUP($B339,$Z$49:$AF$51,3))))))</f>
        <v>2719.5</v>
      </c>
      <c r="E339" s="1987">
        <f ca="1">(C339*D339)+(C340*D340)</f>
        <v>0</v>
      </c>
      <c r="F339" s="1988">
        <f ca="1">IF($C$2&lt;=$Z$15*AND(D330&gt;=3)*AND($F$2&gt;=$Z$19),OFFSET($U$6,(ROUNDUP((ROW()-10)/29,0)-1),0),0)*C330</f>
        <v>0</v>
      </c>
      <c r="G339" s="1988">
        <f ca="1">IF($C$2&lt;=$Z$16*AND(D330&gt;=3)*AND($F$2&gt;=$Z$20),OFFSET($U$6,(ROUNDUP((ROW()-10)/29,0)-1),0),0)*C330</f>
        <v>0</v>
      </c>
      <c r="H339" s="1988">
        <f ca="1">IF($C$2&lt;=$Z$17*AND(D330&gt;=3)*AND($F$2&gt;=$Z$21),OFFSET($U$6,(ROUNDUP((ROW()-10)/29,0)-1),0),0)*C330</f>
        <v>0</v>
      </c>
      <c r="I339" s="2921">
        <f>IF(OR($C326="COE",$C326="CCE",$C326="CBEE",$C326="EECS",$C326="MIME",$C326="NSE",$C326="PMEC"),HLOOKUP($B339,$Z$6:$AF$10,2),
IF(($C326="COB"),HLOOKUP($B339,$Z$25:$AF$27,2),
IF(($C326="CPH"),HLOOKUP($B339,$Z$31:$AF$33,2),
IF(($C326="VetMed"),HLOOKUP($B339,$Z$37:$AF$39,2),
IF(($C326="Pharm"),HLOOKUP($B339,$Z$43:$AF$45,2),
HLOOKUP($B339,$Z$49:$AF$51,2))))))</f>
        <v>4895.1000000000004</v>
      </c>
      <c r="J339" s="1989">
        <f ca="1">((SUM(F339:H339)*I339)+(SUM(F340:H340)*I340))</f>
        <v>0</v>
      </c>
      <c r="K339" s="2552">
        <f t="shared" ref="K339:K350" ca="1" si="113">C339*HLOOKUP($B339,$Z$6:$AF$10,5)</f>
        <v>0</v>
      </c>
      <c r="L339" s="2925">
        <f t="shared" ref="L339:L350" ca="1" si="114">SUM(F339:H339)*HLOOKUP($B339,$Z$6:$AF$10,4)</f>
        <v>0</v>
      </c>
      <c r="M339" s="2926">
        <f ca="1">SUM(K339:L340)</f>
        <v>0</v>
      </c>
    </row>
    <row r="340" spans="1:13" ht="15.75" hidden="1" thickBot="1" x14ac:dyDescent="0.3">
      <c r="A340" s="3609"/>
      <c r="B340" s="2006">
        <f>B339+1</f>
        <v>2028</v>
      </c>
      <c r="C340" s="2001">
        <f ca="1">(IF($C$2&lt;=$AA$14*AND(D330&gt;=3)*AND($F$2&gt;=$AA$18),OFFSET($U$6,(ROUNDUP((ROW()-10)/29,0)-1),0),0)*IF(D330=9,0,1)*IF(C339=0,1,0))*C330</f>
        <v>0</v>
      </c>
      <c r="D340" s="2921">
        <f>IF(OR($C326="COE",$C326="CCE",$C326="CBEE",$C326="EECS",$C326="MIME",$C326="NSE",$C326="PMEC"),HLOOKUP($B340,$Z$6:$AF$10,3),
IF(($C326="COB"),HLOOKUP($B340,$Z$25:$AF$27,3),
IF(($C326="CPH"),HLOOKUP($B340,$Z$31:$AF$33,3),
IF(($C326="VetMed"),HLOOKUP($B340,$Z$37:$AF$39,3),
IF(($C326="Pharm"),HLOOKUP($B340,$Z$43:$AF$45,3),
HLOOKUP($B340,$Z$49:$AF$51,3))))))</f>
        <v>2801.085</v>
      </c>
      <c r="E340" s="1594"/>
      <c r="F340" s="511">
        <f ca="1">IF(($C$2&lt;=$AA$15)*AND(D330&gt;=3)*AND(F339=0)*AND($F$2&gt;=$AA$19),OFFSET($U$6,(ROUNDUP((ROW()-10)/29,0)-1),0),0)*C330</f>
        <v>0</v>
      </c>
      <c r="G340" s="511">
        <f ca="1">IF(($C$2&lt;=$AA$16)*AND(D330&gt;=3)*AND(G339=0)*AND($F$2&gt;=$AA$20),OFFSET($U$6,(ROUNDUP((ROW()-10)/29,0)-1),0),0)*C330</f>
        <v>0</v>
      </c>
      <c r="H340" s="511">
        <f ca="1">IF($C$2&lt;=$AA$17*AND(D330&gt;=3)*AND(H339=0)*AND($F$2&gt;=$AA$21),OFFSET($U$6,(ROUNDUP((ROW()-10)/29,0)-1),0),0)*C330</f>
        <v>0</v>
      </c>
      <c r="I340" s="2921">
        <f>IF(OR($C326="COE",$C326="CCE",$C326="CBEE",$C326="EECS",$C326="MIME",$C326="NSE",$C326="PMEC"),HLOOKUP($B340,$Z$6:$AF$10,2),
IF(($C326="COB"),HLOOKUP($B340,$Z$25:$AF$27,2),
IF(($C326="CPH"),HLOOKUP($B340,$Z$31:$AF$33,2),
IF(($C326="VetMed"),HLOOKUP($B340,$Z$37:$AF$39,2),
IF(($C326="Pharm"),HLOOKUP($B340,$Z$43:$AF$45,2),
HLOOKUP($B340,$Z$49:$AF$51,2))))))</f>
        <v>5041.9530000000004</v>
      </c>
      <c r="J340" s="612"/>
      <c r="K340" s="2553">
        <f t="shared" ca="1" si="113"/>
        <v>0</v>
      </c>
      <c r="L340" s="2927">
        <f t="shared" ca="1" si="114"/>
        <v>0</v>
      </c>
      <c r="M340" s="2928"/>
    </row>
    <row r="341" spans="1:13" hidden="1" x14ac:dyDescent="0.25">
      <c r="A341" s="3608">
        <v>2</v>
      </c>
      <c r="B341" s="2005">
        <f>B340</f>
        <v>2028</v>
      </c>
      <c r="C341" s="2002">
        <f ca="1">(IF(($AA$18&lt;$F$2)*AND(D331=12)*AND(C340=0),OFFSET($U$6,(ROUNDUP((ROW()-10)/29,0)-1),0),0))*C331</f>
        <v>0</v>
      </c>
      <c r="D341" s="2922">
        <f>D340</f>
        <v>2801.085</v>
      </c>
      <c r="E341" s="1595">
        <f ca="1">(C341*D341)+(C342*D342)</f>
        <v>0</v>
      </c>
      <c r="F341" s="510">
        <f ca="1">IF(($AA$19&lt;$F$2)*AND(D331&gt;=3)*AND(F340=0),OFFSET($U$6,(ROUNDUP((ROW()-10)/29,0)-1),0),0)*C331</f>
        <v>0</v>
      </c>
      <c r="G341" s="510">
        <f ca="1">IF(($AA$20&lt;$F$2)*AND(D331&gt;=3)*AND(G340=0),OFFSET($U$6,(ROUNDUP((ROW()-10)/29,0)-1),0),0)*C331</f>
        <v>0</v>
      </c>
      <c r="H341" s="510">
        <f ca="1">IF(($AA$21&lt;$F$2)*AND(D331&gt;=3)*AND(H340=0),OFFSET($U$6,(ROUNDUP((ROW()-10)/29,0)-1),0),0)*C331</f>
        <v>0</v>
      </c>
      <c r="I341" s="2929">
        <f>I340</f>
        <v>5041.9530000000004</v>
      </c>
      <c r="J341" s="611">
        <f ca="1">((SUM(F341:H341)*I341)+(SUM(F342:H342)*I342))</f>
        <v>0</v>
      </c>
      <c r="K341" s="2552">
        <f t="shared" ca="1" si="113"/>
        <v>0</v>
      </c>
      <c r="L341" s="2925">
        <f t="shared" ca="1" si="114"/>
        <v>0</v>
      </c>
      <c r="M341" s="2926">
        <f ca="1">SUM(K341:L342)</f>
        <v>0</v>
      </c>
    </row>
    <row r="342" spans="1:13" ht="15.75" hidden="1" thickBot="1" x14ac:dyDescent="0.3">
      <c r="A342" s="3613"/>
      <c r="B342" s="2007">
        <f>B341+1</f>
        <v>2029</v>
      </c>
      <c r="C342" s="2003">
        <f ca="1">(IF(($AB$18&lt;$F$2)*AND(D331=12)*AND(C341=0),OFFSET($U$6,(ROUNDUP((ROW()-10)/29,0)-1),0),0))*C331</f>
        <v>0</v>
      </c>
      <c r="D342" s="2931">
        <f>D341+D341*$AG$7</f>
        <v>2885.1175499999999</v>
      </c>
      <c r="E342" s="1594"/>
      <c r="F342" s="511">
        <f ca="1">IF(($AB$19&lt;$F$2)*AND(D331&gt;=3)*AND(F341=0),OFFSET($U$6,(ROUNDUP((ROW()-10)/29,0)-1),0),0)*C331</f>
        <v>0</v>
      </c>
      <c r="G342" s="511">
        <f ca="1">IF(($AB$20&lt;$F$2)*AND(D331&gt;=3)*AND(G341=0),OFFSET($U$6,(ROUNDUP((ROW()-10)/29,0)-1),0),0)*C331</f>
        <v>0</v>
      </c>
      <c r="H342" s="511">
        <f ca="1">IF(($AB$21&lt;$F$2)*AND(D331&gt;=3)*AND(H341=0),OFFSET($U$6,(ROUNDUP((ROW()-10)/29,0)-1),0),0)*C331</f>
        <v>0</v>
      </c>
      <c r="I342" s="2930">
        <f>I341+I341*$AG$7</f>
        <v>5193.2115900000008</v>
      </c>
      <c r="J342" s="612"/>
      <c r="K342" s="2553">
        <f t="shared" ca="1" si="113"/>
        <v>0</v>
      </c>
      <c r="L342" s="2927">
        <f t="shared" ca="1" si="114"/>
        <v>0</v>
      </c>
      <c r="M342" s="2928"/>
    </row>
    <row r="343" spans="1:13" hidden="1" x14ac:dyDescent="0.25">
      <c r="A343" s="3608">
        <v>3</v>
      </c>
      <c r="B343" s="2005">
        <f>B342</f>
        <v>2029</v>
      </c>
      <c r="C343" s="2002">
        <f ca="1">IF(($AB$18&lt;$F$2)*AND(D332=12)*AND(C342=0),OFFSET($U$6,(ROUNDUP((ROW()-10)/29,0)-1),0),0)*C332</f>
        <v>0</v>
      </c>
      <c r="D343" s="2924">
        <f>D342</f>
        <v>2885.1175499999999</v>
      </c>
      <c r="E343" s="1595">
        <f ca="1">(C343*D343)+(C344*D344)</f>
        <v>0</v>
      </c>
      <c r="F343" s="510">
        <f ca="1">IF(($AB$19&lt;$F$2)*AND(D332&gt;=3)*AND(F342=0),OFFSET($U$6,(ROUNDUP((ROW()-10)/29,0)-1),0),0)*C332</f>
        <v>0</v>
      </c>
      <c r="G343" s="510">
        <f ca="1">IF(($AB$20&lt;$F$2)*AND(D332&gt;=3)*AND(G342=0),OFFSET($U$6,(ROUNDUP((ROW()-10)/29,0)-1),0),0)*C332</f>
        <v>0</v>
      </c>
      <c r="H343" s="510">
        <f ca="1">IF(($AB$21&lt;$F$2)*AND(D332&gt;=3)*AND(H342=0),OFFSET($U$6,(ROUNDUP((ROW()-10)/29,0)-1),0),0)*C332</f>
        <v>0</v>
      </c>
      <c r="I343" s="2929">
        <f>I342</f>
        <v>5193.2115900000008</v>
      </c>
      <c r="J343" s="611">
        <f ca="1">((SUM(F343:H343)*I343)+(SUM(F344:H344)*I344))</f>
        <v>0</v>
      </c>
      <c r="K343" s="2552">
        <f t="shared" ca="1" si="113"/>
        <v>0</v>
      </c>
      <c r="L343" s="2925">
        <f t="shared" ca="1" si="114"/>
        <v>0</v>
      </c>
      <c r="M343" s="2926">
        <f ca="1">SUM(K343:L344)</f>
        <v>0</v>
      </c>
    </row>
    <row r="344" spans="1:13" ht="15.75" hidden="1" thickBot="1" x14ac:dyDescent="0.3">
      <c r="A344" s="3609"/>
      <c r="B344" s="2006">
        <f>B343+1</f>
        <v>2030</v>
      </c>
      <c r="C344" s="2001">
        <f ca="1">IF(($AC$18&lt;$F$2)*AND(D332=12)*AND(C343=0),OFFSET($U$6,(ROUNDUP((ROW()-10)/29,0)-1),0),0)*C332</f>
        <v>0</v>
      </c>
      <c r="D344" s="2932">
        <f>D343+D343*$AG$7</f>
        <v>2971.6710764999998</v>
      </c>
      <c r="E344" s="1594"/>
      <c r="F344" s="511">
        <f ca="1">IF(($AC$19&lt;$F$2)*AND(D332&gt;=3)*AND(F343=0),OFFSET($U$6,(ROUNDUP((ROW()-10)/29,0)-1),0),0)*C332</f>
        <v>0</v>
      </c>
      <c r="G344" s="511">
        <f ca="1">IF(($AC$20&lt;$F$2)*AND(D332&gt;=3)*AND(G343=0),OFFSET($U$6,(ROUNDUP((ROW()-10)/29,0)-1),0),0)*C332</f>
        <v>0</v>
      </c>
      <c r="H344" s="511">
        <f ca="1">IF(($AC$21&lt;$F$2)*AND(D332&gt;=3)*AND(H343=0),OFFSET($U$6,(ROUNDUP((ROW()-10)/29,0)-1),0),0)*C332</f>
        <v>0</v>
      </c>
      <c r="I344" s="2930">
        <f>I343+I343*$AG$7</f>
        <v>5349.0079377000011</v>
      </c>
      <c r="J344" s="612"/>
      <c r="K344" s="2553">
        <f t="shared" ca="1" si="113"/>
        <v>0</v>
      </c>
      <c r="L344" s="2927">
        <f t="shared" ca="1" si="114"/>
        <v>0</v>
      </c>
      <c r="M344" s="2928"/>
    </row>
    <row r="345" spans="1:13" hidden="1" x14ac:dyDescent="0.25">
      <c r="A345" s="3613">
        <v>4</v>
      </c>
      <c r="B345" s="2008">
        <f>B344</f>
        <v>2030</v>
      </c>
      <c r="C345" s="2000">
        <f ca="1">IF(($AC$11&lt;$F$2)*AND(D333=12)*AND(C344=0),OFFSET($U$6,(ROUNDUP((ROW()-10)/29,0)-1),0),0)*C333</f>
        <v>0</v>
      </c>
      <c r="D345" s="2921">
        <f>D344</f>
        <v>2971.6710764999998</v>
      </c>
      <c r="E345" s="1595">
        <f ca="1">(C345*D345)+(C346*D346)</f>
        <v>0</v>
      </c>
      <c r="F345" s="510">
        <f ca="1">IF(($AC$19&lt;$F$2)*AND(D333&gt;=3)*AND(F344=0),OFFSET($U$6,(ROUNDUP((ROW()-10)/29,0)-1),0),0)*C333</f>
        <v>0</v>
      </c>
      <c r="G345" s="510">
        <f ca="1">IF(($AC$20&lt;$F$2)*AND(D333&gt;=3)*AND(G344=0),OFFSET($U$6,(ROUNDUP((ROW()-10)/29,0)-1),0),0)*C333</f>
        <v>0</v>
      </c>
      <c r="H345" s="510">
        <f ca="1">IF(($AC$21&lt;$F$2)*AND(D333&gt;=3)*AND(H344=0),OFFSET($U$6,(ROUNDUP((ROW()-10)/29,0)-1),0),0)*C333</f>
        <v>0</v>
      </c>
      <c r="I345" s="2929">
        <f>I344</f>
        <v>5349.0079377000011</v>
      </c>
      <c r="J345" s="611">
        <f ca="1">((SUM(F345:H345)*I345)+(SUM(F346:H346)*I346))</f>
        <v>0</v>
      </c>
      <c r="K345" s="2552">
        <f t="shared" ca="1" si="113"/>
        <v>0</v>
      </c>
      <c r="L345" s="2925">
        <f t="shared" ca="1" si="114"/>
        <v>0</v>
      </c>
      <c r="M345" s="2926">
        <f ca="1">SUM(K345:L346)</f>
        <v>0</v>
      </c>
    </row>
    <row r="346" spans="1:13" ht="15.75" hidden="1" thickBot="1" x14ac:dyDescent="0.3">
      <c r="A346" s="3609"/>
      <c r="B346" s="2006">
        <f>B345+1</f>
        <v>2031</v>
      </c>
      <c r="C346" s="2001">
        <f ca="1">IF(($AD$18&lt;$F$2)*AND(D333=12)*AND(C345=0),OFFSET($U$6,(ROUNDUP((ROW()-10)/29,0)-1),0),0)*C333</f>
        <v>0</v>
      </c>
      <c r="D346" s="2923">
        <f>D345+D345*$AG$7</f>
        <v>3060.8212087949996</v>
      </c>
      <c r="E346" s="1594"/>
      <c r="F346" s="511">
        <f ca="1">IF(($AD$19&lt;$F$2)*AND(D333&gt;=3)*AND(F345=0),OFFSET($U$6,(ROUNDUP((ROW()-10)/29,0)-1),0),0)*C333</f>
        <v>0</v>
      </c>
      <c r="G346" s="511">
        <f ca="1">IF(($AD$20&lt;$F$2)*AND(D333&gt;=3)*AND(G345=0),OFFSET($U$6,(ROUNDUP((ROW()-10)/29,0)-1),0),0)*C333</f>
        <v>0</v>
      </c>
      <c r="H346" s="511">
        <f ca="1">IF(($AD$21&lt;$F$2)*AND(D333&gt;=3)*AND(H345=0),OFFSET($U$6,(ROUNDUP((ROW()-10)/29,0)-1),0),0)*C333</f>
        <v>0</v>
      </c>
      <c r="I346" s="2930">
        <f>I345+I345*$AG$7</f>
        <v>5509.478175831001</v>
      </c>
      <c r="J346" s="612"/>
      <c r="K346" s="2553">
        <f t="shared" ca="1" si="113"/>
        <v>0</v>
      </c>
      <c r="L346" s="2927">
        <f t="shared" ca="1" si="114"/>
        <v>0</v>
      </c>
      <c r="M346" s="2928"/>
    </row>
    <row r="347" spans="1:13" hidden="1" x14ac:dyDescent="0.25">
      <c r="A347" s="3608">
        <v>5</v>
      </c>
      <c r="B347" s="2005">
        <f>B346</f>
        <v>2031</v>
      </c>
      <c r="C347" s="2002">
        <f ca="1">IF(($AD$18&lt;$F$2)*AND(D334=12)*AND(C346=0),OFFSET($U$6,(ROUNDUP((ROW()-10)/29,0)-1),0),0)*C334</f>
        <v>0</v>
      </c>
      <c r="D347" s="2922">
        <f>D346</f>
        <v>3060.8212087949996</v>
      </c>
      <c r="E347" s="1595">
        <f ca="1">(C347*D347)+(C348*D348)</f>
        <v>0</v>
      </c>
      <c r="F347" s="510">
        <f ca="1">IF(($AD$19&lt;$F$2)*AND(D334&gt;=3)*AND(F346=0),OFFSET($U$6,(ROUNDUP((ROW()-10)/29,0)-1),0),0)*C334</f>
        <v>0</v>
      </c>
      <c r="G347" s="510">
        <f ca="1">IF(($AD$20&lt;$F$2)*AND(D334&gt;=3)*AND(G346=0),OFFSET($U$6,(ROUNDUP((ROW()-10)/29,0)-1),0),0)*C334</f>
        <v>0</v>
      </c>
      <c r="H347" s="510">
        <f ca="1">IF(($AD$21&lt;$F$2)*AND(D334&gt;=3)*AND(H346=0),OFFSET($U$6,(ROUNDUP((ROW()-10)/29,0)-1),0),0)*C334</f>
        <v>0</v>
      </c>
      <c r="I347" s="2929">
        <f>I346</f>
        <v>5509.478175831001</v>
      </c>
      <c r="J347" s="611">
        <f ca="1">((SUM(F347:H347)*I347)+(SUM(F348:H348)*I348))</f>
        <v>0</v>
      </c>
      <c r="K347" s="2552">
        <f t="shared" ca="1" si="113"/>
        <v>0</v>
      </c>
      <c r="L347" s="2925">
        <f t="shared" ca="1" si="114"/>
        <v>0</v>
      </c>
      <c r="M347" s="2926">
        <f ca="1">SUM(K347:L348)</f>
        <v>0</v>
      </c>
    </row>
    <row r="348" spans="1:13" ht="15.75" hidden="1" thickBot="1" x14ac:dyDescent="0.3">
      <c r="A348" s="3609"/>
      <c r="B348" s="2006">
        <f>B347+1</f>
        <v>2032</v>
      </c>
      <c r="C348" s="2001">
        <f ca="1">IF(($AE$18&lt;$F$2)*AND(D334=12)*AND(C347=0),OFFSET($U$6,(ROUNDUP((ROW()-10)/29,0)-1),0),0)*C334</f>
        <v>0</v>
      </c>
      <c r="D348" s="2923">
        <f>D347+D347*$AG$7</f>
        <v>3152.6458450588498</v>
      </c>
      <c r="E348" s="1594"/>
      <c r="F348" s="511">
        <f ca="1">IF(($AE$19&lt;$F$2)*AND(D334&gt;=3)*AND(F347=0),OFFSET($U$6,(ROUNDUP((ROW()-10)/29,0)-1),0),0)*C334</f>
        <v>0</v>
      </c>
      <c r="G348" s="511">
        <f ca="1">IF(($AE$20&lt;$F$2)*AND(D334&gt;=3)*AND(G347=0),OFFSET($U$6,(ROUNDUP((ROW()-10)/29,0)-1),0),0)*C334</f>
        <v>0</v>
      </c>
      <c r="H348" s="511">
        <f ca="1">IF(($AE$21&lt;$F$2)*AND(D334&gt;=3)*AND(H347=0),OFFSET($U$6,(ROUNDUP((ROW()-10)/29,0)-1),0),0)*C334</f>
        <v>0</v>
      </c>
      <c r="I348" s="2930">
        <f>I347+I347*$AG$7</f>
        <v>5674.7625211059312</v>
      </c>
      <c r="J348" s="612"/>
      <c r="K348" s="2553">
        <f t="shared" ca="1" si="113"/>
        <v>0</v>
      </c>
      <c r="L348" s="2927">
        <f t="shared" ca="1" si="114"/>
        <v>0</v>
      </c>
      <c r="M348" s="2928"/>
    </row>
    <row r="349" spans="1:13" hidden="1" x14ac:dyDescent="0.25">
      <c r="A349" s="3608">
        <v>6</v>
      </c>
      <c r="B349" s="2005">
        <f>B348</f>
        <v>2032</v>
      </c>
      <c r="C349" s="2002">
        <f ca="1">IF(($AE$18&lt;$F$2)*AND(D335=12)*AND(C348=0),OFFSET($U$6,(ROUNDUP((ROW()-10)/29,0)-1),0),0)*C335</f>
        <v>0</v>
      </c>
      <c r="D349" s="2922">
        <f>D348</f>
        <v>3152.6458450588498</v>
      </c>
      <c r="E349" s="1595">
        <f ca="1">(C349*D349)+(C350*D350)</f>
        <v>0</v>
      </c>
      <c r="F349" s="510">
        <f ca="1">IF(($AE$19&lt;$F$2)*AND(D335&gt;=3)*AND(F348=0),OFFSET($U$6,(ROUNDUP((ROW()-10)/29,0)-1),0),0)*C335</f>
        <v>0</v>
      </c>
      <c r="G349" s="510">
        <f ca="1">IF(($AE$20&lt;$F$2)*AND(D335&gt;=3)*AND(G348=0),OFFSET($U$6,(ROUNDUP((ROW()-10)/29,0)-1),0),0)*C335</f>
        <v>0</v>
      </c>
      <c r="H349" s="510">
        <f ca="1">IF(($AE$21&lt;$F$2)*AND(D335&gt;=3)*AND(H348=0),OFFSET($U$6,(ROUNDUP((ROW()-10)/29,0)-1),0),0)*C335</f>
        <v>0</v>
      </c>
      <c r="I349" s="2929">
        <f>I348</f>
        <v>5674.7625211059312</v>
      </c>
      <c r="J349" s="611">
        <f ca="1">((SUM(F349:H349)*I349)+(SUM(F350:H350)*I350))</f>
        <v>0</v>
      </c>
      <c r="K349" s="2552">
        <f t="shared" ca="1" si="113"/>
        <v>0</v>
      </c>
      <c r="L349" s="2925">
        <f t="shared" ca="1" si="114"/>
        <v>0</v>
      </c>
      <c r="M349" s="2926">
        <f ca="1">SUM(K349:L350)</f>
        <v>0</v>
      </c>
    </row>
    <row r="350" spans="1:13" ht="15.75" hidden="1" thickBot="1" x14ac:dyDescent="0.3">
      <c r="A350" s="3609"/>
      <c r="B350" s="2006">
        <f>B349+1</f>
        <v>2033</v>
      </c>
      <c r="C350" s="2004">
        <f ca="1">IF(($AF$18&lt;$F$2)*AND(D335=12)*AND(C349=0),OFFSET($U$6,(ROUNDUP((ROW()-10)/29,0)-1),0),0)*C335</f>
        <v>0</v>
      </c>
      <c r="D350" s="2923">
        <f>D349+D349*$AG$7</f>
        <v>3247.2252204106153</v>
      </c>
      <c r="E350" s="1594"/>
      <c r="F350" s="511">
        <f ca="1">IF(($AF$19&lt;$F$2)*AND(D335&gt;=3)*AND(F349=0),OFFSET($U$6,(ROUNDUP((ROW()-10)/29,0)-1),0),0)*C335</f>
        <v>0</v>
      </c>
      <c r="G350" s="511">
        <f ca="1">IF(($AF$20&lt;$F$2)*AND(D335&gt;=3)*AND(G349=0),OFFSET($U$6,(ROUNDUP((ROW()-10)/29,0)-1),0),0)*C335</f>
        <v>0</v>
      </c>
      <c r="H350" s="511">
        <f ca="1">IF(($AF$21&lt;$F$2)*AND(D335&gt;=3)*AND(H349=0),OFFSET($U$6,(ROUNDUP((ROW()-10)/29,0)-1),0),0)*C335</f>
        <v>0</v>
      </c>
      <c r="I350" s="2930">
        <f>I349+I349*$AG$7</f>
        <v>5845.0053967391095</v>
      </c>
      <c r="J350" s="612"/>
      <c r="K350" s="2553">
        <f t="shared" ca="1" si="113"/>
        <v>0</v>
      </c>
      <c r="L350" s="2927">
        <f t="shared" ca="1" si="114"/>
        <v>0</v>
      </c>
      <c r="M350" s="2928"/>
    </row>
    <row r="351" spans="1:13" ht="15.75" hidden="1" thickBot="1" x14ac:dyDescent="0.3">
      <c r="C351" s="3616" t="s">
        <v>96</v>
      </c>
      <c r="D351" s="3617"/>
      <c r="E351" s="2933">
        <f ca="1">SUM(E339:E349)</f>
        <v>0</v>
      </c>
      <c r="F351" s="60"/>
      <c r="G351" s="2936" t="s">
        <v>102</v>
      </c>
      <c r="H351" s="3618" t="s">
        <v>57</v>
      </c>
      <c r="I351" s="3619"/>
      <c r="J351" s="2934">
        <f ca="1">SUM(J339:J349)</f>
        <v>0</v>
      </c>
      <c r="K351" s="3610" t="s">
        <v>103</v>
      </c>
      <c r="L351" s="3611"/>
      <c r="M351" s="2935">
        <f ca="1">SUM(M339:M350)</f>
        <v>0</v>
      </c>
    </row>
    <row r="352" spans="1:13" ht="15.75" hidden="1" thickBot="1" x14ac:dyDescent="0.3">
      <c r="A352" s="71"/>
      <c r="B352" s="71"/>
      <c r="C352" s="71"/>
      <c r="D352" s="71"/>
      <c r="E352" s="71"/>
      <c r="F352" s="71"/>
      <c r="G352" s="71"/>
      <c r="H352" s="71"/>
      <c r="I352" s="71"/>
      <c r="J352" s="71"/>
      <c r="K352" s="71"/>
      <c r="L352" s="71"/>
      <c r="M352" s="615"/>
    </row>
    <row r="353" spans="1:15" ht="16.5" hidden="1" thickTop="1" thickBot="1" x14ac:dyDescent="0.3"/>
    <row r="354" spans="1:15" ht="15.75" hidden="1" thickBot="1" x14ac:dyDescent="0.3">
      <c r="A354" s="64" t="str">
        <f>'DATA INPUT'!B41</f>
        <v>GA #13 / Sponsor Funds</v>
      </c>
      <c r="B354" s="65"/>
      <c r="C354" s="65"/>
      <c r="D354" s="65"/>
      <c r="E354" s="65"/>
      <c r="F354" s="65"/>
      <c r="G354" s="65"/>
      <c r="H354" s="65"/>
      <c r="I354" s="65"/>
      <c r="J354" s="65"/>
      <c r="K354" s="65"/>
      <c r="L354" s="65"/>
      <c r="M354" s="1598"/>
      <c r="N354" s="1598"/>
    </row>
    <row r="355" spans="1:15" ht="15" hidden="1" customHeight="1" thickBot="1" x14ac:dyDescent="0.3">
      <c r="A355" s="3620" t="s">
        <v>80</v>
      </c>
      <c r="B355" s="3621"/>
      <c r="C355" s="1712">
        <f>'DATA INPUT'!C41</f>
        <v>0</v>
      </c>
      <c r="E355" s="1760" t="s">
        <v>135</v>
      </c>
      <c r="F355" s="1761">
        <f>'DATA INPUT'!E41</f>
        <v>0</v>
      </c>
      <c r="G355" s="1760" t="s">
        <v>82</v>
      </c>
      <c r="H355" s="1734">
        <f>'DATA INPUT'!F41</f>
        <v>0.49</v>
      </c>
      <c r="I355" s="1737" t="s">
        <v>88</v>
      </c>
      <c r="J355" s="1746">
        <f>IFERROR(VLOOKUP(C355,Table_Units[],IF(F355='Reference Sheet'!$H$37,3,2),FALSE)*1,0)</f>
        <v>0</v>
      </c>
      <c r="K355" s="1746"/>
      <c r="L355" s="66"/>
      <c r="M355" s="1712"/>
      <c r="N355" s="1762"/>
    </row>
    <row r="356" spans="1:15" ht="15" hidden="1" customHeight="1" thickBot="1" x14ac:dyDescent="0.3">
      <c r="A356" s="1716"/>
      <c r="B356" s="3445" t="s">
        <v>254</v>
      </c>
      <c r="C356" s="3560" t="s">
        <v>517</v>
      </c>
      <c r="D356" s="3444" t="s">
        <v>518</v>
      </c>
      <c r="E356" s="3445" t="s">
        <v>519</v>
      </c>
      <c r="F356" s="3445" t="s">
        <v>521</v>
      </c>
      <c r="G356" s="3614" t="s">
        <v>65</v>
      </c>
      <c r="H356" s="3614"/>
      <c r="I356" s="3614"/>
      <c r="J356" s="3614"/>
      <c r="K356" s="3445" t="s">
        <v>84</v>
      </c>
      <c r="L356" s="1996" t="s">
        <v>78</v>
      </c>
      <c r="M356" s="1997"/>
      <c r="N356" s="3558" t="s">
        <v>87</v>
      </c>
    </row>
    <row r="357" spans="1:15" ht="15" hidden="1" customHeight="1" thickBot="1" x14ac:dyDescent="0.3">
      <c r="A357" s="3445" t="s">
        <v>253</v>
      </c>
      <c r="B357" s="3445"/>
      <c r="C357" s="3561"/>
      <c r="D357" s="3445"/>
      <c r="E357" s="3445"/>
      <c r="F357" s="3445"/>
      <c r="G357" s="3444" t="s">
        <v>86</v>
      </c>
      <c r="H357" s="3444" t="s">
        <v>59</v>
      </c>
      <c r="I357" s="3444" t="s">
        <v>60</v>
      </c>
      <c r="J357" s="3444" t="s">
        <v>66</v>
      </c>
      <c r="K357" s="3445"/>
      <c r="L357" s="1998" t="s">
        <v>616</v>
      </c>
      <c r="M357" s="1999">
        <f>'Reference Sheet'!$E$14</f>
        <v>0.28499999999999998</v>
      </c>
      <c r="N357" s="3566"/>
    </row>
    <row r="358" spans="1:15" ht="15.75" hidden="1" thickBot="1" x14ac:dyDescent="0.3">
      <c r="A358" s="3446"/>
      <c r="B358" s="3446"/>
      <c r="C358" s="3615"/>
      <c r="D358" s="3446"/>
      <c r="E358" s="3446"/>
      <c r="F358" s="3446"/>
      <c r="G358" s="3446"/>
      <c r="H358" s="3446"/>
      <c r="I358" s="3446"/>
      <c r="J358" s="3446"/>
      <c r="K358" s="3446"/>
      <c r="L358" s="1769" t="s">
        <v>67</v>
      </c>
      <c r="M358" s="1683" t="s">
        <v>68</v>
      </c>
      <c r="N358" s="3612"/>
    </row>
    <row r="359" spans="1:15" hidden="1" x14ac:dyDescent="0.25">
      <c r="A359" s="1685">
        <v>1</v>
      </c>
      <c r="B359" s="1770">
        <f>$K$3</f>
        <v>12</v>
      </c>
      <c r="C359" s="1685">
        <f>'DATA INPUT'!I41</f>
        <v>0</v>
      </c>
      <c r="D359" s="1693">
        <f>IF(C359&lt;1,0,IF((B359&gt;0),'DATA INPUT'!$G$41,0))</f>
        <v>0</v>
      </c>
      <c r="E359" s="1773">
        <f t="shared" ref="E359:E364" ca="1" si="115">(D359*(2080/12))*OFFSET($H$7,29*(ROUNDUP(ROW()/29,0)-1),0)</f>
        <v>0</v>
      </c>
      <c r="F359" s="1684">
        <f t="shared" ref="F359:F364" ca="1" si="116">((D359*(2080/12))*OFFSET($H$7,29*(ROUNDUP(ROW()/29,0)-1),0))*C359</f>
        <v>0</v>
      </c>
      <c r="G359" s="1149">
        <v>0.03</v>
      </c>
      <c r="H359" s="460">
        <f>(J355*G359)+J355</f>
        <v>0</v>
      </c>
      <c r="I359" s="492">
        <f t="shared" ref="I359:I364" ca="1" si="117">H359/12*OFFSET($H$7,29*(ROUNDUP(ROW(H359)/29,0)-1),0)</f>
        <v>0</v>
      </c>
      <c r="J359" s="2400">
        <f t="shared" ref="J359:J364" si="118">(H359/12)/(2080/12)</f>
        <v>0</v>
      </c>
      <c r="K359" s="1766">
        <f t="shared" ref="K359:K364" ca="1" si="119">I359*D359*C359</f>
        <v>0</v>
      </c>
      <c r="L359" s="626">
        <f>IF($U$3&lt;$T$3, M357, IF($U$3&gt;$W$3, M357+2*$Q$6, M357+$Q$6))</f>
        <v>0.28499999999999998</v>
      </c>
      <c r="M359" s="1500">
        <f t="shared" ref="M359:M364" ca="1" si="120">L359*K359</f>
        <v>0</v>
      </c>
      <c r="N359" s="2400">
        <f t="shared" ref="N359:N364" si="121">((H359/12)/(2080/12))+(((H359/12)*L359)/(2080/12))</f>
        <v>0</v>
      </c>
      <c r="O359" s="58" t="str">
        <f ca="1">IF(ABS(C359*D359*OFFSET($U$6,(ROUNDUP((ROW()-10)/29,0)-1),0)-3*SUM(C368:C369,F368:H369))&gt; 0.01,"Mismatch: Tuition vs Months","")</f>
        <v/>
      </c>
    </row>
    <row r="360" spans="1:15" hidden="1" x14ac:dyDescent="0.25">
      <c r="A360" s="1687">
        <v>2</v>
      </c>
      <c r="B360" s="1771">
        <f>$L$3</f>
        <v>0</v>
      </c>
      <c r="C360" s="1687">
        <f>'DATA INPUT'!J41</f>
        <v>0</v>
      </c>
      <c r="D360" s="1693">
        <f>IF(C360&lt;1,0,IF((B360&gt;0),'DATA INPUT'!$G$41,0))</f>
        <v>0</v>
      </c>
      <c r="E360" s="1774">
        <f t="shared" ca="1" si="115"/>
        <v>0</v>
      </c>
      <c r="F360" s="1686">
        <f t="shared" ca="1" si="116"/>
        <v>0</v>
      </c>
      <c r="G360" s="461">
        <v>0.03</v>
      </c>
      <c r="H360" s="462">
        <f>(H359*G360)+H359</f>
        <v>0</v>
      </c>
      <c r="I360" s="501">
        <f t="shared" ca="1" si="117"/>
        <v>0</v>
      </c>
      <c r="J360" s="2397">
        <f t="shared" si="118"/>
        <v>0</v>
      </c>
      <c r="K360" s="1767">
        <f t="shared" ca="1" si="119"/>
        <v>0</v>
      </c>
      <c r="L360" s="625">
        <f>L359+$Q$6</f>
        <v>0.30499999999999999</v>
      </c>
      <c r="M360" s="1541">
        <f t="shared" ca="1" si="120"/>
        <v>0</v>
      </c>
      <c r="N360" s="2398">
        <f t="shared" si="121"/>
        <v>0</v>
      </c>
      <c r="O360" s="58" t="str">
        <f ca="1">IF(ABS(C360*D360*OFFSET($U$6,(ROUNDUP((ROW()-10)/29,0)-1),0)-3*SUM(C370:C371,F370:H371))&gt;0.01,"Mismatch: Tuition vs Months","")</f>
        <v/>
      </c>
    </row>
    <row r="361" spans="1:15" hidden="1" x14ac:dyDescent="0.25">
      <c r="A361" s="1687">
        <v>3</v>
      </c>
      <c r="B361" s="1771">
        <f>$M$3</f>
        <v>0</v>
      </c>
      <c r="C361" s="1687">
        <f>'DATA INPUT'!K41</f>
        <v>0</v>
      </c>
      <c r="D361" s="1693">
        <f>IF(C361&lt;1,0,IF((B361&gt;0),'DATA INPUT'!$G$41,0))</f>
        <v>0</v>
      </c>
      <c r="E361" s="1774">
        <f t="shared" ca="1" si="115"/>
        <v>0</v>
      </c>
      <c r="F361" s="1686">
        <f t="shared" ca="1" si="116"/>
        <v>0</v>
      </c>
      <c r="G361" s="461">
        <v>0.03</v>
      </c>
      <c r="H361" s="462">
        <f>(H360*G361)+H360</f>
        <v>0</v>
      </c>
      <c r="I361" s="501">
        <f t="shared" ca="1" si="117"/>
        <v>0</v>
      </c>
      <c r="J361" s="2397">
        <f t="shared" si="118"/>
        <v>0</v>
      </c>
      <c r="K361" s="1767">
        <f t="shared" ca="1" si="119"/>
        <v>0</v>
      </c>
      <c r="L361" s="625">
        <f>L360+$Q$6</f>
        <v>0.32500000000000001</v>
      </c>
      <c r="M361" s="1541">
        <f t="shared" ca="1" si="120"/>
        <v>0</v>
      </c>
      <c r="N361" s="2398">
        <f t="shared" si="121"/>
        <v>0</v>
      </c>
      <c r="O361" s="58" t="str">
        <f ca="1">IF(ABS(C361*D361*OFFSET($U$6,(ROUNDUP((ROW()-10)/29,0)-1),0)-3*SUM(C372:C373,F372:H373))&gt;0.01,"Mismatch: Tuition vs Months","")</f>
        <v/>
      </c>
    </row>
    <row r="362" spans="1:15" hidden="1" x14ac:dyDescent="0.25">
      <c r="A362" s="1687">
        <v>4</v>
      </c>
      <c r="B362" s="1771">
        <f>$N$3</f>
        <v>0</v>
      </c>
      <c r="C362" s="1687">
        <f>'DATA INPUT'!L41</f>
        <v>0</v>
      </c>
      <c r="D362" s="1693">
        <f>IF(C362&lt;1,0,IF((B362&gt;0),'DATA INPUT'!$G$41,0))</f>
        <v>0</v>
      </c>
      <c r="E362" s="1774">
        <f t="shared" ca="1" si="115"/>
        <v>0</v>
      </c>
      <c r="F362" s="1686">
        <f t="shared" ca="1" si="116"/>
        <v>0</v>
      </c>
      <c r="G362" s="461">
        <v>0.03</v>
      </c>
      <c r="H362" s="462">
        <f>(H361*G362)+H361</f>
        <v>0</v>
      </c>
      <c r="I362" s="501">
        <f t="shared" ca="1" si="117"/>
        <v>0</v>
      </c>
      <c r="J362" s="2397">
        <f t="shared" si="118"/>
        <v>0</v>
      </c>
      <c r="K362" s="1767">
        <f t="shared" ca="1" si="119"/>
        <v>0</v>
      </c>
      <c r="L362" s="625">
        <f>L361+$Q$6</f>
        <v>0.34500000000000003</v>
      </c>
      <c r="M362" s="1541">
        <f t="shared" ca="1" si="120"/>
        <v>0</v>
      </c>
      <c r="N362" s="2398">
        <f t="shared" si="121"/>
        <v>0</v>
      </c>
      <c r="O362" s="58" t="str">
        <f ca="1">IF(ABS(C362*D362*OFFSET($U$6,(ROUNDUP((ROW()-10)/29,0)-1),0)-3*SUM(C374:C375,F374:H375))&gt;0.01,"Mismatch: Tuition vs Months","")</f>
        <v/>
      </c>
    </row>
    <row r="363" spans="1:15" hidden="1" x14ac:dyDescent="0.25">
      <c r="A363" s="1687">
        <v>5</v>
      </c>
      <c r="B363" s="1771">
        <f>$O$3</f>
        <v>0</v>
      </c>
      <c r="C363" s="1687">
        <f>'DATA INPUT'!M41</f>
        <v>0</v>
      </c>
      <c r="D363" s="1693">
        <f>IF(C363&lt;1,0,IF((B363&gt;0),'DATA INPUT'!$G$41,0))</f>
        <v>0</v>
      </c>
      <c r="E363" s="1774">
        <f t="shared" ca="1" si="115"/>
        <v>0</v>
      </c>
      <c r="F363" s="1686">
        <f t="shared" ca="1" si="116"/>
        <v>0</v>
      </c>
      <c r="G363" s="461">
        <v>0.03</v>
      </c>
      <c r="H363" s="462">
        <f>(H362*G363)+H362</f>
        <v>0</v>
      </c>
      <c r="I363" s="501">
        <f t="shared" ca="1" si="117"/>
        <v>0</v>
      </c>
      <c r="J363" s="2397">
        <f t="shared" si="118"/>
        <v>0</v>
      </c>
      <c r="K363" s="1767">
        <f t="shared" ca="1" si="119"/>
        <v>0</v>
      </c>
      <c r="L363" s="625">
        <f>L362+$Q$6</f>
        <v>0.36500000000000005</v>
      </c>
      <c r="M363" s="1541">
        <f t="shared" ca="1" si="120"/>
        <v>0</v>
      </c>
      <c r="N363" s="2398">
        <f t="shared" si="121"/>
        <v>0</v>
      </c>
      <c r="O363" s="58" t="str">
        <f ca="1">IF(ABS(C363*D363*OFFSET($U$6,(ROUNDUP((ROW()-10)/29,0)-1),0)-3*SUM(C376:C377,F376:H377))&gt;0.01,"Mismatch: Tuition vs Months","")</f>
        <v/>
      </c>
    </row>
    <row r="364" spans="1:15" ht="15.75" hidden="1" thickBot="1" x14ac:dyDescent="0.3">
      <c r="A364" s="1691">
        <v>6</v>
      </c>
      <c r="B364" s="1772">
        <f>$P$3</f>
        <v>0</v>
      </c>
      <c r="C364" s="1689">
        <f>'DATA INPUT'!N41</f>
        <v>0</v>
      </c>
      <c r="D364" s="1694">
        <f>IF(C364&lt;1,0,IF((B364&gt;0),'DATA INPUT'!$G$41,0))</f>
        <v>0</v>
      </c>
      <c r="E364" s="1733">
        <f t="shared" ca="1" si="115"/>
        <v>0</v>
      </c>
      <c r="F364" s="1688">
        <f t="shared" ca="1" si="116"/>
        <v>0</v>
      </c>
      <c r="G364" s="463">
        <v>0.03</v>
      </c>
      <c r="H364" s="464">
        <f>(H363*G364)+H363</f>
        <v>0</v>
      </c>
      <c r="I364" s="502">
        <f t="shared" ca="1" si="117"/>
        <v>0</v>
      </c>
      <c r="J364" s="2413">
        <f t="shared" si="118"/>
        <v>0</v>
      </c>
      <c r="K364" s="1768">
        <f t="shared" ca="1" si="119"/>
        <v>0</v>
      </c>
      <c r="L364" s="627">
        <f>L363+$Q$6</f>
        <v>0.38500000000000006</v>
      </c>
      <c r="M364" s="1690">
        <f t="shared" ca="1" si="120"/>
        <v>0</v>
      </c>
      <c r="N364" s="2399">
        <f t="shared" si="121"/>
        <v>0</v>
      </c>
      <c r="O364" s="58" t="str">
        <f ca="1">IF(ABS(C364*D364*OFFSET($U$6,(ROUNDUP((ROW()-10)/29,0)-1),0)-3*SUM(C378:C379,F378:H379))&gt;0.01,"Mismatch: Tuition vs Months","")</f>
        <v/>
      </c>
    </row>
    <row r="365" spans="1:15" ht="15.75" hidden="1" thickBot="1" x14ac:dyDescent="0.3">
      <c r="A365" s="624" t="s">
        <v>85</v>
      </c>
      <c r="B365" s="519">
        <f>SUM(B359:B364)</f>
        <v>12</v>
      </c>
      <c r="C365" s="519">
        <f>SUM(C359:C364)</f>
        <v>0</v>
      </c>
      <c r="D365" s="1692">
        <f>SUM(D359:D364)</f>
        <v>0</v>
      </c>
      <c r="E365" s="1695">
        <f ca="1">SUM(E359:E364)</f>
        <v>0</v>
      </c>
      <c r="F365" s="1695">
        <f ca="1">SUM(F359:F364)</f>
        <v>0</v>
      </c>
      <c r="K365" s="1508">
        <f ca="1">SUM(K359:K364)</f>
        <v>0</v>
      </c>
      <c r="M365" s="1508">
        <f ca="1">SUM(M359:M364)</f>
        <v>0</v>
      </c>
      <c r="N365" s="60"/>
    </row>
    <row r="366" spans="1:15" ht="15.75" hidden="1" thickBot="1" x14ac:dyDescent="0.3"/>
    <row r="367" spans="1:15" ht="30.75" hidden="1" thickBot="1" x14ac:dyDescent="0.3">
      <c r="A367" s="1990" t="s">
        <v>253</v>
      </c>
      <c r="B367" s="1990" t="s">
        <v>299</v>
      </c>
      <c r="C367" s="1979" t="s">
        <v>17</v>
      </c>
      <c r="D367" s="1980" t="s">
        <v>96</v>
      </c>
      <c r="E367" s="1981" t="s">
        <v>474</v>
      </c>
      <c r="F367" s="1991" t="s">
        <v>41</v>
      </c>
      <c r="G367" s="1992" t="s">
        <v>42</v>
      </c>
      <c r="H367" s="1992" t="s">
        <v>43</v>
      </c>
      <c r="I367" s="1992" t="s">
        <v>57</v>
      </c>
      <c r="J367" s="1993" t="s">
        <v>472</v>
      </c>
      <c r="K367" s="1980" t="s">
        <v>100</v>
      </c>
      <c r="L367" s="1991" t="s">
        <v>99</v>
      </c>
      <c r="M367" s="1994" t="s">
        <v>101</v>
      </c>
    </row>
    <row r="368" spans="1:15" hidden="1" x14ac:dyDescent="0.25">
      <c r="A368" s="3613">
        <v>1</v>
      </c>
      <c r="B368" s="2005">
        <f>IF($C$2&lt;DATE($Z$6,4,15),$Z$6,IF($C$2&lt;DATE($AA$6,4,15),$AA$6,IF($C$2&lt;DATE($AB$6,4,15),$AB$6,IF($C$2&lt;DATE($AC$6,4,15),$AC$6,$AD$6))))</f>
        <v>2027</v>
      </c>
      <c r="C368" s="2000">
        <f ca="1">(IF($C$2&lt;=$Z$14*AND(D359&gt;=3)*AND($F$2&gt;=$Z$18),OFFSET($U$6,(ROUNDUP((ROW()-10)/29,0)-1),0),0)*IF(D359=9,0,1))*C359</f>
        <v>0</v>
      </c>
      <c r="D368" s="2921">
        <f>IF(OR($C355="COE",$C355="CCE",$C355="CBEE",$C355="EECS",$C355="MIME",$C355="NSE",$C355="PMEC"),HLOOKUP($B368,$Z$6:$AF$10,3),
IF(($C355="COB"),HLOOKUP($B368,$Z$25:$AF$27,3),
IF(($C355="CPH"),HLOOKUP($B368,$Z$31:$AF$33,3),
IF(($C355="VetMed"),HLOOKUP($B368,$Z$37:$AF$39,3),
IF(($C355="Pharm"),HLOOKUP($B368,$Z$43:$AF$45,3),
HLOOKUP($B368,$Z$49:$AF$51,3))))))</f>
        <v>2719.5</v>
      </c>
      <c r="E368" s="1987">
        <f ca="1">(C368*D368)+(C369*D369)</f>
        <v>0</v>
      </c>
      <c r="F368" s="1988">
        <f ca="1">IF($C$2&lt;=$Z$15*AND(D359&gt;=3)*AND($F$2&gt;=$Z$19),OFFSET($U$6,(ROUNDUP((ROW()-10)/29,0)-1),0),0)*C359</f>
        <v>0</v>
      </c>
      <c r="G368" s="1988">
        <f ca="1">IF($C$2&lt;=$Z$16*AND(D359&gt;=3)*AND($F$2&gt;=$Z$20),OFFSET($U$6,(ROUNDUP((ROW()-10)/29,0)-1),0),0)*C359</f>
        <v>0</v>
      </c>
      <c r="H368" s="1988">
        <f ca="1">IF($C$2&lt;=$Z$17*AND(D359&gt;=3)*AND($F$2&gt;=$Z$21),OFFSET($U$6,(ROUNDUP((ROW()-10)/29,0)-1),0),0)*C359</f>
        <v>0</v>
      </c>
      <c r="I368" s="2921">
        <f>IF(OR($C355="COE",$C355="CCE",$C355="CBEE",$C355="EECS",$C355="MIME",$C355="NSE",$C355="PMEC"),HLOOKUP($B368,$Z$6:$AF$10,2),
IF(($C355="COB"),HLOOKUP($B368,$Z$25:$AF$27,2),
IF(($C355="CPH"),HLOOKUP($B368,$Z$31:$AF$33,2),
IF(($C355="VetMed"),HLOOKUP($B368,$Z$37:$AF$39,2),
IF(($C355="Pharm"),HLOOKUP($B368,$Z$43:$AF$45,2),
HLOOKUP($B368,$Z$49:$AF$51,2))))))</f>
        <v>4895.1000000000004</v>
      </c>
      <c r="J368" s="1989">
        <f ca="1">((SUM(F368:H368)*I368)+(SUM(F369:H369)*I369))</f>
        <v>0</v>
      </c>
      <c r="K368" s="2552">
        <f t="shared" ref="K368:K379" ca="1" si="122">C368*HLOOKUP($B368,$Z$6:$AF$10,5)</f>
        <v>0</v>
      </c>
      <c r="L368" s="2925">
        <f t="shared" ref="L368:L379" ca="1" si="123">SUM(F368:H368)*HLOOKUP($B368,$Z$6:$AF$10,4)</f>
        <v>0</v>
      </c>
      <c r="M368" s="2926">
        <f ca="1">SUM(K368:L369)</f>
        <v>0</v>
      </c>
    </row>
    <row r="369" spans="1:14" ht="15.75" hidden="1" thickBot="1" x14ac:dyDescent="0.3">
      <c r="A369" s="3609"/>
      <c r="B369" s="2006">
        <f>B368+1</f>
        <v>2028</v>
      </c>
      <c r="C369" s="2001">
        <f ca="1">(IF($C$2&lt;=$AA$14*AND(D359&gt;=3)*AND($F$2&gt;=$AA$18),OFFSET($U$6,(ROUNDUP((ROW()-10)/29,0)-1),0),0)*IF(D359=9,0,1)*IF(C368=0,1,0))*C359</f>
        <v>0</v>
      </c>
      <c r="D369" s="2921">
        <f>IF(OR($C355="COE",$C355="CCE",$C355="CBEE",$C355="EECS",$C355="MIME",$C355="NSE",$C355="PMEC"),HLOOKUP($B369,$Z$6:$AF$10,3),
IF(($C355="COB"),HLOOKUP($B369,$Z$25:$AF$27,3),
IF(($C355="CPH"),HLOOKUP($B369,$Z$31:$AF$33,3),
IF(($C355="VetMed"),HLOOKUP($B369,$Z$37:$AF$39,3),
IF(($C355="Pharm"),HLOOKUP($B369,$Z$43:$AF$45,3),
HLOOKUP($B369,$Z$49:$AF$51,3))))))</f>
        <v>2801.085</v>
      </c>
      <c r="E369" s="1594"/>
      <c r="F369" s="511">
        <f ca="1">IF(($C$2&lt;=$AA$15)*AND(D359&gt;=3)*AND(F368=0)*AND($F$2&gt;=$AA$19),OFFSET($U$6,(ROUNDUP((ROW()-10)/29,0)-1),0),0)*C359</f>
        <v>0</v>
      </c>
      <c r="G369" s="511">
        <f ca="1">IF(($C$2&lt;=$AA$16)*AND(D359&gt;=3)*AND(G368=0)*AND($F$2&gt;=$AA$20),OFFSET($U$6,(ROUNDUP((ROW()-10)/29,0)-1),0),0)*C359</f>
        <v>0</v>
      </c>
      <c r="H369" s="511">
        <f ca="1">IF($C$2&lt;=$AA$17*AND(D359&gt;=3)*AND(H368=0)*AND($F$2&gt;=$AA$21),OFFSET($U$6,(ROUNDUP((ROW()-10)/29,0)-1),0),0)*C359</f>
        <v>0</v>
      </c>
      <c r="I369" s="2921">
        <f>IF(OR($C355="COE",$C355="CCE",$C355="CBEE",$C355="EECS",$C355="MIME",$C355="NSE",$C355="PMEC"),HLOOKUP($B369,$Z$6:$AF$10,2),
IF(($C355="COB"),HLOOKUP($B369,$Z$25:$AF$27,2),
IF(($C355="CPH"),HLOOKUP($B369,$Z$31:$AF$33,2),
IF(($C355="VetMed"),HLOOKUP($B369,$Z$37:$AF$39,2),
IF(($C355="Pharm"),HLOOKUP($B369,$Z$43:$AF$45,2),
HLOOKUP($B369,$Z$49:$AF$51,2))))))</f>
        <v>5041.9530000000004</v>
      </c>
      <c r="J369" s="612"/>
      <c r="K369" s="2553">
        <f t="shared" ca="1" si="122"/>
        <v>0</v>
      </c>
      <c r="L369" s="2927">
        <f t="shared" ca="1" si="123"/>
        <v>0</v>
      </c>
      <c r="M369" s="2928"/>
    </row>
    <row r="370" spans="1:14" hidden="1" x14ac:dyDescent="0.25">
      <c r="A370" s="3608">
        <v>2</v>
      </c>
      <c r="B370" s="2005">
        <f>B369</f>
        <v>2028</v>
      </c>
      <c r="C370" s="2002">
        <f ca="1">(IF(($AA$18&lt;$F$2)*AND(D360=12)*AND(C369=0),OFFSET($U$6,(ROUNDUP((ROW()-10)/29,0)-1),0),0))*C360</f>
        <v>0</v>
      </c>
      <c r="D370" s="2922">
        <f>D369</f>
        <v>2801.085</v>
      </c>
      <c r="E370" s="1595">
        <f ca="1">(C370*D370)+(C371*D371)</f>
        <v>0</v>
      </c>
      <c r="F370" s="510">
        <f ca="1">IF(($AA$19&lt;$F$2)*AND(D360&gt;=3)*AND(F369=0),OFFSET($U$6,(ROUNDUP((ROW()-10)/29,0)-1),0),0)*C360</f>
        <v>0</v>
      </c>
      <c r="G370" s="510">
        <f ca="1">IF(($AA$20&lt;$F$2)*AND(D360&gt;=3)*AND(G369=0),OFFSET($U$6,(ROUNDUP((ROW()-10)/29,0)-1),0),0)*C360</f>
        <v>0</v>
      </c>
      <c r="H370" s="510">
        <f ca="1">IF(($AA$21&lt;$F$2)*AND(D360&gt;=3)*AND(H369=0),OFFSET($U$6,(ROUNDUP((ROW()-10)/29,0)-1),0),0)*C360</f>
        <v>0</v>
      </c>
      <c r="I370" s="2929">
        <f>I369</f>
        <v>5041.9530000000004</v>
      </c>
      <c r="J370" s="611">
        <f ca="1">((SUM(F370:H370)*I370)+(SUM(F371:H371)*I371))</f>
        <v>0</v>
      </c>
      <c r="K370" s="2552">
        <f t="shared" ca="1" si="122"/>
        <v>0</v>
      </c>
      <c r="L370" s="2925">
        <f t="shared" ca="1" si="123"/>
        <v>0</v>
      </c>
      <c r="M370" s="2926">
        <f ca="1">SUM(K370:L371)</f>
        <v>0</v>
      </c>
    </row>
    <row r="371" spans="1:14" ht="15.75" hidden="1" thickBot="1" x14ac:dyDescent="0.3">
      <c r="A371" s="3613"/>
      <c r="B371" s="2007">
        <f>B370+1</f>
        <v>2029</v>
      </c>
      <c r="C371" s="2003">
        <f ca="1">(IF(($AB$18&lt;$F$2)*AND(D360=12)*AND(C370=0),OFFSET($U$6,(ROUNDUP((ROW()-10)/29,0)-1),0),0))*C360</f>
        <v>0</v>
      </c>
      <c r="D371" s="2931">
        <f>D370+D370*$AG$7</f>
        <v>2885.1175499999999</v>
      </c>
      <c r="E371" s="1594"/>
      <c r="F371" s="511">
        <f ca="1">IF(($AB$19&lt;$F$2)*AND(D360&gt;=3)*AND(F370=0),OFFSET($U$6,(ROUNDUP((ROW()-10)/29,0)-1),0),0)*C360</f>
        <v>0</v>
      </c>
      <c r="G371" s="511">
        <f ca="1">IF(($AB$20&lt;$F$2)*AND(D360&gt;=3)*AND(G370=0),OFFSET($U$6,(ROUNDUP((ROW()-10)/29,0)-1),0),0)*C360</f>
        <v>0</v>
      </c>
      <c r="H371" s="511">
        <f ca="1">IF(($AB$21&lt;$F$2)*AND(D360&gt;=3)*AND(H370=0),OFFSET($U$6,(ROUNDUP((ROW()-10)/29,0)-1),0),0)*C360</f>
        <v>0</v>
      </c>
      <c r="I371" s="2930">
        <f>I370+I370*$AG$7</f>
        <v>5193.2115900000008</v>
      </c>
      <c r="J371" s="612"/>
      <c r="K371" s="2553">
        <f t="shared" ca="1" si="122"/>
        <v>0</v>
      </c>
      <c r="L371" s="2927">
        <f t="shared" ca="1" si="123"/>
        <v>0</v>
      </c>
      <c r="M371" s="2928"/>
    </row>
    <row r="372" spans="1:14" hidden="1" x14ac:dyDescent="0.25">
      <c r="A372" s="3608">
        <v>3</v>
      </c>
      <c r="B372" s="2005">
        <f>B371</f>
        <v>2029</v>
      </c>
      <c r="C372" s="2002">
        <f ca="1">IF(($AB$18&lt;$F$2)*AND(D361=12)*AND(C371=0),OFFSET($U$6,(ROUNDUP((ROW()-10)/29,0)-1),0),0)*C361</f>
        <v>0</v>
      </c>
      <c r="D372" s="2924">
        <f>D371</f>
        <v>2885.1175499999999</v>
      </c>
      <c r="E372" s="1595">
        <f ca="1">(C372*D372)+(C373*D373)</f>
        <v>0</v>
      </c>
      <c r="F372" s="510">
        <f ca="1">IF(($AB$19&lt;$F$2)*AND(D361&gt;=3)*AND(F371=0),OFFSET($U$6,(ROUNDUP((ROW()-10)/29,0)-1),0),0)*C361</f>
        <v>0</v>
      </c>
      <c r="G372" s="510">
        <f ca="1">IF(($AB$20&lt;$F$2)*AND(D361&gt;=3)*AND(G371=0),OFFSET($U$6,(ROUNDUP((ROW()-10)/29,0)-1),0),0)*C361</f>
        <v>0</v>
      </c>
      <c r="H372" s="510">
        <f ca="1">IF(($AB$21&lt;$F$2)*AND(D361&gt;=3)*AND(H371=0),OFFSET($U$6,(ROUNDUP((ROW()-10)/29,0)-1),0),0)*C361</f>
        <v>0</v>
      </c>
      <c r="I372" s="2929">
        <f>I371</f>
        <v>5193.2115900000008</v>
      </c>
      <c r="J372" s="611">
        <f ca="1">((SUM(F372:H372)*I372)+(SUM(F373:H373)*I373))</f>
        <v>0</v>
      </c>
      <c r="K372" s="2552">
        <f t="shared" ca="1" si="122"/>
        <v>0</v>
      </c>
      <c r="L372" s="2925">
        <f t="shared" ca="1" si="123"/>
        <v>0</v>
      </c>
      <c r="M372" s="2926">
        <f ca="1">SUM(K372:L373)</f>
        <v>0</v>
      </c>
    </row>
    <row r="373" spans="1:14" ht="15.75" hidden="1" thickBot="1" x14ac:dyDescent="0.3">
      <c r="A373" s="3609"/>
      <c r="B373" s="2006">
        <f>B372+1</f>
        <v>2030</v>
      </c>
      <c r="C373" s="2001">
        <f ca="1">IF(($AC$18&lt;$F$2)*AND(D361=12)*AND(C372=0),OFFSET($U$6,(ROUNDUP((ROW()-10)/29,0)-1),0),0)*C361</f>
        <v>0</v>
      </c>
      <c r="D373" s="2932">
        <f>D372+D372*$AG$7</f>
        <v>2971.6710764999998</v>
      </c>
      <c r="E373" s="1594"/>
      <c r="F373" s="511">
        <f ca="1">IF(($AC$19&lt;$F$2)*AND(D361&gt;=3)*AND(F372=0),OFFSET($U$6,(ROUNDUP((ROW()-10)/29,0)-1),0),0)*C361</f>
        <v>0</v>
      </c>
      <c r="G373" s="511">
        <f ca="1">IF(($AC$20&lt;$F$2)*AND(D361&gt;=3)*AND(G372=0),OFFSET($U$6,(ROUNDUP((ROW()-10)/29,0)-1),0),0)*C361</f>
        <v>0</v>
      </c>
      <c r="H373" s="511">
        <f ca="1">IF(($AC$21&lt;$F$2)*AND(D361&gt;=3)*AND(H372=0),OFFSET($U$6,(ROUNDUP((ROW()-10)/29,0)-1),0),0)*C361</f>
        <v>0</v>
      </c>
      <c r="I373" s="2930">
        <f>I372+I372*$AG$7</f>
        <v>5349.0079377000011</v>
      </c>
      <c r="J373" s="612"/>
      <c r="K373" s="2553">
        <f t="shared" ca="1" si="122"/>
        <v>0</v>
      </c>
      <c r="L373" s="2927">
        <f t="shared" ca="1" si="123"/>
        <v>0</v>
      </c>
      <c r="M373" s="2928"/>
    </row>
    <row r="374" spans="1:14" hidden="1" x14ac:dyDescent="0.25">
      <c r="A374" s="3613">
        <v>4</v>
      </c>
      <c r="B374" s="2008">
        <f>B373</f>
        <v>2030</v>
      </c>
      <c r="C374" s="2000">
        <f ca="1">IF(($AC$11&lt;$F$2)*AND(D362=12)*AND(C373=0),OFFSET($U$6,(ROUNDUP((ROW()-10)/29,0)-1),0),0)*C362</f>
        <v>0</v>
      </c>
      <c r="D374" s="2921">
        <f>D373</f>
        <v>2971.6710764999998</v>
      </c>
      <c r="E374" s="1595">
        <f ca="1">(C374*D374)+(C375*D375)</f>
        <v>0</v>
      </c>
      <c r="F374" s="510">
        <f ca="1">IF(($AC$19&lt;$F$2)*AND(D362&gt;=3)*AND(F373=0),OFFSET($U$6,(ROUNDUP((ROW()-10)/29,0)-1),0),0)*C362</f>
        <v>0</v>
      </c>
      <c r="G374" s="510">
        <f ca="1">IF(($AC$20&lt;$F$2)*AND(D362&gt;=3)*AND(G373=0),OFFSET($U$6,(ROUNDUP((ROW()-10)/29,0)-1),0),0)*C362</f>
        <v>0</v>
      </c>
      <c r="H374" s="510">
        <f ca="1">IF(($AC$21&lt;$F$2)*AND(D362&gt;=3)*AND(H373=0),OFFSET($U$6,(ROUNDUP((ROW()-10)/29,0)-1),0),0)*C362</f>
        <v>0</v>
      </c>
      <c r="I374" s="2929">
        <f>I373</f>
        <v>5349.0079377000011</v>
      </c>
      <c r="J374" s="611">
        <f ca="1">((SUM(F374:H374)*I374)+(SUM(F375:H375)*I375))</f>
        <v>0</v>
      </c>
      <c r="K374" s="2552">
        <f t="shared" ca="1" si="122"/>
        <v>0</v>
      </c>
      <c r="L374" s="2925">
        <f t="shared" ca="1" si="123"/>
        <v>0</v>
      </c>
      <c r="M374" s="2926">
        <f ca="1">SUM(K374:L375)</f>
        <v>0</v>
      </c>
    </row>
    <row r="375" spans="1:14" ht="15.75" hidden="1" thickBot="1" x14ac:dyDescent="0.3">
      <c r="A375" s="3609"/>
      <c r="B375" s="2006">
        <f>B374+1</f>
        <v>2031</v>
      </c>
      <c r="C375" s="2001">
        <f ca="1">IF(($AD$18&lt;$F$2)*AND(D362=12)*AND(C374=0),OFFSET($U$6,(ROUNDUP((ROW()-10)/29,0)-1),0),0)*C362</f>
        <v>0</v>
      </c>
      <c r="D375" s="2923">
        <f>D374+D374*$AG$7</f>
        <v>3060.8212087949996</v>
      </c>
      <c r="E375" s="1594"/>
      <c r="F375" s="511">
        <f ca="1">IF(($AD$19&lt;$F$2)*AND(D362&gt;=3)*AND(F374=0),OFFSET($U$6,(ROUNDUP((ROW()-10)/29,0)-1),0),0)*C362</f>
        <v>0</v>
      </c>
      <c r="G375" s="511">
        <f ca="1">IF(($AD$20&lt;$F$2)*AND(D362&gt;=3)*AND(G374=0),OFFSET($U$6,(ROUNDUP((ROW()-10)/29,0)-1),0),0)*C362</f>
        <v>0</v>
      </c>
      <c r="H375" s="511">
        <f ca="1">IF(($AD$21&lt;$F$2)*AND(D362&gt;=3)*AND(H374=0),OFFSET($U$6,(ROUNDUP((ROW()-10)/29,0)-1),0),0)*C362</f>
        <v>0</v>
      </c>
      <c r="I375" s="2930">
        <f>I374+I374*$AG$7</f>
        <v>5509.478175831001</v>
      </c>
      <c r="J375" s="612"/>
      <c r="K375" s="2553">
        <f t="shared" ca="1" si="122"/>
        <v>0</v>
      </c>
      <c r="L375" s="2927">
        <f t="shared" ca="1" si="123"/>
        <v>0</v>
      </c>
      <c r="M375" s="2928"/>
    </row>
    <row r="376" spans="1:14" hidden="1" x14ac:dyDescent="0.25">
      <c r="A376" s="3608">
        <v>5</v>
      </c>
      <c r="B376" s="2005">
        <f>B375</f>
        <v>2031</v>
      </c>
      <c r="C376" s="2002">
        <f ca="1">IF(($AD$18&lt;$F$2)*AND(D363=12)*AND(C375=0),OFFSET($U$6,(ROUNDUP((ROW()-10)/29,0)-1),0),0)*C363</f>
        <v>0</v>
      </c>
      <c r="D376" s="2922">
        <f>D375</f>
        <v>3060.8212087949996</v>
      </c>
      <c r="E376" s="1595">
        <f ca="1">(C376*D376)+(C377*D377)</f>
        <v>0</v>
      </c>
      <c r="F376" s="510">
        <f ca="1">IF(($AD$19&lt;$F$2)*AND(D363&gt;=3)*AND(F375=0),OFFSET($U$6,(ROUNDUP((ROW()-10)/29,0)-1),0),0)*C363</f>
        <v>0</v>
      </c>
      <c r="G376" s="510">
        <f ca="1">IF(($AD$20&lt;$F$2)*AND(D363&gt;=3)*AND(G375=0),OFFSET($U$6,(ROUNDUP((ROW()-10)/29,0)-1),0),0)*C363</f>
        <v>0</v>
      </c>
      <c r="H376" s="510">
        <f ca="1">IF(($AD$21&lt;$F$2)*AND(D363&gt;=3)*AND(H375=0),OFFSET($U$6,(ROUNDUP((ROW()-10)/29,0)-1),0),0)*C363</f>
        <v>0</v>
      </c>
      <c r="I376" s="2929">
        <f>I375</f>
        <v>5509.478175831001</v>
      </c>
      <c r="J376" s="611">
        <f ca="1">((SUM(F376:H376)*I376)+(SUM(F377:H377)*I377))</f>
        <v>0</v>
      </c>
      <c r="K376" s="2552">
        <f t="shared" ca="1" si="122"/>
        <v>0</v>
      </c>
      <c r="L376" s="2925">
        <f t="shared" ca="1" si="123"/>
        <v>0</v>
      </c>
      <c r="M376" s="2926">
        <f ca="1">SUM(K376:L377)</f>
        <v>0</v>
      </c>
    </row>
    <row r="377" spans="1:14" ht="15.75" hidden="1" thickBot="1" x14ac:dyDescent="0.3">
      <c r="A377" s="3609"/>
      <c r="B377" s="2006">
        <f>B376+1</f>
        <v>2032</v>
      </c>
      <c r="C377" s="2001">
        <f ca="1">IF(($AE$18&lt;$F$2)*AND(D363=12)*AND(C376=0),OFFSET($U$6,(ROUNDUP((ROW()-10)/29,0)-1),0),0)*C363</f>
        <v>0</v>
      </c>
      <c r="D377" s="2923">
        <f>D376+D376*$AG$7</f>
        <v>3152.6458450588498</v>
      </c>
      <c r="E377" s="1594"/>
      <c r="F377" s="511">
        <f ca="1">IF(($AE$19&lt;$F$2)*AND(D363&gt;=3)*AND(F376=0),OFFSET($U$6,(ROUNDUP((ROW()-10)/29,0)-1),0),0)*C363</f>
        <v>0</v>
      </c>
      <c r="G377" s="511">
        <f ca="1">IF(($AE$20&lt;$F$2)*AND(D363&gt;=3)*AND(G376=0),OFFSET($U$6,(ROUNDUP((ROW()-10)/29,0)-1),0),0)*C363</f>
        <v>0</v>
      </c>
      <c r="H377" s="511">
        <f ca="1">IF(($AE$21&lt;$F$2)*AND(D363&gt;=3)*AND(H376=0),OFFSET($U$6,(ROUNDUP((ROW()-10)/29,0)-1),0),0)*C363</f>
        <v>0</v>
      </c>
      <c r="I377" s="2930">
        <f>I376+I376*$AG$7</f>
        <v>5674.7625211059312</v>
      </c>
      <c r="J377" s="612"/>
      <c r="K377" s="2553">
        <f t="shared" ca="1" si="122"/>
        <v>0</v>
      </c>
      <c r="L377" s="2927">
        <f t="shared" ca="1" si="123"/>
        <v>0</v>
      </c>
      <c r="M377" s="2928"/>
    </row>
    <row r="378" spans="1:14" hidden="1" x14ac:dyDescent="0.25">
      <c r="A378" s="3608">
        <v>6</v>
      </c>
      <c r="B378" s="2005">
        <f>B377</f>
        <v>2032</v>
      </c>
      <c r="C378" s="2002">
        <f ca="1">IF(($AE$18&lt;$F$2)*AND(D364=12)*AND(C377=0),OFFSET($U$6,(ROUNDUP((ROW()-10)/29,0)-1),0),0)*C364</f>
        <v>0</v>
      </c>
      <c r="D378" s="2922">
        <f>D377</f>
        <v>3152.6458450588498</v>
      </c>
      <c r="E378" s="1595">
        <f ca="1">(C378*D378)+(C379*D379)</f>
        <v>0</v>
      </c>
      <c r="F378" s="510">
        <f ca="1">IF(($AE$19&lt;$F$2)*AND(D364&gt;=3)*AND(F377=0),OFFSET($U$6,(ROUNDUP((ROW()-10)/29,0)-1),0),0)*C364</f>
        <v>0</v>
      </c>
      <c r="G378" s="510">
        <f ca="1">IF(($AE$20&lt;$F$2)*AND(D364&gt;=3)*AND(G377=0),OFFSET($U$6,(ROUNDUP((ROW()-10)/29,0)-1),0),0)*C364</f>
        <v>0</v>
      </c>
      <c r="H378" s="510">
        <f ca="1">IF(($AE$21&lt;$F$2)*AND(D364&gt;=3)*AND(H377=0),OFFSET($U$6,(ROUNDUP((ROW()-10)/29,0)-1),0),0)*C364</f>
        <v>0</v>
      </c>
      <c r="I378" s="2929">
        <f>I377</f>
        <v>5674.7625211059312</v>
      </c>
      <c r="J378" s="611">
        <f ca="1">((SUM(F378:H378)*I378)+(SUM(F379:H379)*I379))</f>
        <v>0</v>
      </c>
      <c r="K378" s="2552">
        <f t="shared" ca="1" si="122"/>
        <v>0</v>
      </c>
      <c r="L378" s="2925">
        <f t="shared" ca="1" si="123"/>
        <v>0</v>
      </c>
      <c r="M378" s="2926">
        <f ca="1">SUM(K378:L379)</f>
        <v>0</v>
      </c>
    </row>
    <row r="379" spans="1:14" ht="15.75" hidden="1" thickBot="1" x14ac:dyDescent="0.3">
      <c r="A379" s="3609"/>
      <c r="B379" s="2006">
        <f>B378+1</f>
        <v>2033</v>
      </c>
      <c r="C379" s="2004">
        <f ca="1">IF(($AF$18&lt;$F$2)*AND(D364=12)*AND(C378=0),OFFSET($U$6,(ROUNDUP((ROW()-10)/29,0)-1),0),0)*C364</f>
        <v>0</v>
      </c>
      <c r="D379" s="2923">
        <f>D378+D378*$AG$7</f>
        <v>3247.2252204106153</v>
      </c>
      <c r="E379" s="1594"/>
      <c r="F379" s="511">
        <f ca="1">IF(($AF$19&lt;$F$2)*AND(D364&gt;=3)*AND(F378=0),OFFSET($U$6,(ROUNDUP((ROW()-10)/29,0)-1),0),0)*C364</f>
        <v>0</v>
      </c>
      <c r="G379" s="511">
        <f ca="1">IF(($AF$20&lt;$F$2)*AND(D364&gt;=3)*AND(G378=0),OFFSET($U$6,(ROUNDUP((ROW()-10)/29,0)-1),0),0)*C364</f>
        <v>0</v>
      </c>
      <c r="H379" s="511">
        <f ca="1">IF(($AF$21&lt;$F$2)*AND(D364&gt;=3)*AND(H378=0),OFFSET($U$6,(ROUNDUP((ROW()-10)/29,0)-1),0),0)*C364</f>
        <v>0</v>
      </c>
      <c r="I379" s="2930">
        <f>I378+I378*$AG$7</f>
        <v>5845.0053967391095</v>
      </c>
      <c r="J379" s="612"/>
      <c r="K379" s="2553">
        <f t="shared" ca="1" si="122"/>
        <v>0</v>
      </c>
      <c r="L379" s="2927">
        <f t="shared" ca="1" si="123"/>
        <v>0</v>
      </c>
      <c r="M379" s="2928"/>
    </row>
    <row r="380" spans="1:14" ht="15.75" hidden="1" thickBot="1" x14ac:dyDescent="0.3">
      <c r="C380" s="3616" t="s">
        <v>96</v>
      </c>
      <c r="D380" s="3617"/>
      <c r="E380" s="2933">
        <f ca="1">SUM(E368:E378)</f>
        <v>0</v>
      </c>
      <c r="F380" s="60"/>
      <c r="G380" s="2936" t="s">
        <v>102</v>
      </c>
      <c r="H380" s="3618" t="s">
        <v>57</v>
      </c>
      <c r="I380" s="3619"/>
      <c r="J380" s="2934">
        <f ca="1">SUM(J368:J378)</f>
        <v>0</v>
      </c>
      <c r="K380" s="3610" t="s">
        <v>103</v>
      </c>
      <c r="L380" s="3611"/>
      <c r="M380" s="2935">
        <f ca="1">SUM(M368:M379)</f>
        <v>0</v>
      </c>
    </row>
    <row r="381" spans="1:14" ht="15.75" hidden="1" thickBot="1" x14ac:dyDescent="0.3">
      <c r="A381" s="71"/>
      <c r="B381" s="71"/>
      <c r="C381" s="71"/>
      <c r="D381" s="71"/>
      <c r="E381" s="71"/>
      <c r="F381" s="71"/>
      <c r="G381" s="71"/>
      <c r="H381" s="71"/>
      <c r="I381" s="71"/>
      <c r="J381" s="71"/>
      <c r="K381" s="71"/>
      <c r="L381" s="71"/>
      <c r="M381" s="615"/>
    </row>
    <row r="382" spans="1:14" ht="16.5" hidden="1" thickTop="1" thickBot="1" x14ac:dyDescent="0.3"/>
    <row r="383" spans="1:14" ht="15.75" hidden="1" thickBot="1" x14ac:dyDescent="0.3">
      <c r="A383" s="64" t="str">
        <f>'DATA INPUT'!B42</f>
        <v>GA #14 / Sponsor Funds</v>
      </c>
      <c r="B383" s="65"/>
      <c r="C383" s="65"/>
      <c r="D383" s="65"/>
      <c r="E383" s="65"/>
      <c r="F383" s="65"/>
      <c r="G383" s="65"/>
      <c r="H383" s="65"/>
      <c r="I383" s="65"/>
      <c r="J383" s="65"/>
      <c r="K383" s="65"/>
      <c r="L383" s="65"/>
      <c r="M383" s="1598"/>
      <c r="N383" s="1598"/>
    </row>
    <row r="384" spans="1:14" ht="15" hidden="1" customHeight="1" thickBot="1" x14ac:dyDescent="0.3">
      <c r="A384" s="3620" t="s">
        <v>80</v>
      </c>
      <c r="B384" s="3621"/>
      <c r="C384" s="1712">
        <f>'DATA INPUT'!C42</f>
        <v>0</v>
      </c>
      <c r="E384" s="1760" t="s">
        <v>135</v>
      </c>
      <c r="F384" s="1761">
        <f>'DATA INPUT'!E42</f>
        <v>0</v>
      </c>
      <c r="G384" s="1760" t="s">
        <v>82</v>
      </c>
      <c r="H384" s="1734">
        <f>'DATA INPUT'!F42</f>
        <v>0.49</v>
      </c>
      <c r="I384" s="1737" t="s">
        <v>88</v>
      </c>
      <c r="J384" s="1746">
        <f>IFERROR(VLOOKUP(C384,Table_Units[],IF(F384='Reference Sheet'!$H$37,3,2),FALSE)*1,0)</f>
        <v>0</v>
      </c>
      <c r="K384" s="1746"/>
      <c r="L384" s="66"/>
      <c r="M384" s="1712"/>
      <c r="N384" s="1762"/>
    </row>
    <row r="385" spans="1:15" ht="15" hidden="1" customHeight="1" thickBot="1" x14ac:dyDescent="0.3">
      <c r="A385" s="1716"/>
      <c r="B385" s="3445" t="s">
        <v>254</v>
      </c>
      <c r="C385" s="3560" t="s">
        <v>517</v>
      </c>
      <c r="D385" s="3444" t="s">
        <v>518</v>
      </c>
      <c r="E385" s="3445" t="s">
        <v>519</v>
      </c>
      <c r="F385" s="3445" t="s">
        <v>521</v>
      </c>
      <c r="G385" s="3614" t="s">
        <v>65</v>
      </c>
      <c r="H385" s="3614"/>
      <c r="I385" s="3614"/>
      <c r="J385" s="3614"/>
      <c r="K385" s="3445" t="s">
        <v>84</v>
      </c>
      <c r="L385" s="1996" t="s">
        <v>78</v>
      </c>
      <c r="M385" s="1997"/>
      <c r="N385" s="3558" t="s">
        <v>87</v>
      </c>
    </row>
    <row r="386" spans="1:15" ht="15" hidden="1" customHeight="1" thickBot="1" x14ac:dyDescent="0.3">
      <c r="A386" s="3445" t="s">
        <v>253</v>
      </c>
      <c r="B386" s="3445"/>
      <c r="C386" s="3561"/>
      <c r="D386" s="3445"/>
      <c r="E386" s="3445"/>
      <c r="F386" s="3445"/>
      <c r="G386" s="3444" t="s">
        <v>86</v>
      </c>
      <c r="H386" s="3444" t="s">
        <v>59</v>
      </c>
      <c r="I386" s="3444" t="s">
        <v>60</v>
      </c>
      <c r="J386" s="3444" t="s">
        <v>66</v>
      </c>
      <c r="K386" s="3445"/>
      <c r="L386" s="1998" t="s">
        <v>616</v>
      </c>
      <c r="M386" s="1999">
        <f>'Reference Sheet'!$E$14</f>
        <v>0.28499999999999998</v>
      </c>
      <c r="N386" s="3566"/>
    </row>
    <row r="387" spans="1:15" ht="15.75" hidden="1" thickBot="1" x14ac:dyDescent="0.3">
      <c r="A387" s="3446"/>
      <c r="B387" s="3446"/>
      <c r="C387" s="3615"/>
      <c r="D387" s="3446"/>
      <c r="E387" s="3446"/>
      <c r="F387" s="3446"/>
      <c r="G387" s="3446"/>
      <c r="H387" s="3446"/>
      <c r="I387" s="3446"/>
      <c r="J387" s="3446"/>
      <c r="K387" s="3446"/>
      <c r="L387" s="1769" t="s">
        <v>67</v>
      </c>
      <c r="M387" s="1683" t="s">
        <v>68</v>
      </c>
      <c r="N387" s="3612"/>
    </row>
    <row r="388" spans="1:15" hidden="1" x14ac:dyDescent="0.25">
      <c r="A388" s="1685">
        <v>1</v>
      </c>
      <c r="B388" s="1770">
        <f>$K$3</f>
        <v>12</v>
      </c>
      <c r="C388" s="1685">
        <f>'DATA INPUT'!I42</f>
        <v>0</v>
      </c>
      <c r="D388" s="1693">
        <f>IF(C388&lt;1,0,IF((B388&gt;0),'DATA INPUT'!$G$42,0))</f>
        <v>0</v>
      </c>
      <c r="E388" s="1773">
        <f t="shared" ref="E388:E393" ca="1" si="124">(D388*(2080/12))*OFFSET($H$7,29*(ROUNDUP(ROW()/29,0)-1),0)</f>
        <v>0</v>
      </c>
      <c r="F388" s="1684">
        <f t="shared" ref="F388:F393" ca="1" si="125">((D388*(2080/12))*OFFSET($H$7,29*(ROUNDUP(ROW()/29,0)-1),0))*C388</f>
        <v>0</v>
      </c>
      <c r="G388" s="1149">
        <v>0.03</v>
      </c>
      <c r="H388" s="460">
        <f>(J384*G388)+J384</f>
        <v>0</v>
      </c>
      <c r="I388" s="492">
        <f t="shared" ref="I388:I393" ca="1" si="126">H388/12*OFFSET($H$7,29*(ROUNDUP(ROW(H388)/29,0)-1),0)</f>
        <v>0</v>
      </c>
      <c r="J388" s="2400">
        <f t="shared" ref="J388:J393" si="127">(H388/12)/(2080/12)</f>
        <v>0</v>
      </c>
      <c r="K388" s="1766">
        <f t="shared" ref="K388:K393" ca="1" si="128">I388*D388*C388</f>
        <v>0</v>
      </c>
      <c r="L388" s="626">
        <f>IF($U$3&lt;$T$3, M386, IF($U$3&gt;$W$3, M386+2*$Q$6, M386+$Q$6))</f>
        <v>0.28499999999999998</v>
      </c>
      <c r="M388" s="1500">
        <f t="shared" ref="M388:M393" ca="1" si="129">L388*K388</f>
        <v>0</v>
      </c>
      <c r="N388" s="2400">
        <f t="shared" ref="N388:N393" si="130">((H388/12)/(2080/12))+(((H388/12)*L388)/(2080/12))</f>
        <v>0</v>
      </c>
      <c r="O388" s="58" t="str">
        <f ca="1">IF(ABS(C388*D388*OFFSET($U$6,(ROUNDUP((ROW()-10)/29,0)-1),0)-3*SUM(C397:C398,F397:H398))&gt; 0.01,"Mismatch: Tuition vs Months","")</f>
        <v/>
      </c>
    </row>
    <row r="389" spans="1:15" hidden="1" x14ac:dyDescent="0.25">
      <c r="A389" s="1687">
        <v>2</v>
      </c>
      <c r="B389" s="1771">
        <f>$L$3</f>
        <v>0</v>
      </c>
      <c r="C389" s="1687">
        <f>'DATA INPUT'!J42</f>
        <v>0</v>
      </c>
      <c r="D389" s="1693">
        <f>IF(C389&lt;1,0,IF((B389&gt;0),'DATA INPUT'!$G$42,0))</f>
        <v>0</v>
      </c>
      <c r="E389" s="1774">
        <f t="shared" ca="1" si="124"/>
        <v>0</v>
      </c>
      <c r="F389" s="1686">
        <f t="shared" ca="1" si="125"/>
        <v>0</v>
      </c>
      <c r="G389" s="461">
        <v>0.03</v>
      </c>
      <c r="H389" s="462">
        <f>(H388*G389)+H388</f>
        <v>0</v>
      </c>
      <c r="I389" s="501">
        <f t="shared" ca="1" si="126"/>
        <v>0</v>
      </c>
      <c r="J389" s="2397">
        <f t="shared" si="127"/>
        <v>0</v>
      </c>
      <c r="K389" s="1767">
        <f t="shared" ca="1" si="128"/>
        <v>0</v>
      </c>
      <c r="L389" s="625">
        <f>L388+$Q$6</f>
        <v>0.30499999999999999</v>
      </c>
      <c r="M389" s="1541">
        <f t="shared" ca="1" si="129"/>
        <v>0</v>
      </c>
      <c r="N389" s="2398">
        <f t="shared" si="130"/>
        <v>0</v>
      </c>
      <c r="O389" s="58" t="str">
        <f ca="1">IF(ABS(C389*D389*OFFSET($U$6,(ROUNDUP((ROW()-10)/29,0)-1),0)-3*SUM(C399:C400,F399:H400))&gt;0.01,"Mismatch: Tuition vs Months","")</f>
        <v/>
      </c>
    </row>
    <row r="390" spans="1:15" hidden="1" x14ac:dyDescent="0.25">
      <c r="A390" s="1687">
        <v>3</v>
      </c>
      <c r="B390" s="1771">
        <f>$M$3</f>
        <v>0</v>
      </c>
      <c r="C390" s="1687">
        <f>'DATA INPUT'!K42</f>
        <v>0</v>
      </c>
      <c r="D390" s="1693">
        <f>IF(C390&lt;1,0,IF((B390&gt;0),'DATA INPUT'!$G$42,0))</f>
        <v>0</v>
      </c>
      <c r="E390" s="1774">
        <f t="shared" ca="1" si="124"/>
        <v>0</v>
      </c>
      <c r="F390" s="1686">
        <f t="shared" ca="1" si="125"/>
        <v>0</v>
      </c>
      <c r="G390" s="461">
        <v>0.03</v>
      </c>
      <c r="H390" s="462">
        <f>(H389*G390)+H389</f>
        <v>0</v>
      </c>
      <c r="I390" s="501">
        <f t="shared" ca="1" si="126"/>
        <v>0</v>
      </c>
      <c r="J390" s="2397">
        <f t="shared" si="127"/>
        <v>0</v>
      </c>
      <c r="K390" s="1767">
        <f t="shared" ca="1" si="128"/>
        <v>0</v>
      </c>
      <c r="L390" s="625">
        <f>L389+$Q$6</f>
        <v>0.32500000000000001</v>
      </c>
      <c r="M390" s="1541">
        <f t="shared" ca="1" si="129"/>
        <v>0</v>
      </c>
      <c r="N390" s="2398">
        <f t="shared" si="130"/>
        <v>0</v>
      </c>
      <c r="O390" s="58" t="str">
        <f ca="1">IF(ABS(C390*D390*OFFSET($U$6,(ROUNDUP((ROW()-10)/29,0)-1),0)-3*SUM(C401:C402,F401:H402))&gt;0.01,"Mismatch: Tuition vs Months","")</f>
        <v/>
      </c>
    </row>
    <row r="391" spans="1:15" hidden="1" x14ac:dyDescent="0.25">
      <c r="A391" s="1687">
        <v>4</v>
      </c>
      <c r="B391" s="1771">
        <f>$N$3</f>
        <v>0</v>
      </c>
      <c r="C391" s="1687">
        <f>'DATA INPUT'!L42</f>
        <v>0</v>
      </c>
      <c r="D391" s="1693">
        <f>IF(C391&lt;1,0,IF((B391&gt;0),'DATA INPUT'!$G$42,0))</f>
        <v>0</v>
      </c>
      <c r="E391" s="1774">
        <f t="shared" ca="1" si="124"/>
        <v>0</v>
      </c>
      <c r="F391" s="1686">
        <f t="shared" ca="1" si="125"/>
        <v>0</v>
      </c>
      <c r="G391" s="461">
        <v>0.03</v>
      </c>
      <c r="H391" s="462">
        <f>(H390*G391)+H390</f>
        <v>0</v>
      </c>
      <c r="I391" s="501">
        <f t="shared" ca="1" si="126"/>
        <v>0</v>
      </c>
      <c r="J391" s="2397">
        <f t="shared" si="127"/>
        <v>0</v>
      </c>
      <c r="K391" s="1767">
        <f t="shared" ca="1" si="128"/>
        <v>0</v>
      </c>
      <c r="L391" s="625">
        <f>L390+$Q$6</f>
        <v>0.34500000000000003</v>
      </c>
      <c r="M391" s="1541">
        <f t="shared" ca="1" si="129"/>
        <v>0</v>
      </c>
      <c r="N391" s="2398">
        <f t="shared" si="130"/>
        <v>0</v>
      </c>
      <c r="O391" s="58" t="str">
        <f ca="1">IF(ABS(C391*D391*OFFSET($U$6,(ROUNDUP((ROW()-10)/29,0)-1),0)-3*SUM(C403:C404,F403:H404))&gt;0.01,"Mismatch: Tuition vs Months","")</f>
        <v/>
      </c>
    </row>
    <row r="392" spans="1:15" hidden="1" x14ac:dyDescent="0.25">
      <c r="A392" s="1687">
        <v>5</v>
      </c>
      <c r="B392" s="1771">
        <f>$O$3</f>
        <v>0</v>
      </c>
      <c r="C392" s="1687">
        <f>'DATA INPUT'!M42</f>
        <v>0</v>
      </c>
      <c r="D392" s="1693">
        <f>IF(C392&lt;1,0,IF((B392&gt;0),'DATA INPUT'!$G$42,0))</f>
        <v>0</v>
      </c>
      <c r="E392" s="1774">
        <f t="shared" ca="1" si="124"/>
        <v>0</v>
      </c>
      <c r="F392" s="1686">
        <f t="shared" ca="1" si="125"/>
        <v>0</v>
      </c>
      <c r="G392" s="461">
        <v>0.03</v>
      </c>
      <c r="H392" s="462">
        <f>(H391*G392)+H391</f>
        <v>0</v>
      </c>
      <c r="I392" s="501">
        <f t="shared" ca="1" si="126"/>
        <v>0</v>
      </c>
      <c r="J392" s="2397">
        <f t="shared" si="127"/>
        <v>0</v>
      </c>
      <c r="K392" s="1767">
        <f t="shared" ca="1" si="128"/>
        <v>0</v>
      </c>
      <c r="L392" s="625">
        <f>L391+$Q$6</f>
        <v>0.36500000000000005</v>
      </c>
      <c r="M392" s="1541">
        <f t="shared" ca="1" si="129"/>
        <v>0</v>
      </c>
      <c r="N392" s="2398">
        <f t="shared" si="130"/>
        <v>0</v>
      </c>
      <c r="O392" s="58" t="str">
        <f ca="1">IF(ABS(C392*D392*OFFSET($U$6,(ROUNDUP((ROW()-10)/29,0)-1),0)-3*SUM(C405:C406,F405:H406))&gt;0.01,"Mismatch: Tuition vs Months","")</f>
        <v/>
      </c>
    </row>
    <row r="393" spans="1:15" ht="15.75" hidden="1" thickBot="1" x14ac:dyDescent="0.3">
      <c r="A393" s="1691">
        <v>6</v>
      </c>
      <c r="B393" s="1772">
        <f>$P$3</f>
        <v>0</v>
      </c>
      <c r="C393" s="1689">
        <f>'DATA INPUT'!N42</f>
        <v>0</v>
      </c>
      <c r="D393" s="1694">
        <f>IF(C393&lt;1,0,IF((B393&gt;0),'DATA INPUT'!$G$42,0))</f>
        <v>0</v>
      </c>
      <c r="E393" s="1733">
        <f t="shared" ca="1" si="124"/>
        <v>0</v>
      </c>
      <c r="F393" s="1688">
        <f t="shared" ca="1" si="125"/>
        <v>0</v>
      </c>
      <c r="G393" s="463">
        <v>0.03</v>
      </c>
      <c r="H393" s="464">
        <f>(H392*G393)+H392</f>
        <v>0</v>
      </c>
      <c r="I393" s="502">
        <f t="shared" ca="1" si="126"/>
        <v>0</v>
      </c>
      <c r="J393" s="2413">
        <f t="shared" si="127"/>
        <v>0</v>
      </c>
      <c r="K393" s="1768">
        <f t="shared" ca="1" si="128"/>
        <v>0</v>
      </c>
      <c r="L393" s="627">
        <f>L392+$Q$6</f>
        <v>0.38500000000000006</v>
      </c>
      <c r="M393" s="1690">
        <f t="shared" ca="1" si="129"/>
        <v>0</v>
      </c>
      <c r="N393" s="2399">
        <f t="shared" si="130"/>
        <v>0</v>
      </c>
      <c r="O393" s="58" t="str">
        <f ca="1">IF(ABS(C393*D393*OFFSET($U$6,(ROUNDUP((ROW()-10)/29,0)-1),0)-3*SUM(C407:C408,F407:H408))&gt;0.01,"Mismatch: Tuition vs Months","")</f>
        <v/>
      </c>
    </row>
    <row r="394" spans="1:15" ht="15.75" hidden="1" thickBot="1" x14ac:dyDescent="0.3">
      <c r="A394" s="624" t="s">
        <v>85</v>
      </c>
      <c r="B394" s="519">
        <f>SUM(B388:B393)</f>
        <v>12</v>
      </c>
      <c r="C394" s="519">
        <f>SUM(C388:C393)</f>
        <v>0</v>
      </c>
      <c r="D394" s="1692">
        <f>SUM(D388:D393)</f>
        <v>0</v>
      </c>
      <c r="E394" s="1695">
        <f ca="1">SUM(E388:E393)</f>
        <v>0</v>
      </c>
      <c r="F394" s="1695">
        <f ca="1">SUM(F388:F393)</f>
        <v>0</v>
      </c>
      <c r="K394" s="1508">
        <f ca="1">SUM(K388:K393)</f>
        <v>0</v>
      </c>
      <c r="M394" s="1508">
        <f ca="1">SUM(M388:M393)</f>
        <v>0</v>
      </c>
      <c r="N394" s="60"/>
    </row>
    <row r="395" spans="1:15" ht="15.75" hidden="1" thickBot="1" x14ac:dyDescent="0.3"/>
    <row r="396" spans="1:15" ht="30.75" hidden="1" thickBot="1" x14ac:dyDescent="0.3">
      <c r="A396" s="1990" t="s">
        <v>253</v>
      </c>
      <c r="B396" s="1990" t="s">
        <v>299</v>
      </c>
      <c r="C396" s="1979" t="s">
        <v>17</v>
      </c>
      <c r="D396" s="1980" t="s">
        <v>96</v>
      </c>
      <c r="E396" s="1981" t="s">
        <v>474</v>
      </c>
      <c r="F396" s="1991" t="s">
        <v>41</v>
      </c>
      <c r="G396" s="1992" t="s">
        <v>42</v>
      </c>
      <c r="H396" s="1992" t="s">
        <v>43</v>
      </c>
      <c r="I396" s="1992" t="s">
        <v>57</v>
      </c>
      <c r="J396" s="1993" t="s">
        <v>472</v>
      </c>
      <c r="K396" s="1980" t="s">
        <v>100</v>
      </c>
      <c r="L396" s="1991" t="s">
        <v>99</v>
      </c>
      <c r="M396" s="1994" t="s">
        <v>101</v>
      </c>
    </row>
    <row r="397" spans="1:15" hidden="1" x14ac:dyDescent="0.25">
      <c r="A397" s="3613">
        <v>1</v>
      </c>
      <c r="B397" s="2005">
        <f>IF($C$2&lt;DATE($Z$6,4,15),$Z$6,IF($C$2&lt;DATE($AA$6,4,15),$AA$6,IF($C$2&lt;DATE($AB$6,4,15),$AB$6,IF($C$2&lt;DATE($AC$6,4,15),$AC$6,$AD$6))))</f>
        <v>2027</v>
      </c>
      <c r="C397" s="2000">
        <f ca="1">(IF($C$2&lt;=$Z$14*AND(D388&gt;=3)*AND($F$2&gt;=$Z$18),OFFSET($U$6,(ROUNDUP((ROW()-10)/29,0)-1),0),0)*IF(D388=9,0,1))*C388</f>
        <v>0</v>
      </c>
      <c r="D397" s="2921">
        <f>IF(OR($C384="COE",$C384="CCE",$C384="CBEE",$C384="EECS",$C384="MIME",$C384="NSE",$C384="PMEC"),HLOOKUP($B397,$Z$6:$AF$10,3),
IF(($C384="COB"),HLOOKUP($B397,$Z$25:$AF$27,3),
IF(($C384="CPH"),HLOOKUP($B397,$Z$31:$AF$33,3),
IF(($C384="VetMed"),HLOOKUP($B397,$Z$37:$AF$39,3),
IF(($C384="Pharm"),HLOOKUP($B397,$Z$43:$AF$45,3),
HLOOKUP($B397,$Z$49:$AF$51,3))))))</f>
        <v>2719.5</v>
      </c>
      <c r="E397" s="1987">
        <f ca="1">(C397*D397)+(C398*D398)</f>
        <v>0</v>
      </c>
      <c r="F397" s="1988">
        <f ca="1">IF($C$2&lt;=$Z$15*AND(D388&gt;=3)*AND($F$2&gt;=$Z$19),OFFSET($U$6,(ROUNDUP((ROW()-10)/29,0)-1),0),0)*C388</f>
        <v>0</v>
      </c>
      <c r="G397" s="1988">
        <f ca="1">IF($C$2&lt;=$Z$16*AND(D388&gt;=3)*AND($F$2&gt;=$Z$20),OFFSET($U$6,(ROUNDUP((ROW()-10)/29,0)-1),0),0)*C388</f>
        <v>0</v>
      </c>
      <c r="H397" s="1988">
        <f ca="1">IF($C$2&lt;=$Z$17*AND(D388&gt;=3)*AND($F$2&gt;=$Z$21),OFFSET($U$6,(ROUNDUP((ROW()-10)/29,0)-1),0),0)*C388</f>
        <v>0</v>
      </c>
      <c r="I397" s="2921">
        <f>IF(OR($C384="COE",$C384="CCE",$C384="CBEE",$C384="EECS",$C384="MIME",$C384="NSE",$C384="PMEC"),HLOOKUP($B397,$Z$6:$AF$10,2),
IF(($C384="COB"),HLOOKUP($B397,$Z$25:$AF$27,2),
IF(($C384="CPH"),HLOOKUP($B397,$Z$31:$AF$33,2),
IF(($C384="VetMed"),HLOOKUP($B397,$Z$37:$AF$39,2),
IF(($C384="Pharm"),HLOOKUP($B397,$Z$43:$AF$45,2),
HLOOKUP($B397,$Z$49:$AF$51,2))))))</f>
        <v>4895.1000000000004</v>
      </c>
      <c r="J397" s="1989">
        <f ca="1">((SUM(F397:H397)*I397)+(SUM(F398:H398)*I398))</f>
        <v>0</v>
      </c>
      <c r="K397" s="2552">
        <f t="shared" ref="K397:K408" ca="1" si="131">C397*HLOOKUP($B397,$Z$6:$AF$10,5)</f>
        <v>0</v>
      </c>
      <c r="L397" s="2925">
        <f t="shared" ref="L397:L408" ca="1" si="132">SUM(F397:H397)*HLOOKUP($B397,$Z$6:$AF$10,4)</f>
        <v>0</v>
      </c>
      <c r="M397" s="2926">
        <f ca="1">SUM(K397:L398)</f>
        <v>0</v>
      </c>
    </row>
    <row r="398" spans="1:15" ht="15.75" hidden="1" thickBot="1" x14ac:dyDescent="0.3">
      <c r="A398" s="3609"/>
      <c r="B398" s="2006">
        <f>B397+1</f>
        <v>2028</v>
      </c>
      <c r="C398" s="2001">
        <f ca="1">(IF($C$2&lt;=$AA$14*AND(D388&gt;=3)*AND($F$2&gt;=$AA$18),OFFSET($U$6,(ROUNDUP((ROW()-10)/29,0)-1),0),0)*IF(D388=9,0,1)*IF(C397=0,1,0))*C388</f>
        <v>0</v>
      </c>
      <c r="D398" s="2921">
        <f>IF(OR($C384="COE",$C384="CCE",$C384="CBEE",$C384="EECS",$C384="MIME",$C384="NSE",$C384="PMEC"),HLOOKUP($B398,$Z$6:$AF$10,3),
IF(($C384="COB"),HLOOKUP($B398,$Z$25:$AF$27,3),
IF(($C384="CPH"),HLOOKUP($B398,$Z$31:$AF$33,3),
IF(($C384="VetMed"),HLOOKUP($B398,$Z$37:$AF$39,3),
IF(($C384="Pharm"),HLOOKUP($B398,$Z$43:$AF$45,3),
HLOOKUP($B398,$Z$49:$AF$51,3))))))</f>
        <v>2801.085</v>
      </c>
      <c r="E398" s="1594"/>
      <c r="F398" s="511">
        <f ca="1">IF(($C$2&lt;=$AA$15)*AND(D388&gt;=3)*AND(F397=0)*AND($F$2&gt;=$AA$19),OFFSET($U$6,(ROUNDUP((ROW()-10)/29,0)-1),0),0)*C388</f>
        <v>0</v>
      </c>
      <c r="G398" s="511">
        <f ca="1">IF(($C$2&lt;=$AA$16)*AND(D388&gt;=3)*AND(G397=0)*AND($F$2&gt;=$AA$20),OFFSET($U$6,(ROUNDUP((ROW()-10)/29,0)-1),0),0)*C388</f>
        <v>0</v>
      </c>
      <c r="H398" s="511">
        <f ca="1">IF($C$2&lt;=$AA$17*AND(D388&gt;=3)*AND(H397=0)*AND($F$2&gt;=$AA$21),OFFSET($U$6,(ROUNDUP((ROW()-10)/29,0)-1),0),0)*C388</f>
        <v>0</v>
      </c>
      <c r="I398" s="2921">
        <f>IF(OR($C384="COE",$C384="CCE",$C384="CBEE",$C384="EECS",$C384="MIME",$C384="NSE",$C384="PMEC"),HLOOKUP($B398,$Z$6:$AF$10,2),
IF(($C384="COB"),HLOOKUP($B398,$Z$25:$AF$27,2),
IF(($C384="CPH"),HLOOKUP($B398,$Z$31:$AF$33,2),
IF(($C384="VetMed"),HLOOKUP($B398,$Z$37:$AF$39,2),
IF(($C384="Pharm"),HLOOKUP($B398,$Z$43:$AF$45,2),
HLOOKUP($B398,$Z$49:$AF$51,2))))))</f>
        <v>5041.9530000000004</v>
      </c>
      <c r="J398" s="612"/>
      <c r="K398" s="2553">
        <f t="shared" ca="1" si="131"/>
        <v>0</v>
      </c>
      <c r="L398" s="2927">
        <f t="shared" ca="1" si="132"/>
        <v>0</v>
      </c>
      <c r="M398" s="2928"/>
    </row>
    <row r="399" spans="1:15" hidden="1" x14ac:dyDescent="0.25">
      <c r="A399" s="3608">
        <v>2</v>
      </c>
      <c r="B399" s="2005">
        <f>B398</f>
        <v>2028</v>
      </c>
      <c r="C399" s="2002">
        <f ca="1">(IF(($AA$18&lt;$F$2)*AND(D389=12)*AND(C398=0),OFFSET($U$6,(ROUNDUP((ROW()-10)/29,0)-1),0),0))*C389</f>
        <v>0</v>
      </c>
      <c r="D399" s="2922">
        <f>D398</f>
        <v>2801.085</v>
      </c>
      <c r="E399" s="1595">
        <f ca="1">(C399*D399)+(C400*D400)</f>
        <v>0</v>
      </c>
      <c r="F399" s="510">
        <f ca="1">IF(($AA$19&lt;$F$2)*AND(D389&gt;=3)*AND(F398=0),OFFSET($U$6,(ROUNDUP((ROW()-10)/29,0)-1),0),0)*C389</f>
        <v>0</v>
      </c>
      <c r="G399" s="510">
        <f ca="1">IF(($AA$20&lt;$F$2)*AND(D389&gt;=3)*AND(G398=0),OFFSET($U$6,(ROUNDUP((ROW()-10)/29,0)-1),0),0)*C389</f>
        <v>0</v>
      </c>
      <c r="H399" s="510">
        <f ca="1">IF(($AA$21&lt;$F$2)*AND(D389&gt;=3)*AND(H398=0),OFFSET($U$6,(ROUNDUP((ROW()-10)/29,0)-1),0),0)*C389</f>
        <v>0</v>
      </c>
      <c r="I399" s="2929">
        <f>I398</f>
        <v>5041.9530000000004</v>
      </c>
      <c r="J399" s="611">
        <f ca="1">((SUM(F399:H399)*I399)+(SUM(F400:H400)*I400))</f>
        <v>0</v>
      </c>
      <c r="K399" s="2552">
        <f t="shared" ca="1" si="131"/>
        <v>0</v>
      </c>
      <c r="L399" s="2925">
        <f t="shared" ca="1" si="132"/>
        <v>0</v>
      </c>
      <c r="M399" s="2926">
        <f ca="1">SUM(K399:L400)</f>
        <v>0</v>
      </c>
    </row>
    <row r="400" spans="1:15" ht="15.75" hidden="1" thickBot="1" x14ac:dyDescent="0.3">
      <c r="A400" s="3613"/>
      <c r="B400" s="2007">
        <f>B399+1</f>
        <v>2029</v>
      </c>
      <c r="C400" s="2003">
        <f ca="1">(IF(($AB$18&lt;$F$2)*AND(D389=12)*AND(C399=0),OFFSET($U$6,(ROUNDUP((ROW()-10)/29,0)-1),0),0))*C389</f>
        <v>0</v>
      </c>
      <c r="D400" s="2931">
        <f>D399+D399*$AG$7</f>
        <v>2885.1175499999999</v>
      </c>
      <c r="E400" s="1594"/>
      <c r="F400" s="511">
        <f ca="1">IF(($AB$19&lt;$F$2)*AND(D389&gt;=3)*AND(F399=0),OFFSET($U$6,(ROUNDUP((ROW()-10)/29,0)-1),0),0)*C389</f>
        <v>0</v>
      </c>
      <c r="G400" s="511">
        <f ca="1">IF(($AB$20&lt;$F$2)*AND(D389&gt;=3)*AND(G399=0),OFFSET($U$6,(ROUNDUP((ROW()-10)/29,0)-1),0),0)*C389</f>
        <v>0</v>
      </c>
      <c r="H400" s="511">
        <f ca="1">IF(($AB$21&lt;$F$2)*AND(D389&gt;=3)*AND(H399=0),OFFSET($U$6,(ROUNDUP((ROW()-10)/29,0)-1),0),0)*C389</f>
        <v>0</v>
      </c>
      <c r="I400" s="2930">
        <f>I399+I399*$AG$7</f>
        <v>5193.2115900000008</v>
      </c>
      <c r="J400" s="612"/>
      <c r="K400" s="2553">
        <f t="shared" ca="1" si="131"/>
        <v>0</v>
      </c>
      <c r="L400" s="2927">
        <f t="shared" ca="1" si="132"/>
        <v>0</v>
      </c>
      <c r="M400" s="2928"/>
    </row>
    <row r="401" spans="1:14" hidden="1" x14ac:dyDescent="0.25">
      <c r="A401" s="3608">
        <v>3</v>
      </c>
      <c r="B401" s="2005">
        <f>B400</f>
        <v>2029</v>
      </c>
      <c r="C401" s="2002">
        <f ca="1">IF(($AB$18&lt;$F$2)*AND(D390=12)*AND(C400=0),OFFSET($U$6,(ROUNDUP((ROW()-10)/29,0)-1),0),0)*C390</f>
        <v>0</v>
      </c>
      <c r="D401" s="2924">
        <f>D400</f>
        <v>2885.1175499999999</v>
      </c>
      <c r="E401" s="1595">
        <f ca="1">(C401*D401)+(C402*D402)</f>
        <v>0</v>
      </c>
      <c r="F401" s="510">
        <f ca="1">IF(($AB$19&lt;$F$2)*AND(D390&gt;=3)*AND(F400=0),OFFSET($U$6,(ROUNDUP((ROW()-10)/29,0)-1),0),0)*C390</f>
        <v>0</v>
      </c>
      <c r="G401" s="510">
        <f ca="1">IF(($AB$20&lt;$F$2)*AND(D390&gt;=3)*AND(G400=0),OFFSET($U$6,(ROUNDUP((ROW()-10)/29,0)-1),0),0)*C390</f>
        <v>0</v>
      </c>
      <c r="H401" s="510">
        <f ca="1">IF(($AB$21&lt;$F$2)*AND(D390&gt;=3)*AND(H400=0),OFFSET($U$6,(ROUNDUP((ROW()-10)/29,0)-1),0),0)*C390</f>
        <v>0</v>
      </c>
      <c r="I401" s="2929">
        <f>I400</f>
        <v>5193.2115900000008</v>
      </c>
      <c r="J401" s="611">
        <f ca="1">((SUM(F401:H401)*I401)+(SUM(F402:H402)*I402))</f>
        <v>0</v>
      </c>
      <c r="K401" s="2552">
        <f t="shared" ca="1" si="131"/>
        <v>0</v>
      </c>
      <c r="L401" s="2925">
        <f t="shared" ca="1" si="132"/>
        <v>0</v>
      </c>
      <c r="M401" s="2926">
        <f ca="1">SUM(K401:L402)</f>
        <v>0</v>
      </c>
    </row>
    <row r="402" spans="1:14" ht="15.75" hidden="1" thickBot="1" x14ac:dyDescent="0.3">
      <c r="A402" s="3609"/>
      <c r="B402" s="2006">
        <f>B401+1</f>
        <v>2030</v>
      </c>
      <c r="C402" s="2001">
        <f ca="1">IF(($AC$18&lt;$F$2)*AND(D390=12)*AND(C401=0),OFFSET($U$6,(ROUNDUP((ROW()-10)/29,0)-1),0),0)*C390</f>
        <v>0</v>
      </c>
      <c r="D402" s="2932">
        <f>D401+D401*$AG$7</f>
        <v>2971.6710764999998</v>
      </c>
      <c r="E402" s="1594"/>
      <c r="F402" s="511">
        <f ca="1">IF(($AC$19&lt;$F$2)*AND(D390&gt;=3)*AND(F401=0),OFFSET($U$6,(ROUNDUP((ROW()-10)/29,0)-1),0),0)*C390</f>
        <v>0</v>
      </c>
      <c r="G402" s="511">
        <f ca="1">IF(($AC$20&lt;$F$2)*AND(D390&gt;=3)*AND(G401=0),OFFSET($U$6,(ROUNDUP((ROW()-10)/29,0)-1),0),0)*C390</f>
        <v>0</v>
      </c>
      <c r="H402" s="511">
        <f ca="1">IF(($AC$21&lt;$F$2)*AND(D390&gt;=3)*AND(H401=0),OFFSET($U$6,(ROUNDUP((ROW()-10)/29,0)-1),0),0)*C390</f>
        <v>0</v>
      </c>
      <c r="I402" s="2930">
        <f>I401+I401*$AG$7</f>
        <v>5349.0079377000011</v>
      </c>
      <c r="J402" s="612"/>
      <c r="K402" s="2553">
        <f t="shared" ca="1" si="131"/>
        <v>0</v>
      </c>
      <c r="L402" s="2927">
        <f t="shared" ca="1" si="132"/>
        <v>0</v>
      </c>
      <c r="M402" s="2928"/>
    </row>
    <row r="403" spans="1:14" hidden="1" x14ac:dyDescent="0.25">
      <c r="A403" s="3613">
        <v>4</v>
      </c>
      <c r="B403" s="2008">
        <f>B402</f>
        <v>2030</v>
      </c>
      <c r="C403" s="2000">
        <f ca="1">IF(($AC$11&lt;$F$2)*AND(D391=12)*AND(C402=0),OFFSET($U$6,(ROUNDUP((ROW()-10)/29,0)-1),0),0)*C391</f>
        <v>0</v>
      </c>
      <c r="D403" s="2921">
        <f>D402</f>
        <v>2971.6710764999998</v>
      </c>
      <c r="E403" s="1595">
        <f ca="1">(C403*D403)+(C404*D404)</f>
        <v>0</v>
      </c>
      <c r="F403" s="510">
        <f ca="1">IF(($AC$19&lt;$F$2)*AND(D391&gt;=3)*AND(F402=0),OFFSET($U$6,(ROUNDUP((ROW()-10)/29,0)-1),0),0)*C391</f>
        <v>0</v>
      </c>
      <c r="G403" s="510">
        <f ca="1">IF(($AC$20&lt;$F$2)*AND(D391&gt;=3)*AND(G402=0),OFFSET($U$6,(ROUNDUP((ROW()-10)/29,0)-1),0),0)*C391</f>
        <v>0</v>
      </c>
      <c r="H403" s="510">
        <f ca="1">IF(($AC$21&lt;$F$2)*AND(D391&gt;=3)*AND(H402=0),OFFSET($U$6,(ROUNDUP((ROW()-10)/29,0)-1),0),0)*C391</f>
        <v>0</v>
      </c>
      <c r="I403" s="2929">
        <f>I402</f>
        <v>5349.0079377000011</v>
      </c>
      <c r="J403" s="611">
        <f ca="1">((SUM(F403:H403)*I403)+(SUM(F404:H404)*I404))</f>
        <v>0</v>
      </c>
      <c r="K403" s="2552">
        <f t="shared" ca="1" si="131"/>
        <v>0</v>
      </c>
      <c r="L403" s="2925">
        <f t="shared" ca="1" si="132"/>
        <v>0</v>
      </c>
      <c r="M403" s="2926">
        <f ca="1">SUM(K403:L404)</f>
        <v>0</v>
      </c>
    </row>
    <row r="404" spans="1:14" ht="15.75" hidden="1" thickBot="1" x14ac:dyDescent="0.3">
      <c r="A404" s="3609"/>
      <c r="B404" s="2006">
        <f>B403+1</f>
        <v>2031</v>
      </c>
      <c r="C404" s="2001">
        <f ca="1">IF(($AD$18&lt;$F$2)*AND(D391=12)*AND(C403=0),OFFSET($U$6,(ROUNDUP((ROW()-10)/29,0)-1),0),0)*C391</f>
        <v>0</v>
      </c>
      <c r="D404" s="2923">
        <f>D403+D403*$AG$7</f>
        <v>3060.8212087949996</v>
      </c>
      <c r="E404" s="1594"/>
      <c r="F404" s="511">
        <f ca="1">IF(($AD$19&lt;$F$2)*AND(D391&gt;=3)*AND(F403=0),OFFSET($U$6,(ROUNDUP((ROW()-10)/29,0)-1),0),0)*C391</f>
        <v>0</v>
      </c>
      <c r="G404" s="511">
        <f ca="1">IF(($AD$20&lt;$F$2)*AND(D391&gt;=3)*AND(G403=0),OFFSET($U$6,(ROUNDUP((ROW()-10)/29,0)-1),0),0)*C391</f>
        <v>0</v>
      </c>
      <c r="H404" s="511">
        <f ca="1">IF(($AD$21&lt;$F$2)*AND(D391&gt;=3)*AND(H403=0),OFFSET($U$6,(ROUNDUP((ROW()-10)/29,0)-1),0),0)*C391</f>
        <v>0</v>
      </c>
      <c r="I404" s="2930">
        <f>I403+I403*$AG$7</f>
        <v>5509.478175831001</v>
      </c>
      <c r="J404" s="612"/>
      <c r="K404" s="2553">
        <f t="shared" ca="1" si="131"/>
        <v>0</v>
      </c>
      <c r="L404" s="2927">
        <f t="shared" ca="1" si="132"/>
        <v>0</v>
      </c>
      <c r="M404" s="2928"/>
    </row>
    <row r="405" spans="1:14" hidden="1" x14ac:dyDescent="0.25">
      <c r="A405" s="3608">
        <v>5</v>
      </c>
      <c r="B405" s="2005">
        <f>B404</f>
        <v>2031</v>
      </c>
      <c r="C405" s="2002">
        <f ca="1">IF(($AD$18&lt;$F$2)*AND(D392=12)*AND(C404=0),OFFSET($U$6,(ROUNDUP((ROW()-10)/29,0)-1),0),0)*C392</f>
        <v>0</v>
      </c>
      <c r="D405" s="2922">
        <f>D404</f>
        <v>3060.8212087949996</v>
      </c>
      <c r="E405" s="1595">
        <f ca="1">(C405*D405)+(C406*D406)</f>
        <v>0</v>
      </c>
      <c r="F405" s="510">
        <f ca="1">IF(($AD$19&lt;$F$2)*AND(D392&gt;=3)*AND(F404=0),OFFSET($U$6,(ROUNDUP((ROW()-10)/29,0)-1),0),0)*C392</f>
        <v>0</v>
      </c>
      <c r="G405" s="510">
        <f ca="1">IF(($AD$20&lt;$F$2)*AND(D392&gt;=3)*AND(G404=0),OFFSET($U$6,(ROUNDUP((ROW()-10)/29,0)-1),0),0)*C392</f>
        <v>0</v>
      </c>
      <c r="H405" s="510">
        <f ca="1">IF(($AD$21&lt;$F$2)*AND(D392&gt;=3)*AND(H404=0),OFFSET($U$6,(ROUNDUP((ROW()-10)/29,0)-1),0),0)*C392</f>
        <v>0</v>
      </c>
      <c r="I405" s="2929">
        <f>I404</f>
        <v>5509.478175831001</v>
      </c>
      <c r="J405" s="611">
        <f ca="1">((SUM(F405:H405)*I405)+(SUM(F406:H406)*I406))</f>
        <v>0</v>
      </c>
      <c r="K405" s="2552">
        <f t="shared" ca="1" si="131"/>
        <v>0</v>
      </c>
      <c r="L405" s="2925">
        <f t="shared" ca="1" si="132"/>
        <v>0</v>
      </c>
      <c r="M405" s="2926">
        <f ca="1">SUM(K405:L406)</f>
        <v>0</v>
      </c>
    </row>
    <row r="406" spans="1:14" ht="15.75" hidden="1" thickBot="1" x14ac:dyDescent="0.3">
      <c r="A406" s="3609"/>
      <c r="B406" s="2006">
        <f>B405+1</f>
        <v>2032</v>
      </c>
      <c r="C406" s="2001">
        <f ca="1">IF(($AE$18&lt;$F$2)*AND(D392=12)*AND(C405=0),OFFSET($U$6,(ROUNDUP((ROW()-10)/29,0)-1),0),0)*C392</f>
        <v>0</v>
      </c>
      <c r="D406" s="2923">
        <f>D405+D405*$AG$7</f>
        <v>3152.6458450588498</v>
      </c>
      <c r="E406" s="1594"/>
      <c r="F406" s="511">
        <f ca="1">IF(($AE$19&lt;$F$2)*AND(D392&gt;=3)*AND(F405=0),OFFSET($U$6,(ROUNDUP((ROW()-10)/29,0)-1),0),0)*C392</f>
        <v>0</v>
      </c>
      <c r="G406" s="511">
        <f ca="1">IF(($AE$20&lt;$F$2)*AND(D392&gt;=3)*AND(G405=0),OFFSET($U$6,(ROUNDUP((ROW()-10)/29,0)-1),0),0)*C392</f>
        <v>0</v>
      </c>
      <c r="H406" s="511">
        <f ca="1">IF(($AE$21&lt;$F$2)*AND(D392&gt;=3)*AND(H405=0),OFFSET($U$6,(ROUNDUP((ROW()-10)/29,0)-1),0),0)*C392</f>
        <v>0</v>
      </c>
      <c r="I406" s="2930">
        <f>I405+I405*$AG$7</f>
        <v>5674.7625211059312</v>
      </c>
      <c r="J406" s="612"/>
      <c r="K406" s="2553">
        <f t="shared" ca="1" si="131"/>
        <v>0</v>
      </c>
      <c r="L406" s="2927">
        <f t="shared" ca="1" si="132"/>
        <v>0</v>
      </c>
      <c r="M406" s="2928"/>
    </row>
    <row r="407" spans="1:14" hidden="1" x14ac:dyDescent="0.25">
      <c r="A407" s="3608">
        <v>6</v>
      </c>
      <c r="B407" s="2005">
        <f>B406</f>
        <v>2032</v>
      </c>
      <c r="C407" s="2002">
        <f ca="1">IF(($AE$18&lt;$F$2)*AND(D393=12)*AND(C406=0),OFFSET($U$6,(ROUNDUP((ROW()-10)/29,0)-1),0),0)*C393</f>
        <v>0</v>
      </c>
      <c r="D407" s="2922">
        <f>D406</f>
        <v>3152.6458450588498</v>
      </c>
      <c r="E407" s="1595">
        <f ca="1">(C407*D407)+(C408*D408)</f>
        <v>0</v>
      </c>
      <c r="F407" s="510">
        <f ca="1">IF(($AE$19&lt;$F$2)*AND(D393&gt;=3)*AND(F406=0),OFFSET($U$6,(ROUNDUP((ROW()-10)/29,0)-1),0),0)*C393</f>
        <v>0</v>
      </c>
      <c r="G407" s="510">
        <f ca="1">IF(($AE$20&lt;$F$2)*AND(D393&gt;=3)*AND(G406=0),OFFSET($U$6,(ROUNDUP((ROW()-10)/29,0)-1),0),0)*C393</f>
        <v>0</v>
      </c>
      <c r="H407" s="510">
        <f ca="1">IF(($AE$21&lt;$F$2)*AND(D393&gt;=3)*AND(H406=0),OFFSET($U$6,(ROUNDUP((ROW()-10)/29,0)-1),0),0)*C393</f>
        <v>0</v>
      </c>
      <c r="I407" s="2929">
        <f>I406</f>
        <v>5674.7625211059312</v>
      </c>
      <c r="J407" s="611">
        <f ca="1">((SUM(F407:H407)*I407)+(SUM(F408:H408)*I408))</f>
        <v>0</v>
      </c>
      <c r="K407" s="2552">
        <f t="shared" ca="1" si="131"/>
        <v>0</v>
      </c>
      <c r="L407" s="2925">
        <f t="shared" ca="1" si="132"/>
        <v>0</v>
      </c>
      <c r="M407" s="2926">
        <f ca="1">SUM(K407:L408)</f>
        <v>0</v>
      </c>
    </row>
    <row r="408" spans="1:14" ht="15.75" hidden="1" thickBot="1" x14ac:dyDescent="0.3">
      <c r="A408" s="3609"/>
      <c r="B408" s="2006">
        <f>B407+1</f>
        <v>2033</v>
      </c>
      <c r="C408" s="2004">
        <f ca="1">IF(($AF$18&lt;$F$2)*AND(D393=12)*AND(C407=0),OFFSET($U$6,(ROUNDUP((ROW()-10)/29,0)-1),0),0)*C393</f>
        <v>0</v>
      </c>
      <c r="D408" s="2923">
        <f>D407+D407*$AG$7</f>
        <v>3247.2252204106153</v>
      </c>
      <c r="E408" s="1594"/>
      <c r="F408" s="511">
        <f ca="1">IF(($AF$19&lt;$F$2)*AND(D393&gt;=3)*AND(F407=0),OFFSET($U$6,(ROUNDUP((ROW()-10)/29,0)-1),0),0)*C393</f>
        <v>0</v>
      </c>
      <c r="G408" s="511">
        <f ca="1">IF(($AF$20&lt;$F$2)*AND(D393&gt;=3)*AND(G407=0),OFFSET($U$6,(ROUNDUP((ROW()-10)/29,0)-1),0),0)*C393</f>
        <v>0</v>
      </c>
      <c r="H408" s="511">
        <f ca="1">IF(($AF$21&lt;$F$2)*AND(D393&gt;=3)*AND(H407=0),OFFSET($U$6,(ROUNDUP((ROW()-10)/29,0)-1),0),0)*C393</f>
        <v>0</v>
      </c>
      <c r="I408" s="2930">
        <f>I407+I407*$AG$7</f>
        <v>5845.0053967391095</v>
      </c>
      <c r="J408" s="612"/>
      <c r="K408" s="2553">
        <f t="shared" ca="1" si="131"/>
        <v>0</v>
      </c>
      <c r="L408" s="2927">
        <f t="shared" ca="1" si="132"/>
        <v>0</v>
      </c>
      <c r="M408" s="2928"/>
    </row>
    <row r="409" spans="1:14" ht="15.75" hidden="1" thickBot="1" x14ac:dyDescent="0.3">
      <c r="C409" s="3616" t="s">
        <v>96</v>
      </c>
      <c r="D409" s="3617"/>
      <c r="E409" s="2933">
        <f ca="1">SUM(E397:E407)</f>
        <v>0</v>
      </c>
      <c r="F409" s="60"/>
      <c r="G409" s="2936" t="s">
        <v>102</v>
      </c>
      <c r="H409" s="3618" t="s">
        <v>57</v>
      </c>
      <c r="I409" s="3619"/>
      <c r="J409" s="2934">
        <f ca="1">SUM(J397:J407)</f>
        <v>0</v>
      </c>
      <c r="K409" s="3610" t="s">
        <v>103</v>
      </c>
      <c r="L409" s="3611"/>
      <c r="M409" s="2935">
        <f ca="1">SUM(M397:M408)</f>
        <v>0</v>
      </c>
    </row>
    <row r="410" spans="1:14" ht="15.75" hidden="1" thickBot="1" x14ac:dyDescent="0.3">
      <c r="A410" s="71"/>
      <c r="B410" s="71"/>
      <c r="C410" s="71"/>
      <c r="D410" s="71"/>
      <c r="E410" s="71"/>
      <c r="F410" s="71"/>
      <c r="G410" s="71"/>
      <c r="H410" s="71"/>
      <c r="I410" s="71"/>
      <c r="J410" s="71"/>
      <c r="K410" s="71"/>
      <c r="L410" s="71"/>
      <c r="M410" s="615"/>
    </row>
    <row r="411" spans="1:14" ht="16.5" hidden="1" thickTop="1" thickBot="1" x14ac:dyDescent="0.3"/>
    <row r="412" spans="1:14" ht="15.75" hidden="1" thickBot="1" x14ac:dyDescent="0.3">
      <c r="A412" s="64" t="str">
        <f>'DATA INPUT'!B43</f>
        <v>GA #15 / Sponsor Funds</v>
      </c>
      <c r="B412" s="65"/>
      <c r="C412" s="65"/>
      <c r="D412" s="65"/>
      <c r="E412" s="65"/>
      <c r="F412" s="65"/>
      <c r="G412" s="65"/>
      <c r="H412" s="65"/>
      <c r="I412" s="65"/>
      <c r="J412" s="65"/>
      <c r="K412" s="65"/>
      <c r="L412" s="65"/>
      <c r="M412" s="1598"/>
      <c r="N412" s="1696"/>
    </row>
    <row r="413" spans="1:14" ht="15" hidden="1" customHeight="1" thickBot="1" x14ac:dyDescent="0.3">
      <c r="A413" s="3620" t="s">
        <v>80</v>
      </c>
      <c r="B413" s="3621"/>
      <c r="C413" s="1712">
        <f>'DATA INPUT'!C43</f>
        <v>0</v>
      </c>
      <c r="E413" s="1760" t="s">
        <v>135</v>
      </c>
      <c r="F413" s="1761">
        <f>'DATA INPUT'!E43</f>
        <v>0</v>
      </c>
      <c r="G413" s="1760" t="s">
        <v>82</v>
      </c>
      <c r="H413" s="1734">
        <f>'DATA INPUT'!F43</f>
        <v>0.49</v>
      </c>
      <c r="I413" s="1737" t="s">
        <v>88</v>
      </c>
      <c r="J413" s="1746">
        <f>IFERROR(VLOOKUP(C413,Table_Units[],IF(F413='Reference Sheet'!$H$37,3,2),FALSE)*1,0)</f>
        <v>0</v>
      </c>
      <c r="K413" s="1746"/>
      <c r="L413" s="66"/>
      <c r="M413" s="1712"/>
      <c r="N413" s="1762"/>
    </row>
    <row r="414" spans="1:14" ht="15" hidden="1" customHeight="1" thickBot="1" x14ac:dyDescent="0.3">
      <c r="A414" s="1716"/>
      <c r="B414" s="3445" t="s">
        <v>254</v>
      </c>
      <c r="C414" s="3560" t="s">
        <v>517</v>
      </c>
      <c r="D414" s="3444" t="s">
        <v>518</v>
      </c>
      <c r="E414" s="3445" t="s">
        <v>519</v>
      </c>
      <c r="F414" s="3445" t="s">
        <v>521</v>
      </c>
      <c r="G414" s="3614" t="s">
        <v>65</v>
      </c>
      <c r="H414" s="3614"/>
      <c r="I414" s="3614"/>
      <c r="J414" s="3614"/>
      <c r="K414" s="3445" t="s">
        <v>84</v>
      </c>
      <c r="L414" s="1996" t="s">
        <v>78</v>
      </c>
      <c r="M414" s="1997"/>
      <c r="N414" s="3558" t="s">
        <v>87</v>
      </c>
    </row>
    <row r="415" spans="1:14" ht="15" hidden="1" customHeight="1" thickBot="1" x14ac:dyDescent="0.3">
      <c r="A415" s="3445" t="s">
        <v>253</v>
      </c>
      <c r="B415" s="3445"/>
      <c r="C415" s="3561"/>
      <c r="D415" s="3445"/>
      <c r="E415" s="3445"/>
      <c r="F415" s="3445"/>
      <c r="G415" s="3444" t="s">
        <v>86</v>
      </c>
      <c r="H415" s="3444" t="s">
        <v>59</v>
      </c>
      <c r="I415" s="3444" t="s">
        <v>60</v>
      </c>
      <c r="J415" s="3444" t="s">
        <v>66</v>
      </c>
      <c r="K415" s="3445"/>
      <c r="L415" s="1998" t="s">
        <v>616</v>
      </c>
      <c r="M415" s="1999">
        <f>'Reference Sheet'!$E$14</f>
        <v>0.28499999999999998</v>
      </c>
      <c r="N415" s="3566"/>
    </row>
    <row r="416" spans="1:14" ht="15.75" hidden="1" thickBot="1" x14ac:dyDescent="0.3">
      <c r="A416" s="3446"/>
      <c r="B416" s="3446"/>
      <c r="C416" s="3615"/>
      <c r="D416" s="3446"/>
      <c r="E416" s="3446"/>
      <c r="F416" s="3446"/>
      <c r="G416" s="3446"/>
      <c r="H416" s="3446"/>
      <c r="I416" s="3446"/>
      <c r="J416" s="3446"/>
      <c r="K416" s="3446"/>
      <c r="L416" s="1769" t="s">
        <v>67</v>
      </c>
      <c r="M416" s="1683" t="s">
        <v>68</v>
      </c>
      <c r="N416" s="3612"/>
    </row>
    <row r="417" spans="1:15" hidden="1" x14ac:dyDescent="0.25">
      <c r="A417" s="1685">
        <v>1</v>
      </c>
      <c r="B417" s="1770">
        <f>$K$3</f>
        <v>12</v>
      </c>
      <c r="C417" s="1685">
        <f>'DATA INPUT'!I43</f>
        <v>0</v>
      </c>
      <c r="D417" s="1693">
        <f>IF(C417&lt;1,0,IF((B417&gt;0),'DATA INPUT'!$G$43,0))</f>
        <v>0</v>
      </c>
      <c r="E417" s="1773">
        <f t="shared" ref="E417:E422" ca="1" si="133">(D417*(2080/12))*OFFSET($H$7,29*(ROUNDUP(ROW()/29,0)-1),0)</f>
        <v>0</v>
      </c>
      <c r="F417" s="1684">
        <f t="shared" ref="F417:F422" ca="1" si="134">((D417*(2080/12))*OFFSET($H$7,29*(ROUNDUP(ROW()/29,0)-1),0))*C417</f>
        <v>0</v>
      </c>
      <c r="G417" s="1149">
        <v>0.03</v>
      </c>
      <c r="H417" s="460">
        <f>(J413*G417)+J413</f>
        <v>0</v>
      </c>
      <c r="I417" s="492">
        <f t="shared" ref="I417:I422" ca="1" si="135">H417/12*OFFSET($H$7,29*(ROUNDUP(ROW(H417)/29,0)-1),0)</f>
        <v>0</v>
      </c>
      <c r="J417" s="2400">
        <f t="shared" ref="J417:J422" si="136">(H417/12)/(2080/12)</f>
        <v>0</v>
      </c>
      <c r="K417" s="1766">
        <f t="shared" ref="K417:K422" ca="1" si="137">I417*D417*C417</f>
        <v>0</v>
      </c>
      <c r="L417" s="626">
        <f>IF($U$3&lt;$T$3, M415, IF($U$3&gt;$W$3, M415+2*$Q$6, M415+$Q$6))</f>
        <v>0.28499999999999998</v>
      </c>
      <c r="M417" s="1500">
        <f t="shared" ref="M417:M422" ca="1" si="138">L417*K417</f>
        <v>0</v>
      </c>
      <c r="N417" s="2400">
        <f t="shared" ref="N417:N422" si="139">((H417/12)/(2080/12))+(((H417/12)*L417)/(2080/12))</f>
        <v>0</v>
      </c>
      <c r="O417" s="58" t="str">
        <f ca="1">IF(ABS(C417*D417*OFFSET($U$6,(ROUNDUP((ROW()-10)/29,0)-1),0)-3*SUM(C426:C427,F426:H427))&gt; 0.01,"Mismatch: Tuition vs Months","")</f>
        <v/>
      </c>
    </row>
    <row r="418" spans="1:15" hidden="1" x14ac:dyDescent="0.25">
      <c r="A418" s="1687">
        <v>2</v>
      </c>
      <c r="B418" s="1771">
        <f>$L$3</f>
        <v>0</v>
      </c>
      <c r="C418" s="1687">
        <f>'DATA INPUT'!J43</f>
        <v>0</v>
      </c>
      <c r="D418" s="1693">
        <f>IF(C418&lt;1,0,IF((B418&gt;0),'DATA INPUT'!$G$43,0))</f>
        <v>0</v>
      </c>
      <c r="E418" s="1774">
        <f t="shared" ca="1" si="133"/>
        <v>0</v>
      </c>
      <c r="F418" s="1686">
        <f t="shared" ca="1" si="134"/>
        <v>0</v>
      </c>
      <c r="G418" s="461">
        <v>0.03</v>
      </c>
      <c r="H418" s="462">
        <f>(H417*G418)+H417</f>
        <v>0</v>
      </c>
      <c r="I418" s="501">
        <f t="shared" ca="1" si="135"/>
        <v>0</v>
      </c>
      <c r="J418" s="2397">
        <f t="shared" si="136"/>
        <v>0</v>
      </c>
      <c r="K418" s="1767">
        <f t="shared" ca="1" si="137"/>
        <v>0</v>
      </c>
      <c r="L418" s="625">
        <f>L417+$Q$6</f>
        <v>0.30499999999999999</v>
      </c>
      <c r="M418" s="1541">
        <f t="shared" ca="1" si="138"/>
        <v>0</v>
      </c>
      <c r="N418" s="2398">
        <f t="shared" si="139"/>
        <v>0</v>
      </c>
      <c r="O418" s="58" t="str">
        <f ca="1">IF(ABS(C418*D418*OFFSET($U$6,(ROUNDUP((ROW()-10)/29,0)-1),0)-3*SUM(C428:C429,F428:H429))&gt;0.01,"Mismatch: Tuition vs Months","")</f>
        <v/>
      </c>
    </row>
    <row r="419" spans="1:15" hidden="1" x14ac:dyDescent="0.25">
      <c r="A419" s="1687">
        <v>3</v>
      </c>
      <c r="B419" s="1771">
        <f>$M$3</f>
        <v>0</v>
      </c>
      <c r="C419" s="1687">
        <f>'DATA INPUT'!K43</f>
        <v>0</v>
      </c>
      <c r="D419" s="1693">
        <f>IF(C419&lt;1,0,IF((B419&gt;0),'DATA INPUT'!$G$43,0))</f>
        <v>0</v>
      </c>
      <c r="E419" s="1774">
        <f t="shared" ca="1" si="133"/>
        <v>0</v>
      </c>
      <c r="F419" s="1686">
        <f t="shared" ca="1" si="134"/>
        <v>0</v>
      </c>
      <c r="G419" s="461">
        <v>0.03</v>
      </c>
      <c r="H419" s="462">
        <f>(H418*G419)+H418</f>
        <v>0</v>
      </c>
      <c r="I419" s="501">
        <f t="shared" ca="1" si="135"/>
        <v>0</v>
      </c>
      <c r="J419" s="2397">
        <f t="shared" si="136"/>
        <v>0</v>
      </c>
      <c r="K419" s="1767">
        <f t="shared" ca="1" si="137"/>
        <v>0</v>
      </c>
      <c r="L419" s="625">
        <f>L418+$Q$6</f>
        <v>0.32500000000000001</v>
      </c>
      <c r="M419" s="1541">
        <f t="shared" ca="1" si="138"/>
        <v>0</v>
      </c>
      <c r="N419" s="2398">
        <f t="shared" si="139"/>
        <v>0</v>
      </c>
      <c r="O419" s="58" t="str">
        <f ca="1">IF(ABS(C419*D419*OFFSET($U$6,(ROUNDUP((ROW()-10)/29,0)-1),0)-3*SUM(C430:C431,F430:H431))&gt;0.01,"Mismatch: Tuition vs Months","")</f>
        <v/>
      </c>
    </row>
    <row r="420" spans="1:15" hidden="1" x14ac:dyDescent="0.25">
      <c r="A420" s="1687">
        <v>4</v>
      </c>
      <c r="B420" s="1771">
        <f>$N$3</f>
        <v>0</v>
      </c>
      <c r="C420" s="1687">
        <f>'DATA INPUT'!L43</f>
        <v>0</v>
      </c>
      <c r="D420" s="1693">
        <f>IF(C420&lt;1,0,IF((B420&gt;0),'DATA INPUT'!$G$43,0))</f>
        <v>0</v>
      </c>
      <c r="E420" s="1774">
        <f t="shared" ca="1" si="133"/>
        <v>0</v>
      </c>
      <c r="F420" s="1686">
        <f t="shared" ca="1" si="134"/>
        <v>0</v>
      </c>
      <c r="G420" s="461">
        <v>0.03</v>
      </c>
      <c r="H420" s="462">
        <f>(H419*G420)+H419</f>
        <v>0</v>
      </c>
      <c r="I420" s="501">
        <f t="shared" ca="1" si="135"/>
        <v>0</v>
      </c>
      <c r="J420" s="2397">
        <f t="shared" si="136"/>
        <v>0</v>
      </c>
      <c r="K420" s="1767">
        <f t="shared" ca="1" si="137"/>
        <v>0</v>
      </c>
      <c r="L420" s="625">
        <f>L419+$Q$6</f>
        <v>0.34500000000000003</v>
      </c>
      <c r="M420" s="1541">
        <f t="shared" ca="1" si="138"/>
        <v>0</v>
      </c>
      <c r="N420" s="2398">
        <f t="shared" si="139"/>
        <v>0</v>
      </c>
      <c r="O420" s="58" t="str">
        <f ca="1">IF(ABS(C420*D420*OFFSET($U$6,(ROUNDUP((ROW()-10)/29,0)-1),0)-3*SUM(C432:C433,F432:H433))&gt;0.01,"Mismatch: Tuition vs Months","")</f>
        <v/>
      </c>
    </row>
    <row r="421" spans="1:15" hidden="1" x14ac:dyDescent="0.25">
      <c r="A421" s="1687">
        <v>5</v>
      </c>
      <c r="B421" s="1771">
        <f>$O$3</f>
        <v>0</v>
      </c>
      <c r="C421" s="1687">
        <f>'DATA INPUT'!M43</f>
        <v>0</v>
      </c>
      <c r="D421" s="1693">
        <f>IF(C421&lt;1,0,IF((B421&gt;0),'DATA INPUT'!$G$43,0))</f>
        <v>0</v>
      </c>
      <c r="E421" s="1774">
        <f t="shared" ca="1" si="133"/>
        <v>0</v>
      </c>
      <c r="F421" s="1686">
        <f t="shared" ca="1" si="134"/>
        <v>0</v>
      </c>
      <c r="G421" s="461">
        <v>0.03</v>
      </c>
      <c r="H421" s="462">
        <f>(H420*G421)+H420</f>
        <v>0</v>
      </c>
      <c r="I421" s="501">
        <f t="shared" ca="1" si="135"/>
        <v>0</v>
      </c>
      <c r="J421" s="2397">
        <f t="shared" si="136"/>
        <v>0</v>
      </c>
      <c r="K421" s="1767">
        <f t="shared" ca="1" si="137"/>
        <v>0</v>
      </c>
      <c r="L421" s="625">
        <f>L420+$Q$6</f>
        <v>0.36500000000000005</v>
      </c>
      <c r="M421" s="1541">
        <f t="shared" ca="1" si="138"/>
        <v>0</v>
      </c>
      <c r="N421" s="2398">
        <f t="shared" si="139"/>
        <v>0</v>
      </c>
      <c r="O421" s="58" t="str">
        <f ca="1">IF(ABS(C421*D421*OFFSET($U$6,(ROUNDUP((ROW()-10)/29,0)-1),0)-3*SUM(C434:C435,F434:H435))&gt;0.01,"Mismatch: Tuition vs Months","")</f>
        <v/>
      </c>
    </row>
    <row r="422" spans="1:15" ht="15.75" hidden="1" thickBot="1" x14ac:dyDescent="0.3">
      <c r="A422" s="1691">
        <v>6</v>
      </c>
      <c r="B422" s="1772">
        <f>$P$3</f>
        <v>0</v>
      </c>
      <c r="C422" s="1689">
        <f>'DATA INPUT'!N43</f>
        <v>0</v>
      </c>
      <c r="D422" s="1694">
        <f>IF(C422&lt;1,0,IF((B422&gt;0),'DATA INPUT'!$G$43,0))</f>
        <v>0</v>
      </c>
      <c r="E422" s="1733">
        <f t="shared" ca="1" si="133"/>
        <v>0</v>
      </c>
      <c r="F422" s="1688">
        <f t="shared" ca="1" si="134"/>
        <v>0</v>
      </c>
      <c r="G422" s="463">
        <v>0.03</v>
      </c>
      <c r="H422" s="464">
        <f>(H421*G422)+H421</f>
        <v>0</v>
      </c>
      <c r="I422" s="502">
        <f t="shared" ca="1" si="135"/>
        <v>0</v>
      </c>
      <c r="J422" s="2413">
        <f t="shared" si="136"/>
        <v>0</v>
      </c>
      <c r="K422" s="1768">
        <f t="shared" ca="1" si="137"/>
        <v>0</v>
      </c>
      <c r="L422" s="627">
        <f>L421+$Q$6</f>
        <v>0.38500000000000006</v>
      </c>
      <c r="M422" s="1690">
        <f t="shared" ca="1" si="138"/>
        <v>0</v>
      </c>
      <c r="N422" s="2399">
        <f t="shared" si="139"/>
        <v>0</v>
      </c>
      <c r="O422" s="58" t="str">
        <f ca="1">IF(ABS(C422*D422*OFFSET($U$6,(ROUNDUP((ROW()-10)/29,0)-1),0)-3*SUM(C436:C437,F436:H437))&gt;0.01,"Mismatch: Tuition vs Months","")</f>
        <v/>
      </c>
    </row>
    <row r="423" spans="1:15" ht="15.75" hidden="1" thickBot="1" x14ac:dyDescent="0.3">
      <c r="A423" s="624" t="s">
        <v>85</v>
      </c>
      <c r="B423" s="519">
        <f>SUM(B417:B422)</f>
        <v>12</v>
      </c>
      <c r="C423" s="519">
        <f>SUM(C417:C422)</f>
        <v>0</v>
      </c>
      <c r="D423" s="1692">
        <f>SUM(D417:D422)</f>
        <v>0</v>
      </c>
      <c r="E423" s="1695">
        <f ca="1">SUM(E417:E422)</f>
        <v>0</v>
      </c>
      <c r="F423" s="1695">
        <f ca="1">SUM(F417:F422)</f>
        <v>0</v>
      </c>
      <c r="K423" s="1508">
        <f ca="1">SUM(K417:K422)</f>
        <v>0</v>
      </c>
      <c r="M423" s="1508">
        <f ca="1">SUM(M417:M422)</f>
        <v>0</v>
      </c>
      <c r="N423" s="60"/>
    </row>
    <row r="424" spans="1:15" ht="15.75" hidden="1" thickBot="1" x14ac:dyDescent="0.3"/>
    <row r="425" spans="1:15" ht="30.75" hidden="1" thickBot="1" x14ac:dyDescent="0.3">
      <c r="A425" s="1990" t="s">
        <v>253</v>
      </c>
      <c r="B425" s="1990" t="s">
        <v>299</v>
      </c>
      <c r="C425" s="1979" t="s">
        <v>17</v>
      </c>
      <c r="D425" s="1980" t="s">
        <v>96</v>
      </c>
      <c r="E425" s="1981" t="s">
        <v>474</v>
      </c>
      <c r="F425" s="1991" t="s">
        <v>41</v>
      </c>
      <c r="G425" s="1992" t="s">
        <v>42</v>
      </c>
      <c r="H425" s="1992" t="s">
        <v>43</v>
      </c>
      <c r="I425" s="1992" t="s">
        <v>57</v>
      </c>
      <c r="J425" s="1993" t="s">
        <v>472</v>
      </c>
      <c r="K425" s="1980" t="s">
        <v>100</v>
      </c>
      <c r="L425" s="1991" t="s">
        <v>99</v>
      </c>
      <c r="M425" s="1994" t="s">
        <v>101</v>
      </c>
    </row>
    <row r="426" spans="1:15" hidden="1" x14ac:dyDescent="0.25">
      <c r="A426" s="3613">
        <v>1</v>
      </c>
      <c r="B426" s="2005">
        <f>IF($C$2&lt;DATE($Z$6,4,15),$Z$6,IF($C$2&lt;DATE($AA$6,4,15),$AA$6,IF($C$2&lt;DATE($AB$6,4,15),$AB$6,IF($C$2&lt;DATE($AC$6,4,15),$AC$6,$AD$6))))</f>
        <v>2027</v>
      </c>
      <c r="C426" s="2000">
        <f ca="1">(IF($C$2&lt;=$Z$14*AND(D417&gt;=3)*AND($F$2&gt;=$Z$18),OFFSET($U$6,(ROUNDUP((ROW()-10)/29,0)-1),0),0)*IF(D417=9,0,1))*C417</f>
        <v>0</v>
      </c>
      <c r="D426" s="2921">
        <f>IF(OR($C413="COE",$C413="CCE",$C413="CBEE",$C413="EECS",$C413="MIME",$C413="NSE",$C413="PMEC"),HLOOKUP($B426,$Z$6:$AF$10,3),
IF(($C413="COB"),HLOOKUP($B426,$Z$25:$AF$27,3),
IF(($C413="CPH"),HLOOKUP($B426,$Z$31:$AF$33,3),
IF(($C413="VetMed"),HLOOKUP($B426,$Z$37:$AF$39,3),
IF(($C413="Pharm"),HLOOKUP($B426,$Z$43:$AF$45,3),
HLOOKUP($B426,$Z$49:$AF$51,3))))))</f>
        <v>2719.5</v>
      </c>
      <c r="E426" s="1987">
        <f ca="1">(C426*D426)+(C427*D427)</f>
        <v>0</v>
      </c>
      <c r="F426" s="1988">
        <f ca="1">IF($C$2&lt;=$Z$15*AND(D417&gt;=3)*AND($F$2&gt;=$Z$19),OFFSET($U$6,(ROUNDUP((ROW()-10)/29,0)-1),0),0)*C417</f>
        <v>0</v>
      </c>
      <c r="G426" s="1988">
        <f ca="1">IF($C$2&lt;=$Z$16*AND(D417&gt;=3)*AND($F$2&gt;=$Z$20),OFFSET($U$6,(ROUNDUP((ROW()-10)/29,0)-1),0),0)*C417</f>
        <v>0</v>
      </c>
      <c r="H426" s="1988">
        <f ca="1">IF($C$2&lt;=$Z$17*AND(D417&gt;=3)*AND($F$2&gt;=$Z$21),OFFSET($U$6,(ROUNDUP((ROW()-10)/29,0)-1),0),0)*C417</f>
        <v>0</v>
      </c>
      <c r="I426" s="2921">
        <f>IF(OR($C413="COE",$C413="CCE",$C413="CBEE",$C413="EECS",$C413="MIME",$C413="NSE",$C413="PMEC"),HLOOKUP($B426,$Z$6:$AF$10,2),
IF(($C413="COB"),HLOOKUP($B426,$Z$25:$AF$27,2),
IF(($C413="CPH"),HLOOKUP($B426,$Z$31:$AF$33,2),
IF(($C413="VetMed"),HLOOKUP($B426,$Z$37:$AF$39,2),
IF(($C413="Pharm"),HLOOKUP($B426,$Z$43:$AF$45,2),
HLOOKUP($B426,$Z$49:$AF$51,2))))))</f>
        <v>4895.1000000000004</v>
      </c>
      <c r="J426" s="1989">
        <f ca="1">((SUM(F426:H426)*I426)+(SUM(F427:H427)*I427))</f>
        <v>0</v>
      </c>
      <c r="K426" s="2552">
        <f t="shared" ref="K426:K437" ca="1" si="140">C426*HLOOKUP($B426,$Z$6:$AF$10,5)</f>
        <v>0</v>
      </c>
      <c r="L426" s="2925">
        <f t="shared" ref="L426:L437" ca="1" si="141">SUM(F426:H426)*HLOOKUP($B426,$Z$6:$AF$10,4)</f>
        <v>0</v>
      </c>
      <c r="M426" s="2926">
        <f ca="1">SUM(K426:L427)</f>
        <v>0</v>
      </c>
    </row>
    <row r="427" spans="1:15" ht="15.75" hidden="1" thickBot="1" x14ac:dyDescent="0.3">
      <c r="A427" s="3609"/>
      <c r="B427" s="2006">
        <f>B426+1</f>
        <v>2028</v>
      </c>
      <c r="C427" s="2001">
        <f ca="1">(IF($C$2&lt;=$AA$14*AND(D417&gt;=3)*AND($F$2&gt;=$AA$18),OFFSET($U$6,(ROUNDUP((ROW()-10)/29,0)-1),0),0)*IF(D417=9,0,1)*IF(C426=0,1,0))*C417</f>
        <v>0</v>
      </c>
      <c r="D427" s="2921">
        <f>IF(OR($C413="COE",$C413="CCE",$C413="CBEE",$C413="EECS",$C413="MIME",$C413="NSE",$C413="PMEC"),HLOOKUP($B427,$Z$6:$AF$10,3),
IF(($C413="COB"),HLOOKUP($B427,$Z$25:$AF$27,3),
IF(($C413="CPH"),HLOOKUP($B427,$Z$31:$AF$33,3),
IF(($C413="VetMed"),HLOOKUP($B427,$Z$37:$AF$39,3),
IF(($C413="Pharm"),HLOOKUP($B427,$Z$43:$AF$45,3),
HLOOKUP($B427,$Z$49:$AF$51,3))))))</f>
        <v>2801.085</v>
      </c>
      <c r="E427" s="1594"/>
      <c r="F427" s="511">
        <f ca="1">IF(($C$2&lt;=$AA$15)*AND(D417&gt;=3)*AND(F426=0)*AND($F$2&gt;=$AA$19),OFFSET($U$6,(ROUNDUP((ROW()-10)/29,0)-1),0),0)*C417</f>
        <v>0</v>
      </c>
      <c r="G427" s="511">
        <f ca="1">IF(($C$2&lt;=$AA$16)*AND(D417&gt;=3)*AND(G426=0)*AND($F$2&gt;=$AA$20),OFFSET($U$6,(ROUNDUP((ROW()-10)/29,0)-1),0),0)*C417</f>
        <v>0</v>
      </c>
      <c r="H427" s="511">
        <f ca="1">IF($C$2&lt;=$AA$17*AND(D417&gt;=3)*AND(H426=0)*AND($F$2&gt;=$AA$21),OFFSET($U$6,(ROUNDUP((ROW()-10)/29,0)-1),0),0)*C417</f>
        <v>0</v>
      </c>
      <c r="I427" s="2921">
        <f>IF(OR($C413="COE",$C413="CCE",$C413="CBEE",$C413="EECS",$C413="MIME",$C413="NSE",$C413="PMEC"),HLOOKUP($B427,$Z$6:$AF$10,2),
IF(($C413="COB"),HLOOKUP($B427,$Z$25:$AF$27,2),
IF(($C413="CPH"),HLOOKUP($B427,$Z$31:$AF$33,2),
IF(($C413="VetMed"),HLOOKUP($B427,$Z$37:$AF$39,2),
IF(($C413="Pharm"),HLOOKUP($B427,$Z$43:$AF$45,2),
HLOOKUP($B427,$Z$49:$AF$51,2))))))</f>
        <v>5041.9530000000004</v>
      </c>
      <c r="J427" s="612"/>
      <c r="K427" s="2553">
        <f t="shared" ca="1" si="140"/>
        <v>0</v>
      </c>
      <c r="L427" s="2927">
        <f t="shared" ca="1" si="141"/>
        <v>0</v>
      </c>
      <c r="M427" s="2928"/>
    </row>
    <row r="428" spans="1:15" hidden="1" x14ac:dyDescent="0.25">
      <c r="A428" s="3608">
        <v>2</v>
      </c>
      <c r="B428" s="2005">
        <f>B427</f>
        <v>2028</v>
      </c>
      <c r="C428" s="2002">
        <f ca="1">(IF(($AA$18&lt;$F$2)*AND(D418=12)*AND(C427=0),OFFSET($U$6,(ROUNDUP((ROW()-10)/29,0)-1),0),0))*C418</f>
        <v>0</v>
      </c>
      <c r="D428" s="2922">
        <f>D427</f>
        <v>2801.085</v>
      </c>
      <c r="E428" s="1595">
        <f ca="1">(C428*D428)+(C429*D429)</f>
        <v>0</v>
      </c>
      <c r="F428" s="510">
        <f ca="1">IF(($AA$19&lt;$F$2)*AND(D418&gt;=3)*AND(F427=0),OFFSET($U$6,(ROUNDUP((ROW()-10)/29,0)-1),0),0)*C418</f>
        <v>0</v>
      </c>
      <c r="G428" s="510">
        <f ca="1">IF(($AA$20&lt;$F$2)*AND(D418&gt;=3)*AND(G427=0),OFFSET($U$6,(ROUNDUP((ROW()-10)/29,0)-1),0),0)*C418</f>
        <v>0</v>
      </c>
      <c r="H428" s="510">
        <f ca="1">IF(($AA$21&lt;$F$2)*AND(D418&gt;=3)*AND(H427=0),OFFSET($U$6,(ROUNDUP((ROW()-10)/29,0)-1),0),0)*C418</f>
        <v>0</v>
      </c>
      <c r="I428" s="2929">
        <f>I427</f>
        <v>5041.9530000000004</v>
      </c>
      <c r="J428" s="611">
        <f ca="1">((SUM(F428:H428)*I428)+(SUM(F429:H429)*I429))</f>
        <v>0</v>
      </c>
      <c r="K428" s="2552">
        <f t="shared" ca="1" si="140"/>
        <v>0</v>
      </c>
      <c r="L428" s="2925">
        <f t="shared" ca="1" si="141"/>
        <v>0</v>
      </c>
      <c r="M428" s="2926">
        <f ca="1">SUM(K428:L429)</f>
        <v>0</v>
      </c>
    </row>
    <row r="429" spans="1:15" ht="15.75" hidden="1" thickBot="1" x14ac:dyDescent="0.3">
      <c r="A429" s="3613"/>
      <c r="B429" s="2007">
        <f>B428+1</f>
        <v>2029</v>
      </c>
      <c r="C429" s="2003">
        <f ca="1">(IF(($AB$18&lt;$F$2)*AND(D418=12)*AND(C428=0),OFFSET($U$6,(ROUNDUP((ROW()-10)/29,0)-1),0),0))*C418</f>
        <v>0</v>
      </c>
      <c r="D429" s="2931">
        <f>D428+D428*$AG$7</f>
        <v>2885.1175499999999</v>
      </c>
      <c r="E429" s="1594"/>
      <c r="F429" s="511">
        <f ca="1">IF(($AB$19&lt;$F$2)*AND(D418&gt;=3)*AND(F428=0),OFFSET($U$6,(ROUNDUP((ROW()-10)/29,0)-1),0),0)*C418</f>
        <v>0</v>
      </c>
      <c r="G429" s="511">
        <f ca="1">IF(($AB$20&lt;$F$2)*AND(D418&gt;=3)*AND(G428=0),OFFSET($U$6,(ROUNDUP((ROW()-10)/29,0)-1),0),0)*C418</f>
        <v>0</v>
      </c>
      <c r="H429" s="511">
        <f ca="1">IF(($AB$21&lt;$F$2)*AND(D418&gt;=3)*AND(H428=0),OFFSET($U$6,(ROUNDUP((ROW()-10)/29,0)-1),0),0)*C418</f>
        <v>0</v>
      </c>
      <c r="I429" s="2930">
        <f>I428+I428*$AG$7</f>
        <v>5193.2115900000008</v>
      </c>
      <c r="J429" s="612"/>
      <c r="K429" s="2553">
        <f t="shared" ca="1" si="140"/>
        <v>0</v>
      </c>
      <c r="L429" s="2927">
        <f t="shared" ca="1" si="141"/>
        <v>0</v>
      </c>
      <c r="M429" s="2928"/>
    </row>
    <row r="430" spans="1:15" hidden="1" x14ac:dyDescent="0.25">
      <c r="A430" s="3608">
        <v>3</v>
      </c>
      <c r="B430" s="2005">
        <f>B429</f>
        <v>2029</v>
      </c>
      <c r="C430" s="2002">
        <f ca="1">IF(($AB$18&lt;$F$2)*AND(D419=12)*AND(C429=0),OFFSET($U$6,(ROUNDUP((ROW()-10)/29,0)-1),0),0)*C419</f>
        <v>0</v>
      </c>
      <c r="D430" s="2924">
        <f>D429</f>
        <v>2885.1175499999999</v>
      </c>
      <c r="E430" s="1595">
        <f ca="1">(C430*D430)+(C431*D431)</f>
        <v>0</v>
      </c>
      <c r="F430" s="510">
        <f ca="1">IF(($AB$19&lt;$F$2)*AND(D419&gt;=3)*AND(F429=0),OFFSET($U$6,(ROUNDUP((ROW()-10)/29,0)-1),0),0)*C419</f>
        <v>0</v>
      </c>
      <c r="G430" s="510">
        <f ca="1">IF(($AB$20&lt;$F$2)*AND(D419&gt;=3)*AND(G429=0),OFFSET($U$6,(ROUNDUP((ROW()-10)/29,0)-1),0),0)*C419</f>
        <v>0</v>
      </c>
      <c r="H430" s="510">
        <f ca="1">IF(($AB$21&lt;$F$2)*AND(D419&gt;=3)*AND(H429=0),OFFSET($U$6,(ROUNDUP((ROW()-10)/29,0)-1),0),0)*C419</f>
        <v>0</v>
      </c>
      <c r="I430" s="2929">
        <f>I429</f>
        <v>5193.2115900000008</v>
      </c>
      <c r="J430" s="611">
        <f ca="1">((SUM(F430:H430)*I430)+(SUM(F431:H431)*I431))</f>
        <v>0</v>
      </c>
      <c r="K430" s="2552">
        <f t="shared" ca="1" si="140"/>
        <v>0</v>
      </c>
      <c r="L430" s="2925">
        <f t="shared" ca="1" si="141"/>
        <v>0</v>
      </c>
      <c r="M430" s="2926">
        <f ca="1">SUM(K430:L431)</f>
        <v>0</v>
      </c>
    </row>
    <row r="431" spans="1:15" ht="15.75" hidden="1" thickBot="1" x14ac:dyDescent="0.3">
      <c r="A431" s="3609"/>
      <c r="B431" s="2006">
        <f>B430+1</f>
        <v>2030</v>
      </c>
      <c r="C431" s="2001">
        <f ca="1">IF(($AC$18&lt;$F$2)*AND(D419=12)*AND(C430=0),OFFSET($U$6,(ROUNDUP((ROW()-10)/29,0)-1),0),0)*C419</f>
        <v>0</v>
      </c>
      <c r="D431" s="2932">
        <f>D430+D430*$AG$7</f>
        <v>2971.6710764999998</v>
      </c>
      <c r="E431" s="1594"/>
      <c r="F431" s="511">
        <f ca="1">IF(($AC$19&lt;$F$2)*AND(D419&gt;=3)*AND(F430=0),OFFSET($U$6,(ROUNDUP((ROW()-10)/29,0)-1),0),0)*C419</f>
        <v>0</v>
      </c>
      <c r="G431" s="511">
        <f ca="1">IF(($AC$20&lt;$F$2)*AND(D419&gt;=3)*AND(G430=0),OFFSET($U$6,(ROUNDUP((ROW()-10)/29,0)-1),0),0)*C419</f>
        <v>0</v>
      </c>
      <c r="H431" s="511">
        <f ca="1">IF(($AC$21&lt;$F$2)*AND(D419&gt;=3)*AND(H430=0),OFFSET($U$6,(ROUNDUP((ROW()-10)/29,0)-1),0),0)*C419</f>
        <v>0</v>
      </c>
      <c r="I431" s="2930">
        <f>I430+I430*$AG$7</f>
        <v>5349.0079377000011</v>
      </c>
      <c r="J431" s="612"/>
      <c r="K431" s="2553">
        <f t="shared" ca="1" si="140"/>
        <v>0</v>
      </c>
      <c r="L431" s="2927">
        <f t="shared" ca="1" si="141"/>
        <v>0</v>
      </c>
      <c r="M431" s="2928"/>
    </row>
    <row r="432" spans="1:15" hidden="1" x14ac:dyDescent="0.25">
      <c r="A432" s="3613">
        <v>4</v>
      </c>
      <c r="B432" s="2008">
        <f>B431</f>
        <v>2030</v>
      </c>
      <c r="C432" s="2000">
        <f ca="1">IF(($AC$11&lt;$F$2)*AND(D420=12)*AND(C431=0),OFFSET($U$6,(ROUNDUP((ROW()-10)/29,0)-1),0),0)*C420</f>
        <v>0</v>
      </c>
      <c r="D432" s="2921">
        <f>D431</f>
        <v>2971.6710764999998</v>
      </c>
      <c r="E432" s="1595">
        <f ca="1">(C432*D432)+(C433*D433)</f>
        <v>0</v>
      </c>
      <c r="F432" s="510">
        <f ca="1">IF(($AC$19&lt;$F$2)*AND(D420&gt;=3)*AND(F431=0),OFFSET($U$6,(ROUNDUP((ROW()-10)/29,0)-1),0),0)*C420</f>
        <v>0</v>
      </c>
      <c r="G432" s="510">
        <f ca="1">IF(($AC$20&lt;$F$2)*AND(D420&gt;=3)*AND(G431=0),OFFSET($U$6,(ROUNDUP((ROW()-10)/29,0)-1),0),0)*C420</f>
        <v>0</v>
      </c>
      <c r="H432" s="510">
        <f ca="1">IF(($AC$21&lt;$F$2)*AND(D420&gt;=3)*AND(H431=0),OFFSET($U$6,(ROUNDUP((ROW()-10)/29,0)-1),0),0)*C420</f>
        <v>0</v>
      </c>
      <c r="I432" s="2929">
        <f>I431</f>
        <v>5349.0079377000011</v>
      </c>
      <c r="J432" s="611">
        <f ca="1">((SUM(F432:H432)*I432)+(SUM(F433:H433)*I433))</f>
        <v>0</v>
      </c>
      <c r="K432" s="2552">
        <f t="shared" ca="1" si="140"/>
        <v>0</v>
      </c>
      <c r="L432" s="2925">
        <f t="shared" ca="1" si="141"/>
        <v>0</v>
      </c>
      <c r="M432" s="2926">
        <f ca="1">SUM(K432:L433)</f>
        <v>0</v>
      </c>
    </row>
    <row r="433" spans="1:13" ht="15.75" hidden="1" thickBot="1" x14ac:dyDescent="0.3">
      <c r="A433" s="3609"/>
      <c r="B433" s="2006">
        <f>B432+1</f>
        <v>2031</v>
      </c>
      <c r="C433" s="2001">
        <f ca="1">IF(($AD$18&lt;$F$2)*AND(D420=12)*AND(C432=0),OFFSET($U$6,(ROUNDUP((ROW()-10)/29,0)-1),0),0)*C420</f>
        <v>0</v>
      </c>
      <c r="D433" s="2923">
        <f>D432+D432*$AG$7</f>
        <v>3060.8212087949996</v>
      </c>
      <c r="E433" s="1594"/>
      <c r="F433" s="511">
        <f ca="1">IF(($AD$19&lt;$F$2)*AND(D420&gt;=3)*AND(F432=0),OFFSET($U$6,(ROUNDUP((ROW()-10)/29,0)-1),0),0)*C420</f>
        <v>0</v>
      </c>
      <c r="G433" s="511">
        <f ca="1">IF(($AD$20&lt;$F$2)*AND(D420&gt;=3)*AND(G432=0),OFFSET($U$6,(ROUNDUP((ROW()-10)/29,0)-1),0),0)*C420</f>
        <v>0</v>
      </c>
      <c r="H433" s="511">
        <f ca="1">IF(($AD$21&lt;$F$2)*AND(D420&gt;=3)*AND(H432=0),OFFSET($U$6,(ROUNDUP((ROW()-10)/29,0)-1),0),0)*C420</f>
        <v>0</v>
      </c>
      <c r="I433" s="2930">
        <f>I432+I432*$AG$7</f>
        <v>5509.478175831001</v>
      </c>
      <c r="J433" s="612"/>
      <c r="K433" s="2553">
        <f t="shared" ca="1" si="140"/>
        <v>0</v>
      </c>
      <c r="L433" s="2927">
        <f t="shared" ca="1" si="141"/>
        <v>0</v>
      </c>
      <c r="M433" s="2928"/>
    </row>
    <row r="434" spans="1:13" hidden="1" x14ac:dyDescent="0.25">
      <c r="A434" s="3608">
        <v>5</v>
      </c>
      <c r="B434" s="2005">
        <f>B433</f>
        <v>2031</v>
      </c>
      <c r="C434" s="2002">
        <f ca="1">IF(($AD$18&lt;$F$2)*AND(D421=12)*AND(C433=0),OFFSET($U$6,(ROUNDUP((ROW()-10)/29,0)-1),0),0)*C421</f>
        <v>0</v>
      </c>
      <c r="D434" s="2922">
        <f>D433</f>
        <v>3060.8212087949996</v>
      </c>
      <c r="E434" s="1595">
        <f ca="1">(C434*D434)+(C435*D435)</f>
        <v>0</v>
      </c>
      <c r="F434" s="510">
        <f ca="1">IF(($AD$19&lt;$F$2)*AND(D421&gt;=3)*AND(F433=0),OFFSET($U$6,(ROUNDUP((ROW()-10)/29,0)-1),0),0)*C421</f>
        <v>0</v>
      </c>
      <c r="G434" s="510">
        <f ca="1">IF(($AD$20&lt;$F$2)*AND(D421&gt;=3)*AND(G433=0),OFFSET($U$6,(ROUNDUP((ROW()-10)/29,0)-1),0),0)*C421</f>
        <v>0</v>
      </c>
      <c r="H434" s="510">
        <f ca="1">IF(($AD$21&lt;$F$2)*AND(D421&gt;=3)*AND(H433=0),OFFSET($U$6,(ROUNDUP((ROW()-10)/29,0)-1),0),0)*C421</f>
        <v>0</v>
      </c>
      <c r="I434" s="2929">
        <f>I433</f>
        <v>5509.478175831001</v>
      </c>
      <c r="J434" s="611">
        <f ca="1">((SUM(F434:H434)*I434)+(SUM(F435:H435)*I435))</f>
        <v>0</v>
      </c>
      <c r="K434" s="2552">
        <f t="shared" ca="1" si="140"/>
        <v>0</v>
      </c>
      <c r="L434" s="2925">
        <f t="shared" ca="1" si="141"/>
        <v>0</v>
      </c>
      <c r="M434" s="2926">
        <f ca="1">SUM(K434:L435)</f>
        <v>0</v>
      </c>
    </row>
    <row r="435" spans="1:13" ht="15.75" hidden="1" thickBot="1" x14ac:dyDescent="0.3">
      <c r="A435" s="3609"/>
      <c r="B435" s="2006">
        <f>B434+1</f>
        <v>2032</v>
      </c>
      <c r="C435" s="2001">
        <f ca="1">IF(($AE$18&lt;$F$2)*AND(D421=12)*AND(C434=0),OFFSET($U$6,(ROUNDUP((ROW()-10)/29,0)-1),0),0)*C421</f>
        <v>0</v>
      </c>
      <c r="D435" s="2923">
        <f>D434+D434*$AG$7</f>
        <v>3152.6458450588498</v>
      </c>
      <c r="E435" s="1594"/>
      <c r="F435" s="511">
        <f ca="1">IF(($AE$19&lt;$F$2)*AND(D421&gt;=3)*AND(F434=0),OFFSET($U$6,(ROUNDUP((ROW()-10)/29,0)-1),0),0)*C421</f>
        <v>0</v>
      </c>
      <c r="G435" s="511">
        <f ca="1">IF(($AE$20&lt;$F$2)*AND(D421&gt;=3)*AND(G434=0),OFFSET($U$6,(ROUNDUP((ROW()-10)/29,0)-1),0),0)*C421</f>
        <v>0</v>
      </c>
      <c r="H435" s="511">
        <f ca="1">IF(($AE$21&lt;$F$2)*AND(D421&gt;=3)*AND(H434=0),OFFSET($U$6,(ROUNDUP((ROW()-10)/29,0)-1),0),0)*C421</f>
        <v>0</v>
      </c>
      <c r="I435" s="2930">
        <f>I434+I434*$AG$7</f>
        <v>5674.7625211059312</v>
      </c>
      <c r="J435" s="612"/>
      <c r="K435" s="2553">
        <f t="shared" ca="1" si="140"/>
        <v>0</v>
      </c>
      <c r="L435" s="2927">
        <f t="shared" ca="1" si="141"/>
        <v>0</v>
      </c>
      <c r="M435" s="2928"/>
    </row>
    <row r="436" spans="1:13" hidden="1" x14ac:dyDescent="0.25">
      <c r="A436" s="3608">
        <v>6</v>
      </c>
      <c r="B436" s="2005">
        <f>B435</f>
        <v>2032</v>
      </c>
      <c r="C436" s="2002">
        <f ca="1">IF(($AE$18&lt;$F$2)*AND(D422=12)*AND(C435=0),OFFSET($U$6,(ROUNDUP((ROW()-10)/29,0)-1),0),0)*C422</f>
        <v>0</v>
      </c>
      <c r="D436" s="2922">
        <f>D435</f>
        <v>3152.6458450588498</v>
      </c>
      <c r="E436" s="1595">
        <f ca="1">(C436*D436)+(C437*D437)</f>
        <v>0</v>
      </c>
      <c r="F436" s="510">
        <f ca="1">IF(($AE$19&lt;$F$2)*AND(D422&gt;=3)*AND(F435=0),OFFSET($U$6,(ROUNDUP((ROW()-10)/29,0)-1),0),0)*C422</f>
        <v>0</v>
      </c>
      <c r="G436" s="510">
        <f ca="1">IF(($AE$20&lt;$F$2)*AND(D422&gt;=3)*AND(G435=0),OFFSET($U$6,(ROUNDUP((ROW()-10)/29,0)-1),0),0)*C422</f>
        <v>0</v>
      </c>
      <c r="H436" s="510">
        <f ca="1">IF(($AE$21&lt;$F$2)*AND(D422&gt;=3)*AND(H435=0),OFFSET($U$6,(ROUNDUP((ROW()-10)/29,0)-1),0),0)*C422</f>
        <v>0</v>
      </c>
      <c r="I436" s="2929">
        <f>I435</f>
        <v>5674.7625211059312</v>
      </c>
      <c r="J436" s="611">
        <f ca="1">((SUM(F436:H436)*I436)+(SUM(F437:H437)*I437))</f>
        <v>0</v>
      </c>
      <c r="K436" s="2552">
        <f t="shared" ca="1" si="140"/>
        <v>0</v>
      </c>
      <c r="L436" s="2925">
        <f t="shared" ca="1" si="141"/>
        <v>0</v>
      </c>
      <c r="M436" s="2926">
        <f ca="1">SUM(K436:L437)</f>
        <v>0</v>
      </c>
    </row>
    <row r="437" spans="1:13" ht="15.75" hidden="1" thickBot="1" x14ac:dyDescent="0.3">
      <c r="A437" s="3609"/>
      <c r="B437" s="2006">
        <f>B436+1</f>
        <v>2033</v>
      </c>
      <c r="C437" s="2004">
        <f ca="1">IF(($AF$18&lt;$F$2)*AND(D422=12)*AND(C436=0),OFFSET($U$6,(ROUNDUP((ROW()-10)/29,0)-1),0),0)*C422</f>
        <v>0</v>
      </c>
      <c r="D437" s="2923">
        <f>D436+D436*$AG$7</f>
        <v>3247.2252204106153</v>
      </c>
      <c r="E437" s="1594"/>
      <c r="F437" s="511">
        <f ca="1">IF(($AF$19&lt;$F$2)*AND(D422&gt;=3)*AND(F436=0),OFFSET($U$6,(ROUNDUP((ROW()-10)/29,0)-1),0),0)*C422</f>
        <v>0</v>
      </c>
      <c r="G437" s="511">
        <f ca="1">IF(($AF$20&lt;$F$2)*AND(D422&gt;=3)*AND(G436=0),OFFSET($U$6,(ROUNDUP((ROW()-10)/29,0)-1),0),0)*C422</f>
        <v>0</v>
      </c>
      <c r="H437" s="511">
        <f ca="1">IF(($AF$21&lt;$F$2)*AND(D422&gt;=3)*AND(H436=0),OFFSET($U$6,(ROUNDUP((ROW()-10)/29,0)-1),0),0)*C422</f>
        <v>0</v>
      </c>
      <c r="I437" s="2930">
        <f>I436+I436*$AG$7</f>
        <v>5845.0053967391095</v>
      </c>
      <c r="J437" s="612"/>
      <c r="K437" s="2553">
        <f t="shared" ca="1" si="140"/>
        <v>0</v>
      </c>
      <c r="L437" s="2927">
        <f t="shared" ca="1" si="141"/>
        <v>0</v>
      </c>
      <c r="M437" s="2928"/>
    </row>
    <row r="438" spans="1:13" ht="15.75" hidden="1" thickBot="1" x14ac:dyDescent="0.3">
      <c r="C438" s="3486" t="s">
        <v>96</v>
      </c>
      <c r="D438" s="3624"/>
      <c r="E438" s="2933">
        <f ca="1">SUM(E426:E436)</f>
        <v>0</v>
      </c>
      <c r="G438" s="672" t="s">
        <v>102</v>
      </c>
      <c r="H438" s="3196" t="s">
        <v>57</v>
      </c>
      <c r="I438" s="3197"/>
      <c r="J438" s="2934">
        <f ca="1">SUM(J426:J436)</f>
        <v>0</v>
      </c>
      <c r="K438" s="3622" t="s">
        <v>103</v>
      </c>
      <c r="L438" s="3623"/>
      <c r="M438" s="2935">
        <f ca="1">SUM(M426:M437)</f>
        <v>0</v>
      </c>
    </row>
    <row r="439" spans="1:13" ht="15.75" hidden="1" thickBot="1" x14ac:dyDescent="0.3">
      <c r="A439" s="71"/>
      <c r="B439" s="71"/>
      <c r="C439" s="71"/>
      <c r="D439" s="71"/>
      <c r="E439" s="71"/>
      <c r="F439" s="71"/>
      <c r="G439" s="71"/>
      <c r="H439" s="71"/>
      <c r="I439" s="71"/>
      <c r="J439" s="71"/>
      <c r="K439" s="71"/>
      <c r="L439" s="71"/>
      <c r="M439" s="615"/>
    </row>
    <row r="440" spans="1:13" ht="15.75" hidden="1" thickTop="1" x14ac:dyDescent="0.25"/>
  </sheetData>
  <mergeCells count="349">
    <mergeCell ref="A426:A427"/>
    <mergeCell ref="A428:A429"/>
    <mergeCell ref="A430:A431"/>
    <mergeCell ref="A432:A433"/>
    <mergeCell ref="A434:A435"/>
    <mergeCell ref="A436:A437"/>
    <mergeCell ref="H438:I438"/>
    <mergeCell ref="K438:L438"/>
    <mergeCell ref="C438:D438"/>
    <mergeCell ref="A413:B413"/>
    <mergeCell ref="B414:B416"/>
    <mergeCell ref="D414:D416"/>
    <mergeCell ref="F414:F416"/>
    <mergeCell ref="G414:J414"/>
    <mergeCell ref="K414:K416"/>
    <mergeCell ref="N414:N416"/>
    <mergeCell ref="A415:A416"/>
    <mergeCell ref="G415:G416"/>
    <mergeCell ref="H415:H416"/>
    <mergeCell ref="I415:I416"/>
    <mergeCell ref="J415:J416"/>
    <mergeCell ref="C414:C416"/>
    <mergeCell ref="E414:E416"/>
    <mergeCell ref="A397:A398"/>
    <mergeCell ref="A399:A400"/>
    <mergeCell ref="A401:A402"/>
    <mergeCell ref="A403:A404"/>
    <mergeCell ref="A405:A406"/>
    <mergeCell ref="A407:A408"/>
    <mergeCell ref="H409:I409"/>
    <mergeCell ref="K409:L409"/>
    <mergeCell ref="C409:D409"/>
    <mergeCell ref="A384:B384"/>
    <mergeCell ref="B385:B387"/>
    <mergeCell ref="D385:D387"/>
    <mergeCell ref="F385:F387"/>
    <mergeCell ref="G385:J385"/>
    <mergeCell ref="K385:K387"/>
    <mergeCell ref="N385:N387"/>
    <mergeCell ref="A386:A387"/>
    <mergeCell ref="G386:G387"/>
    <mergeCell ref="H386:H387"/>
    <mergeCell ref="I386:I387"/>
    <mergeCell ref="J386:J387"/>
    <mergeCell ref="C385:C387"/>
    <mergeCell ref="E385:E387"/>
    <mergeCell ref="A368:A369"/>
    <mergeCell ref="A370:A371"/>
    <mergeCell ref="A372:A373"/>
    <mergeCell ref="A374:A375"/>
    <mergeCell ref="A376:A377"/>
    <mergeCell ref="A378:A379"/>
    <mergeCell ref="H380:I380"/>
    <mergeCell ref="K380:L380"/>
    <mergeCell ref="A355:B355"/>
    <mergeCell ref="B356:B358"/>
    <mergeCell ref="D356:D358"/>
    <mergeCell ref="F356:F358"/>
    <mergeCell ref="G356:J356"/>
    <mergeCell ref="K356:K358"/>
    <mergeCell ref="C380:D380"/>
    <mergeCell ref="N356:N358"/>
    <mergeCell ref="A357:A358"/>
    <mergeCell ref="G357:G358"/>
    <mergeCell ref="H357:H358"/>
    <mergeCell ref="I357:I358"/>
    <mergeCell ref="J357:J358"/>
    <mergeCell ref="C356:C358"/>
    <mergeCell ref="E356:E358"/>
    <mergeCell ref="A339:A340"/>
    <mergeCell ref="A341:A342"/>
    <mergeCell ref="A343:A344"/>
    <mergeCell ref="A345:A346"/>
    <mergeCell ref="A347:A348"/>
    <mergeCell ref="A349:A350"/>
    <mergeCell ref="H351:I351"/>
    <mergeCell ref="K351:L351"/>
    <mergeCell ref="C351:D351"/>
    <mergeCell ref="A326:B326"/>
    <mergeCell ref="B327:B329"/>
    <mergeCell ref="D327:D329"/>
    <mergeCell ref="F327:F329"/>
    <mergeCell ref="G327:J327"/>
    <mergeCell ref="K327:K329"/>
    <mergeCell ref="N327:N329"/>
    <mergeCell ref="A328:A329"/>
    <mergeCell ref="G328:G329"/>
    <mergeCell ref="H328:H329"/>
    <mergeCell ref="I328:I329"/>
    <mergeCell ref="J328:J329"/>
    <mergeCell ref="C327:C329"/>
    <mergeCell ref="E327:E329"/>
    <mergeCell ref="A310:A311"/>
    <mergeCell ref="A312:A313"/>
    <mergeCell ref="A314:A315"/>
    <mergeCell ref="A316:A317"/>
    <mergeCell ref="A318:A319"/>
    <mergeCell ref="A320:A321"/>
    <mergeCell ref="H322:I322"/>
    <mergeCell ref="K322:L322"/>
    <mergeCell ref="A297:B297"/>
    <mergeCell ref="B298:B300"/>
    <mergeCell ref="D298:D300"/>
    <mergeCell ref="F298:F300"/>
    <mergeCell ref="G298:J298"/>
    <mergeCell ref="K298:K300"/>
    <mergeCell ref="C322:D322"/>
    <mergeCell ref="N298:N300"/>
    <mergeCell ref="A299:A300"/>
    <mergeCell ref="G299:G300"/>
    <mergeCell ref="H299:H300"/>
    <mergeCell ref="I299:I300"/>
    <mergeCell ref="J299:J300"/>
    <mergeCell ref="C298:C300"/>
    <mergeCell ref="E298:E300"/>
    <mergeCell ref="A281:A282"/>
    <mergeCell ref="A283:A284"/>
    <mergeCell ref="A285:A286"/>
    <mergeCell ref="A287:A288"/>
    <mergeCell ref="A289:A290"/>
    <mergeCell ref="A291:A292"/>
    <mergeCell ref="H293:I293"/>
    <mergeCell ref="K293:L293"/>
    <mergeCell ref="C293:D293"/>
    <mergeCell ref="A268:B268"/>
    <mergeCell ref="B269:B271"/>
    <mergeCell ref="D269:D271"/>
    <mergeCell ref="F269:F271"/>
    <mergeCell ref="G269:J269"/>
    <mergeCell ref="K269:K271"/>
    <mergeCell ref="N269:N271"/>
    <mergeCell ref="A270:A271"/>
    <mergeCell ref="G270:G271"/>
    <mergeCell ref="H270:H271"/>
    <mergeCell ref="I270:I271"/>
    <mergeCell ref="J270:J271"/>
    <mergeCell ref="C269:C271"/>
    <mergeCell ref="E269:E271"/>
    <mergeCell ref="A252:A253"/>
    <mergeCell ref="A254:A255"/>
    <mergeCell ref="A256:A257"/>
    <mergeCell ref="A258:A259"/>
    <mergeCell ref="A260:A261"/>
    <mergeCell ref="A262:A263"/>
    <mergeCell ref="H264:I264"/>
    <mergeCell ref="K264:L264"/>
    <mergeCell ref="A239:B239"/>
    <mergeCell ref="B240:B242"/>
    <mergeCell ref="D240:D242"/>
    <mergeCell ref="F240:F242"/>
    <mergeCell ref="G240:J240"/>
    <mergeCell ref="K240:K242"/>
    <mergeCell ref="C264:D264"/>
    <mergeCell ref="N240:N242"/>
    <mergeCell ref="A241:A242"/>
    <mergeCell ref="G241:G242"/>
    <mergeCell ref="H241:H242"/>
    <mergeCell ref="I241:I242"/>
    <mergeCell ref="J241:J242"/>
    <mergeCell ref="C240:C242"/>
    <mergeCell ref="E240:E242"/>
    <mergeCell ref="A223:A224"/>
    <mergeCell ref="A225:A226"/>
    <mergeCell ref="A227:A228"/>
    <mergeCell ref="A229:A230"/>
    <mergeCell ref="A231:A232"/>
    <mergeCell ref="A233:A234"/>
    <mergeCell ref="H235:I235"/>
    <mergeCell ref="K235:L235"/>
    <mergeCell ref="C235:D235"/>
    <mergeCell ref="A210:B210"/>
    <mergeCell ref="B211:B213"/>
    <mergeCell ref="D211:D213"/>
    <mergeCell ref="F211:F213"/>
    <mergeCell ref="G211:J211"/>
    <mergeCell ref="K211:K213"/>
    <mergeCell ref="N211:N213"/>
    <mergeCell ref="A212:A213"/>
    <mergeCell ref="G212:G213"/>
    <mergeCell ref="H212:H213"/>
    <mergeCell ref="I212:I213"/>
    <mergeCell ref="J212:J213"/>
    <mergeCell ref="E211:E213"/>
    <mergeCell ref="C211:C213"/>
    <mergeCell ref="A194:A195"/>
    <mergeCell ref="A196:A197"/>
    <mergeCell ref="A198:A199"/>
    <mergeCell ref="A200:A201"/>
    <mergeCell ref="A202:A203"/>
    <mergeCell ref="A204:A205"/>
    <mergeCell ref="H206:I206"/>
    <mergeCell ref="K206:L206"/>
    <mergeCell ref="A181:B181"/>
    <mergeCell ref="B182:B184"/>
    <mergeCell ref="D182:D184"/>
    <mergeCell ref="F182:F184"/>
    <mergeCell ref="G182:J182"/>
    <mergeCell ref="K182:K184"/>
    <mergeCell ref="C206:D206"/>
    <mergeCell ref="N182:N184"/>
    <mergeCell ref="A183:A184"/>
    <mergeCell ref="G183:G184"/>
    <mergeCell ref="H183:H184"/>
    <mergeCell ref="I183:I184"/>
    <mergeCell ref="J183:J184"/>
    <mergeCell ref="E182:E184"/>
    <mergeCell ref="C182:C184"/>
    <mergeCell ref="A165:A166"/>
    <mergeCell ref="A167:A168"/>
    <mergeCell ref="A169:A170"/>
    <mergeCell ref="A171:A172"/>
    <mergeCell ref="A173:A174"/>
    <mergeCell ref="A175:A176"/>
    <mergeCell ref="H177:I177"/>
    <mergeCell ref="K177:L177"/>
    <mergeCell ref="C177:D177"/>
    <mergeCell ref="A152:B152"/>
    <mergeCell ref="B153:B155"/>
    <mergeCell ref="D153:D155"/>
    <mergeCell ref="F153:F155"/>
    <mergeCell ref="G153:J153"/>
    <mergeCell ref="K153:K155"/>
    <mergeCell ref="N153:N155"/>
    <mergeCell ref="A154:A155"/>
    <mergeCell ref="G154:G155"/>
    <mergeCell ref="H154:H155"/>
    <mergeCell ref="I154:I155"/>
    <mergeCell ref="J154:J155"/>
    <mergeCell ref="E153:E155"/>
    <mergeCell ref="C153:C155"/>
    <mergeCell ref="K148:L148"/>
    <mergeCell ref="F124:F126"/>
    <mergeCell ref="H148:I148"/>
    <mergeCell ref="H119:I119"/>
    <mergeCell ref="H96:H97"/>
    <mergeCell ref="B8:B10"/>
    <mergeCell ref="J96:J97"/>
    <mergeCell ref="G95:J95"/>
    <mergeCell ref="J67:J68"/>
    <mergeCell ref="G67:G68"/>
    <mergeCell ref="H67:H68"/>
    <mergeCell ref="I67:I68"/>
    <mergeCell ref="D37:D39"/>
    <mergeCell ref="H38:H39"/>
    <mergeCell ref="I38:I39"/>
    <mergeCell ref="D124:D126"/>
    <mergeCell ref="K119:L119"/>
    <mergeCell ref="J38:J39"/>
    <mergeCell ref="C61:D61"/>
    <mergeCell ref="K124:K126"/>
    <mergeCell ref="G125:G126"/>
    <mergeCell ref="H125:H126"/>
    <mergeCell ref="C148:D148"/>
    <mergeCell ref="A123:B123"/>
    <mergeCell ref="A2:B2"/>
    <mergeCell ref="N8:N10"/>
    <mergeCell ref="A9:A10"/>
    <mergeCell ref="A20:A21"/>
    <mergeCell ref="A22:A23"/>
    <mergeCell ref="I9:I10"/>
    <mergeCell ref="J9:J10"/>
    <mergeCell ref="I3:J3"/>
    <mergeCell ref="A7:B7"/>
    <mergeCell ref="D8:D10"/>
    <mergeCell ref="F8:F10"/>
    <mergeCell ref="G8:J8"/>
    <mergeCell ref="C2:D2"/>
    <mergeCell ref="F2:G2"/>
    <mergeCell ref="G9:G10"/>
    <mergeCell ref="H9:H10"/>
    <mergeCell ref="K8:K10"/>
    <mergeCell ref="E8:E10"/>
    <mergeCell ref="C8:C10"/>
    <mergeCell ref="A109:A110"/>
    <mergeCell ref="A111:A112"/>
    <mergeCell ref="D95:D97"/>
    <mergeCell ref="H61:I61"/>
    <mergeCell ref="I96:I97"/>
    <mergeCell ref="G96:G97"/>
    <mergeCell ref="H90:I90"/>
    <mergeCell ref="A24:A25"/>
    <mergeCell ref="A26:A27"/>
    <mergeCell ref="B95:B97"/>
    <mergeCell ref="A67:A68"/>
    <mergeCell ref="B37:B39"/>
    <mergeCell ref="A28:A29"/>
    <mergeCell ref="A30:A31"/>
    <mergeCell ref="A36:B36"/>
    <mergeCell ref="A65:B65"/>
    <mergeCell ref="A78:A79"/>
    <mergeCell ref="A80:A81"/>
    <mergeCell ref="A49:A50"/>
    <mergeCell ref="A51:A52"/>
    <mergeCell ref="A53:A54"/>
    <mergeCell ref="A55:A56"/>
    <mergeCell ref="A59:A60"/>
    <mergeCell ref="A82:A83"/>
    <mergeCell ref="A57:A58"/>
    <mergeCell ref="A107:A108"/>
    <mergeCell ref="A84:A85"/>
    <mergeCell ref="A96:A97"/>
    <mergeCell ref="A94:B94"/>
    <mergeCell ref="B66:B68"/>
    <mergeCell ref="A86:A87"/>
    <mergeCell ref="A88:A89"/>
    <mergeCell ref="A38:A39"/>
    <mergeCell ref="N95:N97"/>
    <mergeCell ref="C32:D32"/>
    <mergeCell ref="K32:L32"/>
    <mergeCell ref="G37:J37"/>
    <mergeCell ref="E37:E39"/>
    <mergeCell ref="C119:D119"/>
    <mergeCell ref="K37:K39"/>
    <mergeCell ref="G38:G39"/>
    <mergeCell ref="K90:L90"/>
    <mergeCell ref="K66:K68"/>
    <mergeCell ref="F37:F39"/>
    <mergeCell ref="G66:J66"/>
    <mergeCell ref="C90:D90"/>
    <mergeCell ref="E66:E68"/>
    <mergeCell ref="C95:C97"/>
    <mergeCell ref="E95:E97"/>
    <mergeCell ref="C37:C39"/>
    <mergeCell ref="C66:C68"/>
    <mergeCell ref="H32:I32"/>
    <mergeCell ref="A144:A145"/>
    <mergeCell ref="A146:A147"/>
    <mergeCell ref="A117:A118"/>
    <mergeCell ref="F95:F97"/>
    <mergeCell ref="D66:D68"/>
    <mergeCell ref="F66:F68"/>
    <mergeCell ref="K61:L61"/>
    <mergeCell ref="N66:N68"/>
    <mergeCell ref="N37:N39"/>
    <mergeCell ref="B124:B126"/>
    <mergeCell ref="A125:A126"/>
    <mergeCell ref="A142:A143"/>
    <mergeCell ref="E124:E126"/>
    <mergeCell ref="A136:A137"/>
    <mergeCell ref="A138:A139"/>
    <mergeCell ref="A140:A141"/>
    <mergeCell ref="N124:N126"/>
    <mergeCell ref="K95:K97"/>
    <mergeCell ref="G124:J124"/>
    <mergeCell ref="A113:A114"/>
    <mergeCell ref="A115:A116"/>
    <mergeCell ref="C124:C126"/>
    <mergeCell ref="I125:I126"/>
    <mergeCell ref="J125:J126"/>
  </mergeCells>
  <conditionalFormatting sqref="O11:O16">
    <cfRule type="containsText" dxfId="130" priority="58" operator="containsText" text="Mismatch">
      <formula>NOT(ISERROR(SEARCH("Mismatch",O11)))</formula>
    </cfRule>
  </conditionalFormatting>
  <conditionalFormatting sqref="D1:D1048576">
    <cfRule type="expression" dxfId="129" priority="57">
      <formula>ISNUMBER(SEARCH("Mismatch",O1))</formula>
    </cfRule>
  </conditionalFormatting>
  <conditionalFormatting sqref="O40:O45">
    <cfRule type="containsText" dxfId="128" priority="14" operator="containsText" text="Mismatch">
      <formula>NOT(ISERROR(SEARCH("Mismatch",O40)))</formula>
    </cfRule>
  </conditionalFormatting>
  <conditionalFormatting sqref="O69:O74">
    <cfRule type="containsText" dxfId="127" priority="13" operator="containsText" text="Mismatch">
      <formula>NOT(ISERROR(SEARCH("Mismatch",O69)))</formula>
    </cfRule>
  </conditionalFormatting>
  <conditionalFormatting sqref="O98:O103">
    <cfRule type="containsText" dxfId="126" priority="12" operator="containsText" text="Mismatch">
      <formula>NOT(ISERROR(SEARCH("Mismatch",O98)))</formula>
    </cfRule>
  </conditionalFormatting>
  <conditionalFormatting sqref="O127:O132">
    <cfRule type="containsText" dxfId="125" priority="11" operator="containsText" text="Mismatch">
      <formula>NOT(ISERROR(SEARCH("Mismatch",O127)))</formula>
    </cfRule>
  </conditionalFormatting>
  <conditionalFormatting sqref="O156:O161">
    <cfRule type="containsText" dxfId="124" priority="10" operator="containsText" text="Mismatch">
      <formula>NOT(ISERROR(SEARCH("Mismatch",O156)))</formula>
    </cfRule>
  </conditionalFormatting>
  <conditionalFormatting sqref="O185:O190">
    <cfRule type="containsText" dxfId="123" priority="9" operator="containsText" text="Mismatch">
      <formula>NOT(ISERROR(SEARCH("Mismatch",O185)))</formula>
    </cfRule>
  </conditionalFormatting>
  <conditionalFormatting sqref="O214:O219">
    <cfRule type="containsText" dxfId="122" priority="8" operator="containsText" text="Mismatch">
      <formula>NOT(ISERROR(SEARCH("Mismatch",O214)))</formula>
    </cfRule>
  </conditionalFormatting>
  <conditionalFormatting sqref="O243:O248">
    <cfRule type="containsText" dxfId="121" priority="7" operator="containsText" text="Mismatch">
      <formula>NOT(ISERROR(SEARCH("Mismatch",O243)))</formula>
    </cfRule>
  </conditionalFormatting>
  <conditionalFormatting sqref="O272:O277">
    <cfRule type="containsText" dxfId="120" priority="6" operator="containsText" text="Mismatch">
      <formula>NOT(ISERROR(SEARCH("Mismatch",O272)))</formula>
    </cfRule>
  </conditionalFormatting>
  <conditionalFormatting sqref="O301:O306">
    <cfRule type="containsText" dxfId="119" priority="5" operator="containsText" text="Mismatch">
      <formula>NOT(ISERROR(SEARCH("Mismatch",O301)))</formula>
    </cfRule>
  </conditionalFormatting>
  <conditionalFormatting sqref="O330:O335">
    <cfRule type="containsText" dxfId="118" priority="4" operator="containsText" text="Mismatch">
      <formula>NOT(ISERROR(SEARCH("Mismatch",O330)))</formula>
    </cfRule>
  </conditionalFormatting>
  <conditionalFormatting sqref="O359:O364">
    <cfRule type="containsText" dxfId="117" priority="3" operator="containsText" text="Mismatch">
      <formula>NOT(ISERROR(SEARCH("Mismatch",O359)))</formula>
    </cfRule>
  </conditionalFormatting>
  <conditionalFormatting sqref="O388:O393">
    <cfRule type="containsText" dxfId="116" priority="2" operator="containsText" text="Mismatch">
      <formula>NOT(ISERROR(SEARCH("Mismatch",O388)))</formula>
    </cfRule>
  </conditionalFormatting>
  <conditionalFormatting sqref="O417:O422">
    <cfRule type="containsText" dxfId="115" priority="1" operator="containsText" text="Mismatch">
      <formula>NOT(ISERROR(SEARCH("Mismatch",O417)))</formula>
    </cfRule>
  </conditionalFormatting>
  <dataValidations disablePrompts="1" count="3">
    <dataValidation type="list" allowBlank="1" showInputMessage="1" showErrorMessage="1" sqref="H355 H36 H65 H94 H123 H152 H181 H210 H239 H268 H297 H326 M326 H384 H7 M7 M355 M384 M36 M65 M94 M123 M152 M181 M210 M239 M268 M297 H413 M413" xr:uid="{00000000-0002-0000-0700-000000000000}">
      <formula1>FTE</formula1>
    </dataValidation>
    <dataValidation type="list" allowBlank="1" showInputMessage="1" sqref="F7 F384 F65 F36 F94 F123 F152 F181 F210 F239 F268 F297 F326 F355 F413" xr:uid="{00000000-0002-0000-0700-000001000000}">
      <formula1>GA_Level</formula1>
    </dataValidation>
    <dataValidation type="list" allowBlank="1" showInputMessage="1" prompt="Select COE School or other unit" sqref="C355 C7 C384 C36 C65 C94 C123 C152 C181 C210 C239 C268 C297 C326 C413" xr:uid="{00000000-0002-0000-0700-000002000000}">
      <formula1>Unit</formula1>
    </dataValidation>
  </dataValidations>
  <hyperlinks>
    <hyperlink ref="AB23" r:id="rId1" xr:uid="{00000000-0004-0000-0700-000001000000}"/>
    <hyperlink ref="AA47" r:id="rId2" xr:uid="{00000000-0004-0000-0700-000000000000}"/>
  </hyperlinks>
  <pageMargins left="0.7" right="0.7" top="0.75" bottom="0.75" header="0.3" footer="0.3"/>
  <pageSetup orientation="portrait" horizontalDpi="1200" verticalDpi="1200" r:id="rId3"/>
  <ignoredErrors>
    <ignoredError sqref="E91:L93 E120:L122 E134:L134 E62:L64 H235:I235 C32:D39 C61:D68 C90:D97 C119:D126 C148:D155 C177:D184 C206:D213 C235:D242 C264:D271 C293:D300 C322:D329 C351:D358 C380:D387 C409:D416 C438:D439 C47:D48 C76:D77 C105:D106 C134:D135 C163:D164 C192:D193 C221:D222 C250:D251 C279:D280 C308:D309 C337:D338 C366:D367 C395:D396 C424:D425" formula="1"/>
  </ignoredErrors>
  <drawing r:id="rId4"/>
  <legacyDrawing r:id="rId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theme="9" tint="0.59999389629810485"/>
  </sheetPr>
  <dimension ref="A1:BV236"/>
  <sheetViews>
    <sheetView showGridLines="0" showZeros="0" zoomScaleNormal="100" workbookViewId="0">
      <selection activeCell="A9" sqref="A9:N12"/>
    </sheetView>
  </sheetViews>
  <sheetFormatPr defaultColWidth="9.140625" defaultRowHeight="15" x14ac:dyDescent="0.25"/>
  <cols>
    <col min="1" max="1" width="10.5703125" style="226" customWidth="1"/>
    <col min="2" max="3" width="6.7109375" customWidth="1"/>
    <col min="4" max="4" width="9.28515625" customWidth="1"/>
    <col min="5" max="5" width="11.140625" customWidth="1"/>
    <col min="6" max="6" width="9.7109375" customWidth="1"/>
    <col min="7" max="7" width="7.5703125" customWidth="1"/>
    <col min="8" max="10" width="8.7109375" customWidth="1"/>
    <col min="11" max="11" width="11" bestFit="1" customWidth="1"/>
    <col min="12" max="12" width="8.7109375" customWidth="1"/>
    <col min="13" max="15" width="12.7109375" customWidth="1"/>
    <col min="16" max="16" width="13.7109375" bestFit="1" customWidth="1"/>
    <col min="17" max="17" width="8.140625" customWidth="1"/>
    <col min="19" max="19" width="7.28515625" bestFit="1" customWidth="1"/>
    <col min="20" max="20" width="5.85546875" customWidth="1"/>
    <col min="21" max="21" width="5.7109375" bestFit="1" customWidth="1"/>
    <col min="22" max="22" width="9.140625" customWidth="1"/>
    <col min="23" max="23" width="7.42578125" customWidth="1"/>
    <col min="24" max="24" width="8.5703125" customWidth="1"/>
    <col min="25" max="25" width="7.7109375" bestFit="1" customWidth="1"/>
    <col min="26" max="26" width="8.42578125" bestFit="1" customWidth="1"/>
    <col min="27" max="27" width="8.42578125" customWidth="1"/>
    <col min="28" max="28" width="10.28515625" customWidth="1"/>
    <col min="29" max="29" width="5.5703125" bestFit="1" customWidth="1"/>
    <col min="30" max="30" width="8" customWidth="1"/>
    <col min="31" max="31" width="5.7109375" bestFit="1" customWidth="1"/>
    <col min="32" max="32" width="9.42578125" bestFit="1" customWidth="1"/>
    <col min="33" max="33" width="8.5703125" bestFit="1" customWidth="1"/>
    <col min="34" max="34" width="6.28515625" bestFit="1" customWidth="1"/>
    <col min="35" max="35" width="8.140625" bestFit="1" customWidth="1"/>
    <col min="37" max="37" width="8.42578125" bestFit="1" customWidth="1"/>
    <col min="38" max="38" width="10.140625" customWidth="1"/>
    <col min="39" max="39" width="10" bestFit="1" customWidth="1"/>
    <col min="41" max="41" width="12" customWidth="1"/>
    <col min="42" max="42" width="11.42578125" customWidth="1"/>
    <col min="43" max="59" width="11.7109375" customWidth="1"/>
    <col min="61" max="73" width="11.7109375" customWidth="1"/>
  </cols>
  <sheetData>
    <row r="1" spans="1:74" ht="15.75" thickBot="1" x14ac:dyDescent="0.3">
      <c r="A1" s="4" t="s">
        <v>818</v>
      </c>
      <c r="B1" s="4"/>
      <c r="C1" s="1656" t="s">
        <v>817</v>
      </c>
      <c r="D1" s="1656"/>
      <c r="E1" s="1656"/>
      <c r="F1" s="1656"/>
      <c r="G1" s="1656"/>
      <c r="H1" s="331"/>
      <c r="I1" s="331"/>
      <c r="J1" s="453" t="str">
        <f>Budget!D$12</f>
        <v>Period 1</v>
      </c>
      <c r="K1" s="453" t="str">
        <f>Budget!E$12</f>
        <v>Period 2</v>
      </c>
      <c r="L1" s="453" t="str">
        <f>Budget!F$12</f>
        <v>Period 3</v>
      </c>
      <c r="M1" s="453" t="str">
        <f>Budget!G$12</f>
        <v>Period 4</v>
      </c>
      <c r="N1" s="453" t="str">
        <f>Budget!H$12</f>
        <v>Period 5</v>
      </c>
      <c r="O1" s="453" t="str">
        <f>Budget!I$12</f>
        <v>Period 6</v>
      </c>
      <c r="P1" s="454" t="str">
        <f>Budget!J$12</f>
        <v>Total</v>
      </c>
      <c r="X1" s="2477">
        <f>'Reference Sheet'!$K$17</f>
        <v>0.76</v>
      </c>
      <c r="Y1" s="2556" t="s">
        <v>509</v>
      </c>
      <c r="Z1" s="1660"/>
      <c r="AA1" s="2533"/>
      <c r="AB1" s="1748" t="s">
        <v>797</v>
      </c>
      <c r="AC1" s="1748"/>
      <c r="AD1" s="1748"/>
    </row>
    <row r="2" spans="1:74" s="770" customFormat="1" ht="30.75" thickBot="1" x14ac:dyDescent="0.3">
      <c r="A2" s="1140" t="s">
        <v>819</v>
      </c>
      <c r="D2" s="2543"/>
      <c r="F2" s="2543"/>
      <c r="G2" s="2543"/>
      <c r="H2" s="2544" t="s">
        <v>467</v>
      </c>
      <c r="I2" s="2545"/>
      <c r="J2" s="2546">
        <f ca="1">Budget!EL$295</f>
        <v>50000</v>
      </c>
      <c r="K2" s="2546">
        <f ca="1">Budget!EM$295</f>
        <v>0</v>
      </c>
      <c r="L2" s="2546">
        <f ca="1">Budget!EN$295</f>
        <v>0</v>
      </c>
      <c r="M2" s="2546">
        <f ca="1">Budget!EO$295</f>
        <v>0</v>
      </c>
      <c r="N2" s="2546">
        <f ca="1">Budget!EP$295</f>
        <v>0</v>
      </c>
      <c r="O2" s="2546">
        <f ca="1">Budget!EQ$295</f>
        <v>0</v>
      </c>
      <c r="P2" s="2547">
        <f ca="1">SUM(J2:O2)</f>
        <v>50000</v>
      </c>
      <c r="Q2" s="969"/>
      <c r="S2" s="2528" t="str">
        <f>'Reference Sheet'!J9</f>
        <v>Destination</v>
      </c>
      <c r="T2" s="2528"/>
      <c r="U2" s="1822" t="str">
        <f>'Reference Sheet'!K9</f>
        <v>Per Diem</v>
      </c>
      <c r="V2" s="2529" t="str">
        <f>'Reference Sheet'!L9</f>
        <v>Lodging</v>
      </c>
      <c r="X2" s="2530" t="s">
        <v>628</v>
      </c>
      <c r="Y2" s="2531" t="s">
        <v>629</v>
      </c>
      <c r="Z2" s="2532" t="s">
        <v>630</v>
      </c>
      <c r="AA2" s="2548"/>
      <c r="AB2" s="671" t="s">
        <v>798</v>
      </c>
      <c r="AC2" s="2549">
        <v>95.9</v>
      </c>
      <c r="AD2" s="770" t="s">
        <v>627</v>
      </c>
      <c r="AE2" s="1753"/>
      <c r="AF2" s="1753"/>
      <c r="AG2" s="1753"/>
      <c r="AH2" s="1753"/>
      <c r="AI2" s="1753"/>
      <c r="AJ2" s="1753"/>
      <c r="AK2" s="1753"/>
      <c r="AL2" s="1753"/>
      <c r="AM2" s="1753"/>
      <c r="AN2" s="1753"/>
    </row>
    <row r="3" spans="1:74" ht="15.75" thickBot="1" x14ac:dyDescent="0.3">
      <c r="A3" s="754" t="s">
        <v>816</v>
      </c>
      <c r="B3" s="4"/>
      <c r="C3" s="4"/>
      <c r="D3" s="4"/>
      <c r="E3" s="754"/>
      <c r="F3" s="754"/>
      <c r="G3" s="754"/>
      <c r="H3" s="760" t="s">
        <v>302</v>
      </c>
      <c r="I3" s="756"/>
      <c r="J3" s="654">
        <f>Budget!$D$11</f>
        <v>12</v>
      </c>
      <c r="K3" s="654">
        <f>Budget!$E$11</f>
        <v>0</v>
      </c>
      <c r="L3" s="654">
        <f>Budget!$F$11</f>
        <v>0</v>
      </c>
      <c r="M3" s="654">
        <f>Budget!$G$11</f>
        <v>0</v>
      </c>
      <c r="N3" s="654">
        <f>Budget!$H$11</f>
        <v>0</v>
      </c>
      <c r="O3" s="654">
        <f>Budget!$I$11</f>
        <v>0</v>
      </c>
      <c r="P3" s="655">
        <f>SUM(J3:O3)</f>
        <v>12</v>
      </c>
      <c r="Q3" s="448"/>
      <c r="S3" s="1661"/>
      <c r="T3" s="2308" t="str">
        <f>'Reference Sheet'!J10</f>
        <v>TBD Low-Cost Domestic</v>
      </c>
      <c r="U3" s="1531">
        <f>'Reference Sheet'!K10</f>
        <v>74</v>
      </c>
      <c r="V3" s="1532">
        <f>'Reference Sheet'!L10</f>
        <v>151</v>
      </c>
      <c r="X3" s="2067"/>
      <c r="Y3" s="2068">
        <f>X3*2</f>
        <v>0</v>
      </c>
      <c r="Z3" s="2069">
        <f>Y3*X1</f>
        <v>0</v>
      </c>
      <c r="AB3" s="2535" t="s">
        <v>799</v>
      </c>
      <c r="AC3" s="2534">
        <v>34.9</v>
      </c>
      <c r="AD3" s="1139" t="s">
        <v>627</v>
      </c>
      <c r="AE3" s="1139"/>
      <c r="AG3" s="1139"/>
      <c r="AH3" s="1139"/>
      <c r="AI3" s="1139"/>
      <c r="AJ3" s="1139"/>
      <c r="AK3" s="1139"/>
      <c r="AL3" s="1139"/>
      <c r="AM3" s="1139"/>
      <c r="AN3" s="2535"/>
    </row>
    <row r="4" spans="1:74" ht="24" thickBot="1" x14ac:dyDescent="0.4">
      <c r="A4" s="1599">
        <v>1</v>
      </c>
      <c r="B4" s="45"/>
      <c r="C4" s="45"/>
      <c r="D4" s="45"/>
      <c r="E4" s="1656"/>
      <c r="F4" s="100"/>
      <c r="G4" s="100"/>
      <c r="H4" s="100"/>
      <c r="I4" s="100"/>
      <c r="J4" s="100"/>
      <c r="K4" s="100"/>
      <c r="L4" s="100"/>
      <c r="N4" s="100"/>
      <c r="O4" s="100"/>
      <c r="P4" s="100"/>
      <c r="S4" s="1661"/>
      <c r="T4" s="2310" t="str">
        <f>'Reference Sheet'!J11</f>
        <v>TBD High-Cost Domestic</v>
      </c>
      <c r="U4" s="2311">
        <f>'Reference Sheet'!K11</f>
        <v>86</v>
      </c>
      <c r="V4" s="2312">
        <f>'Reference Sheet'!L11</f>
        <v>233</v>
      </c>
      <c r="X4" s="2557" t="s">
        <v>822</v>
      </c>
      <c r="AE4" s="1139"/>
      <c r="AG4" s="1139"/>
      <c r="AH4" s="1139"/>
      <c r="AI4" s="1139"/>
      <c r="AJ4" s="1139"/>
      <c r="AK4" s="1139"/>
      <c r="AL4" s="1139"/>
      <c r="AM4" s="1139"/>
      <c r="AN4" s="2535"/>
    </row>
    <row r="5" spans="1:74" ht="15" customHeight="1" thickBot="1" x14ac:dyDescent="0.3">
      <c r="A5" s="102" t="s">
        <v>120</v>
      </c>
      <c r="B5" s="3711" t="str">
        <f>'DATA INPUT'!B68</f>
        <v>Conference</v>
      </c>
      <c r="C5" s="3712"/>
      <c r="D5" s="3712"/>
      <c r="E5" s="3712"/>
      <c r="F5" s="3713"/>
      <c r="G5" s="786"/>
      <c r="H5" s="786" t="s">
        <v>376</v>
      </c>
      <c r="I5" s="785" t="str">
        <f ca="1">IF(B6=$T$6,'Reference Sheet'!$J$4, 'Reference Sheet'!$J$3)</f>
        <v>Domestic</v>
      </c>
      <c r="J5" s="3714" t="s">
        <v>515</v>
      </c>
      <c r="K5" s="3715"/>
      <c r="L5" s="1662">
        <f>'DATA INPUT'!$H$68</f>
        <v>0</v>
      </c>
      <c r="S5" s="936"/>
      <c r="T5" s="2310" t="str">
        <f>'Reference Sheet'!J12</f>
        <v>GSA Rates - Known Destination</v>
      </c>
      <c r="U5" s="2311">
        <f>'Reference Sheet'!K12</f>
        <v>999</v>
      </c>
      <c r="V5" s="2312">
        <f>'Reference Sheet'!L12</f>
        <v>999</v>
      </c>
      <c r="AO5" s="448"/>
    </row>
    <row r="6" spans="1:74" ht="15.75" thickBot="1" x14ac:dyDescent="0.3">
      <c r="A6" s="102" t="s">
        <v>468</v>
      </c>
      <c r="B6" s="3711" t="str">
        <f ca="1">OFFSET('DATA INPUT'!$C$68,($A4-1),0)</f>
        <v>TBD High-Cost Domestic</v>
      </c>
      <c r="C6" s="3712"/>
      <c r="D6" s="3712"/>
      <c r="E6" s="783"/>
      <c r="F6" s="784"/>
      <c r="G6" s="102"/>
      <c r="H6" s="102" t="s">
        <v>371</v>
      </c>
      <c r="I6" s="787">
        <f>'Reference Sheet'!$L$8</f>
        <v>0.03</v>
      </c>
      <c r="J6" s="788"/>
      <c r="S6" s="2503"/>
      <c r="T6" s="2309" t="str">
        <f>'Reference Sheet'!J13</f>
        <v>TBD Foreign</v>
      </c>
      <c r="U6" s="1533">
        <f>'Reference Sheet'!K13</f>
        <v>86</v>
      </c>
      <c r="V6" s="1534">
        <f>'Reference Sheet'!L13</f>
        <v>233</v>
      </c>
    </row>
    <row r="7" spans="1:74" ht="14.45" customHeight="1" x14ac:dyDescent="0.25">
      <c r="A7" s="102" t="s">
        <v>116</v>
      </c>
      <c r="B7" s="1535">
        <f ca="1">IF(B6=$T$3, $U$3,IF(B6=$T$4,$U$4,IF(B6=$T$5,$U$5,IF(B6=$T$6,$U$6,0))))</f>
        <v>86</v>
      </c>
      <c r="C7" s="102" t="s">
        <v>115</v>
      </c>
      <c r="D7" s="1535">
        <f ca="1">IF(B6=$T$3,$V$3,IF(B6=$T$4,$V$4,IF(B6=$T$5,$V$5,IF(B6=$T$6,$V$6,0))))</f>
        <v>233</v>
      </c>
      <c r="E7" s="102" t="s">
        <v>23</v>
      </c>
      <c r="F7" s="1535">
        <f ca="1">OFFSET('DATA INPUT'!$F$68,($A4-1),0)</f>
        <v>600</v>
      </c>
      <c r="G7" s="102" t="s">
        <v>118</v>
      </c>
      <c r="H7" s="1535">
        <v>249</v>
      </c>
      <c r="I7" s="102" t="s">
        <v>755</v>
      </c>
      <c r="J7" s="761">
        <v>0.13</v>
      </c>
      <c r="K7" s="104" t="s">
        <v>362</v>
      </c>
      <c r="L7" s="111">
        <f>'DATA INPUT'!$G$68</f>
        <v>550</v>
      </c>
      <c r="S7" s="2551" t="s">
        <v>811</v>
      </c>
      <c r="T7" s="2551"/>
      <c r="U7" s="2551"/>
      <c r="V7" s="2551"/>
      <c r="W7" s="2551"/>
      <c r="AO7" s="3569" t="s">
        <v>253</v>
      </c>
      <c r="AP7" s="3683" t="s">
        <v>128</v>
      </c>
      <c r="AQ7" s="3569" t="s">
        <v>129</v>
      </c>
      <c r="AR7" s="3681" t="s">
        <v>85</v>
      </c>
      <c r="AS7" s="3658" t="s">
        <v>123</v>
      </c>
      <c r="AT7" s="3627"/>
      <c r="AU7" s="3659" t="s">
        <v>124</v>
      </c>
      <c r="AV7" s="3627"/>
      <c r="AW7" s="3660" t="s">
        <v>125</v>
      </c>
      <c r="AX7" s="3627"/>
      <c r="AY7" s="3661" t="s">
        <v>126</v>
      </c>
      <c r="AZ7" s="3627"/>
      <c r="BA7" s="3662" t="s">
        <v>127</v>
      </c>
      <c r="BB7" s="3627"/>
      <c r="BC7" s="3663" t="s">
        <v>235</v>
      </c>
      <c r="BD7" s="3627"/>
      <c r="BE7" s="3664" t="s">
        <v>236</v>
      </c>
      <c r="BF7" s="3627"/>
      <c r="BG7" s="3659" t="s">
        <v>237</v>
      </c>
      <c r="BH7" s="3627"/>
      <c r="BI7" s="3665" t="s">
        <v>849</v>
      </c>
      <c r="BJ7" s="3666"/>
      <c r="BK7" s="3660" t="s">
        <v>850</v>
      </c>
      <c r="BL7" s="3627"/>
      <c r="BM7" s="3661" t="s">
        <v>851</v>
      </c>
      <c r="BN7" s="3627"/>
      <c r="BO7" s="3662" t="s">
        <v>852</v>
      </c>
      <c r="BP7" s="3627"/>
      <c r="BQ7" s="3663" t="s">
        <v>853</v>
      </c>
      <c r="BR7" s="3627"/>
      <c r="BS7" s="3664" t="s">
        <v>854</v>
      </c>
      <c r="BT7" s="3627"/>
      <c r="BU7" s="3659" t="s">
        <v>855</v>
      </c>
      <c r="BV7" s="3627"/>
    </row>
    <row r="8" spans="1:74" ht="15.75" thickBot="1" x14ac:dyDescent="0.3">
      <c r="D8" s="110"/>
      <c r="AD8" s="2541" t="s">
        <v>808</v>
      </c>
      <c r="AE8" s="2542"/>
      <c r="AF8" s="2542"/>
      <c r="AG8" s="2542"/>
      <c r="AH8" s="2542"/>
      <c r="AO8" s="3667"/>
      <c r="AP8" s="3684"/>
      <c r="AQ8" s="3672"/>
      <c r="AR8" s="3682"/>
      <c r="AS8" s="851" t="s">
        <v>119</v>
      </c>
      <c r="AT8" s="851" t="s">
        <v>121</v>
      </c>
      <c r="AU8" s="852" t="s">
        <v>119</v>
      </c>
      <c r="AV8" s="852" t="s">
        <v>121</v>
      </c>
      <c r="AW8" s="853" t="s">
        <v>119</v>
      </c>
      <c r="AX8" s="853" t="s">
        <v>121</v>
      </c>
      <c r="AY8" s="854" t="s">
        <v>119</v>
      </c>
      <c r="AZ8" s="854" t="s">
        <v>121</v>
      </c>
      <c r="BA8" s="855" t="s">
        <v>119</v>
      </c>
      <c r="BB8" s="855" t="s">
        <v>121</v>
      </c>
      <c r="BC8" s="856" t="s">
        <v>119</v>
      </c>
      <c r="BD8" s="856" t="s">
        <v>121</v>
      </c>
      <c r="BE8" s="857" t="s">
        <v>119</v>
      </c>
      <c r="BF8" s="857" t="s">
        <v>121</v>
      </c>
      <c r="BG8" s="852" t="s">
        <v>119</v>
      </c>
      <c r="BH8" s="852" t="s">
        <v>121</v>
      </c>
      <c r="BI8" s="2641" t="s">
        <v>119</v>
      </c>
      <c r="BJ8" s="2641" t="s">
        <v>121</v>
      </c>
      <c r="BK8" s="853" t="s">
        <v>119</v>
      </c>
      <c r="BL8" s="853" t="s">
        <v>121</v>
      </c>
      <c r="BM8" s="854" t="s">
        <v>119</v>
      </c>
      <c r="BN8" s="854" t="s">
        <v>121</v>
      </c>
      <c r="BO8" s="855" t="s">
        <v>119</v>
      </c>
      <c r="BP8" s="855" t="s">
        <v>121</v>
      </c>
      <c r="BQ8" s="856" t="s">
        <v>119</v>
      </c>
      <c r="BR8" s="856" t="s">
        <v>121</v>
      </c>
      <c r="BS8" s="857" t="s">
        <v>119</v>
      </c>
      <c r="BT8" s="857" t="s">
        <v>121</v>
      </c>
      <c r="BU8" s="852" t="s">
        <v>119</v>
      </c>
      <c r="BV8" s="852" t="s">
        <v>121</v>
      </c>
    </row>
    <row r="9" spans="1:74" ht="15.75" thickBot="1" x14ac:dyDescent="0.3">
      <c r="A9" s="3632" t="str">
        <f>B5</f>
        <v>Conference</v>
      </c>
      <c r="B9" s="3626"/>
      <c r="C9" s="3626"/>
      <c r="D9" s="3626"/>
      <c r="E9" s="3626"/>
      <c r="F9" s="3626"/>
      <c r="G9" s="3626"/>
      <c r="H9" s="3626"/>
      <c r="I9" s="3626"/>
      <c r="J9" s="3626"/>
      <c r="K9" s="3626"/>
      <c r="L9" s="3626"/>
      <c r="M9" s="3626"/>
      <c r="N9" s="3627"/>
      <c r="P9" s="1140"/>
      <c r="Q9" s="1140"/>
      <c r="S9" s="2536" t="str">
        <f>A9</f>
        <v>Conference</v>
      </c>
      <c r="T9" s="2537"/>
      <c r="U9" s="2537"/>
      <c r="V9" s="2537"/>
      <c r="W9" s="2537"/>
      <c r="X9" s="2537"/>
      <c r="Y9" s="2537"/>
      <c r="Z9" s="2537"/>
      <c r="AA9" s="2537"/>
      <c r="AB9" s="2538"/>
      <c r="AG9" s="2550" t="s">
        <v>809</v>
      </c>
      <c r="AH9" s="2550"/>
      <c r="AI9" s="2550"/>
      <c r="AJ9" s="2550"/>
      <c r="AK9" s="19" t="s">
        <v>812</v>
      </c>
      <c r="AL9" s="2541" t="s">
        <v>807</v>
      </c>
      <c r="AO9" s="505">
        <v>1</v>
      </c>
      <c r="AP9" s="1536">
        <f t="shared" ref="AP9:AQ14" ca="1" si="0">SUM(AS9,AU9,AW9,AY9,BA9,BC9,BE9,BG9,BI9,BK9,BM9,BO9,BQ9,BS9,BU9)</f>
        <v>2489.87</v>
      </c>
      <c r="AQ9" s="1537">
        <f t="shared" ca="1" si="0"/>
        <v>0</v>
      </c>
      <c r="AR9" s="1538">
        <f t="shared" ref="AR9:AR15" ca="1" si="1">SUM(AP9:AQ9)</f>
        <v>2489.87</v>
      </c>
      <c r="AS9" s="2650">
        <f ca="1">IF($I$5='Reference Sheet'!$J$3,$N$12,"$0.00")</f>
        <v>2489.87</v>
      </c>
      <c r="AT9" s="2650" t="str">
        <f ca="1">IF($I$5='Reference Sheet'!$J$4,$N$12,"$0.00")</f>
        <v>$0.00</v>
      </c>
      <c r="AU9" s="2648">
        <f ca="1">IF($I$20='Reference Sheet'!$J$3,$N$27,"$0.00")</f>
        <v>0</v>
      </c>
      <c r="AV9" s="2648" t="str">
        <f ca="1">IF($I$20='Reference Sheet'!$J$4,$N$27,"$0.00")</f>
        <v>$0.00</v>
      </c>
      <c r="AW9" s="2643">
        <f ca="1">IF($I$35='Reference Sheet'!$J$3,$N$42,"$0.00")</f>
        <v>0</v>
      </c>
      <c r="AX9" s="2643" t="str">
        <f ca="1">IF($I$35='Reference Sheet'!$J$4,$N$42,"$0.00")</f>
        <v>$0.00</v>
      </c>
      <c r="AY9" s="2644">
        <f ca="1">IF($I$50='Reference Sheet'!$J$3,$N$57,"$0.00")</f>
        <v>0</v>
      </c>
      <c r="AZ9" s="2644" t="str">
        <f ca="1">IF($I$50='Reference Sheet'!$J$4,$N$57,"$0.00")</f>
        <v>$0.00</v>
      </c>
      <c r="BA9" s="2645">
        <f ca="1">IF($I$65='Reference Sheet'!$J$3,$N$72,"$0.00")</f>
        <v>0</v>
      </c>
      <c r="BB9" s="2645" t="str">
        <f ca="1">IF($I$65='Reference Sheet'!$J$4,$N$72,"$0.00")</f>
        <v>$0.00</v>
      </c>
      <c r="BC9" s="2646">
        <f ca="1">IF($I$80='Reference Sheet'!$J$3,$N$87,"$0.00")</f>
        <v>0</v>
      </c>
      <c r="BD9" s="2646" t="str">
        <f ca="1">IF($I$80='Reference Sheet'!J4,$N$87,"$0.00")</f>
        <v>$0.00</v>
      </c>
      <c r="BE9" s="2647">
        <f ca="1">IF($I$95='Reference Sheet'!$J$3,$N$102,"$0.00")</f>
        <v>0</v>
      </c>
      <c r="BF9" s="2647" t="str">
        <f ca="1">IF($I$95='Reference Sheet'!$J$4,$N$102,"$0.00")</f>
        <v>$0.00</v>
      </c>
      <c r="BG9" s="2648">
        <f ca="1">IF($I$110='Reference Sheet'!$J$3,$N$117,"$0.00")</f>
        <v>0</v>
      </c>
      <c r="BH9" s="2648" t="str">
        <f ca="1">IF($I$110='Reference Sheet'!$J$4,$N$117,"$0.00")</f>
        <v>$0.00</v>
      </c>
      <c r="BI9" s="2649">
        <f ca="1">IF($I$125='Reference Sheet'!$J$3,$N$132,"$0.00")</f>
        <v>0</v>
      </c>
      <c r="BJ9" s="2649" t="str">
        <f ca="1">IF($I$125='Reference Sheet'!$J$4,$N$132,"$0.00")</f>
        <v>$0.00</v>
      </c>
      <c r="BK9" s="2643">
        <f ca="1">IF($I$140='Reference Sheet'!$J$3,$N$147,"$0")</f>
        <v>0</v>
      </c>
      <c r="BL9" s="2643" t="str">
        <f ca="1">IF($I$140='Reference Sheet'!$J$4,$N$147,"$0")</f>
        <v>$0</v>
      </c>
      <c r="BM9" s="2644">
        <f ca="1">IF($I$155='Reference Sheet'!$J$3,$N$162,"$0.00")</f>
        <v>0</v>
      </c>
      <c r="BN9" s="2644" t="str">
        <f ca="1">IF($I$155='Reference Sheet'!$J$4,$N$162,"$0.00")</f>
        <v>$0.00</v>
      </c>
      <c r="BO9" s="2645">
        <f ca="1">IF($I$170='Reference Sheet'!$J$3,$N$177,"$0.00")</f>
        <v>0</v>
      </c>
      <c r="BP9" s="2645" t="str">
        <f ca="1">IF($I$170='Reference Sheet'!$J$4,$N$177,"$0.00")</f>
        <v>$0.00</v>
      </c>
      <c r="BQ9" s="2646">
        <f ca="1">IF($I$185='Reference Sheet'!$J$3,$N$192,"$0.00")</f>
        <v>0</v>
      </c>
      <c r="BR9" s="2646" t="str">
        <f ca="1">IF($I$185='Reference Sheet'!$J$4,$N$192,"$0.00")</f>
        <v>$0.00</v>
      </c>
      <c r="BS9" s="2647">
        <f ca="1">IF($I$200='Reference Sheet'!$J$3,$N$207,"$0.00")</f>
        <v>0</v>
      </c>
      <c r="BT9" s="2647" t="str">
        <f ca="1">IF($I$200='Reference Sheet'!$J$4,$N$207,"$0.00")</f>
        <v>$0.00</v>
      </c>
      <c r="BU9" s="2648">
        <f ca="1">IF($I$215='Reference Sheet'!$J$3,$N$222,"$0.00")</f>
        <v>0</v>
      </c>
      <c r="BV9" s="2648" t="str">
        <f ca="1">IF($I$215='Reference Sheet'!$J$4,$N$222,"$0.00")</f>
        <v>$0.00</v>
      </c>
    </row>
    <row r="10" spans="1:74" ht="14.45" customHeight="1" x14ac:dyDescent="0.25">
      <c r="A10" s="858" t="s">
        <v>659</v>
      </c>
      <c r="B10" s="3641" t="s">
        <v>117</v>
      </c>
      <c r="C10" s="3642"/>
      <c r="D10" s="3521" t="s">
        <v>363</v>
      </c>
      <c r="E10" s="3521" t="s">
        <v>364</v>
      </c>
      <c r="F10" s="3521" t="s">
        <v>365</v>
      </c>
      <c r="G10" s="3521" t="s">
        <v>116</v>
      </c>
      <c r="H10" s="3521" t="s">
        <v>115</v>
      </c>
      <c r="I10" s="3521" t="s">
        <v>23</v>
      </c>
      <c r="J10" s="3521" t="s">
        <v>114</v>
      </c>
      <c r="K10" s="3521" t="s">
        <v>366</v>
      </c>
      <c r="L10" s="3521" t="s">
        <v>122</v>
      </c>
      <c r="M10" s="3521" t="s">
        <v>298</v>
      </c>
      <c r="N10" s="3521" t="s">
        <v>113</v>
      </c>
      <c r="P10" s="3520" t="s">
        <v>661</v>
      </c>
      <c r="Q10" s="3520" t="s">
        <v>122</v>
      </c>
      <c r="S10" s="3677" t="s">
        <v>253</v>
      </c>
      <c r="T10" s="3675" t="s">
        <v>112</v>
      </c>
      <c r="U10" s="3675" t="s">
        <v>116</v>
      </c>
      <c r="V10" s="3675" t="s">
        <v>810</v>
      </c>
      <c r="W10" s="3675" t="s">
        <v>23</v>
      </c>
      <c r="X10" s="3675" t="s">
        <v>114</v>
      </c>
      <c r="Y10" s="3675" t="s">
        <v>122</v>
      </c>
      <c r="Z10" s="3675" t="s">
        <v>795</v>
      </c>
      <c r="AA10" s="3675" t="s">
        <v>800</v>
      </c>
      <c r="AB10" s="3673" t="s">
        <v>796</v>
      </c>
      <c r="AD10" s="3679" t="s">
        <v>253</v>
      </c>
      <c r="AE10" s="3679" t="s">
        <v>112</v>
      </c>
      <c r="AF10" s="3679" t="s">
        <v>802</v>
      </c>
      <c r="AG10" s="3679" t="s">
        <v>803</v>
      </c>
      <c r="AH10" s="3679" t="s">
        <v>804</v>
      </c>
      <c r="AI10" s="3679" t="s">
        <v>805</v>
      </c>
      <c r="AJ10" s="3679" t="s">
        <v>116</v>
      </c>
      <c r="AK10" s="3710" t="s">
        <v>801</v>
      </c>
      <c r="AL10" s="3680" t="s">
        <v>806</v>
      </c>
      <c r="AM10" s="3709" t="s">
        <v>796</v>
      </c>
      <c r="AO10" s="505">
        <v>2</v>
      </c>
      <c r="AP10" s="1536">
        <f t="shared" ca="1" si="0"/>
        <v>0</v>
      </c>
      <c r="AQ10" s="1537">
        <f t="shared" ca="1" si="0"/>
        <v>0</v>
      </c>
      <c r="AR10" s="1538">
        <f t="shared" ca="1" si="1"/>
        <v>0</v>
      </c>
      <c r="AS10" s="2650">
        <f ca="1">IF($I$5='Reference Sheet'!$J$3,$N$13,"$0.00")</f>
        <v>0</v>
      </c>
      <c r="AT10" s="2650" t="str">
        <f ca="1">IF($I$5='Reference Sheet'!$J$4,$N$13,"$0.00")</f>
        <v>$0.00</v>
      </c>
      <c r="AU10" s="2648">
        <f ca="1">IF($I$20='Reference Sheet'!$J$3,$N$28,"$0.00")</f>
        <v>0</v>
      </c>
      <c r="AV10" s="2648" t="str">
        <f ca="1">IF($I$20='Reference Sheet'!$J$4,$N$28,"$0.00")</f>
        <v>$0.00</v>
      </c>
      <c r="AW10" s="2643">
        <f ca="1">IF($I$35='Reference Sheet'!$J$3,$N$43,"$0.00")</f>
        <v>0</v>
      </c>
      <c r="AX10" s="2643" t="str">
        <f ca="1">IF($I$35='Reference Sheet'!$J$4,$N$43,"$0.00")</f>
        <v>$0.00</v>
      </c>
      <c r="AY10" s="2644">
        <f ca="1">IF($I$50='Reference Sheet'!$J$3,$N$58,"$0.00")</f>
        <v>0</v>
      </c>
      <c r="AZ10" s="2644" t="str">
        <f ca="1">IF($I$50='Reference Sheet'!$J$4,$N$58,"$0.00")</f>
        <v>$0.00</v>
      </c>
      <c r="BA10" s="2645">
        <f ca="1">IF($I$65='Reference Sheet'!$J$3,$N$73,"$0.00")</f>
        <v>0</v>
      </c>
      <c r="BB10" s="2645" t="str">
        <f ca="1">IF($I$65='Reference Sheet'!$J$4,$N$73,"$0.00")</f>
        <v>$0.00</v>
      </c>
      <c r="BC10" s="2646">
        <f ca="1">IF($I$80='Reference Sheet'!$J$3,$N$88,"$0.00")</f>
        <v>0</v>
      </c>
      <c r="BD10" s="2646" t="str">
        <f ca="1">IF($I$80='Reference Sheet'!J4,$N$88,"$0.00")</f>
        <v>$0.00</v>
      </c>
      <c r="BE10" s="2647">
        <f ca="1">IF($I$95='Reference Sheet'!$J$3,$N$103,"$0.00")</f>
        <v>0</v>
      </c>
      <c r="BF10" s="2647" t="str">
        <f ca="1">IF($I$95='Reference Sheet'!$J$4,$N$103,"$0.00")</f>
        <v>$0.00</v>
      </c>
      <c r="BG10" s="2648">
        <f ca="1">IF($I$110='Reference Sheet'!$J$3,$N$118,"$0.00")</f>
        <v>0</v>
      </c>
      <c r="BH10" s="2648" t="str">
        <f ca="1">IF($I$110='Reference Sheet'!$J$4,$N$118,"$0.00")</f>
        <v>$0.00</v>
      </c>
      <c r="BI10" s="2649">
        <f ca="1">IF($I$125='Reference Sheet'!$J$3,$N$133,"$0.00")</f>
        <v>0</v>
      </c>
      <c r="BJ10" s="2649" t="str">
        <f ca="1">IF($I$125='Reference Sheet'!$J$4,$N$133,"$0.00")</f>
        <v>$0.00</v>
      </c>
      <c r="BK10" s="2643">
        <f ca="1">IF($I$140='Reference Sheet'!$J$3,$N$148,"$0")</f>
        <v>0</v>
      </c>
      <c r="BL10" s="2643" t="str">
        <f ca="1">IF($I$140='Reference Sheet'!$J$4,$N$148,"$0")</f>
        <v>$0</v>
      </c>
      <c r="BM10" s="2644">
        <f ca="1">IF($I$155='Reference Sheet'!$J$3,$N$163,"$0.00")</f>
        <v>0</v>
      </c>
      <c r="BN10" s="2644" t="str">
        <f ca="1">IF($I$155='Reference Sheet'!$J$4,$N$163,"$0.00")</f>
        <v>$0.00</v>
      </c>
      <c r="BO10" s="2645">
        <f ca="1">IF($I$170='Reference Sheet'!$J$3,$N$178,"$0.00")</f>
        <v>0</v>
      </c>
      <c r="BP10" s="2645" t="str">
        <f ca="1">IF($I$170='Reference Sheet'!$J$4,$N$178,"$0.00")</f>
        <v>$0.00</v>
      </c>
      <c r="BQ10" s="2646">
        <f ca="1">IF($I$185='Reference Sheet'!$J$3,$N$193,"$0.00")</f>
        <v>0</v>
      </c>
      <c r="BR10" s="2646" t="str">
        <f ca="1">IF($I$185='Reference Sheet'!$J$4,$N$193,"$0.00")</f>
        <v>$0.00</v>
      </c>
      <c r="BS10" s="2647">
        <f ca="1">IF($I$200='Reference Sheet'!$J$3,$N$208,"$0.00")</f>
        <v>0</v>
      </c>
      <c r="BT10" s="2647" t="str">
        <f ca="1">IF($I$200='Reference Sheet'!$J$4,$N$208,"$0.00")</f>
        <v>$0.00</v>
      </c>
      <c r="BU10" s="2648">
        <f ca="1">IF($I$215='Reference Sheet'!$J$3,$N$223,"$0.00")</f>
        <v>0</v>
      </c>
      <c r="BV10" s="2648" t="str">
        <f ca="1">IF($I$215='Reference Sheet'!$J$4,$N$223,"$0.00")</f>
        <v>$0.00</v>
      </c>
    </row>
    <row r="11" spans="1:74" ht="15" customHeight="1" thickBot="1" x14ac:dyDescent="0.3">
      <c r="A11" s="858" t="s">
        <v>660</v>
      </c>
      <c r="B11" s="1652" t="s">
        <v>112</v>
      </c>
      <c r="C11" s="763" t="s">
        <v>111</v>
      </c>
      <c r="D11" s="3522"/>
      <c r="E11" s="3522"/>
      <c r="F11" s="3522"/>
      <c r="G11" s="3522"/>
      <c r="H11" s="3522"/>
      <c r="I11" s="3522"/>
      <c r="J11" s="3522"/>
      <c r="K11" s="3522"/>
      <c r="L11" s="3522"/>
      <c r="M11" s="3522"/>
      <c r="N11" s="3522"/>
      <c r="P11" s="3522"/>
      <c r="Q11" s="3522"/>
      <c r="S11" s="3678"/>
      <c r="T11" s="3676"/>
      <c r="U11" s="3676"/>
      <c r="V11" s="3676"/>
      <c r="W11" s="3676"/>
      <c r="X11" s="3676"/>
      <c r="Y11" s="3676"/>
      <c r="Z11" s="3676"/>
      <c r="AA11" s="3676"/>
      <c r="AB11" s="3674"/>
      <c r="AD11" s="3679"/>
      <c r="AE11" s="3679"/>
      <c r="AF11" s="3679"/>
      <c r="AG11" s="3679"/>
      <c r="AH11" s="3679"/>
      <c r="AI11" s="3679"/>
      <c r="AJ11" s="3679"/>
      <c r="AK11" s="3710"/>
      <c r="AL11" s="3680"/>
      <c r="AM11" s="3709"/>
      <c r="AO11" s="2337">
        <v>3</v>
      </c>
      <c r="AP11" s="1536">
        <f t="shared" ca="1" si="0"/>
        <v>0</v>
      </c>
      <c r="AQ11" s="1537">
        <f t="shared" ca="1" si="0"/>
        <v>0</v>
      </c>
      <c r="AR11" s="1538">
        <f t="shared" ca="1" si="1"/>
        <v>0</v>
      </c>
      <c r="AS11" s="2650">
        <f ca="1">IF($I$5='Reference Sheet'!$J$3,$N$14,"$0.00")</f>
        <v>0</v>
      </c>
      <c r="AT11" s="2650" t="str">
        <f ca="1">IF($I$5='Reference Sheet'!$J$4,$N$14,"$0.00")</f>
        <v>$0.00</v>
      </c>
      <c r="AU11" s="2648">
        <f ca="1">IF($I$20='Reference Sheet'!$J$3,$N$29,"$0.00")</f>
        <v>0</v>
      </c>
      <c r="AV11" s="2648" t="str">
        <f ca="1">IF($I$20='Reference Sheet'!$J$4,$N$29,"$0.00")</f>
        <v>$0.00</v>
      </c>
      <c r="AW11" s="2643">
        <f ca="1">IF($I$35='Reference Sheet'!$J$3,$N$44,"$0.00")</f>
        <v>0</v>
      </c>
      <c r="AX11" s="2643" t="str">
        <f ca="1">IF($I$35='Reference Sheet'!$J$4,$N$44,"$0.00")</f>
        <v>$0.00</v>
      </c>
      <c r="AY11" s="2644">
        <f ca="1">IF($I$50='Reference Sheet'!$J$3,$N$59,"$0.00")</f>
        <v>0</v>
      </c>
      <c r="AZ11" s="2644" t="str">
        <f ca="1">IF($I$50='Reference Sheet'!$J$4,$N$59,"$0.00")</f>
        <v>$0.00</v>
      </c>
      <c r="BA11" s="2645">
        <f ca="1">IF($I$65='Reference Sheet'!$J$3,$N$74,"$0.00")</f>
        <v>0</v>
      </c>
      <c r="BB11" s="2645" t="str">
        <f ca="1">IF($I$65='Reference Sheet'!$J$4,$N$74,"$0.00")</f>
        <v>$0.00</v>
      </c>
      <c r="BC11" s="2646">
        <f ca="1">IF($I$80='Reference Sheet'!$J$3,$N$89,"$0.00")</f>
        <v>0</v>
      </c>
      <c r="BD11" s="2646" t="str">
        <f ca="1">IF($I$80='Reference Sheet'!J4,$N$89,"$0.00")</f>
        <v>$0.00</v>
      </c>
      <c r="BE11" s="2647">
        <f ca="1">IF($I$95='Reference Sheet'!$J$3,$N$104,"$0.00")</f>
        <v>0</v>
      </c>
      <c r="BF11" s="2647" t="str">
        <f ca="1">IF($I$95='Reference Sheet'!$J$4,$N$104,"$0.00")</f>
        <v>$0.00</v>
      </c>
      <c r="BG11" s="2648">
        <f ca="1">IF($I$110='Reference Sheet'!$J$3,$N$119,"$0.00")</f>
        <v>0</v>
      </c>
      <c r="BH11" s="2648" t="str">
        <f ca="1">IF($I$110='Reference Sheet'!$J$4,$N$119,"$0.00")</f>
        <v>$0.00</v>
      </c>
      <c r="BI11" s="2649">
        <f ca="1">IF($I$125='Reference Sheet'!$J$3,$N$134,"$0.00")</f>
        <v>0</v>
      </c>
      <c r="BJ11" s="2649" t="str">
        <f ca="1">IF($I$125='Reference Sheet'!$J$4,$N$134,"$0.00")</f>
        <v>$0.00</v>
      </c>
      <c r="BK11" s="2643">
        <f ca="1">IF($I$140='Reference Sheet'!$J$3,$N$149,"$0")</f>
        <v>0</v>
      </c>
      <c r="BL11" s="2643" t="str">
        <f ca="1">IF($I$140='Reference Sheet'!$J$4,$N$149,"$0")</f>
        <v>$0</v>
      </c>
      <c r="BM11" s="2644">
        <f ca="1">IF($I$155='Reference Sheet'!$J$3,$N$164,"$0.00")</f>
        <v>0</v>
      </c>
      <c r="BN11" s="2644" t="str">
        <f ca="1">IF($I$155='Reference Sheet'!$J$4,$N$164,"$0.00")</f>
        <v>$0.00</v>
      </c>
      <c r="BO11" s="2645">
        <f ca="1">IF($I$170='Reference Sheet'!$J$3,$N$179,"$0.00")</f>
        <v>0</v>
      </c>
      <c r="BP11" s="2645" t="str">
        <f ca="1">IF($I$170='Reference Sheet'!$J$4,$N$179,"$0.00")</f>
        <v>$0.00</v>
      </c>
      <c r="BQ11" s="2646">
        <f ca="1">IF($I$185='Reference Sheet'!$J$3,$N$194,"$0.00")</f>
        <v>0</v>
      </c>
      <c r="BR11" s="2646" t="str">
        <f ca="1">IF($I$185='Reference Sheet'!$J$4,$N$194,"$0.00")</f>
        <v>$0.00</v>
      </c>
      <c r="BS11" s="2647">
        <f ca="1">IF($I$200='Reference Sheet'!$J$3,$N$209,"$0.00")</f>
        <v>0</v>
      </c>
      <c r="BT11" s="2647" t="str">
        <f ca="1">IF($I$200='Reference Sheet'!$J$4,$N$209,"$0.00")</f>
        <v>$0.00</v>
      </c>
      <c r="BU11" s="2648">
        <f ca="1">IF($I$215='Reference Sheet'!$J$3,$N$224,"$0.00")</f>
        <v>0</v>
      </c>
      <c r="BV11" s="2648" t="str">
        <f ca="1">IF($I$215='Reference Sheet'!$J$4,$N$224,"$0.00")</f>
        <v>$0.00</v>
      </c>
    </row>
    <row r="12" spans="1:74" x14ac:dyDescent="0.25">
      <c r="A12" s="651">
        <v>1</v>
      </c>
      <c r="B12" s="106">
        <f>IF('DATA INPUT'!$I$68&gt;=1,'DATA INPUT'!$E$68,0)</f>
        <v>4</v>
      </c>
      <c r="C12" s="106">
        <f t="shared" ref="C12:C17" si="2">IF(B12&gt;0,B12-1,0)</f>
        <v>3</v>
      </c>
      <c r="D12" s="106">
        <f ca="1">OFFSET('DATA INPUT'!$D$68,OFFSET($A$4,INT((ROW()-ROW($A$4))/15)*15,0)-1,0)</f>
        <v>1</v>
      </c>
      <c r="E12" s="106">
        <f ca="1">OFFSET('DATA INPUT'!$I$68,OFFSET($A$4,INT((ROW()-ROW($A$4))/15)*15,0)-1,A12-1)</f>
        <v>1</v>
      </c>
      <c r="F12" s="106">
        <f t="shared" ref="F12:F17" ca="1" si="3">E12*D12</f>
        <v>1</v>
      </c>
      <c r="G12" s="492">
        <f ca="1">B7</f>
        <v>86</v>
      </c>
      <c r="H12" s="492">
        <f ca="1">D7</f>
        <v>233</v>
      </c>
      <c r="I12" s="492">
        <f ca="1">F7</f>
        <v>600</v>
      </c>
      <c r="J12" s="492">
        <f>H7</f>
        <v>249</v>
      </c>
      <c r="K12" s="492">
        <f t="shared" ref="K12:K17" ca="1" si="4" xml:space="preserve"> H12*C12*$J$7</f>
        <v>90.87</v>
      </c>
      <c r="L12" s="492">
        <f>IF(L5="Yes",0,L7)</f>
        <v>550</v>
      </c>
      <c r="M12" s="1539">
        <f t="shared" ref="M12:M17" ca="1" si="5">IF(B12&lt;1,0,(IF(C12=0,SUM(I12:L12),((B12-0.5)*G12+C12*H12+SUM(I12:L12)))))</f>
        <v>2489.87</v>
      </c>
      <c r="N12" s="1500">
        <f t="shared" ref="N12:N17" ca="1" si="6">F12*M12</f>
        <v>2489.87</v>
      </c>
      <c r="O12" s="672">
        <f t="shared" ref="O12:O17" si="7">A12</f>
        <v>1</v>
      </c>
      <c r="P12" s="1657">
        <f t="shared" ref="P12:P17" ca="1" si="8">Q12*F12</f>
        <v>0</v>
      </c>
      <c r="Q12" s="1657">
        <f>IF(L5="Yes",L7,0)</f>
        <v>0</v>
      </c>
      <c r="S12" s="651">
        <v>1</v>
      </c>
      <c r="T12" s="106">
        <f t="shared" ref="T12:T17" si="9">B12</f>
        <v>4</v>
      </c>
      <c r="U12" s="2519">
        <f t="shared" ref="U12:U17" ca="1" si="10">G12</f>
        <v>86</v>
      </c>
      <c r="V12" s="2519">
        <f t="shared" ref="V12:V17" ca="1" si="11">IFERROR(H12+K12/C12,0)</f>
        <v>263.29000000000002</v>
      </c>
      <c r="W12" s="2519">
        <f t="shared" ref="W12:X17" ca="1" si="12">I12</f>
        <v>600</v>
      </c>
      <c r="X12" s="2519">
        <f t="shared" si="12"/>
        <v>249</v>
      </c>
      <c r="Y12" s="2519">
        <f t="shared" ref="Y12:Z17" si="13">L12</f>
        <v>550</v>
      </c>
      <c r="Z12" s="2522">
        <f t="shared" ca="1" si="13"/>
        <v>2489.87</v>
      </c>
      <c r="AA12" s="106">
        <f t="shared" ref="AA12:AA17" ca="1" si="14">F12</f>
        <v>1</v>
      </c>
      <c r="AB12" s="2525">
        <f t="shared" ref="AB12:AB17" ca="1" si="15">N12</f>
        <v>2489.87</v>
      </c>
      <c r="AD12" s="505">
        <v>1</v>
      </c>
      <c r="AE12" s="2539">
        <f t="shared" ref="AE12:AE17" si="16">B12</f>
        <v>4</v>
      </c>
      <c r="AF12" s="2539">
        <f t="shared" ref="AF12:AF17" ca="1" si="17">F12</f>
        <v>1</v>
      </c>
      <c r="AG12" s="457">
        <f t="shared" ref="AG12:AG17" ca="1" si="18">C12*H12+K12</f>
        <v>789.87</v>
      </c>
      <c r="AH12" s="457">
        <f t="shared" ref="AH12:AI17" ca="1" si="19">I12</f>
        <v>600</v>
      </c>
      <c r="AI12" s="457">
        <f t="shared" si="19"/>
        <v>249</v>
      </c>
      <c r="AJ12" s="457">
        <f t="shared" ref="AJ12:AJ17" ca="1" si="20">IF(AE12&gt;1,(B12-0.5)*G12,B12*G12)</f>
        <v>301</v>
      </c>
      <c r="AK12" s="457">
        <f t="shared" ref="AK12:AK17" ca="1" si="21">ROUND(SUM(AG12:AJ12)*AF12,0)</f>
        <v>1940</v>
      </c>
      <c r="AL12" s="718">
        <f t="shared" ref="AL12:AL17" ca="1" si="22">AF12*(L12+Q12)</f>
        <v>550</v>
      </c>
      <c r="AM12" s="2540">
        <f t="shared" ref="AM12:AM17" ca="1" si="23">AK12+AL12</f>
        <v>2490</v>
      </c>
      <c r="AO12" s="505">
        <v>4</v>
      </c>
      <c r="AP12" s="1536">
        <f t="shared" ca="1" si="0"/>
        <v>0</v>
      </c>
      <c r="AQ12" s="1537">
        <f t="shared" ca="1" si="0"/>
        <v>0</v>
      </c>
      <c r="AR12" s="1538">
        <f t="shared" ca="1" si="1"/>
        <v>0</v>
      </c>
      <c r="AS12" s="2650">
        <f ca="1">IF($I$5='Reference Sheet'!$J$3,$N$15,"$0.00")</f>
        <v>0</v>
      </c>
      <c r="AT12" s="2650" t="str">
        <f ca="1">IF($I$5='Reference Sheet'!$J$4,$N$15,"$0.00")</f>
        <v>$0.00</v>
      </c>
      <c r="AU12" s="2648">
        <f ca="1">IF($I$20='Reference Sheet'!$J$3,$N$30,"$0.00")</f>
        <v>0</v>
      </c>
      <c r="AV12" s="2648" t="str">
        <f ca="1">IF($I$20='Reference Sheet'!$J$4,$N$30,"$0.00")</f>
        <v>$0.00</v>
      </c>
      <c r="AW12" s="2643">
        <f ca="1">IF($I$35='Reference Sheet'!$J$3,$N$45,"$0.00")</f>
        <v>0</v>
      </c>
      <c r="AX12" s="2643" t="str">
        <f ca="1">IF($I$35='Reference Sheet'!$J$4,$N$45,"$0.00")</f>
        <v>$0.00</v>
      </c>
      <c r="AY12" s="2644">
        <f ca="1">IF($I$50='Reference Sheet'!$J$3,$N$60,"$0.00")</f>
        <v>0</v>
      </c>
      <c r="AZ12" s="2644" t="str">
        <f ca="1">IF($I$50='Reference Sheet'!$J$4,$N$60,"$0.00")</f>
        <v>$0.00</v>
      </c>
      <c r="BA12" s="2645">
        <f ca="1">IF($I$65='Reference Sheet'!$J$3,$N$75,"$0.00")</f>
        <v>0</v>
      </c>
      <c r="BB12" s="2645" t="str">
        <f ca="1">IF($I$65='Reference Sheet'!$J$4,$N$75,"$0.00")</f>
        <v>$0.00</v>
      </c>
      <c r="BC12" s="2646">
        <f ca="1">IF($I$80='Reference Sheet'!$J$3,$N$90,"$0.00")</f>
        <v>0</v>
      </c>
      <c r="BD12" s="2646" t="str">
        <f ca="1">IF($I$80='Reference Sheet'!J4,$N$90,"$0.00")</f>
        <v>$0.00</v>
      </c>
      <c r="BE12" s="2647">
        <f ca="1">IF($I$95='Reference Sheet'!$J$3,$N$105,"$0.00")</f>
        <v>0</v>
      </c>
      <c r="BF12" s="2647" t="str">
        <f ca="1">IF($I$95='Reference Sheet'!$J$4,$N$105,"$0.00")</f>
        <v>$0.00</v>
      </c>
      <c r="BG12" s="2648">
        <f ca="1">IF($I$110='Reference Sheet'!$J$3,$N$120,"$0.00")</f>
        <v>0</v>
      </c>
      <c r="BH12" s="2648" t="str">
        <f ca="1">IF($I$110='Reference Sheet'!$J$4,$N$120,"$0.00")</f>
        <v>$0.00</v>
      </c>
      <c r="BI12" s="2649">
        <f ca="1">IF($I$125='Reference Sheet'!$J$3,$N$135,"$0.00")</f>
        <v>0</v>
      </c>
      <c r="BJ12" s="2649" t="str">
        <f ca="1">IF($I$125='Reference Sheet'!$J$4,$N$135,"$0.00")</f>
        <v>$0.00</v>
      </c>
      <c r="BK12" s="2643">
        <f ca="1">IF($I$140='Reference Sheet'!$J$3,$N$150,"$0")</f>
        <v>0</v>
      </c>
      <c r="BL12" s="2643" t="str">
        <f ca="1">IF($I$140='Reference Sheet'!$J$4,$N$150,"$0")</f>
        <v>$0</v>
      </c>
      <c r="BM12" s="2644">
        <f ca="1">IF($I$155='Reference Sheet'!$J$3,$N$165,"$0.00")</f>
        <v>0</v>
      </c>
      <c r="BN12" s="2644" t="str">
        <f ca="1">IF($I$155='Reference Sheet'!$J$4,$N$165,"$0.00")</f>
        <v>$0.00</v>
      </c>
      <c r="BO12" s="2645">
        <f ca="1">IF($I$170='Reference Sheet'!$J$3,$N$180,"$0.00")</f>
        <v>0</v>
      </c>
      <c r="BP12" s="2645" t="str">
        <f ca="1">IF($I$170='Reference Sheet'!$J$4,$N$180,"$0.00")</f>
        <v>$0.00</v>
      </c>
      <c r="BQ12" s="2646">
        <f ca="1">IF($I$185='Reference Sheet'!$J$3,$N$195,"$0.00")</f>
        <v>0</v>
      </c>
      <c r="BR12" s="2646" t="str">
        <f ca="1">IF($I$185='Reference Sheet'!$J$4,$N$195,"$0.00")</f>
        <v>$0.00</v>
      </c>
      <c r="BS12" s="2647">
        <f ca="1">IF($I$200='Reference Sheet'!$J$3,$N$210,"$0.00")</f>
        <v>0</v>
      </c>
      <c r="BT12" s="2647" t="str">
        <f ca="1">IF($I$200='Reference Sheet'!$J$4,$N$210,"$0.00")</f>
        <v>$0.00</v>
      </c>
      <c r="BU12" s="2648">
        <f ca="1">IF($I$215='Reference Sheet'!$J$3,$N$225,"$0.00")</f>
        <v>0</v>
      </c>
      <c r="BV12" s="2648" t="str">
        <f ca="1">IF($I$215='Reference Sheet'!$J$4,$N$225,"$0.00")</f>
        <v>$0.00</v>
      </c>
    </row>
    <row r="13" spans="1:74" ht="15" customHeight="1" x14ac:dyDescent="0.25">
      <c r="A13" s="99">
        <v>2</v>
      </c>
      <c r="B13" s="108">
        <f>IF('DATA INPUT'!$J$68&gt;=1,'DATA INPUT'!$E$68,0)</f>
        <v>0</v>
      </c>
      <c r="C13" s="108">
        <f t="shared" si="2"/>
        <v>0</v>
      </c>
      <c r="D13" s="108">
        <f ca="1">OFFSET('DATA INPUT'!$D$68,OFFSET($A$4,INT((ROW()-ROW($A$4))/15)*15,0)-1,0)</f>
        <v>1</v>
      </c>
      <c r="E13" s="108">
        <f ca="1">OFFSET('DATA INPUT'!$I$68,OFFSET($A$4,INT((ROW()-ROW($A$4))/15)*15,0)-1,A13-1)</f>
        <v>0</v>
      </c>
      <c r="F13" s="108">
        <f t="shared" ca="1" si="3"/>
        <v>0</v>
      </c>
      <c r="G13" s="457">
        <f t="shared" ref="G13:J17" ca="1" si="24">(G12*$I$6)+G12</f>
        <v>88.58</v>
      </c>
      <c r="H13" s="457">
        <f t="shared" ca="1" si="24"/>
        <v>239.99</v>
      </c>
      <c r="I13" s="457">
        <f t="shared" ca="1" si="24"/>
        <v>618</v>
      </c>
      <c r="J13" s="457">
        <f t="shared" si="24"/>
        <v>256.47000000000003</v>
      </c>
      <c r="K13" s="457">
        <f t="shared" ca="1" si="4"/>
        <v>0</v>
      </c>
      <c r="L13" s="457">
        <f>(L12*$I$6)+L12</f>
        <v>566.5</v>
      </c>
      <c r="M13" s="1540">
        <f t="shared" si="5"/>
        <v>0</v>
      </c>
      <c r="N13" s="1541">
        <f t="shared" ca="1" si="6"/>
        <v>0</v>
      </c>
      <c r="O13" s="672">
        <f t="shared" si="7"/>
        <v>2</v>
      </c>
      <c r="P13" s="1489">
        <f t="shared" ca="1" si="8"/>
        <v>0</v>
      </c>
      <c r="Q13" s="1489">
        <f>(Q12*$I$6)+Q12</f>
        <v>0</v>
      </c>
      <c r="S13" s="99">
        <v>2</v>
      </c>
      <c r="T13" s="108">
        <f t="shared" si="9"/>
        <v>0</v>
      </c>
      <c r="U13" s="2520">
        <f t="shared" ca="1" si="10"/>
        <v>88.58</v>
      </c>
      <c r="V13" s="2520">
        <f t="shared" ca="1" si="11"/>
        <v>0</v>
      </c>
      <c r="W13" s="2520">
        <f t="shared" ca="1" si="12"/>
        <v>618</v>
      </c>
      <c r="X13" s="2520">
        <f t="shared" si="12"/>
        <v>256.47000000000003</v>
      </c>
      <c r="Y13" s="2520">
        <f t="shared" si="13"/>
        <v>566.5</v>
      </c>
      <c r="Z13" s="2523">
        <f t="shared" si="13"/>
        <v>0</v>
      </c>
      <c r="AA13" s="108">
        <f t="shared" ca="1" si="14"/>
        <v>0</v>
      </c>
      <c r="AB13" s="2526">
        <f t="shared" ca="1" si="15"/>
        <v>0</v>
      </c>
      <c r="AD13" s="505">
        <v>2</v>
      </c>
      <c r="AE13" s="2539">
        <f t="shared" si="16"/>
        <v>0</v>
      </c>
      <c r="AF13" s="2539">
        <f t="shared" ca="1" si="17"/>
        <v>0</v>
      </c>
      <c r="AG13" s="457">
        <f t="shared" ca="1" si="18"/>
        <v>0</v>
      </c>
      <c r="AH13" s="457">
        <f t="shared" ca="1" si="19"/>
        <v>618</v>
      </c>
      <c r="AI13" s="457">
        <f t="shared" si="19"/>
        <v>256.47000000000003</v>
      </c>
      <c r="AJ13" s="457">
        <f t="shared" ca="1" si="20"/>
        <v>0</v>
      </c>
      <c r="AK13" s="457">
        <f t="shared" ca="1" si="21"/>
        <v>0</v>
      </c>
      <c r="AL13" s="718">
        <f t="shared" ca="1" si="22"/>
        <v>0</v>
      </c>
      <c r="AM13" s="2540">
        <f t="shared" ca="1" si="23"/>
        <v>0</v>
      </c>
      <c r="AO13" s="505">
        <v>5</v>
      </c>
      <c r="AP13" s="1536">
        <f t="shared" ca="1" si="0"/>
        <v>0</v>
      </c>
      <c r="AQ13" s="1537">
        <f t="shared" ca="1" si="0"/>
        <v>0</v>
      </c>
      <c r="AR13" s="1538">
        <f t="shared" ca="1" si="1"/>
        <v>0</v>
      </c>
      <c r="AS13" s="2650">
        <f ca="1">IF($I$5='Reference Sheet'!$J$3,$N$16,"$0.00")</f>
        <v>0</v>
      </c>
      <c r="AT13" s="2650" t="str">
        <f ca="1">IF($I$5='Reference Sheet'!$J$4,$N$16,"$0.00")</f>
        <v>$0.00</v>
      </c>
      <c r="AU13" s="2648">
        <f ca="1">IF($I$20='Reference Sheet'!$J$3,$N$31,"$0.00")</f>
        <v>0</v>
      </c>
      <c r="AV13" s="2648" t="str">
        <f ca="1">IF($I$20='Reference Sheet'!$J$4,$N$31,"$0.00")</f>
        <v>$0.00</v>
      </c>
      <c r="AW13" s="2643">
        <f ca="1">IF($I$35='Reference Sheet'!$J$3,$N$46,"$0.00")</f>
        <v>0</v>
      </c>
      <c r="AX13" s="2643" t="str">
        <f ca="1">IF($I$35='Reference Sheet'!$J$4,$N$46,"$0.00")</f>
        <v>$0.00</v>
      </c>
      <c r="AY13" s="2644">
        <f ca="1">IF($I$50='Reference Sheet'!$J$3,$N$61,"$0.00")</f>
        <v>0</v>
      </c>
      <c r="AZ13" s="2644" t="str">
        <f ca="1">IF($I$50='Reference Sheet'!$J$4,$N$61,"$0.00")</f>
        <v>$0.00</v>
      </c>
      <c r="BA13" s="2645">
        <f ca="1">IF($I$65='Reference Sheet'!$J$3,$N$76,"$0.00")</f>
        <v>0</v>
      </c>
      <c r="BB13" s="2645" t="str">
        <f ca="1">IF($I$65='Reference Sheet'!$J$4,$N$76,"$0.00")</f>
        <v>$0.00</v>
      </c>
      <c r="BC13" s="2646">
        <f ca="1">IF($I$80='Reference Sheet'!$J$3,$N$91,"$0.00")</f>
        <v>0</v>
      </c>
      <c r="BD13" s="2646" t="str">
        <f ca="1">IF($I$80='Reference Sheet'!J4,$N$91,"$0.00")</f>
        <v>$0.00</v>
      </c>
      <c r="BE13" s="2647">
        <f ca="1">IF($I$95='Reference Sheet'!$J$3,$N$106,"$0.00")</f>
        <v>0</v>
      </c>
      <c r="BF13" s="2647" t="str">
        <f ca="1">IF($I$95='Reference Sheet'!$J$4,$N$106,"$0.00")</f>
        <v>$0.00</v>
      </c>
      <c r="BG13" s="2648">
        <f ca="1">IF($I$110='Reference Sheet'!$J$3,$N$121,"$0.00")</f>
        <v>0</v>
      </c>
      <c r="BH13" s="2648" t="str">
        <f ca="1">IF($I$110='Reference Sheet'!$J$4,$N$121,"$0.00")</f>
        <v>$0.00</v>
      </c>
      <c r="BI13" s="2649">
        <f ca="1">IF($I$125='Reference Sheet'!$J$3,$N$136,"$0.00")</f>
        <v>0</v>
      </c>
      <c r="BJ13" s="2649" t="str">
        <f ca="1">IF($I$125='Reference Sheet'!$J$4,$N$136,"$0.00")</f>
        <v>$0.00</v>
      </c>
      <c r="BK13" s="2643">
        <f ca="1">IF($I$140='Reference Sheet'!$J$3,$N$151,"$0")</f>
        <v>0</v>
      </c>
      <c r="BL13" s="2643" t="str">
        <f ca="1">IF($I$140='Reference Sheet'!$J$4,$N$151,"$0")</f>
        <v>$0</v>
      </c>
      <c r="BM13" s="2644">
        <f ca="1">IF($I$155='Reference Sheet'!$J$3,$N$166,"$0.00")</f>
        <v>0</v>
      </c>
      <c r="BN13" s="2644" t="str">
        <f ca="1">IF($I$155='Reference Sheet'!$J$4,$N$166,"$0.00")</f>
        <v>$0.00</v>
      </c>
      <c r="BO13" s="2645">
        <f ca="1">IF($I$170='Reference Sheet'!$J$3,$N$181,"$0.00")</f>
        <v>0</v>
      </c>
      <c r="BP13" s="2645" t="str">
        <f ca="1">IF($I$170='Reference Sheet'!$J$4,$N$181,"$0.00")</f>
        <v>$0.00</v>
      </c>
      <c r="BQ13" s="2646">
        <f ca="1">IF($I$185='Reference Sheet'!$J$3,$N$196,"$0.00")</f>
        <v>0</v>
      </c>
      <c r="BR13" s="2646" t="str">
        <f ca="1">IF($I$185='Reference Sheet'!$J$4,$N$196,"$0.00")</f>
        <v>$0.00</v>
      </c>
      <c r="BS13" s="2647">
        <f ca="1">IF($I$200='Reference Sheet'!$J$3,$N$211,"$0.00")</f>
        <v>0</v>
      </c>
      <c r="BT13" s="2647" t="str">
        <f ca="1">IF($I$200='Reference Sheet'!$J$4,$N$211,"$0.00")</f>
        <v>$0.00</v>
      </c>
      <c r="BU13" s="2648">
        <f ca="1">IF($I$215='Reference Sheet'!$J$3,$N$226,"$0.00")</f>
        <v>0</v>
      </c>
      <c r="BV13" s="2648" t="str">
        <f ca="1">IF($I$215='Reference Sheet'!$J$4,$N$226,"$0.00")</f>
        <v>$0.00</v>
      </c>
    </row>
    <row r="14" spans="1:74" x14ac:dyDescent="0.25">
      <c r="A14" s="652">
        <v>3</v>
      </c>
      <c r="B14" s="108">
        <f>IF('DATA INPUT'!$K$68&gt;=1,'DATA INPUT'!$E$68,0)</f>
        <v>0</v>
      </c>
      <c r="C14" s="108">
        <f t="shared" si="2"/>
        <v>0</v>
      </c>
      <c r="D14" s="108">
        <f ca="1">OFFSET('DATA INPUT'!$D$68,OFFSET($A$4,INT((ROW()-ROW($A$4))/15)*15,0)-1,0)</f>
        <v>1</v>
      </c>
      <c r="E14" s="108">
        <f ca="1">OFFSET('DATA INPUT'!$I$68,OFFSET($A$4,INT((ROW()-ROW($A$4))/15)*15,0)-1,A14-1)</f>
        <v>0</v>
      </c>
      <c r="F14" s="108">
        <f t="shared" ca="1" si="3"/>
        <v>0</v>
      </c>
      <c r="G14" s="457">
        <f t="shared" ca="1" si="24"/>
        <v>91.237399999999994</v>
      </c>
      <c r="H14" s="457">
        <f t="shared" ca="1" si="24"/>
        <v>247.18970000000002</v>
      </c>
      <c r="I14" s="457">
        <f t="shared" ca="1" si="24"/>
        <v>636.54</v>
      </c>
      <c r="J14" s="457">
        <f t="shared" si="24"/>
        <v>264.16410000000002</v>
      </c>
      <c r="K14" s="457">
        <f t="shared" ca="1" si="4"/>
        <v>0</v>
      </c>
      <c r="L14" s="457">
        <f>(L13*$I$6)+L13</f>
        <v>583.495</v>
      </c>
      <c r="M14" s="1540">
        <f t="shared" si="5"/>
        <v>0</v>
      </c>
      <c r="N14" s="1541">
        <f t="shared" ca="1" si="6"/>
        <v>0</v>
      </c>
      <c r="O14" s="672">
        <f t="shared" si="7"/>
        <v>3</v>
      </c>
      <c r="P14" s="1489">
        <f t="shared" ca="1" si="8"/>
        <v>0</v>
      </c>
      <c r="Q14" s="1489">
        <f>(Q13*$I$6)+Q13</f>
        <v>0</v>
      </c>
      <c r="S14" s="652">
        <v>3</v>
      </c>
      <c r="T14" s="108">
        <f t="shared" si="9"/>
        <v>0</v>
      </c>
      <c r="U14" s="2520">
        <f t="shared" ca="1" si="10"/>
        <v>91.237399999999994</v>
      </c>
      <c r="V14" s="2520">
        <f t="shared" ca="1" si="11"/>
        <v>0</v>
      </c>
      <c r="W14" s="2520">
        <f t="shared" ca="1" si="12"/>
        <v>636.54</v>
      </c>
      <c r="X14" s="2520">
        <f t="shared" si="12"/>
        <v>264.16410000000002</v>
      </c>
      <c r="Y14" s="2520">
        <f t="shared" si="13"/>
        <v>583.495</v>
      </c>
      <c r="Z14" s="2523">
        <f t="shared" si="13"/>
        <v>0</v>
      </c>
      <c r="AA14" s="108">
        <f t="shared" ca="1" si="14"/>
        <v>0</v>
      </c>
      <c r="AB14" s="2526">
        <f t="shared" ca="1" si="15"/>
        <v>0</v>
      </c>
      <c r="AD14" s="505">
        <v>3</v>
      </c>
      <c r="AE14" s="2539">
        <f t="shared" si="16"/>
        <v>0</v>
      </c>
      <c r="AF14" s="2539">
        <f t="shared" ca="1" si="17"/>
        <v>0</v>
      </c>
      <c r="AG14" s="457">
        <f t="shared" ca="1" si="18"/>
        <v>0</v>
      </c>
      <c r="AH14" s="457">
        <f t="shared" ca="1" si="19"/>
        <v>636.54</v>
      </c>
      <c r="AI14" s="457">
        <f t="shared" si="19"/>
        <v>264.16410000000002</v>
      </c>
      <c r="AJ14" s="457">
        <f t="shared" ca="1" si="20"/>
        <v>0</v>
      </c>
      <c r="AK14" s="457">
        <f t="shared" ca="1" si="21"/>
        <v>0</v>
      </c>
      <c r="AL14" s="718">
        <f t="shared" ca="1" si="22"/>
        <v>0</v>
      </c>
      <c r="AM14" s="2540">
        <f t="shared" ca="1" si="23"/>
        <v>0</v>
      </c>
      <c r="AO14" s="505">
        <v>6</v>
      </c>
      <c r="AP14" s="1536">
        <f t="shared" ca="1" si="0"/>
        <v>0</v>
      </c>
      <c r="AQ14" s="1537">
        <f t="shared" ca="1" si="0"/>
        <v>0</v>
      </c>
      <c r="AR14" s="1538">
        <f t="shared" ca="1" si="1"/>
        <v>0</v>
      </c>
      <c r="AS14" s="2650">
        <f ca="1">IF($I$5='Reference Sheet'!$J$3,$N$17,"$0.00")</f>
        <v>0</v>
      </c>
      <c r="AT14" s="2650" t="str">
        <f ca="1">IF($I$5='Reference Sheet'!$J$4,$N$17,"$0.00")</f>
        <v>$0.00</v>
      </c>
      <c r="AU14" s="2648">
        <f ca="1">IF($I$20='Reference Sheet'!$J$3,$N$32,"$0.00")</f>
        <v>0</v>
      </c>
      <c r="AV14" s="2648" t="str">
        <f ca="1">IF($I$20='Reference Sheet'!$J$4,$N$32,"$0.00")</f>
        <v>$0.00</v>
      </c>
      <c r="AW14" s="2643">
        <f ca="1">IF($I$35='Reference Sheet'!$J$3,$N$47,"$0.00")</f>
        <v>0</v>
      </c>
      <c r="AX14" s="2643" t="str">
        <f ca="1">IF($I$35='Reference Sheet'!$J$4,$N$47,"$0.00")</f>
        <v>$0.00</v>
      </c>
      <c r="AY14" s="2644">
        <f ca="1">IF($I$50='Reference Sheet'!$J$3,$N$62,"$0.00")</f>
        <v>0</v>
      </c>
      <c r="AZ14" s="2644" t="str">
        <f ca="1">IF($I$50='Reference Sheet'!$J$4,$N$62,"$0.00")</f>
        <v>$0.00</v>
      </c>
      <c r="BA14" s="2645">
        <f ca="1">IF($I$65='Reference Sheet'!$J$3,$N$77,"$0.00")</f>
        <v>0</v>
      </c>
      <c r="BB14" s="2645" t="str">
        <f ca="1">IF($I$65='Reference Sheet'!$J$4,$N$77,"$0.00")</f>
        <v>$0.00</v>
      </c>
      <c r="BC14" s="2646">
        <f ca="1">IF($I$80='Reference Sheet'!$J$3,$N$92,"$0.00")</f>
        <v>0</v>
      </c>
      <c r="BD14" s="2646" t="str">
        <f ca="1">IF($I$80='Reference Sheet'!J4,$N$92,"$0.00")</f>
        <v>$0.00</v>
      </c>
      <c r="BE14" s="2647">
        <f ca="1">IF($I$95='Reference Sheet'!$J$3,$N$107,"$0.00")</f>
        <v>0</v>
      </c>
      <c r="BF14" s="2647" t="str">
        <f ca="1">IF($I$95='Reference Sheet'!$J$4,$N$107,"$0.00")</f>
        <v>$0.00</v>
      </c>
      <c r="BG14" s="2648">
        <f ca="1">IF($I$110='Reference Sheet'!$J$3,$N$122,"$0.00")</f>
        <v>0</v>
      </c>
      <c r="BH14" s="2648" t="str">
        <f ca="1">IF($I$110='Reference Sheet'!$J$4,$N$122,"$0.00")</f>
        <v>$0.00</v>
      </c>
      <c r="BI14" s="2649">
        <f ca="1">IF($I$125='Reference Sheet'!$J$3,$N$137,"$0.00")</f>
        <v>0</v>
      </c>
      <c r="BJ14" s="2649" t="str">
        <f ca="1">IF($I$125='Reference Sheet'!$J$4,$N$137,"$0.00")</f>
        <v>$0.00</v>
      </c>
      <c r="BK14" s="2643">
        <f ca="1">IF($I$140='Reference Sheet'!$J$3,$N$152,"$0")</f>
        <v>0</v>
      </c>
      <c r="BL14" s="2643" t="str">
        <f ca="1">IF($I$140='Reference Sheet'!$J$4,$N$152,"$0")</f>
        <v>$0</v>
      </c>
      <c r="BM14" s="2644">
        <f ca="1">IF($I$155='Reference Sheet'!$J$3,$N$167,"$0.00")</f>
        <v>0</v>
      </c>
      <c r="BN14" s="2644" t="str">
        <f ca="1">IF($I$155='Reference Sheet'!$J$4,$N$167,"$0.00")</f>
        <v>$0.00</v>
      </c>
      <c r="BO14" s="2645">
        <f ca="1">IF($I$170='Reference Sheet'!$J$3,$N$182,"$0.00")</f>
        <v>0</v>
      </c>
      <c r="BP14" s="2645" t="str">
        <f ca="1">IF($I$170='Reference Sheet'!$J$4,$N$182,"$0.00")</f>
        <v>$0.00</v>
      </c>
      <c r="BQ14" s="2646">
        <f ca="1">IF($I$185='Reference Sheet'!$J$3,$N$197,"$0.00")</f>
        <v>0</v>
      </c>
      <c r="BR14" s="2646" t="str">
        <f ca="1">IF($I$185='Reference Sheet'!$J$4,$N$197,"$0.00")</f>
        <v>$0.00</v>
      </c>
      <c r="BS14" s="2647">
        <f ca="1">IF($I$200='Reference Sheet'!$J$3,$N$212,"$0.00")</f>
        <v>0</v>
      </c>
      <c r="BT14" s="2647" t="str">
        <f ca="1">IF($I$200='Reference Sheet'!$J$4,$N$212,"$0.00")</f>
        <v>$0.00</v>
      </c>
      <c r="BU14" s="2648">
        <f ca="1">IF($I$215='Reference Sheet'!$J$3,$N$227,"$0.00")</f>
        <v>0</v>
      </c>
      <c r="BV14" s="2648" t="str">
        <f ca="1">IF($I$215='Reference Sheet'!$J$4,$N$227,"$0.00")</f>
        <v>$0.00</v>
      </c>
    </row>
    <row r="15" spans="1:74" x14ac:dyDescent="0.25">
      <c r="A15" s="99">
        <v>4</v>
      </c>
      <c r="B15" s="108">
        <f>IF('DATA INPUT'!$L$68&gt;=1,'DATA INPUT'!$E$68,0)</f>
        <v>0</v>
      </c>
      <c r="C15" s="108">
        <f t="shared" si="2"/>
        <v>0</v>
      </c>
      <c r="D15" s="108">
        <f ca="1">OFFSET('DATA INPUT'!$D$68,OFFSET($A$4,INT((ROW()-ROW($A$4))/15)*15,0)-1,0)</f>
        <v>1</v>
      </c>
      <c r="E15" s="108">
        <f ca="1">OFFSET('DATA INPUT'!$I$68,OFFSET($A$4,INT((ROW()-ROW($A$4))/15)*15,0)-1,A15-1)</f>
        <v>0</v>
      </c>
      <c r="F15" s="108">
        <f t="shared" ca="1" si="3"/>
        <v>0</v>
      </c>
      <c r="G15" s="457">
        <f t="shared" ca="1" si="24"/>
        <v>93.974521999999993</v>
      </c>
      <c r="H15" s="457">
        <f t="shared" ca="1" si="24"/>
        <v>254.60539100000003</v>
      </c>
      <c r="I15" s="457">
        <f t="shared" ca="1" si="24"/>
        <v>655.63619999999992</v>
      </c>
      <c r="J15" s="457">
        <f t="shared" si="24"/>
        <v>272.089023</v>
      </c>
      <c r="K15" s="457">
        <f t="shared" ca="1" si="4"/>
        <v>0</v>
      </c>
      <c r="L15" s="457">
        <f>(L14*$I$6)+L14</f>
        <v>600.99985000000004</v>
      </c>
      <c r="M15" s="1540">
        <f t="shared" si="5"/>
        <v>0</v>
      </c>
      <c r="N15" s="1541">
        <f t="shared" ca="1" si="6"/>
        <v>0</v>
      </c>
      <c r="O15" s="672">
        <f t="shared" si="7"/>
        <v>4</v>
      </c>
      <c r="P15" s="1489">
        <f t="shared" ca="1" si="8"/>
        <v>0</v>
      </c>
      <c r="Q15" s="1489">
        <f>(Q14*$I$6)+Q14</f>
        <v>0</v>
      </c>
      <c r="S15" s="99">
        <v>4</v>
      </c>
      <c r="T15" s="108">
        <f t="shared" si="9"/>
        <v>0</v>
      </c>
      <c r="U15" s="2520">
        <f t="shared" ca="1" si="10"/>
        <v>93.974521999999993</v>
      </c>
      <c r="V15" s="2520">
        <f t="shared" ca="1" si="11"/>
        <v>0</v>
      </c>
      <c r="W15" s="2520">
        <f t="shared" ca="1" si="12"/>
        <v>655.63619999999992</v>
      </c>
      <c r="X15" s="2520">
        <f t="shared" si="12"/>
        <v>272.089023</v>
      </c>
      <c r="Y15" s="2520">
        <f t="shared" si="13"/>
        <v>600.99985000000004</v>
      </c>
      <c r="Z15" s="2523">
        <f t="shared" si="13"/>
        <v>0</v>
      </c>
      <c r="AA15" s="108">
        <f t="shared" ca="1" si="14"/>
        <v>0</v>
      </c>
      <c r="AB15" s="2526">
        <f t="shared" ca="1" si="15"/>
        <v>0</v>
      </c>
      <c r="AD15" s="505">
        <v>4</v>
      </c>
      <c r="AE15" s="2539">
        <f t="shared" si="16"/>
        <v>0</v>
      </c>
      <c r="AF15" s="2539">
        <f t="shared" ca="1" si="17"/>
        <v>0</v>
      </c>
      <c r="AG15" s="457">
        <f t="shared" ca="1" si="18"/>
        <v>0</v>
      </c>
      <c r="AH15" s="457">
        <f t="shared" ca="1" si="19"/>
        <v>655.63619999999992</v>
      </c>
      <c r="AI15" s="457">
        <f t="shared" si="19"/>
        <v>272.089023</v>
      </c>
      <c r="AJ15" s="457">
        <f t="shared" ca="1" si="20"/>
        <v>0</v>
      </c>
      <c r="AK15" s="457">
        <f t="shared" ca="1" si="21"/>
        <v>0</v>
      </c>
      <c r="AL15" s="718">
        <f t="shared" ca="1" si="22"/>
        <v>0</v>
      </c>
      <c r="AM15" s="2540">
        <f t="shared" ca="1" si="23"/>
        <v>0</v>
      </c>
      <c r="AO15" s="2337" t="s">
        <v>85</v>
      </c>
      <c r="AP15" s="1536">
        <f ca="1">SUM(AP9:AP14)</f>
        <v>2489.87</v>
      </c>
      <c r="AQ15" s="1537">
        <f ca="1">SUM(AQ9:AQ14)</f>
        <v>0</v>
      </c>
      <c r="AR15" s="1538">
        <f t="shared" ca="1" si="1"/>
        <v>2489.87</v>
      </c>
      <c r="AS15" s="1542">
        <f t="shared" ref="AS15:BV15" ca="1" si="25">SUM(AS9:AS14)</f>
        <v>2489.87</v>
      </c>
      <c r="AT15" s="1542">
        <f t="shared" ca="1" si="25"/>
        <v>0</v>
      </c>
      <c r="AU15" s="1543">
        <f t="shared" ca="1" si="25"/>
        <v>0</v>
      </c>
      <c r="AV15" s="1543">
        <f t="shared" ca="1" si="25"/>
        <v>0</v>
      </c>
      <c r="AW15" s="1544">
        <f t="shared" ca="1" si="25"/>
        <v>0</v>
      </c>
      <c r="AX15" s="1544">
        <f t="shared" ca="1" si="25"/>
        <v>0</v>
      </c>
      <c r="AY15" s="1545">
        <f t="shared" ca="1" si="25"/>
        <v>0</v>
      </c>
      <c r="AZ15" s="1545">
        <f t="shared" ca="1" si="25"/>
        <v>0</v>
      </c>
      <c r="BA15" s="1546">
        <f t="shared" ca="1" si="25"/>
        <v>0</v>
      </c>
      <c r="BB15" s="1546">
        <f t="shared" ca="1" si="25"/>
        <v>0</v>
      </c>
      <c r="BC15" s="1547">
        <f t="shared" ca="1" si="25"/>
        <v>0</v>
      </c>
      <c r="BD15" s="1547">
        <f t="shared" ca="1" si="25"/>
        <v>0</v>
      </c>
      <c r="BE15" s="1548">
        <f t="shared" ca="1" si="25"/>
        <v>0</v>
      </c>
      <c r="BF15" s="1548">
        <f t="shared" ca="1" si="25"/>
        <v>0</v>
      </c>
      <c r="BG15" s="1549">
        <f t="shared" ca="1" si="25"/>
        <v>0</v>
      </c>
      <c r="BH15" s="1549">
        <f t="shared" ca="1" si="25"/>
        <v>0</v>
      </c>
      <c r="BI15" s="2642">
        <f t="shared" ca="1" si="25"/>
        <v>0</v>
      </c>
      <c r="BJ15" s="2642">
        <f t="shared" ca="1" si="25"/>
        <v>0</v>
      </c>
      <c r="BK15" s="1544">
        <f t="shared" ca="1" si="25"/>
        <v>0</v>
      </c>
      <c r="BL15" s="1544">
        <f t="shared" ca="1" si="25"/>
        <v>0</v>
      </c>
      <c r="BM15" s="1545">
        <f t="shared" ca="1" si="25"/>
        <v>0</v>
      </c>
      <c r="BN15" s="1545">
        <f t="shared" ca="1" si="25"/>
        <v>0</v>
      </c>
      <c r="BO15" s="1546">
        <f t="shared" ca="1" si="25"/>
        <v>0</v>
      </c>
      <c r="BP15" s="1546">
        <f t="shared" ca="1" si="25"/>
        <v>0</v>
      </c>
      <c r="BQ15" s="1547">
        <f t="shared" ca="1" si="25"/>
        <v>0</v>
      </c>
      <c r="BR15" s="1547">
        <f t="shared" ca="1" si="25"/>
        <v>0</v>
      </c>
      <c r="BS15" s="1548">
        <f t="shared" ca="1" si="25"/>
        <v>0</v>
      </c>
      <c r="BT15" s="1548">
        <f t="shared" ca="1" si="25"/>
        <v>0</v>
      </c>
      <c r="BU15" s="1549">
        <f t="shared" ca="1" si="25"/>
        <v>0</v>
      </c>
      <c r="BV15" s="1549">
        <f t="shared" ca="1" si="25"/>
        <v>0</v>
      </c>
    </row>
    <row r="16" spans="1:74" x14ac:dyDescent="0.25">
      <c r="A16" s="99">
        <v>5</v>
      </c>
      <c r="B16" s="108">
        <f>IF('DATA INPUT'!$M$68&gt;=1,'DATA INPUT'!$E$68,0)</f>
        <v>0</v>
      </c>
      <c r="C16" s="108">
        <f t="shared" si="2"/>
        <v>0</v>
      </c>
      <c r="D16" s="108">
        <f ca="1">OFFSET('DATA INPUT'!$D$68,OFFSET($A$4,INT((ROW()-ROW($A$4))/15)*15,0)-1,0)</f>
        <v>1</v>
      </c>
      <c r="E16" s="108">
        <f ca="1">OFFSET('DATA INPUT'!$I$68,OFFSET($A$4,INT((ROW()-ROW($A$4))/15)*15,0)-1,A16-1)</f>
        <v>0</v>
      </c>
      <c r="F16" s="108">
        <f t="shared" ca="1" si="3"/>
        <v>0</v>
      </c>
      <c r="G16" s="457">
        <f t="shared" ca="1" si="24"/>
        <v>96.793757659999997</v>
      </c>
      <c r="H16" s="457">
        <f t="shared" ca="1" si="24"/>
        <v>262.24355273000003</v>
      </c>
      <c r="I16" s="457">
        <f t="shared" ca="1" si="24"/>
        <v>675.30528599999991</v>
      </c>
      <c r="J16" s="457">
        <f t="shared" si="24"/>
        <v>280.25169369000002</v>
      </c>
      <c r="K16" s="457">
        <f t="shared" ca="1" si="4"/>
        <v>0</v>
      </c>
      <c r="L16" s="457">
        <f>(L15*$I$6)+L15</f>
        <v>619.02984550000008</v>
      </c>
      <c r="M16" s="1540">
        <f t="shared" si="5"/>
        <v>0</v>
      </c>
      <c r="N16" s="1541">
        <f t="shared" ca="1" si="6"/>
        <v>0</v>
      </c>
      <c r="O16" s="672">
        <f t="shared" si="7"/>
        <v>5</v>
      </c>
      <c r="P16" s="1489">
        <f t="shared" ca="1" si="8"/>
        <v>0</v>
      </c>
      <c r="Q16" s="1489">
        <f>(Q15*$I$6)+Q15</f>
        <v>0</v>
      </c>
      <c r="S16" s="99">
        <v>5</v>
      </c>
      <c r="T16" s="108">
        <f t="shared" si="9"/>
        <v>0</v>
      </c>
      <c r="U16" s="2520">
        <f t="shared" ca="1" si="10"/>
        <v>96.793757659999997</v>
      </c>
      <c r="V16" s="2520">
        <f t="shared" ca="1" si="11"/>
        <v>0</v>
      </c>
      <c r="W16" s="2520">
        <f t="shared" ca="1" si="12"/>
        <v>675.30528599999991</v>
      </c>
      <c r="X16" s="2520">
        <f t="shared" si="12"/>
        <v>280.25169369000002</v>
      </c>
      <c r="Y16" s="2520">
        <f t="shared" si="13"/>
        <v>619.02984550000008</v>
      </c>
      <c r="Z16" s="2523">
        <f t="shared" si="13"/>
        <v>0</v>
      </c>
      <c r="AA16" s="108">
        <f t="shared" ca="1" si="14"/>
        <v>0</v>
      </c>
      <c r="AB16" s="2526">
        <f t="shared" ca="1" si="15"/>
        <v>0</v>
      </c>
      <c r="AD16" s="505">
        <v>5</v>
      </c>
      <c r="AE16" s="2539">
        <f t="shared" si="16"/>
        <v>0</v>
      </c>
      <c r="AF16" s="2539">
        <f t="shared" ca="1" si="17"/>
        <v>0</v>
      </c>
      <c r="AG16" s="457">
        <f t="shared" ca="1" si="18"/>
        <v>0</v>
      </c>
      <c r="AH16" s="457">
        <f t="shared" ca="1" si="19"/>
        <v>675.30528599999991</v>
      </c>
      <c r="AI16" s="457">
        <f t="shared" si="19"/>
        <v>280.25169369000002</v>
      </c>
      <c r="AJ16" s="457">
        <f t="shared" ca="1" si="20"/>
        <v>0</v>
      </c>
      <c r="AK16" s="457">
        <f t="shared" ca="1" si="21"/>
        <v>0</v>
      </c>
      <c r="AL16" s="718">
        <f t="shared" ca="1" si="22"/>
        <v>0</v>
      </c>
      <c r="AM16" s="2540">
        <f t="shared" ca="1" si="23"/>
        <v>0</v>
      </c>
    </row>
    <row r="17" spans="1:74" ht="15.75" thickBot="1" x14ac:dyDescent="0.3">
      <c r="A17" s="98">
        <v>6</v>
      </c>
      <c r="B17" s="109">
        <f>IF('DATA INPUT'!$N$68&gt;=1,'DATA INPUT'!$E$68,0)</f>
        <v>0</v>
      </c>
      <c r="C17" s="109">
        <f t="shared" si="2"/>
        <v>0</v>
      </c>
      <c r="D17" s="109">
        <f ca="1">OFFSET('DATA INPUT'!$D$68,OFFSET($A$4,INT((ROW()-ROW($A$4))/15)*15,0)-1,0)</f>
        <v>1</v>
      </c>
      <c r="E17" s="109">
        <f ca="1">OFFSET('DATA INPUT'!$I$68,OFFSET($A$4,INT((ROW()-ROW($A$4))/15)*15,0)-1,A17-1)</f>
        <v>0</v>
      </c>
      <c r="F17" s="109">
        <f t="shared" ca="1" si="3"/>
        <v>0</v>
      </c>
      <c r="G17" s="495">
        <f t="shared" ca="1" si="24"/>
        <v>99.697570389799992</v>
      </c>
      <c r="H17" s="495">
        <f t="shared" ca="1" si="24"/>
        <v>270.11085931190001</v>
      </c>
      <c r="I17" s="495">
        <f t="shared" ca="1" si="24"/>
        <v>695.56444457999987</v>
      </c>
      <c r="J17" s="495">
        <f t="shared" si="24"/>
        <v>288.65924450070003</v>
      </c>
      <c r="K17" s="495">
        <f t="shared" ca="1" si="4"/>
        <v>0</v>
      </c>
      <c r="L17" s="495">
        <f>(L16*$I$6)+L16</f>
        <v>637.60074086500003</v>
      </c>
      <c r="M17" s="1550">
        <f t="shared" si="5"/>
        <v>0</v>
      </c>
      <c r="N17" s="1551">
        <f t="shared" ca="1" si="6"/>
        <v>0</v>
      </c>
      <c r="O17" s="672">
        <f t="shared" si="7"/>
        <v>6</v>
      </c>
      <c r="P17" s="1513">
        <f t="shared" ca="1" si="8"/>
        <v>0</v>
      </c>
      <c r="Q17" s="1513">
        <f>(Q16*$I$6)+Q16</f>
        <v>0</v>
      </c>
      <c r="S17" s="98">
        <v>6</v>
      </c>
      <c r="T17" s="109">
        <f t="shared" si="9"/>
        <v>0</v>
      </c>
      <c r="U17" s="2521">
        <f t="shared" ca="1" si="10"/>
        <v>99.697570389799992</v>
      </c>
      <c r="V17" s="2521">
        <f t="shared" ca="1" si="11"/>
        <v>0</v>
      </c>
      <c r="W17" s="2521">
        <f t="shared" ca="1" si="12"/>
        <v>695.56444457999987</v>
      </c>
      <c r="X17" s="2521">
        <f t="shared" si="12"/>
        <v>288.65924450070003</v>
      </c>
      <c r="Y17" s="2521">
        <f t="shared" si="13"/>
        <v>637.60074086500003</v>
      </c>
      <c r="Z17" s="2524">
        <f t="shared" si="13"/>
        <v>0</v>
      </c>
      <c r="AA17" s="109">
        <f t="shared" ca="1" si="14"/>
        <v>0</v>
      </c>
      <c r="AB17" s="2527">
        <f t="shared" ca="1" si="15"/>
        <v>0</v>
      </c>
      <c r="AD17" s="505">
        <v>6</v>
      </c>
      <c r="AE17" s="2539">
        <f t="shared" si="16"/>
        <v>0</v>
      </c>
      <c r="AF17" s="2539">
        <f t="shared" ca="1" si="17"/>
        <v>0</v>
      </c>
      <c r="AG17" s="457">
        <f t="shared" ca="1" si="18"/>
        <v>0</v>
      </c>
      <c r="AH17" s="457">
        <f t="shared" ca="1" si="19"/>
        <v>695.56444457999987</v>
      </c>
      <c r="AI17" s="457">
        <f t="shared" si="19"/>
        <v>288.65924450070003</v>
      </c>
      <c r="AJ17" s="457">
        <f t="shared" ca="1" si="20"/>
        <v>0</v>
      </c>
      <c r="AK17" s="457">
        <f t="shared" ca="1" si="21"/>
        <v>0</v>
      </c>
      <c r="AL17" s="718">
        <f t="shared" ca="1" si="22"/>
        <v>0</v>
      </c>
      <c r="AM17" s="2540">
        <f t="shared" ca="1" si="23"/>
        <v>0</v>
      </c>
      <c r="AO17" s="1658" t="s">
        <v>516</v>
      </c>
    </row>
    <row r="18" spans="1:74" x14ac:dyDescent="0.25">
      <c r="A18" s="859"/>
      <c r="B18" s="668"/>
      <c r="C18" s="668"/>
      <c r="D18" s="668"/>
      <c r="E18" s="668"/>
      <c r="F18" s="668"/>
      <c r="G18" s="668"/>
      <c r="H18" s="668"/>
      <c r="I18" s="668"/>
      <c r="J18" s="668"/>
      <c r="K18" s="668"/>
      <c r="L18" s="668"/>
      <c r="M18" s="759" t="s">
        <v>300</v>
      </c>
      <c r="N18" s="1552">
        <f ca="1">SUM(N12:N17)</f>
        <v>2489.87</v>
      </c>
      <c r="O18" s="60"/>
      <c r="P18" s="899">
        <f ca="1">SUM(P12:P17)</f>
        <v>0</v>
      </c>
      <c r="Q18" s="884"/>
      <c r="AO18" s="3569" t="s">
        <v>253</v>
      </c>
      <c r="AP18" s="3668" t="s">
        <v>128</v>
      </c>
      <c r="AQ18" s="3555" t="s">
        <v>129</v>
      </c>
      <c r="AR18" s="3669" t="s">
        <v>85</v>
      </c>
      <c r="AS18" s="3670" t="s">
        <v>123</v>
      </c>
      <c r="AT18" s="3671"/>
      <c r="AU18" s="3656" t="s">
        <v>124</v>
      </c>
      <c r="AV18" s="3657"/>
      <c r="AW18" s="3635" t="s">
        <v>125</v>
      </c>
      <c r="AX18" s="3636"/>
      <c r="AY18" s="3637" t="s">
        <v>126</v>
      </c>
      <c r="AZ18" s="3638"/>
      <c r="BA18" s="3650" t="s">
        <v>127</v>
      </c>
      <c r="BB18" s="3651"/>
      <c r="BC18" s="3652" t="s">
        <v>235</v>
      </c>
      <c r="BD18" s="3653"/>
      <c r="BE18" s="3654" t="s">
        <v>236</v>
      </c>
      <c r="BF18" s="3655"/>
      <c r="BG18" s="3656" t="s">
        <v>237</v>
      </c>
      <c r="BH18" s="3657"/>
      <c r="BI18" s="3633" t="s">
        <v>849</v>
      </c>
      <c r="BJ18" s="3634"/>
      <c r="BK18" s="3635" t="s">
        <v>850</v>
      </c>
      <c r="BL18" s="3636"/>
      <c r="BM18" s="3637" t="s">
        <v>851</v>
      </c>
      <c r="BN18" s="3638"/>
      <c r="BO18" s="3650" t="s">
        <v>852</v>
      </c>
      <c r="BP18" s="3651"/>
      <c r="BQ18" s="3652" t="s">
        <v>853</v>
      </c>
      <c r="BR18" s="3653"/>
      <c r="BS18" s="3654" t="s">
        <v>854</v>
      </c>
      <c r="BT18" s="3655"/>
      <c r="BU18" s="3656" t="s">
        <v>855</v>
      </c>
      <c r="BV18" s="3657"/>
    </row>
    <row r="19" spans="1:74" ht="24" thickBot="1" x14ac:dyDescent="0.4">
      <c r="A19" s="1599">
        <f>A4+1</f>
        <v>2</v>
      </c>
      <c r="D19" s="60"/>
      <c r="N19" s="2449" t="str">
        <f>IF(L5="Yes",N18+P18,"")</f>
        <v/>
      </c>
      <c r="O19" s="2450" t="s">
        <v>756</v>
      </c>
      <c r="AO19" s="3667"/>
      <c r="AP19" s="3668"/>
      <c r="AQ19" s="3555"/>
      <c r="AR19" s="3669"/>
      <c r="AS19" s="851" t="s">
        <v>119</v>
      </c>
      <c r="AT19" s="851" t="s">
        <v>121</v>
      </c>
      <c r="AU19" s="852" t="s">
        <v>119</v>
      </c>
      <c r="AV19" s="852" t="s">
        <v>121</v>
      </c>
      <c r="AW19" s="853" t="s">
        <v>119</v>
      </c>
      <c r="AX19" s="853" t="s">
        <v>121</v>
      </c>
      <c r="AY19" s="854" t="s">
        <v>119</v>
      </c>
      <c r="AZ19" s="854" t="s">
        <v>121</v>
      </c>
      <c r="BA19" s="855" t="s">
        <v>119</v>
      </c>
      <c r="BB19" s="855" t="s">
        <v>121</v>
      </c>
      <c r="BC19" s="856" t="s">
        <v>119</v>
      </c>
      <c r="BD19" s="856" t="s">
        <v>121</v>
      </c>
      <c r="BE19" s="857" t="s">
        <v>119</v>
      </c>
      <c r="BF19" s="857" t="s">
        <v>121</v>
      </c>
      <c r="BG19" s="852" t="s">
        <v>119</v>
      </c>
      <c r="BH19" s="852" t="s">
        <v>121</v>
      </c>
      <c r="BI19" s="2641" t="s">
        <v>119</v>
      </c>
      <c r="BJ19" s="2641" t="s">
        <v>121</v>
      </c>
      <c r="BK19" s="853" t="s">
        <v>119</v>
      </c>
      <c r="BL19" s="853" t="s">
        <v>121</v>
      </c>
      <c r="BM19" s="854" t="s">
        <v>119</v>
      </c>
      <c r="BN19" s="854" t="s">
        <v>121</v>
      </c>
      <c r="BO19" s="855" t="s">
        <v>119</v>
      </c>
      <c r="BP19" s="855" t="s">
        <v>121</v>
      </c>
      <c r="BQ19" s="856" t="s">
        <v>119</v>
      </c>
      <c r="BR19" s="856" t="s">
        <v>121</v>
      </c>
      <c r="BS19" s="857" t="s">
        <v>119</v>
      </c>
      <c r="BT19" s="857" t="s">
        <v>121</v>
      </c>
      <c r="BU19" s="852" t="s">
        <v>119</v>
      </c>
      <c r="BV19" s="852" t="s">
        <v>121</v>
      </c>
    </row>
    <row r="20" spans="1:74" ht="14.45" customHeight="1" thickBot="1" x14ac:dyDescent="0.3">
      <c r="A20" s="789" t="s">
        <v>120</v>
      </c>
      <c r="B20" s="3688">
        <f>'DATA INPUT'!B69</f>
        <v>0</v>
      </c>
      <c r="C20" s="3689"/>
      <c r="D20" s="3689"/>
      <c r="E20" s="3689"/>
      <c r="F20" s="3690"/>
      <c r="G20" s="790"/>
      <c r="H20" s="790" t="s">
        <v>376</v>
      </c>
      <c r="I20" s="793" t="str">
        <f ca="1">IF(B21=$T$6,'Reference Sheet'!$J$4,'Reference Sheet'!$J$3)</f>
        <v>Domestic</v>
      </c>
      <c r="J20" s="3692" t="s">
        <v>515</v>
      </c>
      <c r="K20" s="3693"/>
      <c r="L20" s="1663">
        <f>'DATA INPUT'!$H$69</f>
        <v>0</v>
      </c>
      <c r="O20" s="817"/>
      <c r="P20" s="817"/>
      <c r="Q20" s="817"/>
      <c r="AO20" s="505">
        <v>1</v>
      </c>
      <c r="AP20" s="1536">
        <f t="shared" ref="AP20:AQ25" ca="1" si="26">SUM(AS20,AU20,AW20,AY20,BA20,BC20,BE20,BG20,BI20,BK20,BM20,BO20,BQ20,BS20,BU20)</f>
        <v>0</v>
      </c>
      <c r="AQ20" s="1537">
        <f t="shared" ca="1" si="26"/>
        <v>0</v>
      </c>
      <c r="AR20" s="1538">
        <f t="shared" ref="AR20:AR26" ca="1" si="27">SUM(AP20:AQ20)</f>
        <v>0</v>
      </c>
      <c r="AS20" s="2650">
        <f ca="1">IF($I$5='Reference Sheet'!$J$3,$P$12,"$0.00")</f>
        <v>0</v>
      </c>
      <c r="AT20" s="2650" t="str">
        <f ca="1">IF($I$5='Reference Sheet'!$J$4,$P$12,"$0.00")</f>
        <v>$0.00</v>
      </c>
      <c r="AU20" s="2648">
        <f ca="1">IF($I$20='Reference Sheet'!$J$3,$P$27,"$0.00")</f>
        <v>0</v>
      </c>
      <c r="AV20" s="2648" t="str">
        <f ca="1">IF($I$20='Reference Sheet'!$J$4,$P$27,"$0.00")</f>
        <v>$0.00</v>
      </c>
      <c r="AW20" s="2643">
        <f ca="1">IF($I$35='Reference Sheet'!$J$3,$P$42,"$0.00")</f>
        <v>0</v>
      </c>
      <c r="AX20" s="2643" t="str">
        <f ca="1">IF($I$35='Reference Sheet'!$J$4,$P$42,"$0.00")</f>
        <v>$0.00</v>
      </c>
      <c r="AY20" s="2644">
        <f ca="1">IF($I$50='Reference Sheet'!$J$3,$P$57,"$0.00")</f>
        <v>0</v>
      </c>
      <c r="AZ20" s="2644" t="str">
        <f ca="1">IF($I$50='Reference Sheet'!$J$4,$P$57,"$0.00")</f>
        <v>$0.00</v>
      </c>
      <c r="BA20" s="2645">
        <f ca="1">IF($I$65='Reference Sheet'!$J$3,$P$72,"$0.00")</f>
        <v>0</v>
      </c>
      <c r="BB20" s="2645" t="str">
        <f ca="1">IF($I$65='Reference Sheet'!$J$4,$P$72,"$0.00")</f>
        <v>$0.00</v>
      </c>
      <c r="BC20" s="2646">
        <f ca="1">IF($I$80='Reference Sheet'!$J$3,$P$87,"$0.00")</f>
        <v>0</v>
      </c>
      <c r="BD20" s="2646" t="str">
        <f ca="1">IF($I$80='Reference Sheet'!$J$4,$P$87,"$0.00")</f>
        <v>$0.00</v>
      </c>
      <c r="BE20" s="2647">
        <f ca="1">IF($I$95='Reference Sheet'!$J$3,$P$102,"$0.00")</f>
        <v>0</v>
      </c>
      <c r="BF20" s="2647" t="str">
        <f ca="1">IF($I$95='Reference Sheet'!$J$4,$P$102,"$0.00")</f>
        <v>$0.00</v>
      </c>
      <c r="BG20" s="2648">
        <f ca="1">IF($I$110='Reference Sheet'!$J$3,$P$117,"$0.00")</f>
        <v>0</v>
      </c>
      <c r="BH20" s="2648" t="str">
        <f ca="1">IF($I$110='Reference Sheet'!$J$4,$P$117,"$0.00")</f>
        <v>$0.00</v>
      </c>
      <c r="BI20" s="2649">
        <f ca="1">IF($I$20='Reference Sheet'!$J$3,$P$132,"$0.00")</f>
        <v>0</v>
      </c>
      <c r="BJ20" s="2649" t="str">
        <f ca="1">IF($I$20='Reference Sheet'!$J$4,$P$132,"$0.00")</f>
        <v>$0.00</v>
      </c>
      <c r="BK20" s="2643">
        <f ca="1">IF($I$35='Reference Sheet'!$J$3,$P$147,"$0.00")</f>
        <v>0</v>
      </c>
      <c r="BL20" s="2643" t="str">
        <f ca="1">IF($I$35='Reference Sheet'!$J$4,$P$147,"$0.00")</f>
        <v>$0.00</v>
      </c>
      <c r="BM20" s="2644">
        <f ca="1">IF($I$50='Reference Sheet'!$J$3,$P$162,"$0.00")</f>
        <v>0</v>
      </c>
      <c r="BN20" s="2644" t="str">
        <f ca="1">IF($I$50='Reference Sheet'!$J$4,$P$162,"$0.00")</f>
        <v>$0.00</v>
      </c>
      <c r="BO20" s="2645">
        <f ca="1">IF($I$65='Reference Sheet'!$J$3,$P$177,"$0.00")</f>
        <v>0</v>
      </c>
      <c r="BP20" s="2645" t="str">
        <f ca="1">IF($I$65='Reference Sheet'!$J$4,$P$177,"$0.00")</f>
        <v>$0.00</v>
      </c>
      <c r="BQ20" s="2646">
        <f ca="1">IF($I$80='Reference Sheet'!$J$3,$P$192,"$0.00")</f>
        <v>0</v>
      </c>
      <c r="BR20" s="2646" t="str">
        <f ca="1">IF($I$80='Reference Sheet'!$J$4,$P$192,"$0.00")</f>
        <v>$0.00</v>
      </c>
      <c r="BS20" s="2647">
        <f ca="1">IF($I$95='Reference Sheet'!$J$3,$P$207,"$0.00")</f>
        <v>0</v>
      </c>
      <c r="BT20" s="2647" t="str">
        <f ca="1">IF($I$95='Reference Sheet'!$J$4,$P$207,"$0.00")</f>
        <v>$0.00</v>
      </c>
      <c r="BU20" s="2648">
        <f ca="1">IF($I$110='Reference Sheet'!$J$3,$P$222,"$0.00")</f>
        <v>0</v>
      </c>
      <c r="BV20" s="2648" t="str">
        <f ca="1">IF($I$110='Reference Sheet'!$J$4,$P$222,"$0.00")</f>
        <v>$0.00</v>
      </c>
    </row>
    <row r="21" spans="1:74" x14ac:dyDescent="0.25">
      <c r="A21" s="789" t="s">
        <v>468</v>
      </c>
      <c r="B21" s="3688">
        <f ca="1">OFFSET('DATA INPUT'!$C$68,($A19-1),0)</f>
        <v>0</v>
      </c>
      <c r="C21" s="3689"/>
      <c r="D21" s="3689"/>
      <c r="E21" s="791"/>
      <c r="F21" s="792"/>
      <c r="G21" s="789"/>
      <c r="H21" s="789" t="s">
        <v>371</v>
      </c>
      <c r="I21" s="794">
        <f>'Reference Sheet'!$L$8</f>
        <v>0.03</v>
      </c>
      <c r="J21" s="788"/>
      <c r="O21" s="448"/>
      <c r="P21" s="448"/>
      <c r="Q21" s="448"/>
      <c r="AA21" s="60"/>
      <c r="AO21" s="505">
        <v>2</v>
      </c>
      <c r="AP21" s="1536">
        <f t="shared" ca="1" si="26"/>
        <v>0</v>
      </c>
      <c r="AQ21" s="1537">
        <f t="shared" ca="1" si="26"/>
        <v>0</v>
      </c>
      <c r="AR21" s="1538">
        <f t="shared" ca="1" si="27"/>
        <v>0</v>
      </c>
      <c r="AS21" s="2650">
        <f ca="1">IF($I$5='Reference Sheet'!$J$3,$P$13,"$0.00")</f>
        <v>0</v>
      </c>
      <c r="AT21" s="2650" t="str">
        <f ca="1">IF($I$5='Reference Sheet'!$J$4,$P$13,"$0.00")</f>
        <v>$0.00</v>
      </c>
      <c r="AU21" s="2648">
        <f ca="1">IF($I$20='Reference Sheet'!$J$3,$P$28,"$0.00")</f>
        <v>0</v>
      </c>
      <c r="AV21" s="2648" t="str">
        <f ca="1">IF($I$20='Reference Sheet'!$J$4,$P$28,"$0.00")</f>
        <v>$0.00</v>
      </c>
      <c r="AW21" s="2643">
        <f ca="1">IF($I$35='Reference Sheet'!$J$3,$P$43,"$0.00")</f>
        <v>0</v>
      </c>
      <c r="AX21" s="2643" t="str">
        <f ca="1">IF($I$35='Reference Sheet'!$J$4,$P$43,"$0.00")</f>
        <v>$0.00</v>
      </c>
      <c r="AY21" s="2644">
        <f ca="1">IF($I$50='Reference Sheet'!$J$3,$P$58,"$0.00")</f>
        <v>0</v>
      </c>
      <c r="AZ21" s="2644" t="str">
        <f ca="1">IF($I$50='Reference Sheet'!$J$4,$P$58,"$0.00")</f>
        <v>$0.00</v>
      </c>
      <c r="BA21" s="2645">
        <f ca="1">IF($I$65='Reference Sheet'!$J$3,$P$73,"$0.00")</f>
        <v>0</v>
      </c>
      <c r="BB21" s="2645" t="str">
        <f ca="1">IF($I$65='Reference Sheet'!$J$4,$P$73,"$0.00")</f>
        <v>$0.00</v>
      </c>
      <c r="BC21" s="2646">
        <f ca="1">IF($I$80='Reference Sheet'!$J$3,$P$88,"$0.00")</f>
        <v>0</v>
      </c>
      <c r="BD21" s="2646" t="str">
        <f ca="1">IF($I$80='Reference Sheet'!$J$4,$P$88,"$0.00")</f>
        <v>$0.00</v>
      </c>
      <c r="BE21" s="2647">
        <f ca="1">IF($I$95='Reference Sheet'!$J$3,$P$103,"$0.00")</f>
        <v>0</v>
      </c>
      <c r="BF21" s="2647" t="str">
        <f ca="1">IF($I$95='Reference Sheet'!$J$4,$P$103,"$0.00")</f>
        <v>$0.00</v>
      </c>
      <c r="BG21" s="2648">
        <f ca="1">IF($I$110='Reference Sheet'!$J$3,$P$118,"$0.00")</f>
        <v>0</v>
      </c>
      <c r="BH21" s="2648" t="str">
        <f ca="1">IF($I$110='Reference Sheet'!$J$4,$P$118,"$0.00")</f>
        <v>$0.00</v>
      </c>
      <c r="BI21" s="2649">
        <f ca="1">IF($I$20='Reference Sheet'!$J$3,$P$133,"$0.00")</f>
        <v>0</v>
      </c>
      <c r="BJ21" s="2649" t="str">
        <f ca="1">IF($I$20='Reference Sheet'!$J$4,$P$133,"$0.00")</f>
        <v>$0.00</v>
      </c>
      <c r="BK21" s="2643">
        <f ca="1">IF($I$35='Reference Sheet'!$J$3,$P$148,"$0.00")</f>
        <v>0</v>
      </c>
      <c r="BL21" s="2643" t="str">
        <f ca="1">IF($I$35='Reference Sheet'!$J$4,$P$148,"$0.00")</f>
        <v>$0.00</v>
      </c>
      <c r="BM21" s="2644">
        <f ca="1">IF($I$50='Reference Sheet'!$J$3,$P$163,"$0.00")</f>
        <v>0</v>
      </c>
      <c r="BN21" s="2644" t="str">
        <f ca="1">IF($I$50='Reference Sheet'!$J$4,$P$163,"$0.00")</f>
        <v>$0.00</v>
      </c>
      <c r="BO21" s="2645">
        <f ca="1">IF($I$65='Reference Sheet'!$J$3,$P$178,"$0.00")</f>
        <v>0</v>
      </c>
      <c r="BP21" s="2645" t="str">
        <f ca="1">IF($I$65='Reference Sheet'!$J$4,$P$178,"$0.00")</f>
        <v>$0.00</v>
      </c>
      <c r="BQ21" s="2646">
        <f ca="1">IF($I$80='Reference Sheet'!$J$3,$P$193,"$0.00")</f>
        <v>0</v>
      </c>
      <c r="BR21" s="2646" t="str">
        <f ca="1">IF($I$80='Reference Sheet'!$J$4,$P$193,"$0.00")</f>
        <v>$0.00</v>
      </c>
      <c r="BS21" s="2647">
        <f ca="1">IF($I$95='Reference Sheet'!$J$3,$P$208,"$0.00")</f>
        <v>0</v>
      </c>
      <c r="BT21" s="2647" t="str">
        <f ca="1">IF($I$95='Reference Sheet'!$J$4,$P$208,"$0.00")</f>
        <v>$0.00</v>
      </c>
      <c r="BU21" s="2648">
        <f ca="1">IF($I$110='Reference Sheet'!$J$3,$P$223,"$0.00")</f>
        <v>0</v>
      </c>
      <c r="BV21" s="2648" t="str">
        <f ca="1">IF($I$110='Reference Sheet'!$J$4,$P$223,"$0.00")</f>
        <v>$0.00</v>
      </c>
    </row>
    <row r="22" spans="1:74" x14ac:dyDescent="0.25">
      <c r="A22" s="789" t="s">
        <v>116</v>
      </c>
      <c r="B22" s="1553">
        <f ca="1">IF(B21=$T$3, $U$3,IF(B21=$T$4,$U$4,IF(B21=$T$5,$U$5,IF(B21=$T$6,$U$6,0))))</f>
        <v>0</v>
      </c>
      <c r="C22" s="789" t="s">
        <v>115</v>
      </c>
      <c r="D22" s="1553">
        <f ca="1">IF(B21=$T$3,$V$3,IF(B21=$T$4,$V$4,IF(B21=$T$5,$V$5,IF(B21=$T$6,$V$6,0))))</f>
        <v>0</v>
      </c>
      <c r="E22" s="789" t="s">
        <v>23</v>
      </c>
      <c r="F22" s="1553">
        <f ca="1">OFFSET('DATA INPUT'!$F$68,($A19-1),0)</f>
        <v>0</v>
      </c>
      <c r="G22" s="789" t="s">
        <v>118</v>
      </c>
      <c r="H22" s="1553">
        <v>250</v>
      </c>
      <c r="I22" s="789" t="s">
        <v>755</v>
      </c>
      <c r="J22" s="1142">
        <v>0.13</v>
      </c>
      <c r="K22" s="789" t="s">
        <v>362</v>
      </c>
      <c r="L22" s="1143">
        <f>'DATA INPUT'!$G$69</f>
        <v>0</v>
      </c>
      <c r="S22" s="2551" t="s">
        <v>811</v>
      </c>
      <c r="T22" s="2551"/>
      <c r="U22" s="2551"/>
      <c r="V22" s="2551"/>
      <c r="W22" s="2551"/>
      <c r="AA22" s="60"/>
      <c r="AO22" s="2337">
        <v>3</v>
      </c>
      <c r="AP22" s="1536">
        <f t="shared" ca="1" si="26"/>
        <v>0</v>
      </c>
      <c r="AQ22" s="1537">
        <f t="shared" ca="1" si="26"/>
        <v>0</v>
      </c>
      <c r="AR22" s="1538">
        <f t="shared" ca="1" si="27"/>
        <v>0</v>
      </c>
      <c r="AS22" s="2650">
        <f ca="1">IF($I$5='Reference Sheet'!$J$3,$P$14,"$0.00")</f>
        <v>0</v>
      </c>
      <c r="AT22" s="2650" t="str">
        <f ca="1">IF($I$5='Reference Sheet'!$J$4,$P$14,"$0.00")</f>
        <v>$0.00</v>
      </c>
      <c r="AU22" s="2648">
        <f ca="1">IF($I$20='Reference Sheet'!$J$3,$P$29,"$0.00")</f>
        <v>0</v>
      </c>
      <c r="AV22" s="2648" t="str">
        <f ca="1">IF($I$20='Reference Sheet'!$J$4,$P$29,"$0.00")</f>
        <v>$0.00</v>
      </c>
      <c r="AW22" s="2643">
        <f ca="1">IF($I$35='Reference Sheet'!$J$3,$P$44,"$0.00")</f>
        <v>0</v>
      </c>
      <c r="AX22" s="2643" t="str">
        <f ca="1">IF($I$35='Reference Sheet'!$J$4,$P$44,"$0.00")</f>
        <v>$0.00</v>
      </c>
      <c r="AY22" s="2644">
        <f ca="1">IF($I$50='Reference Sheet'!$J$3,$P$59,"$0.00")</f>
        <v>0</v>
      </c>
      <c r="AZ22" s="2644" t="str">
        <f ca="1">IF($I$50='Reference Sheet'!$J$4,$P$59,"$0.00")</f>
        <v>$0.00</v>
      </c>
      <c r="BA22" s="2645">
        <f ca="1">IF($I$65='Reference Sheet'!$J$3,$P$74,"$0.00")</f>
        <v>0</v>
      </c>
      <c r="BB22" s="2645" t="str">
        <f ca="1">IF($I$65='Reference Sheet'!$J$4,$P$74,"$0.00")</f>
        <v>$0.00</v>
      </c>
      <c r="BC22" s="2646">
        <f ca="1">IF($I$80='Reference Sheet'!$J$3,$P$89,"$0.00")</f>
        <v>0</v>
      </c>
      <c r="BD22" s="2646" t="str">
        <f ca="1">IF($I$80='Reference Sheet'!$J$4,$P$89,"$0.00")</f>
        <v>$0.00</v>
      </c>
      <c r="BE22" s="2647">
        <f ca="1">IF($I$95='Reference Sheet'!$J$3,$P$104,"$0.00")</f>
        <v>0</v>
      </c>
      <c r="BF22" s="2647" t="str">
        <f ca="1">IF($I$95='Reference Sheet'!$J$4,$P$104,"$0.00")</f>
        <v>$0.00</v>
      </c>
      <c r="BG22" s="2648">
        <f ca="1">IF($I$110='Reference Sheet'!$J$3,$P$119,"$0.00")</f>
        <v>0</v>
      </c>
      <c r="BH22" s="2648" t="str">
        <f ca="1">IF($I$110='Reference Sheet'!$J$4,$P$119,"$0.00")</f>
        <v>$0.00</v>
      </c>
      <c r="BI22" s="2649">
        <f ca="1">IF($I$20='Reference Sheet'!$J$3,$P$134,"$0.00")</f>
        <v>0</v>
      </c>
      <c r="BJ22" s="2649" t="str">
        <f ca="1">IF($I$20='Reference Sheet'!$J$4,$P$134,"$0.00")</f>
        <v>$0.00</v>
      </c>
      <c r="BK22" s="2643">
        <f ca="1">IF($I$35='Reference Sheet'!$J$3,$P$149,"$0.00")</f>
        <v>0</v>
      </c>
      <c r="BL22" s="2643" t="str">
        <f ca="1">IF($I$35='Reference Sheet'!$J$4,$P$149,"$0.00")</f>
        <v>$0.00</v>
      </c>
      <c r="BM22" s="2644">
        <f ca="1">IF($I$50='Reference Sheet'!$J$3,$P$164,"$0.00")</f>
        <v>0</v>
      </c>
      <c r="BN22" s="2644" t="str">
        <f ca="1">IF($I$50='Reference Sheet'!$J$4,$P$164,"$0.00")</f>
        <v>$0.00</v>
      </c>
      <c r="BO22" s="2645">
        <f ca="1">IF($I$65='Reference Sheet'!$J$3,$P$179,"$0.00")</f>
        <v>0</v>
      </c>
      <c r="BP22" s="2645" t="str">
        <f ca="1">IF($I$65='Reference Sheet'!$J$4,$P$179,"$0.00")</f>
        <v>$0.00</v>
      </c>
      <c r="BQ22" s="2646">
        <f ca="1">IF($I$80='Reference Sheet'!$J$3,$P$194,"$0.00")</f>
        <v>0</v>
      </c>
      <c r="BR22" s="2646" t="str">
        <f ca="1">IF($I$80='Reference Sheet'!$J$4,$P$194,"$0.00")</f>
        <v>$0.00</v>
      </c>
      <c r="BS22" s="2647">
        <f ca="1">IF($I$95='Reference Sheet'!$J$3,$P$209,"$0.00")</f>
        <v>0</v>
      </c>
      <c r="BT22" s="2647" t="str">
        <f ca="1">IF($I$95='Reference Sheet'!$J$4,$P$209,"$0.00")</f>
        <v>$0.00</v>
      </c>
      <c r="BU22" s="2648">
        <f ca="1">IF($I$110='Reference Sheet'!$J$3,$P$224,"$0.00")</f>
        <v>0</v>
      </c>
      <c r="BV22" s="2648" t="str">
        <f ca="1">IF($I$110='Reference Sheet'!$J$4,$P$224,"$0.00")</f>
        <v>$0.00</v>
      </c>
    </row>
    <row r="23" spans="1:74" ht="15.75" thickBot="1" x14ac:dyDescent="0.3">
      <c r="D23" s="110"/>
      <c r="AD23" s="2541" t="s">
        <v>808</v>
      </c>
      <c r="AE23" s="2542"/>
      <c r="AF23" s="2542"/>
      <c r="AG23" s="2542"/>
      <c r="AH23" s="2542"/>
      <c r="AO23" s="505">
        <v>4</v>
      </c>
      <c r="AP23" s="1536">
        <f t="shared" ca="1" si="26"/>
        <v>0</v>
      </c>
      <c r="AQ23" s="1537">
        <f t="shared" ca="1" si="26"/>
        <v>0</v>
      </c>
      <c r="AR23" s="1538">
        <f t="shared" ca="1" si="27"/>
        <v>0</v>
      </c>
      <c r="AS23" s="2650">
        <f ca="1">IF($I$5='Reference Sheet'!$J$3,$P$15,"$0.00")</f>
        <v>0</v>
      </c>
      <c r="AT23" s="2650" t="str">
        <f ca="1">IF($I$5='Reference Sheet'!$J$4,$P$15,"$0.00")</f>
        <v>$0.00</v>
      </c>
      <c r="AU23" s="2648">
        <f ca="1">IF($I$20='Reference Sheet'!$J$3,$P$30,"$0.00")</f>
        <v>0</v>
      </c>
      <c r="AV23" s="2648" t="str">
        <f ca="1">IF($I$20='Reference Sheet'!$J$4,$P$30,"$0.00")</f>
        <v>$0.00</v>
      </c>
      <c r="AW23" s="2643">
        <f ca="1">IF($I$35='Reference Sheet'!$J$3,$P$45,"$0.00")</f>
        <v>0</v>
      </c>
      <c r="AX23" s="2643" t="str">
        <f ca="1">IF($I$35='Reference Sheet'!$J$4,$P$45,"$0.00")</f>
        <v>$0.00</v>
      </c>
      <c r="AY23" s="2644">
        <f ca="1">IF($I$50='Reference Sheet'!$J$3,$P$60,"$0.00")</f>
        <v>0</v>
      </c>
      <c r="AZ23" s="2644" t="str">
        <f ca="1">IF($I$50='Reference Sheet'!$J$4,$P$60,"$0.00")</f>
        <v>$0.00</v>
      </c>
      <c r="BA23" s="2645">
        <f ca="1">IF($I$65='Reference Sheet'!$J$3,$P$75,"$0.00")</f>
        <v>0</v>
      </c>
      <c r="BB23" s="2645" t="str">
        <f ca="1">IF($I$65='Reference Sheet'!$J$4,$P$75,"$0.00")</f>
        <v>$0.00</v>
      </c>
      <c r="BC23" s="2646">
        <f ca="1">IF($I$80='Reference Sheet'!$J$3,$P$90,"$0.00")</f>
        <v>0</v>
      </c>
      <c r="BD23" s="2646" t="str">
        <f ca="1">IF($I$80='Reference Sheet'!$J$4,$P$90,"$0.00")</f>
        <v>$0.00</v>
      </c>
      <c r="BE23" s="2647">
        <f ca="1">IF($I$95='Reference Sheet'!$J$3,$P$105,"$0.00")</f>
        <v>0</v>
      </c>
      <c r="BF23" s="2647" t="str">
        <f ca="1">IF($I$95='Reference Sheet'!$J$4,$P$105,"$0.00")</f>
        <v>$0.00</v>
      </c>
      <c r="BG23" s="2648">
        <f ca="1">IF($I$110='Reference Sheet'!$J$3,$P$120,"$0.00")</f>
        <v>0</v>
      </c>
      <c r="BH23" s="2648" t="str">
        <f ca="1">IF($I$110='Reference Sheet'!$J$4,$P$120,"$0.00")</f>
        <v>$0.00</v>
      </c>
      <c r="BI23" s="2649">
        <f ca="1">IF($I$20='Reference Sheet'!$J$3,$P$135,"$0.00")</f>
        <v>0</v>
      </c>
      <c r="BJ23" s="2649" t="str">
        <f ca="1">IF($I$20='Reference Sheet'!$J$4,$P$135,"$0.00")</f>
        <v>$0.00</v>
      </c>
      <c r="BK23" s="2643">
        <f ca="1">IF($I$35='Reference Sheet'!$J$3,$P$150,"$0.00")</f>
        <v>0</v>
      </c>
      <c r="BL23" s="2643" t="str">
        <f ca="1">IF($I$35='Reference Sheet'!$J$4,$P$150,"$0.00")</f>
        <v>$0.00</v>
      </c>
      <c r="BM23" s="2644">
        <f ca="1">IF($I$50='Reference Sheet'!$J$3,$P$165,"$0.00")</f>
        <v>0</v>
      </c>
      <c r="BN23" s="2644" t="str">
        <f ca="1">IF($I$50='Reference Sheet'!$J$4,$P$165,"$0.00")</f>
        <v>$0.00</v>
      </c>
      <c r="BO23" s="2645">
        <f ca="1">IF($I$65='Reference Sheet'!$J$3,$P$180,"$0.00")</f>
        <v>0</v>
      </c>
      <c r="BP23" s="2645" t="str">
        <f ca="1">IF($I$65='Reference Sheet'!$J$4,$P$180,"$0.00")</f>
        <v>$0.00</v>
      </c>
      <c r="BQ23" s="2646">
        <f ca="1">IF($I$80='Reference Sheet'!$J$3,$P$195,"$0.00")</f>
        <v>0</v>
      </c>
      <c r="BR23" s="2646" t="str">
        <f ca="1">IF($I$80='Reference Sheet'!$J$4,$P$195,"$0.00")</f>
        <v>$0.00</v>
      </c>
      <c r="BS23" s="2647">
        <f ca="1">IF($I$95='Reference Sheet'!$J$3,$P$210,"$0.00")</f>
        <v>0</v>
      </c>
      <c r="BT23" s="2647" t="str">
        <f ca="1">IF($I$95='Reference Sheet'!$J$4,$P$210,"$0.00")</f>
        <v>$0.00</v>
      </c>
      <c r="BU23" s="2648">
        <f ca="1">IF($I$110='Reference Sheet'!$J$3,$P$225,"$0.00")</f>
        <v>0</v>
      </c>
      <c r="BV23" s="2648" t="str">
        <f ca="1">IF($I$110='Reference Sheet'!$J$4,$P$225,"$0.00")</f>
        <v>$0.00</v>
      </c>
    </row>
    <row r="24" spans="1:74" ht="15.75" thickBot="1" x14ac:dyDescent="0.3">
      <c r="A24" s="3631">
        <f>B20</f>
        <v>0</v>
      </c>
      <c r="B24" s="3626"/>
      <c r="C24" s="3626"/>
      <c r="D24" s="3626"/>
      <c r="E24" s="3626"/>
      <c r="F24" s="3626"/>
      <c r="G24" s="3626"/>
      <c r="H24" s="3626"/>
      <c r="I24" s="3626"/>
      <c r="J24" s="3626"/>
      <c r="K24" s="3626"/>
      <c r="L24" s="3626"/>
      <c r="M24" s="3626"/>
      <c r="N24" s="3627"/>
      <c r="S24" s="2536">
        <f>A24</f>
        <v>0</v>
      </c>
      <c r="T24" s="2537"/>
      <c r="U24" s="2537"/>
      <c r="V24" s="2537"/>
      <c r="W24" s="2537"/>
      <c r="X24" s="2537"/>
      <c r="Y24" s="2537"/>
      <c r="Z24" s="2537"/>
      <c r="AA24" s="2537"/>
      <c r="AB24" s="2538"/>
      <c r="AG24" s="2550" t="s">
        <v>809</v>
      </c>
      <c r="AH24" s="2550"/>
      <c r="AI24" s="2550"/>
      <c r="AJ24" s="2550"/>
      <c r="AK24" s="19" t="s">
        <v>812</v>
      </c>
      <c r="AL24" s="2541" t="s">
        <v>807</v>
      </c>
      <c r="AO24" s="505">
        <v>5</v>
      </c>
      <c r="AP24" s="1536">
        <f t="shared" ca="1" si="26"/>
        <v>0</v>
      </c>
      <c r="AQ24" s="1537">
        <f t="shared" ca="1" si="26"/>
        <v>0</v>
      </c>
      <c r="AR24" s="1538">
        <f t="shared" ca="1" si="27"/>
        <v>0</v>
      </c>
      <c r="AS24" s="2650">
        <f ca="1">IF($I$5='Reference Sheet'!$J$3,$P$16,"$0.00")</f>
        <v>0</v>
      </c>
      <c r="AT24" s="2650" t="str">
        <f ca="1">IF($I$5='Reference Sheet'!$J$4,$P$16,"$0.00")</f>
        <v>$0.00</v>
      </c>
      <c r="AU24" s="2648">
        <f ca="1">IF($I$20='Reference Sheet'!$J$3,$P$31,"$0.00")</f>
        <v>0</v>
      </c>
      <c r="AV24" s="2648" t="str">
        <f ca="1">IF($I$20='Reference Sheet'!$J$4,$P$31,"$0.00")</f>
        <v>$0.00</v>
      </c>
      <c r="AW24" s="2643">
        <f ca="1">IF($I$35='Reference Sheet'!$J$3,$P$46,"$0.00")</f>
        <v>0</v>
      </c>
      <c r="AX24" s="2643" t="str">
        <f ca="1">IF($I$35='Reference Sheet'!$J$4,$P$46,"$0.00")</f>
        <v>$0.00</v>
      </c>
      <c r="AY24" s="2644">
        <f ca="1">IF($I$50='Reference Sheet'!$J$3,$P$61,"$0.00")</f>
        <v>0</v>
      </c>
      <c r="AZ24" s="2644" t="str">
        <f ca="1">IF($I$50='Reference Sheet'!$J$4,$P$61,"$0.00")</f>
        <v>$0.00</v>
      </c>
      <c r="BA24" s="2645">
        <f ca="1">IF($I$65='Reference Sheet'!$J$3,$P$76,"$0.00")</f>
        <v>0</v>
      </c>
      <c r="BB24" s="2645" t="str">
        <f ca="1">IF($I$65='Reference Sheet'!$J$4,$P$76,"$0.00")</f>
        <v>$0.00</v>
      </c>
      <c r="BC24" s="2646">
        <f ca="1">IF($I$80='Reference Sheet'!$J$3,$P$91,"$0.00")</f>
        <v>0</v>
      </c>
      <c r="BD24" s="2646" t="str">
        <f ca="1">IF($I$80='Reference Sheet'!$J$4,$P$91,"$0.00")</f>
        <v>$0.00</v>
      </c>
      <c r="BE24" s="2647">
        <f ca="1">IF($I$95='Reference Sheet'!$J$3,$P$106,"$0.00")</f>
        <v>0</v>
      </c>
      <c r="BF24" s="2647" t="str">
        <f ca="1">IF($I$95='Reference Sheet'!$J$4,$P$106,"$0.00")</f>
        <v>$0.00</v>
      </c>
      <c r="BG24" s="2648">
        <f ca="1">IF($I$110='Reference Sheet'!$J$3,$P$121,"$0.00")</f>
        <v>0</v>
      </c>
      <c r="BH24" s="2648" t="str">
        <f ca="1">IF($I$110='Reference Sheet'!$J$4,$P$121,"$0.00")</f>
        <v>$0.00</v>
      </c>
      <c r="BI24" s="2649">
        <f ca="1">IF($I$20='Reference Sheet'!$J$3,$P$136,"$0.00")</f>
        <v>0</v>
      </c>
      <c r="BJ24" s="2649" t="str">
        <f ca="1">IF($I$20='Reference Sheet'!$J$4,$P$135,"$0.00")</f>
        <v>$0.00</v>
      </c>
      <c r="BK24" s="2643">
        <f ca="1">IF($I$35='Reference Sheet'!$J$3,$P$151,"$0.00")</f>
        <v>0</v>
      </c>
      <c r="BL24" s="2643" t="str">
        <f ca="1">IF($I$35='Reference Sheet'!$J$4,$P$151,"$0.00")</f>
        <v>$0.00</v>
      </c>
      <c r="BM24" s="2644">
        <f ca="1">IF($I$50='Reference Sheet'!$J$3,$P$166,"$0.00")</f>
        <v>0</v>
      </c>
      <c r="BN24" s="2644" t="str">
        <f ca="1">IF($I$50='Reference Sheet'!$J$4,$P$166,"$0.00")</f>
        <v>$0.00</v>
      </c>
      <c r="BO24" s="2645">
        <f ca="1">IF($I$65='Reference Sheet'!$J$3,$P$181,"$0.00")</f>
        <v>0</v>
      </c>
      <c r="BP24" s="2645" t="str">
        <f ca="1">IF($I$65='Reference Sheet'!$J$4,$P$181,"$0.00")</f>
        <v>$0.00</v>
      </c>
      <c r="BQ24" s="2646">
        <f ca="1">IF($I$80='Reference Sheet'!$J$3,$P$196,"$0.00")</f>
        <v>0</v>
      </c>
      <c r="BR24" s="2646" t="str">
        <f ca="1">IF($I$80='Reference Sheet'!$J$4,$P$196,"$0.00")</f>
        <v>$0.00</v>
      </c>
      <c r="BS24" s="2647">
        <f ca="1">IF($I$95='Reference Sheet'!$J$3,$P$211,"$0.00")</f>
        <v>0</v>
      </c>
      <c r="BT24" s="2647" t="str">
        <f ca="1">IF($I$95='Reference Sheet'!$J$4,$P$211,"$0.00")</f>
        <v>$0.00</v>
      </c>
      <c r="BU24" s="2648">
        <f ca="1">IF($I$110='Reference Sheet'!$J$3,$P$226,"$0.00")</f>
        <v>0</v>
      </c>
      <c r="BV24" s="2648" t="str">
        <f ca="1">IF($I$110='Reference Sheet'!$J$4,$P$226,"$0.00")</f>
        <v>$0.00</v>
      </c>
    </row>
    <row r="25" spans="1:74" ht="15" customHeight="1" x14ac:dyDescent="0.25">
      <c r="A25" s="858" t="s">
        <v>659</v>
      </c>
      <c r="B25" s="3641" t="s">
        <v>117</v>
      </c>
      <c r="C25" s="3642"/>
      <c r="D25" s="3521" t="s">
        <v>363</v>
      </c>
      <c r="E25" s="3521" t="s">
        <v>364</v>
      </c>
      <c r="F25" s="3521" t="s">
        <v>365</v>
      </c>
      <c r="G25" s="3521" t="s">
        <v>116</v>
      </c>
      <c r="H25" s="3521" t="s">
        <v>115</v>
      </c>
      <c r="I25" s="3521" t="s">
        <v>23</v>
      </c>
      <c r="J25" s="3521" t="s">
        <v>114</v>
      </c>
      <c r="K25" s="3521" t="s">
        <v>366</v>
      </c>
      <c r="L25" s="3521" t="s">
        <v>122</v>
      </c>
      <c r="M25" s="3521" t="s">
        <v>298</v>
      </c>
      <c r="N25" s="3521" t="s">
        <v>113</v>
      </c>
      <c r="P25" s="3520" t="s">
        <v>661</v>
      </c>
      <c r="Q25" s="3520" t="s">
        <v>122</v>
      </c>
      <c r="S25" s="3677" t="s">
        <v>253</v>
      </c>
      <c r="T25" s="3675" t="s">
        <v>112</v>
      </c>
      <c r="U25" s="3675" t="s">
        <v>116</v>
      </c>
      <c r="V25" s="3675" t="s">
        <v>794</v>
      </c>
      <c r="W25" s="3675" t="s">
        <v>23</v>
      </c>
      <c r="X25" s="3675" t="s">
        <v>114</v>
      </c>
      <c r="Y25" s="3675" t="s">
        <v>122</v>
      </c>
      <c r="Z25" s="3675" t="s">
        <v>795</v>
      </c>
      <c r="AA25" s="3675" t="s">
        <v>800</v>
      </c>
      <c r="AB25" s="3673" t="s">
        <v>796</v>
      </c>
      <c r="AD25" s="3679" t="s">
        <v>253</v>
      </c>
      <c r="AE25" s="3679" t="s">
        <v>112</v>
      </c>
      <c r="AF25" s="3679" t="s">
        <v>802</v>
      </c>
      <c r="AG25" s="3679" t="s">
        <v>803</v>
      </c>
      <c r="AH25" s="3679" t="s">
        <v>804</v>
      </c>
      <c r="AI25" s="3679" t="s">
        <v>805</v>
      </c>
      <c r="AJ25" s="3679" t="s">
        <v>116</v>
      </c>
      <c r="AK25" s="3710" t="s">
        <v>801</v>
      </c>
      <c r="AL25" s="3680" t="s">
        <v>806</v>
      </c>
      <c r="AM25" s="3710" t="s">
        <v>796</v>
      </c>
      <c r="AO25" s="505">
        <v>6</v>
      </c>
      <c r="AP25" s="1536">
        <f t="shared" ca="1" si="26"/>
        <v>0</v>
      </c>
      <c r="AQ25" s="1537">
        <f t="shared" ca="1" si="26"/>
        <v>0</v>
      </c>
      <c r="AR25" s="1538">
        <f t="shared" ca="1" si="27"/>
        <v>0</v>
      </c>
      <c r="AS25" s="2650">
        <f ca="1">IF($I$5='Reference Sheet'!$J$3,$P$17,"$0.00")</f>
        <v>0</v>
      </c>
      <c r="AT25" s="2650" t="str">
        <f ca="1">IF($I$5='Reference Sheet'!$J$4,$P$17,"$0.00")</f>
        <v>$0.00</v>
      </c>
      <c r="AU25" s="2648">
        <f ca="1">IF($I$20='Reference Sheet'!$J$3,$P$32,"$0.00")</f>
        <v>0</v>
      </c>
      <c r="AV25" s="2648" t="str">
        <f ca="1">IF($I$20='Reference Sheet'!$J$4,$P$32,"$0.00")</f>
        <v>$0.00</v>
      </c>
      <c r="AW25" s="2643">
        <f ca="1">IF($I$35='Reference Sheet'!$J$3,$P$47,"$0.00")</f>
        <v>0</v>
      </c>
      <c r="AX25" s="2643" t="str">
        <f ca="1">IF($I$35='Reference Sheet'!$J$4,$P$47,"$0.00")</f>
        <v>$0.00</v>
      </c>
      <c r="AY25" s="2644">
        <f ca="1">IF($I$50='Reference Sheet'!$J$3,$P$62,"$0.00")</f>
        <v>0</v>
      </c>
      <c r="AZ25" s="2644" t="str">
        <f ca="1">IF($I$50='Reference Sheet'!$J$4,$P$62,"$0.00")</f>
        <v>$0.00</v>
      </c>
      <c r="BA25" s="2645">
        <f ca="1">IF($I$65='Reference Sheet'!$J$3,$P$77,"$0.00")</f>
        <v>0</v>
      </c>
      <c r="BB25" s="2645" t="str">
        <f ca="1">IF($I$65='Reference Sheet'!$J$4,$P$77,"$0.00")</f>
        <v>$0.00</v>
      </c>
      <c r="BC25" s="2646">
        <f ca="1">IF($I$80='Reference Sheet'!$J$3,$P$92,"$0.00")</f>
        <v>0</v>
      </c>
      <c r="BD25" s="2646" t="str">
        <f ca="1">IF($I$80='Reference Sheet'!$J$4,$P$92,"$0.00")</f>
        <v>$0.00</v>
      </c>
      <c r="BE25" s="2647">
        <f ca="1">IF($I$95='Reference Sheet'!$J$3,$P$107,"$0.00")</f>
        <v>0</v>
      </c>
      <c r="BF25" s="2647" t="str">
        <f ca="1">IF($I$95='Reference Sheet'!$J$4,$P$107,"$0.00")</f>
        <v>$0.00</v>
      </c>
      <c r="BG25" s="2648">
        <f ca="1">IF($I$110='Reference Sheet'!$J$3,$P$122,"$0.00")</f>
        <v>0</v>
      </c>
      <c r="BH25" s="2648" t="str">
        <f ca="1">IF($I$110='Reference Sheet'!$J$4,$P$122,"$0.00")</f>
        <v>$0.00</v>
      </c>
      <c r="BI25" s="2649">
        <f ca="1">IF($I$20='Reference Sheet'!$J$3,$P$137,"$0.00")</f>
        <v>0</v>
      </c>
      <c r="BJ25" s="2649" t="str">
        <f ca="1">IF($I$20='Reference Sheet'!$J$4,$P$137,"$0.00")</f>
        <v>$0.00</v>
      </c>
      <c r="BK25" s="2643">
        <f ca="1">IF($I$35='Reference Sheet'!$J$3,$P$152,"$0.00")</f>
        <v>0</v>
      </c>
      <c r="BL25" s="2643" t="str">
        <f ca="1">IF($I$35='Reference Sheet'!$J$4,$P$152,"$0.00")</f>
        <v>$0.00</v>
      </c>
      <c r="BM25" s="2644">
        <f ca="1">IF($I$50='Reference Sheet'!$J$3,$P$167,"$0.00")</f>
        <v>0</v>
      </c>
      <c r="BN25" s="2644" t="str">
        <f ca="1">IF($I$50='Reference Sheet'!$J$4,$P$167,"$0.00")</f>
        <v>$0.00</v>
      </c>
      <c r="BO25" s="2645">
        <f ca="1">IF($I$65='Reference Sheet'!$J$3,$P$182,"$0.00")</f>
        <v>0</v>
      </c>
      <c r="BP25" s="2645" t="str">
        <f ca="1">IF($I$65='Reference Sheet'!$J$4,$P$182,"$0.00")</f>
        <v>$0.00</v>
      </c>
      <c r="BQ25" s="2646">
        <f ca="1">IF($I$80='Reference Sheet'!$J$3,$P$197,"$0.00")</f>
        <v>0</v>
      </c>
      <c r="BR25" s="2646" t="str">
        <f ca="1">IF($I$80='Reference Sheet'!$J$4,$P$197,"$0.00")</f>
        <v>$0.00</v>
      </c>
      <c r="BS25" s="2647">
        <f ca="1">IF($I$95='Reference Sheet'!$J$3,$P$212,"$0.00")</f>
        <v>0</v>
      </c>
      <c r="BT25" s="2647" t="str">
        <f ca="1">IF($I$95='Reference Sheet'!$J$4,$P$212,"$0.00")</f>
        <v>$0.00</v>
      </c>
      <c r="BU25" s="2648">
        <f ca="1">IF($I$110='Reference Sheet'!$J$3,$P$227,"$0.00")</f>
        <v>0</v>
      </c>
      <c r="BV25" s="2648" t="str">
        <f ca="1">IF($I$110='Reference Sheet'!$J$4,$P$227,"$0.00")</f>
        <v>$0.00</v>
      </c>
    </row>
    <row r="26" spans="1:74" ht="15" customHeight="1" thickBot="1" x14ac:dyDescent="0.3">
      <c r="A26" s="858" t="s">
        <v>660</v>
      </c>
      <c r="B26" s="1652" t="s">
        <v>112</v>
      </c>
      <c r="C26" s="763" t="s">
        <v>111</v>
      </c>
      <c r="D26" s="3522"/>
      <c r="E26" s="3522"/>
      <c r="F26" s="3522"/>
      <c r="G26" s="3522"/>
      <c r="H26" s="3522"/>
      <c r="I26" s="3522"/>
      <c r="J26" s="3522"/>
      <c r="K26" s="3522"/>
      <c r="L26" s="3522"/>
      <c r="M26" s="3522"/>
      <c r="N26" s="3522"/>
      <c r="P26" s="3522"/>
      <c r="Q26" s="3522"/>
      <c r="S26" s="3678"/>
      <c r="T26" s="3676"/>
      <c r="U26" s="3676"/>
      <c r="V26" s="3676"/>
      <c r="W26" s="3676"/>
      <c r="X26" s="3676"/>
      <c r="Y26" s="3676"/>
      <c r="Z26" s="3676"/>
      <c r="AA26" s="3676"/>
      <c r="AB26" s="3674"/>
      <c r="AD26" s="3679"/>
      <c r="AE26" s="3679"/>
      <c r="AF26" s="3679"/>
      <c r="AG26" s="3679"/>
      <c r="AH26" s="3679"/>
      <c r="AI26" s="3679"/>
      <c r="AJ26" s="3679"/>
      <c r="AK26" s="3710"/>
      <c r="AL26" s="3680"/>
      <c r="AM26" s="3710"/>
      <c r="AO26" s="2337" t="s">
        <v>85</v>
      </c>
      <c r="AP26" s="1536">
        <f ca="1">SUM(AP20:AP25)</f>
        <v>0</v>
      </c>
      <c r="AQ26" s="1537">
        <f ca="1">SUM(AQ20:AQ25)</f>
        <v>0</v>
      </c>
      <c r="AR26" s="1538">
        <f t="shared" ca="1" si="27"/>
        <v>0</v>
      </c>
      <c r="AS26" s="2651">
        <f t="shared" ref="AS26:BV26" ca="1" si="28">SUM(AS20:AS25)</f>
        <v>0</v>
      </c>
      <c r="AT26" s="2651">
        <f t="shared" ca="1" si="28"/>
        <v>0</v>
      </c>
      <c r="AU26" s="2652">
        <f t="shared" ca="1" si="28"/>
        <v>0</v>
      </c>
      <c r="AV26" s="2652">
        <f t="shared" ca="1" si="28"/>
        <v>0</v>
      </c>
      <c r="AW26" s="1659">
        <f t="shared" ca="1" si="28"/>
        <v>0</v>
      </c>
      <c r="AX26" s="1659">
        <f t="shared" ca="1" si="28"/>
        <v>0</v>
      </c>
      <c r="AY26" s="2653">
        <f t="shared" ca="1" si="28"/>
        <v>0</v>
      </c>
      <c r="AZ26" s="2653">
        <f t="shared" ca="1" si="28"/>
        <v>0</v>
      </c>
      <c r="BA26" s="2654">
        <f t="shared" ca="1" si="28"/>
        <v>0</v>
      </c>
      <c r="BB26" s="2654">
        <f t="shared" ca="1" si="28"/>
        <v>0</v>
      </c>
      <c r="BC26" s="2655">
        <f t="shared" ca="1" si="28"/>
        <v>0</v>
      </c>
      <c r="BD26" s="2655">
        <f t="shared" ca="1" si="28"/>
        <v>0</v>
      </c>
      <c r="BE26" s="2656">
        <f t="shared" ca="1" si="28"/>
        <v>0</v>
      </c>
      <c r="BF26" s="2656">
        <f t="shared" ca="1" si="28"/>
        <v>0</v>
      </c>
      <c r="BG26" s="2657">
        <f t="shared" ca="1" si="28"/>
        <v>0</v>
      </c>
      <c r="BH26" s="2657">
        <f t="shared" ca="1" si="28"/>
        <v>0</v>
      </c>
      <c r="BI26" s="2658">
        <f t="shared" ca="1" si="28"/>
        <v>0</v>
      </c>
      <c r="BJ26" s="2658">
        <f t="shared" ca="1" si="28"/>
        <v>0</v>
      </c>
      <c r="BK26" s="1659">
        <f t="shared" ca="1" si="28"/>
        <v>0</v>
      </c>
      <c r="BL26" s="1659">
        <f t="shared" ca="1" si="28"/>
        <v>0</v>
      </c>
      <c r="BM26" s="2653">
        <f t="shared" ca="1" si="28"/>
        <v>0</v>
      </c>
      <c r="BN26" s="2653">
        <f t="shared" ca="1" si="28"/>
        <v>0</v>
      </c>
      <c r="BO26" s="2654">
        <f t="shared" ca="1" si="28"/>
        <v>0</v>
      </c>
      <c r="BP26" s="2654">
        <f t="shared" ca="1" si="28"/>
        <v>0</v>
      </c>
      <c r="BQ26" s="2655">
        <f t="shared" ca="1" si="28"/>
        <v>0</v>
      </c>
      <c r="BR26" s="2655">
        <f t="shared" ca="1" si="28"/>
        <v>0</v>
      </c>
      <c r="BS26" s="2656">
        <f t="shared" ca="1" si="28"/>
        <v>0</v>
      </c>
      <c r="BT26" s="2656">
        <f t="shared" ca="1" si="28"/>
        <v>0</v>
      </c>
      <c r="BU26" s="2657">
        <f t="shared" ca="1" si="28"/>
        <v>0</v>
      </c>
      <c r="BV26" s="2657">
        <f t="shared" ca="1" si="28"/>
        <v>0</v>
      </c>
    </row>
    <row r="27" spans="1:74" x14ac:dyDescent="0.25">
      <c r="A27" s="651">
        <v>1</v>
      </c>
      <c r="B27" s="1665">
        <f>IF('DATA INPUT'!$I$69&gt;=1,'DATA INPUT'!$E$69,0)</f>
        <v>0</v>
      </c>
      <c r="C27" s="1665">
        <f t="shared" ref="C27:C32" si="29">IF(B27&gt;0,B27-1,0)</f>
        <v>0</v>
      </c>
      <c r="D27" s="106">
        <f ca="1">OFFSET('DATA INPUT'!$D$68,OFFSET($A$4,INT((ROW()-ROW($A$4))/15)*15,0)-1,0)</f>
        <v>0</v>
      </c>
      <c r="E27" s="1665">
        <f ca="1">OFFSET('DATA INPUT'!$I$68,OFFSET($A$4,INT((ROW()-ROW($A$4))/15)*15,0)-1,A27-1)</f>
        <v>0</v>
      </c>
      <c r="F27" s="1665">
        <f t="shared" ref="F27:F32" ca="1" si="30">E27*D27</f>
        <v>0</v>
      </c>
      <c r="G27" s="492">
        <f ca="1">B22</f>
        <v>0</v>
      </c>
      <c r="H27" s="492">
        <f ca="1">D22</f>
        <v>0</v>
      </c>
      <c r="I27" s="492">
        <f ca="1">F22</f>
        <v>0</v>
      </c>
      <c r="J27" s="492">
        <f>H22</f>
        <v>250</v>
      </c>
      <c r="K27" s="492">
        <f t="shared" ref="K27:K32" ca="1" si="31" xml:space="preserve"> H27*C27*$J$22</f>
        <v>0</v>
      </c>
      <c r="L27" s="492">
        <f>IF(L20="Yes",0,L22)</f>
        <v>0</v>
      </c>
      <c r="M27" s="1539">
        <f t="shared" ref="M27:M32" si="32">IF(B27&lt;1,0,(IF(C27=0,SUM(I27:L27),((B27-0.5)*G27+C27*H27+SUM(I27:L27)))))</f>
        <v>0</v>
      </c>
      <c r="N27" s="1500">
        <f t="shared" ref="N27:N32" ca="1" si="33">F27*M27</f>
        <v>0</v>
      </c>
      <c r="O27" s="672">
        <f t="shared" ref="O27:O32" si="34">A27</f>
        <v>1</v>
      </c>
      <c r="P27" s="1657">
        <f t="shared" ref="P27:P32" ca="1" si="35">Q27*F27</f>
        <v>0</v>
      </c>
      <c r="Q27" s="1657">
        <f>IF(L20="Yes",L22,0)</f>
        <v>0</v>
      </c>
      <c r="S27" s="651">
        <v>1</v>
      </c>
      <c r="T27" s="1665">
        <f t="shared" ref="T27:T32" si="36">B27</f>
        <v>0</v>
      </c>
      <c r="U27" s="2519">
        <f t="shared" ref="U27:U32" ca="1" si="37">G27</f>
        <v>0</v>
      </c>
      <c r="V27" s="2519">
        <f t="shared" ref="V27:V32" ca="1" si="38">IFERROR(H27+K27/C27,0)</f>
        <v>0</v>
      </c>
      <c r="W27" s="2519">
        <f t="shared" ref="W27:X32" ca="1" si="39">I27</f>
        <v>0</v>
      </c>
      <c r="X27" s="2519">
        <f t="shared" si="39"/>
        <v>250</v>
      </c>
      <c r="Y27" s="2519">
        <f t="shared" ref="Y27:Z32" si="40">L27</f>
        <v>0</v>
      </c>
      <c r="Z27" s="2522">
        <f t="shared" si="40"/>
        <v>0</v>
      </c>
      <c r="AA27" s="1665">
        <f t="shared" ref="AA27:AA32" ca="1" si="41">F27</f>
        <v>0</v>
      </c>
      <c r="AB27" s="2525">
        <f t="shared" ref="AB27:AB32" ca="1" si="42">N27</f>
        <v>0</v>
      </c>
      <c r="AD27" s="505">
        <v>1</v>
      </c>
      <c r="AE27" s="2937">
        <f t="shared" ref="AE27:AE32" si="43">B27</f>
        <v>0</v>
      </c>
      <c r="AF27" s="2937">
        <f t="shared" ref="AF27:AF32" ca="1" si="44">F27</f>
        <v>0</v>
      </c>
      <c r="AG27" s="457">
        <f t="shared" ref="AG27:AG32" ca="1" si="45">C27*H27+K27</f>
        <v>0</v>
      </c>
      <c r="AH27" s="457">
        <f t="shared" ref="AH27:AI32" ca="1" si="46">I27</f>
        <v>0</v>
      </c>
      <c r="AI27" s="457">
        <f t="shared" si="46"/>
        <v>250</v>
      </c>
      <c r="AJ27" s="457">
        <f t="shared" ref="AJ27:AJ32" ca="1" si="47">IF(AE27&gt;1,(B27-0.5)*G27,B27*G27)</f>
        <v>0</v>
      </c>
      <c r="AK27" s="457">
        <f t="shared" ref="AK27:AK32" ca="1" si="48">ROUND(SUM(AG27:AJ27)*AF27,0)</f>
        <v>0</v>
      </c>
      <c r="AL27" s="718">
        <f t="shared" ref="AL27:AL32" ca="1" si="49">AF27*(L27+Q27)</f>
        <v>0</v>
      </c>
      <c r="AM27" s="457">
        <f t="shared" ref="AM27:AM32" ca="1" si="50">AK27+AL27</f>
        <v>0</v>
      </c>
    </row>
    <row r="28" spans="1:74" x14ac:dyDescent="0.25">
      <c r="A28" s="99">
        <v>2</v>
      </c>
      <c r="B28" s="1666">
        <f>IF('DATA INPUT'!$J$69&gt;=1,'DATA INPUT'!$E$69,0)</f>
        <v>0</v>
      </c>
      <c r="C28" s="1666">
        <f t="shared" si="29"/>
        <v>0</v>
      </c>
      <c r="D28" s="108">
        <f ca="1">OFFSET('DATA INPUT'!$D$68,OFFSET($A$4,INT((ROW()-ROW($A$4))/15)*15,0)-1,0)</f>
        <v>0</v>
      </c>
      <c r="E28" s="1666">
        <f ca="1">OFFSET('DATA INPUT'!$I$68,OFFSET($A$4,INT((ROW()-ROW($A$4))/15)*15,0)-1,A28-1)</f>
        <v>0</v>
      </c>
      <c r="F28" s="1666">
        <f t="shared" ca="1" si="30"/>
        <v>0</v>
      </c>
      <c r="G28" s="457">
        <f t="shared" ref="G28:J32" ca="1" si="51">(G27*$I$21)+G27</f>
        <v>0</v>
      </c>
      <c r="H28" s="457">
        <f t="shared" ca="1" si="51"/>
        <v>0</v>
      </c>
      <c r="I28" s="457">
        <f t="shared" ca="1" si="51"/>
        <v>0</v>
      </c>
      <c r="J28" s="457">
        <f t="shared" si="51"/>
        <v>257.5</v>
      </c>
      <c r="K28" s="457">
        <f t="shared" ca="1" si="31"/>
        <v>0</v>
      </c>
      <c r="L28" s="457">
        <f>(L27*$I$21)+L27</f>
        <v>0</v>
      </c>
      <c r="M28" s="1540">
        <f t="shared" si="32"/>
        <v>0</v>
      </c>
      <c r="N28" s="1541">
        <f t="shared" ca="1" si="33"/>
        <v>0</v>
      </c>
      <c r="O28" s="672">
        <f t="shared" si="34"/>
        <v>2</v>
      </c>
      <c r="P28" s="1489">
        <f t="shared" ca="1" si="35"/>
        <v>0</v>
      </c>
      <c r="Q28" s="1489">
        <f>(Q27*$I$21)+Q27</f>
        <v>0</v>
      </c>
      <c r="S28" s="99">
        <v>2</v>
      </c>
      <c r="T28" s="1666">
        <f t="shared" si="36"/>
        <v>0</v>
      </c>
      <c r="U28" s="2520">
        <f t="shared" ca="1" si="37"/>
        <v>0</v>
      </c>
      <c r="V28" s="2520">
        <f t="shared" ca="1" si="38"/>
        <v>0</v>
      </c>
      <c r="W28" s="2520">
        <f t="shared" ca="1" si="39"/>
        <v>0</v>
      </c>
      <c r="X28" s="2520">
        <f t="shared" si="39"/>
        <v>257.5</v>
      </c>
      <c r="Y28" s="2520">
        <f t="shared" si="40"/>
        <v>0</v>
      </c>
      <c r="Z28" s="2523">
        <f t="shared" si="40"/>
        <v>0</v>
      </c>
      <c r="AA28" s="1666">
        <f t="shared" ca="1" si="41"/>
        <v>0</v>
      </c>
      <c r="AB28" s="2526">
        <f t="shared" ca="1" si="42"/>
        <v>0</v>
      </c>
      <c r="AD28" s="505">
        <v>2</v>
      </c>
      <c r="AE28" s="2937">
        <f t="shared" si="43"/>
        <v>0</v>
      </c>
      <c r="AF28" s="2937">
        <f t="shared" ca="1" si="44"/>
        <v>0</v>
      </c>
      <c r="AG28" s="457">
        <f t="shared" ca="1" si="45"/>
        <v>0</v>
      </c>
      <c r="AH28" s="457">
        <f t="shared" ca="1" si="46"/>
        <v>0</v>
      </c>
      <c r="AI28" s="457">
        <f t="shared" si="46"/>
        <v>257.5</v>
      </c>
      <c r="AJ28" s="457">
        <f t="shared" ca="1" si="47"/>
        <v>0</v>
      </c>
      <c r="AK28" s="457">
        <f t="shared" ca="1" si="48"/>
        <v>0</v>
      </c>
      <c r="AL28" s="718">
        <f t="shared" ca="1" si="49"/>
        <v>0</v>
      </c>
      <c r="AM28" s="457">
        <f t="shared" ca="1" si="50"/>
        <v>0</v>
      </c>
    </row>
    <row r="29" spans="1:74" x14ac:dyDescent="0.25">
      <c r="A29" s="652">
        <v>3</v>
      </c>
      <c r="B29" s="1666">
        <f>IF('DATA INPUT'!$K$69&gt;=1,'DATA INPUT'!$E$69,0)</f>
        <v>0</v>
      </c>
      <c r="C29" s="1666">
        <f t="shared" si="29"/>
        <v>0</v>
      </c>
      <c r="D29" s="108">
        <f ca="1">OFFSET('DATA INPUT'!$D$68,OFFSET($A$4,INT((ROW()-ROW($A$4))/15)*15,0)-1,0)</f>
        <v>0</v>
      </c>
      <c r="E29" s="1666">
        <f ca="1">OFFSET('DATA INPUT'!$I$68,OFFSET($A$4,INT((ROW()-ROW($A$4))/15)*15,0)-1,A29-1)</f>
        <v>0</v>
      </c>
      <c r="F29" s="1666">
        <f t="shared" ca="1" si="30"/>
        <v>0</v>
      </c>
      <c r="G29" s="457">
        <f t="shared" ca="1" si="51"/>
        <v>0</v>
      </c>
      <c r="H29" s="457">
        <f t="shared" ca="1" si="51"/>
        <v>0</v>
      </c>
      <c r="I29" s="457">
        <f t="shared" ca="1" si="51"/>
        <v>0</v>
      </c>
      <c r="J29" s="457">
        <f t="shared" si="51"/>
        <v>265.22500000000002</v>
      </c>
      <c r="K29" s="457">
        <f t="shared" ca="1" si="31"/>
        <v>0</v>
      </c>
      <c r="L29" s="457">
        <f>(L28*$I$21)+L28</f>
        <v>0</v>
      </c>
      <c r="M29" s="1540">
        <f t="shared" si="32"/>
        <v>0</v>
      </c>
      <c r="N29" s="1541">
        <f t="shared" ca="1" si="33"/>
        <v>0</v>
      </c>
      <c r="O29" s="672">
        <f t="shared" si="34"/>
        <v>3</v>
      </c>
      <c r="P29" s="1489">
        <f t="shared" ca="1" si="35"/>
        <v>0</v>
      </c>
      <c r="Q29" s="1489">
        <f>(Q28*$I$21)+Q28</f>
        <v>0</v>
      </c>
      <c r="S29" s="652">
        <v>3</v>
      </c>
      <c r="T29" s="1666">
        <f t="shared" si="36"/>
        <v>0</v>
      </c>
      <c r="U29" s="2520">
        <f t="shared" ca="1" si="37"/>
        <v>0</v>
      </c>
      <c r="V29" s="2520">
        <f t="shared" ca="1" si="38"/>
        <v>0</v>
      </c>
      <c r="W29" s="2520">
        <f t="shared" ca="1" si="39"/>
        <v>0</v>
      </c>
      <c r="X29" s="2520">
        <f t="shared" si="39"/>
        <v>265.22500000000002</v>
      </c>
      <c r="Y29" s="2520">
        <f t="shared" si="40"/>
        <v>0</v>
      </c>
      <c r="Z29" s="2523">
        <f t="shared" si="40"/>
        <v>0</v>
      </c>
      <c r="AA29" s="1666">
        <f t="shared" ca="1" si="41"/>
        <v>0</v>
      </c>
      <c r="AB29" s="2526">
        <f t="shared" ca="1" si="42"/>
        <v>0</v>
      </c>
      <c r="AD29" s="505">
        <v>3</v>
      </c>
      <c r="AE29" s="2937">
        <f t="shared" si="43"/>
        <v>0</v>
      </c>
      <c r="AF29" s="2937">
        <f t="shared" ca="1" si="44"/>
        <v>0</v>
      </c>
      <c r="AG29" s="457">
        <f t="shared" ca="1" si="45"/>
        <v>0</v>
      </c>
      <c r="AH29" s="457">
        <f t="shared" ca="1" si="46"/>
        <v>0</v>
      </c>
      <c r="AI29" s="457">
        <f t="shared" si="46"/>
        <v>265.22500000000002</v>
      </c>
      <c r="AJ29" s="457">
        <f t="shared" ca="1" si="47"/>
        <v>0</v>
      </c>
      <c r="AK29" s="457">
        <f t="shared" ca="1" si="48"/>
        <v>0</v>
      </c>
      <c r="AL29" s="718">
        <f t="shared" ca="1" si="49"/>
        <v>0</v>
      </c>
      <c r="AM29" s="457">
        <f t="shared" ca="1" si="50"/>
        <v>0</v>
      </c>
    </row>
    <row r="30" spans="1:74" x14ac:dyDescent="0.25">
      <c r="A30" s="99">
        <v>4</v>
      </c>
      <c r="B30" s="1666">
        <f>IF('DATA INPUT'!$L$69&gt;=1,'DATA INPUT'!$E$69,0)</f>
        <v>0</v>
      </c>
      <c r="C30" s="1666">
        <f t="shared" si="29"/>
        <v>0</v>
      </c>
      <c r="D30" s="108">
        <f ca="1">OFFSET('DATA INPUT'!$D$68,OFFSET($A$4,INT((ROW()-ROW($A$4))/15)*15,0)-1,0)</f>
        <v>0</v>
      </c>
      <c r="E30" s="1666">
        <f ca="1">OFFSET('DATA INPUT'!$I$68,OFFSET($A$4,INT((ROW()-ROW($A$4))/15)*15,0)-1,A30-1)</f>
        <v>0</v>
      </c>
      <c r="F30" s="1666">
        <f t="shared" ca="1" si="30"/>
        <v>0</v>
      </c>
      <c r="G30" s="457">
        <f t="shared" ca="1" si="51"/>
        <v>0</v>
      </c>
      <c r="H30" s="457">
        <f t="shared" ca="1" si="51"/>
        <v>0</v>
      </c>
      <c r="I30" s="457">
        <f t="shared" ca="1" si="51"/>
        <v>0</v>
      </c>
      <c r="J30" s="457">
        <f t="shared" si="51"/>
        <v>273.18175000000002</v>
      </c>
      <c r="K30" s="457">
        <f t="shared" ca="1" si="31"/>
        <v>0</v>
      </c>
      <c r="L30" s="457">
        <f>(L29*$I$21)+L29</f>
        <v>0</v>
      </c>
      <c r="M30" s="1540">
        <f t="shared" si="32"/>
        <v>0</v>
      </c>
      <c r="N30" s="1541">
        <f t="shared" ca="1" si="33"/>
        <v>0</v>
      </c>
      <c r="O30" s="672">
        <f t="shared" si="34"/>
        <v>4</v>
      </c>
      <c r="P30" s="1489">
        <f t="shared" ca="1" si="35"/>
        <v>0</v>
      </c>
      <c r="Q30" s="1489">
        <f>(Q29*$I$21)+Q29</f>
        <v>0</v>
      </c>
      <c r="S30" s="99">
        <v>4</v>
      </c>
      <c r="T30" s="1666">
        <f t="shared" si="36"/>
        <v>0</v>
      </c>
      <c r="U30" s="2520">
        <f t="shared" ca="1" si="37"/>
        <v>0</v>
      </c>
      <c r="V30" s="2520">
        <f t="shared" ca="1" si="38"/>
        <v>0</v>
      </c>
      <c r="W30" s="2520">
        <f t="shared" ca="1" si="39"/>
        <v>0</v>
      </c>
      <c r="X30" s="2520">
        <f t="shared" si="39"/>
        <v>273.18175000000002</v>
      </c>
      <c r="Y30" s="2520">
        <f t="shared" si="40"/>
        <v>0</v>
      </c>
      <c r="Z30" s="2523">
        <f t="shared" si="40"/>
        <v>0</v>
      </c>
      <c r="AA30" s="1666">
        <f t="shared" ca="1" si="41"/>
        <v>0</v>
      </c>
      <c r="AB30" s="2526">
        <f t="shared" ca="1" si="42"/>
        <v>0</v>
      </c>
      <c r="AD30" s="505">
        <v>4</v>
      </c>
      <c r="AE30" s="2937">
        <f t="shared" si="43"/>
        <v>0</v>
      </c>
      <c r="AF30" s="2937">
        <f t="shared" ca="1" si="44"/>
        <v>0</v>
      </c>
      <c r="AG30" s="457">
        <f t="shared" ca="1" si="45"/>
        <v>0</v>
      </c>
      <c r="AH30" s="457">
        <f t="shared" ca="1" si="46"/>
        <v>0</v>
      </c>
      <c r="AI30" s="457">
        <f t="shared" si="46"/>
        <v>273.18175000000002</v>
      </c>
      <c r="AJ30" s="457">
        <f t="shared" ca="1" si="47"/>
        <v>0</v>
      </c>
      <c r="AK30" s="457">
        <f t="shared" ca="1" si="48"/>
        <v>0</v>
      </c>
      <c r="AL30" s="718">
        <f t="shared" ca="1" si="49"/>
        <v>0</v>
      </c>
      <c r="AM30" s="457">
        <f t="shared" ca="1" si="50"/>
        <v>0</v>
      </c>
    </row>
    <row r="31" spans="1:74" x14ac:dyDescent="0.25">
      <c r="A31" s="99">
        <v>5</v>
      </c>
      <c r="B31" s="1666">
        <f>IF('DATA INPUT'!$M$69&gt;=1,'DATA INPUT'!$E$69,0)</f>
        <v>0</v>
      </c>
      <c r="C31" s="1666">
        <f t="shared" si="29"/>
        <v>0</v>
      </c>
      <c r="D31" s="108">
        <f ca="1">OFFSET('DATA INPUT'!$D$68,OFFSET($A$4,INT((ROW()-ROW($A$4))/15)*15,0)-1,0)</f>
        <v>0</v>
      </c>
      <c r="E31" s="1666">
        <f ca="1">OFFSET('DATA INPUT'!$I$68,OFFSET($A$4,INT((ROW()-ROW($A$4))/15)*15,0)-1,A31-1)</f>
        <v>0</v>
      </c>
      <c r="F31" s="1666">
        <f t="shared" ca="1" si="30"/>
        <v>0</v>
      </c>
      <c r="G31" s="457">
        <f t="shared" ca="1" si="51"/>
        <v>0</v>
      </c>
      <c r="H31" s="457">
        <f t="shared" ca="1" si="51"/>
        <v>0</v>
      </c>
      <c r="I31" s="457">
        <f t="shared" ca="1" si="51"/>
        <v>0</v>
      </c>
      <c r="J31" s="457">
        <f t="shared" si="51"/>
        <v>281.37720250000001</v>
      </c>
      <c r="K31" s="457">
        <f t="shared" ca="1" si="31"/>
        <v>0</v>
      </c>
      <c r="L31" s="457">
        <f>(L30*$I$21)+L30</f>
        <v>0</v>
      </c>
      <c r="M31" s="1540">
        <f t="shared" si="32"/>
        <v>0</v>
      </c>
      <c r="N31" s="1541">
        <f t="shared" ca="1" si="33"/>
        <v>0</v>
      </c>
      <c r="O31" s="672">
        <f t="shared" si="34"/>
        <v>5</v>
      </c>
      <c r="P31" s="1489">
        <f t="shared" ca="1" si="35"/>
        <v>0</v>
      </c>
      <c r="Q31" s="1489">
        <f>(Q30*$I$21)+Q30</f>
        <v>0</v>
      </c>
      <c r="S31" s="99">
        <v>5</v>
      </c>
      <c r="T31" s="1666">
        <f t="shared" si="36"/>
        <v>0</v>
      </c>
      <c r="U31" s="2520">
        <f t="shared" ca="1" si="37"/>
        <v>0</v>
      </c>
      <c r="V31" s="2520">
        <f t="shared" ca="1" si="38"/>
        <v>0</v>
      </c>
      <c r="W31" s="2520">
        <f t="shared" ca="1" si="39"/>
        <v>0</v>
      </c>
      <c r="X31" s="2520">
        <f t="shared" si="39"/>
        <v>281.37720250000001</v>
      </c>
      <c r="Y31" s="2520">
        <f t="shared" si="40"/>
        <v>0</v>
      </c>
      <c r="Z31" s="2523">
        <f t="shared" si="40"/>
        <v>0</v>
      </c>
      <c r="AA31" s="1666">
        <f t="shared" ca="1" si="41"/>
        <v>0</v>
      </c>
      <c r="AB31" s="2526">
        <f t="shared" ca="1" si="42"/>
        <v>0</v>
      </c>
      <c r="AD31" s="505">
        <v>5</v>
      </c>
      <c r="AE31" s="2937">
        <f t="shared" si="43"/>
        <v>0</v>
      </c>
      <c r="AF31" s="2937">
        <f t="shared" ca="1" si="44"/>
        <v>0</v>
      </c>
      <c r="AG31" s="457">
        <f t="shared" ca="1" si="45"/>
        <v>0</v>
      </c>
      <c r="AH31" s="457">
        <f t="shared" ca="1" si="46"/>
        <v>0</v>
      </c>
      <c r="AI31" s="457">
        <f t="shared" si="46"/>
        <v>281.37720250000001</v>
      </c>
      <c r="AJ31" s="457">
        <f t="shared" ca="1" si="47"/>
        <v>0</v>
      </c>
      <c r="AK31" s="457">
        <f t="shared" ca="1" si="48"/>
        <v>0</v>
      </c>
      <c r="AL31" s="718">
        <f t="shared" ca="1" si="49"/>
        <v>0</v>
      </c>
      <c r="AM31" s="457">
        <f t="shared" ca="1" si="50"/>
        <v>0</v>
      </c>
    </row>
    <row r="32" spans="1:74" ht="15.75" thickBot="1" x14ac:dyDescent="0.3">
      <c r="A32" s="98">
        <v>6</v>
      </c>
      <c r="B32" s="1667">
        <f>IF('DATA INPUT'!$N$69&gt;=1,'DATA INPUT'!$E$69,0)</f>
        <v>0</v>
      </c>
      <c r="C32" s="1667">
        <f t="shared" si="29"/>
        <v>0</v>
      </c>
      <c r="D32" s="109">
        <f ca="1">OFFSET('DATA INPUT'!$D$68,OFFSET($A$4,INT((ROW()-ROW($A$4))/15)*15,0)-1,0)</f>
        <v>0</v>
      </c>
      <c r="E32" s="1667">
        <f ca="1">OFFSET('DATA INPUT'!$I$68,OFFSET($A$4,INT((ROW()-ROW($A$4))/15)*15,0)-1,A32-1)</f>
        <v>0</v>
      </c>
      <c r="F32" s="1667">
        <f t="shared" ca="1" si="30"/>
        <v>0</v>
      </c>
      <c r="G32" s="495">
        <f t="shared" ca="1" si="51"/>
        <v>0</v>
      </c>
      <c r="H32" s="495">
        <f t="shared" ca="1" si="51"/>
        <v>0</v>
      </c>
      <c r="I32" s="495">
        <f t="shared" ca="1" si="51"/>
        <v>0</v>
      </c>
      <c r="J32" s="495">
        <f t="shared" si="51"/>
        <v>289.81851857499998</v>
      </c>
      <c r="K32" s="495">
        <f t="shared" ca="1" si="31"/>
        <v>0</v>
      </c>
      <c r="L32" s="495">
        <f>(L31*$I$21)+L31</f>
        <v>0</v>
      </c>
      <c r="M32" s="1550">
        <f t="shared" si="32"/>
        <v>0</v>
      </c>
      <c r="N32" s="1551">
        <f t="shared" ca="1" si="33"/>
        <v>0</v>
      </c>
      <c r="O32" s="672">
        <f t="shared" si="34"/>
        <v>6</v>
      </c>
      <c r="P32" s="1513">
        <f t="shared" ca="1" si="35"/>
        <v>0</v>
      </c>
      <c r="Q32" s="1513">
        <f>(Q31*$I$21)+Q31</f>
        <v>0</v>
      </c>
      <c r="S32" s="98">
        <v>6</v>
      </c>
      <c r="T32" s="1667">
        <f t="shared" si="36"/>
        <v>0</v>
      </c>
      <c r="U32" s="2521">
        <f t="shared" ca="1" si="37"/>
        <v>0</v>
      </c>
      <c r="V32" s="2521">
        <f t="shared" ca="1" si="38"/>
        <v>0</v>
      </c>
      <c r="W32" s="2521">
        <f t="shared" ca="1" si="39"/>
        <v>0</v>
      </c>
      <c r="X32" s="2521">
        <f t="shared" si="39"/>
        <v>289.81851857499998</v>
      </c>
      <c r="Y32" s="2521">
        <f t="shared" si="40"/>
        <v>0</v>
      </c>
      <c r="Z32" s="2524">
        <f t="shared" si="40"/>
        <v>0</v>
      </c>
      <c r="AA32" s="1667">
        <f t="shared" ca="1" si="41"/>
        <v>0</v>
      </c>
      <c r="AB32" s="2527">
        <f t="shared" ca="1" si="42"/>
        <v>0</v>
      </c>
      <c r="AD32" s="505">
        <v>6</v>
      </c>
      <c r="AE32" s="2937">
        <f t="shared" si="43"/>
        <v>0</v>
      </c>
      <c r="AF32" s="2937">
        <f t="shared" ca="1" si="44"/>
        <v>0</v>
      </c>
      <c r="AG32" s="457">
        <f t="shared" ca="1" si="45"/>
        <v>0</v>
      </c>
      <c r="AH32" s="457">
        <f t="shared" ca="1" si="46"/>
        <v>0</v>
      </c>
      <c r="AI32" s="457">
        <f t="shared" si="46"/>
        <v>289.81851857499998</v>
      </c>
      <c r="AJ32" s="457">
        <f t="shared" ca="1" si="47"/>
        <v>0</v>
      </c>
      <c r="AK32" s="457">
        <f t="shared" ca="1" si="48"/>
        <v>0</v>
      </c>
      <c r="AL32" s="718">
        <f t="shared" ca="1" si="49"/>
        <v>0</v>
      </c>
      <c r="AM32" s="457">
        <f t="shared" ca="1" si="50"/>
        <v>0</v>
      </c>
    </row>
    <row r="33" spans="1:39" x14ac:dyDescent="0.25">
      <c r="A33" s="859"/>
      <c r="B33" s="668"/>
      <c r="C33" s="668"/>
      <c r="D33" s="668"/>
      <c r="E33" s="668"/>
      <c r="F33" s="668"/>
      <c r="G33" s="668"/>
      <c r="H33" s="668"/>
      <c r="I33" s="668"/>
      <c r="J33" s="668"/>
      <c r="K33" s="668"/>
      <c r="L33" s="668"/>
      <c r="M33" s="759" t="s">
        <v>300</v>
      </c>
      <c r="N33" s="1552">
        <f ca="1">SUM(N27:N32)</f>
        <v>0</v>
      </c>
      <c r="O33" s="103"/>
      <c r="P33" s="1668">
        <f ca="1">SUM(P27:P32)</f>
        <v>0</v>
      </c>
      <c r="Q33" s="1668"/>
    </row>
    <row r="34" spans="1:39" ht="24" thickBot="1" x14ac:dyDescent="0.4">
      <c r="A34" s="1599">
        <f>A19+1</f>
        <v>3</v>
      </c>
      <c r="N34" s="2449" t="str">
        <f>IF(L20="Yes",N33+P33,"")</f>
        <v/>
      </c>
      <c r="O34" s="2450" t="s">
        <v>756</v>
      </c>
      <c r="R34" s="103"/>
    </row>
    <row r="35" spans="1:39" ht="15.75" thickBot="1" x14ac:dyDescent="0.3">
      <c r="A35" s="113" t="s">
        <v>120</v>
      </c>
      <c r="B35" s="3639">
        <f>'DATA INPUT'!B70</f>
        <v>0</v>
      </c>
      <c r="C35" s="3640"/>
      <c r="D35" s="3640"/>
      <c r="E35" s="3640"/>
      <c r="F35" s="3691"/>
      <c r="G35" s="848"/>
      <c r="H35" s="795" t="s">
        <v>376</v>
      </c>
      <c r="I35" s="796" t="str">
        <f ca="1">IF(B36=$T$6,'Reference Sheet'!$J$4, 'Reference Sheet'!$J$3)</f>
        <v>Domestic</v>
      </c>
      <c r="J35" s="3694" t="s">
        <v>515</v>
      </c>
      <c r="K35" s="3695"/>
      <c r="L35" s="1664">
        <f>'DATA INPUT'!$H$70</f>
        <v>0</v>
      </c>
      <c r="R35" s="103"/>
    </row>
    <row r="36" spans="1:39" x14ac:dyDescent="0.25">
      <c r="A36" s="113" t="s">
        <v>468</v>
      </c>
      <c r="B36" s="3639">
        <f ca="1">OFFSET('DATA INPUT'!$C$68,($A34-1),0)</f>
        <v>0</v>
      </c>
      <c r="C36" s="3640"/>
      <c r="D36" s="3640"/>
      <c r="E36" s="800"/>
      <c r="F36" s="797"/>
      <c r="G36" s="113"/>
      <c r="H36" s="113" t="s">
        <v>371</v>
      </c>
      <c r="I36" s="798">
        <f>'Reference Sheet'!$L$8</f>
        <v>0.03</v>
      </c>
      <c r="R36" s="103"/>
    </row>
    <row r="37" spans="1:39" x14ac:dyDescent="0.25">
      <c r="A37" s="113" t="s">
        <v>116</v>
      </c>
      <c r="B37" s="1554">
        <f ca="1">IF(B36=$T$3, $U$3,IF(B36=$T$4,$U$4,IF(B36=$T$5,$U$5,IF(B36=$T$6,$U$6,0))))</f>
        <v>0</v>
      </c>
      <c r="C37" s="113" t="s">
        <v>115</v>
      </c>
      <c r="D37" s="1554">
        <f ca="1">IF(B36=$T$3,$V$3,IF(B36=$T$4,$V$4,IF(B36=$T$5,$V$5,IF(B36=$T$6,$V$6,0))))</f>
        <v>0</v>
      </c>
      <c r="E37" s="113" t="s">
        <v>23</v>
      </c>
      <c r="F37" s="1554">
        <f ca="1">OFFSET('DATA INPUT'!$F$68,($A34-1),0)</f>
        <v>0</v>
      </c>
      <c r="G37" s="113" t="s">
        <v>118</v>
      </c>
      <c r="H37" s="1554">
        <v>250</v>
      </c>
      <c r="I37" s="113" t="s">
        <v>755</v>
      </c>
      <c r="J37" s="762">
        <v>0.13</v>
      </c>
      <c r="K37" s="114" t="s">
        <v>362</v>
      </c>
      <c r="L37" s="115">
        <f>'DATA INPUT'!$G$70</f>
        <v>0</v>
      </c>
      <c r="S37" s="2551" t="s">
        <v>811</v>
      </c>
      <c r="T37" s="2551"/>
      <c r="U37" s="2551"/>
      <c r="V37" s="2551"/>
      <c r="W37" s="2551"/>
    </row>
    <row r="38" spans="1:39" ht="15.75" thickBot="1" x14ac:dyDescent="0.3">
      <c r="D38" s="110"/>
      <c r="AD38" s="2541" t="s">
        <v>808</v>
      </c>
      <c r="AE38" s="2542"/>
      <c r="AF38" s="2542"/>
      <c r="AG38" s="2542"/>
      <c r="AH38" s="2542"/>
    </row>
    <row r="39" spans="1:39" ht="15.75" thickBot="1" x14ac:dyDescent="0.3">
      <c r="A39" s="3630">
        <f>B35</f>
        <v>0</v>
      </c>
      <c r="B39" s="3626"/>
      <c r="C39" s="3626"/>
      <c r="D39" s="3626"/>
      <c r="E39" s="3626"/>
      <c r="F39" s="3626"/>
      <c r="G39" s="3626"/>
      <c r="H39" s="3626"/>
      <c r="I39" s="3626"/>
      <c r="J39" s="3626"/>
      <c r="K39" s="3626"/>
      <c r="L39" s="3626"/>
      <c r="M39" s="3626"/>
      <c r="N39" s="3627"/>
      <c r="S39" s="2536">
        <f>A39</f>
        <v>0</v>
      </c>
      <c r="T39" s="2537"/>
      <c r="U39" s="2537"/>
      <c r="V39" s="2537"/>
      <c r="W39" s="2537"/>
      <c r="X39" s="2537"/>
      <c r="Y39" s="2537"/>
      <c r="Z39" s="2537"/>
      <c r="AA39" s="2537"/>
      <c r="AB39" s="2538"/>
      <c r="AG39" s="2550" t="s">
        <v>809</v>
      </c>
      <c r="AH39" s="2550"/>
      <c r="AI39" s="2550"/>
      <c r="AJ39" s="2550"/>
      <c r="AK39" s="19" t="s">
        <v>812</v>
      </c>
      <c r="AL39" s="2541" t="s">
        <v>807</v>
      </c>
    </row>
    <row r="40" spans="1:39" ht="14.45" customHeight="1" x14ac:dyDescent="0.25">
      <c r="A40" s="858" t="s">
        <v>659</v>
      </c>
      <c r="B40" s="3641" t="s">
        <v>117</v>
      </c>
      <c r="C40" s="3642"/>
      <c r="D40" s="3521" t="s">
        <v>363</v>
      </c>
      <c r="E40" s="3521" t="s">
        <v>364</v>
      </c>
      <c r="F40" s="3521" t="s">
        <v>365</v>
      </c>
      <c r="G40" s="3521" t="s">
        <v>116</v>
      </c>
      <c r="H40" s="3521" t="s">
        <v>115</v>
      </c>
      <c r="I40" s="3521" t="s">
        <v>23</v>
      </c>
      <c r="J40" s="3521" t="s">
        <v>114</v>
      </c>
      <c r="K40" s="3521" t="s">
        <v>366</v>
      </c>
      <c r="L40" s="3521" t="s">
        <v>122</v>
      </c>
      <c r="M40" s="3521" t="s">
        <v>298</v>
      </c>
      <c r="N40" s="3521" t="s">
        <v>113</v>
      </c>
      <c r="P40" s="3520" t="s">
        <v>661</v>
      </c>
      <c r="Q40" s="3520" t="s">
        <v>122</v>
      </c>
      <c r="S40" s="3677" t="s">
        <v>253</v>
      </c>
      <c r="T40" s="3675" t="s">
        <v>112</v>
      </c>
      <c r="U40" s="3675" t="s">
        <v>116</v>
      </c>
      <c r="V40" s="3675" t="s">
        <v>794</v>
      </c>
      <c r="W40" s="3675" t="s">
        <v>23</v>
      </c>
      <c r="X40" s="3675" t="s">
        <v>114</v>
      </c>
      <c r="Y40" s="3675" t="s">
        <v>122</v>
      </c>
      <c r="Z40" s="3675" t="s">
        <v>795</v>
      </c>
      <c r="AA40" s="3675" t="s">
        <v>800</v>
      </c>
      <c r="AB40" s="3673" t="s">
        <v>796</v>
      </c>
      <c r="AD40" s="3679" t="s">
        <v>253</v>
      </c>
      <c r="AE40" s="3679" t="s">
        <v>112</v>
      </c>
      <c r="AF40" s="3679" t="s">
        <v>802</v>
      </c>
      <c r="AG40" s="3679" t="s">
        <v>803</v>
      </c>
      <c r="AH40" s="3679" t="s">
        <v>804</v>
      </c>
      <c r="AI40" s="3679" t="s">
        <v>805</v>
      </c>
      <c r="AJ40" s="3679" t="s">
        <v>116</v>
      </c>
      <c r="AK40" s="3710" t="s">
        <v>801</v>
      </c>
      <c r="AL40" s="3680" t="s">
        <v>806</v>
      </c>
      <c r="AM40" s="3710" t="s">
        <v>796</v>
      </c>
    </row>
    <row r="41" spans="1:39" ht="15" customHeight="1" thickBot="1" x14ac:dyDescent="0.3">
      <c r="A41" s="858" t="s">
        <v>660</v>
      </c>
      <c r="B41" s="1652" t="s">
        <v>112</v>
      </c>
      <c r="C41" s="763" t="s">
        <v>111</v>
      </c>
      <c r="D41" s="3522"/>
      <c r="E41" s="3522"/>
      <c r="F41" s="3522"/>
      <c r="G41" s="3522"/>
      <c r="H41" s="3522"/>
      <c r="I41" s="3522"/>
      <c r="J41" s="3522"/>
      <c r="K41" s="3522"/>
      <c r="L41" s="3522"/>
      <c r="M41" s="3522"/>
      <c r="N41" s="3522"/>
      <c r="P41" s="3522"/>
      <c r="Q41" s="3522"/>
      <c r="S41" s="3678"/>
      <c r="T41" s="3676"/>
      <c r="U41" s="3676"/>
      <c r="V41" s="3676"/>
      <c r="W41" s="3676"/>
      <c r="X41" s="3676"/>
      <c r="Y41" s="3676"/>
      <c r="Z41" s="3676"/>
      <c r="AA41" s="3676"/>
      <c r="AB41" s="3674"/>
      <c r="AD41" s="3679"/>
      <c r="AE41" s="3679"/>
      <c r="AF41" s="3679"/>
      <c r="AG41" s="3679"/>
      <c r="AH41" s="3679"/>
      <c r="AI41" s="3679"/>
      <c r="AJ41" s="3679"/>
      <c r="AK41" s="3710"/>
      <c r="AL41" s="3680"/>
      <c r="AM41" s="3710"/>
    </row>
    <row r="42" spans="1:39" x14ac:dyDescent="0.25">
      <c r="A42" s="651">
        <v>1</v>
      </c>
      <c r="B42" s="1665">
        <f>IF('DATA INPUT'!$I$70&gt;=1,'DATA INPUT'!$E$70,0)</f>
        <v>0</v>
      </c>
      <c r="C42" s="1665">
        <f t="shared" ref="C42:C47" si="52">IF(B42&gt;0,B42-1,0)</f>
        <v>0</v>
      </c>
      <c r="D42" s="106">
        <f ca="1">OFFSET('DATA INPUT'!$D$68,OFFSET($A$4,INT((ROW()-ROW($A$4))/15)*15,0)-1,0)</f>
        <v>0</v>
      </c>
      <c r="E42" s="1665">
        <f ca="1">OFFSET('DATA INPUT'!$I$68,OFFSET($A$4,INT((ROW()-ROW($A$4))/15)*15,0)-1,A42-1)</f>
        <v>0</v>
      </c>
      <c r="F42" s="1665">
        <f t="shared" ref="F42:F47" ca="1" si="53">E42*D42</f>
        <v>0</v>
      </c>
      <c r="G42" s="492">
        <f ca="1">B37</f>
        <v>0</v>
      </c>
      <c r="H42" s="492">
        <f ca="1">D37</f>
        <v>0</v>
      </c>
      <c r="I42" s="492">
        <f ca="1">F37</f>
        <v>0</v>
      </c>
      <c r="J42" s="492">
        <f>H37</f>
        <v>250</v>
      </c>
      <c r="K42" s="492">
        <f t="shared" ref="K42:K47" ca="1" si="54" xml:space="preserve"> H42*C42*$J$37</f>
        <v>0</v>
      </c>
      <c r="L42" s="492">
        <f>IF(L35="Yes",0,L37)</f>
        <v>0</v>
      </c>
      <c r="M42" s="1539">
        <f t="shared" ref="M42:M47" si="55">IF(B42&lt;1,0,(IF(C42=0,SUM(I42:L42),((B42-0.5)*G42+C42*H42+SUM(I42:L42)))))</f>
        <v>0</v>
      </c>
      <c r="N42" s="1500">
        <f t="shared" ref="N42:N47" ca="1" si="56">F42*M42</f>
        <v>0</v>
      </c>
      <c r="O42" s="672">
        <f t="shared" ref="O42:O47" si="57">A42</f>
        <v>1</v>
      </c>
      <c r="P42" s="1657">
        <f t="shared" ref="P42:P47" ca="1" si="58">Q42*F42</f>
        <v>0</v>
      </c>
      <c r="Q42" s="1657">
        <f>IF(L35="Yes",L37,0)</f>
        <v>0</v>
      </c>
      <c r="S42" s="651">
        <v>1</v>
      </c>
      <c r="T42" s="1665">
        <f t="shared" ref="T42:T47" si="59">B42</f>
        <v>0</v>
      </c>
      <c r="U42" s="2519">
        <f t="shared" ref="U42:U47" ca="1" si="60">G42</f>
        <v>0</v>
      </c>
      <c r="V42" s="2519">
        <f t="shared" ref="V42:V47" ca="1" si="61">IFERROR(H42+K42/C42,0)</f>
        <v>0</v>
      </c>
      <c r="W42" s="2519">
        <f t="shared" ref="W42:X47" ca="1" si="62">I42</f>
        <v>0</v>
      </c>
      <c r="X42" s="2519">
        <f t="shared" si="62"/>
        <v>250</v>
      </c>
      <c r="Y42" s="2519">
        <f t="shared" ref="Y42:Z47" si="63">L42</f>
        <v>0</v>
      </c>
      <c r="Z42" s="2522">
        <f t="shared" si="63"/>
        <v>0</v>
      </c>
      <c r="AA42" s="1665">
        <f t="shared" ref="AA42:AA47" ca="1" si="64">F42</f>
        <v>0</v>
      </c>
      <c r="AB42" s="2525">
        <f t="shared" ref="AB42:AB47" ca="1" si="65">N42</f>
        <v>0</v>
      </c>
      <c r="AD42" s="505">
        <v>1</v>
      </c>
      <c r="AE42" s="2937">
        <f t="shared" ref="AE42:AE47" si="66">B42</f>
        <v>0</v>
      </c>
      <c r="AF42" s="2937">
        <f t="shared" ref="AF42:AF47" ca="1" si="67">F42</f>
        <v>0</v>
      </c>
      <c r="AG42" s="457">
        <f t="shared" ref="AG42:AG47" ca="1" si="68">C42*H42+K42</f>
        <v>0</v>
      </c>
      <c r="AH42" s="457">
        <f t="shared" ref="AH42:AI47" ca="1" si="69">I42</f>
        <v>0</v>
      </c>
      <c r="AI42" s="457">
        <f t="shared" si="69"/>
        <v>250</v>
      </c>
      <c r="AJ42" s="457">
        <f t="shared" ref="AJ42:AJ47" ca="1" si="70">IF(AE42&gt;1,(B42-0.5)*G42,B42*G42)</f>
        <v>0</v>
      </c>
      <c r="AK42" s="457">
        <f t="shared" ref="AK42:AK47" ca="1" si="71">ROUND(SUM(AG42:AJ42)*AF42,0)</f>
        <v>0</v>
      </c>
      <c r="AL42" s="718">
        <f t="shared" ref="AL42:AL47" ca="1" si="72">AF42*(L42+Q42)</f>
        <v>0</v>
      </c>
      <c r="AM42" s="457">
        <f t="shared" ref="AM42:AM47" ca="1" si="73">AK42+AL42</f>
        <v>0</v>
      </c>
    </row>
    <row r="43" spans="1:39" x14ac:dyDescent="0.25">
      <c r="A43" s="99">
        <v>2</v>
      </c>
      <c r="B43" s="1666">
        <f>IF('DATA INPUT'!$J$70&gt;=1,'DATA INPUT'!$E$70,0)</f>
        <v>0</v>
      </c>
      <c r="C43" s="1666">
        <f t="shared" si="52"/>
        <v>0</v>
      </c>
      <c r="D43" s="108">
        <f ca="1">OFFSET('DATA INPUT'!$D$68,OFFSET($A$4,INT((ROW()-ROW($A$4))/15)*15,0)-1,0)</f>
        <v>0</v>
      </c>
      <c r="E43" s="1666">
        <f ca="1">OFFSET('DATA INPUT'!$I$68,OFFSET($A$4,INT((ROW()-ROW($A$4))/15)*15,0)-1,A43-1)</f>
        <v>0</v>
      </c>
      <c r="F43" s="1666">
        <f t="shared" ca="1" si="53"/>
        <v>0</v>
      </c>
      <c r="G43" s="457">
        <f t="shared" ref="G43:J47" ca="1" si="74">(G42*$I$36)+G42</f>
        <v>0</v>
      </c>
      <c r="H43" s="457">
        <f t="shared" ca="1" si="74"/>
        <v>0</v>
      </c>
      <c r="I43" s="457">
        <f t="shared" ca="1" si="74"/>
        <v>0</v>
      </c>
      <c r="J43" s="457">
        <f t="shared" si="74"/>
        <v>257.5</v>
      </c>
      <c r="K43" s="457">
        <f t="shared" ca="1" si="54"/>
        <v>0</v>
      </c>
      <c r="L43" s="457">
        <f>(L42*$I$36)+L42</f>
        <v>0</v>
      </c>
      <c r="M43" s="1540">
        <f t="shared" si="55"/>
        <v>0</v>
      </c>
      <c r="N43" s="1541">
        <f t="shared" ca="1" si="56"/>
        <v>0</v>
      </c>
      <c r="O43" s="672">
        <f t="shared" si="57"/>
        <v>2</v>
      </c>
      <c r="P43" s="1489">
        <f t="shared" ca="1" si="58"/>
        <v>0</v>
      </c>
      <c r="Q43" s="1489">
        <f>(Q42*$I$36)+Q42</f>
        <v>0</v>
      </c>
      <c r="S43" s="99">
        <v>2</v>
      </c>
      <c r="T43" s="1666">
        <f t="shared" si="59"/>
        <v>0</v>
      </c>
      <c r="U43" s="2520">
        <f t="shared" ca="1" si="60"/>
        <v>0</v>
      </c>
      <c r="V43" s="2520">
        <f t="shared" ca="1" si="61"/>
        <v>0</v>
      </c>
      <c r="W43" s="2520">
        <f t="shared" ca="1" si="62"/>
        <v>0</v>
      </c>
      <c r="X43" s="2520">
        <f t="shared" si="62"/>
        <v>257.5</v>
      </c>
      <c r="Y43" s="2520">
        <f t="shared" si="63"/>
        <v>0</v>
      </c>
      <c r="Z43" s="2523">
        <f t="shared" si="63"/>
        <v>0</v>
      </c>
      <c r="AA43" s="1666">
        <f t="shared" ca="1" si="64"/>
        <v>0</v>
      </c>
      <c r="AB43" s="2526">
        <f t="shared" ca="1" si="65"/>
        <v>0</v>
      </c>
      <c r="AD43" s="505">
        <v>2</v>
      </c>
      <c r="AE43" s="2937">
        <f t="shared" si="66"/>
        <v>0</v>
      </c>
      <c r="AF43" s="2937">
        <f t="shared" ca="1" si="67"/>
        <v>0</v>
      </c>
      <c r="AG43" s="457">
        <f t="shared" ca="1" si="68"/>
        <v>0</v>
      </c>
      <c r="AH43" s="457">
        <f t="shared" ca="1" si="69"/>
        <v>0</v>
      </c>
      <c r="AI43" s="457">
        <f t="shared" si="69"/>
        <v>257.5</v>
      </c>
      <c r="AJ43" s="457">
        <f t="shared" ca="1" si="70"/>
        <v>0</v>
      </c>
      <c r="AK43" s="457">
        <f t="shared" ca="1" si="71"/>
        <v>0</v>
      </c>
      <c r="AL43" s="718">
        <f t="shared" ca="1" si="72"/>
        <v>0</v>
      </c>
      <c r="AM43" s="457">
        <f t="shared" ca="1" si="73"/>
        <v>0</v>
      </c>
    </row>
    <row r="44" spans="1:39" x14ac:dyDescent="0.25">
      <c r="A44" s="652">
        <v>3</v>
      </c>
      <c r="B44" s="1666">
        <f>IF('DATA INPUT'!$K$70&gt;=1,'DATA INPUT'!$E$70,0)</f>
        <v>0</v>
      </c>
      <c r="C44" s="1666">
        <f t="shared" si="52"/>
        <v>0</v>
      </c>
      <c r="D44" s="108">
        <f ca="1">OFFSET('DATA INPUT'!$D$68,OFFSET($A$4,INT((ROW()-ROW($A$4))/15)*15,0)-1,0)</f>
        <v>0</v>
      </c>
      <c r="E44" s="1666">
        <f ca="1">OFFSET('DATA INPUT'!$I$68,OFFSET($A$4,INT((ROW()-ROW($A$4))/15)*15,0)-1,A44-1)</f>
        <v>0</v>
      </c>
      <c r="F44" s="1666">
        <f t="shared" ca="1" si="53"/>
        <v>0</v>
      </c>
      <c r="G44" s="457">
        <f t="shared" ca="1" si="74"/>
        <v>0</v>
      </c>
      <c r="H44" s="457">
        <f t="shared" ca="1" si="74"/>
        <v>0</v>
      </c>
      <c r="I44" s="457">
        <f t="shared" ca="1" si="74"/>
        <v>0</v>
      </c>
      <c r="J44" s="457">
        <f t="shared" si="74"/>
        <v>265.22500000000002</v>
      </c>
      <c r="K44" s="457">
        <f t="shared" ca="1" si="54"/>
        <v>0</v>
      </c>
      <c r="L44" s="457">
        <f>(L43*$I$36)+L43</f>
        <v>0</v>
      </c>
      <c r="M44" s="1540">
        <f t="shared" si="55"/>
        <v>0</v>
      </c>
      <c r="N44" s="1541">
        <f t="shared" ca="1" si="56"/>
        <v>0</v>
      </c>
      <c r="O44" s="672">
        <f t="shared" si="57"/>
        <v>3</v>
      </c>
      <c r="P44" s="1489">
        <f t="shared" ca="1" si="58"/>
        <v>0</v>
      </c>
      <c r="Q44" s="1489">
        <f>(Q43*$I$36)+Q43</f>
        <v>0</v>
      </c>
      <c r="S44" s="652">
        <v>3</v>
      </c>
      <c r="T44" s="1666">
        <f t="shared" si="59"/>
        <v>0</v>
      </c>
      <c r="U44" s="2520">
        <f t="shared" ca="1" si="60"/>
        <v>0</v>
      </c>
      <c r="V44" s="2520">
        <f t="shared" ca="1" si="61"/>
        <v>0</v>
      </c>
      <c r="W44" s="2520">
        <f t="shared" ca="1" si="62"/>
        <v>0</v>
      </c>
      <c r="X44" s="2520">
        <f t="shared" si="62"/>
        <v>265.22500000000002</v>
      </c>
      <c r="Y44" s="2520">
        <f t="shared" si="63"/>
        <v>0</v>
      </c>
      <c r="Z44" s="2523">
        <f t="shared" si="63"/>
        <v>0</v>
      </c>
      <c r="AA44" s="1666">
        <f t="shared" ca="1" si="64"/>
        <v>0</v>
      </c>
      <c r="AB44" s="2526">
        <f t="shared" ca="1" si="65"/>
        <v>0</v>
      </c>
      <c r="AD44" s="505">
        <v>3</v>
      </c>
      <c r="AE44" s="2937">
        <f t="shared" si="66"/>
        <v>0</v>
      </c>
      <c r="AF44" s="2937">
        <f t="shared" ca="1" si="67"/>
        <v>0</v>
      </c>
      <c r="AG44" s="457">
        <f t="shared" ca="1" si="68"/>
        <v>0</v>
      </c>
      <c r="AH44" s="457">
        <f t="shared" ca="1" si="69"/>
        <v>0</v>
      </c>
      <c r="AI44" s="457">
        <f t="shared" si="69"/>
        <v>265.22500000000002</v>
      </c>
      <c r="AJ44" s="457">
        <f t="shared" ca="1" si="70"/>
        <v>0</v>
      </c>
      <c r="AK44" s="457">
        <f t="shared" ca="1" si="71"/>
        <v>0</v>
      </c>
      <c r="AL44" s="718">
        <f t="shared" ca="1" si="72"/>
        <v>0</v>
      </c>
      <c r="AM44" s="457">
        <f t="shared" ca="1" si="73"/>
        <v>0</v>
      </c>
    </row>
    <row r="45" spans="1:39" x14ac:dyDescent="0.25">
      <c r="A45" s="99">
        <v>4</v>
      </c>
      <c r="B45" s="1666">
        <f>IF('DATA INPUT'!$L$70&gt;=1,'DATA INPUT'!$E$70,0)</f>
        <v>0</v>
      </c>
      <c r="C45" s="1666">
        <f t="shared" si="52"/>
        <v>0</v>
      </c>
      <c r="D45" s="108">
        <f ca="1">OFFSET('DATA INPUT'!$D$68,OFFSET($A$4,INT((ROW()-ROW($A$4))/15)*15,0)-1,0)</f>
        <v>0</v>
      </c>
      <c r="E45" s="1666">
        <f ca="1">OFFSET('DATA INPUT'!$I$68,OFFSET($A$4,INT((ROW()-ROW($A$4))/15)*15,0)-1,A45-1)</f>
        <v>0</v>
      </c>
      <c r="F45" s="1666">
        <f t="shared" ca="1" si="53"/>
        <v>0</v>
      </c>
      <c r="G45" s="457">
        <f t="shared" ca="1" si="74"/>
        <v>0</v>
      </c>
      <c r="H45" s="457">
        <f t="shared" ca="1" si="74"/>
        <v>0</v>
      </c>
      <c r="I45" s="457">
        <f t="shared" ca="1" si="74"/>
        <v>0</v>
      </c>
      <c r="J45" s="457">
        <f t="shared" si="74"/>
        <v>273.18175000000002</v>
      </c>
      <c r="K45" s="457">
        <f t="shared" ca="1" si="54"/>
        <v>0</v>
      </c>
      <c r="L45" s="457">
        <f>(L44*$I$36)+L44</f>
        <v>0</v>
      </c>
      <c r="M45" s="1540">
        <f t="shared" si="55"/>
        <v>0</v>
      </c>
      <c r="N45" s="1541">
        <f t="shared" ca="1" si="56"/>
        <v>0</v>
      </c>
      <c r="O45" s="672">
        <f t="shared" si="57"/>
        <v>4</v>
      </c>
      <c r="P45" s="1489">
        <f t="shared" ca="1" si="58"/>
        <v>0</v>
      </c>
      <c r="Q45" s="1489">
        <f>(Q44*$I$36)+Q44</f>
        <v>0</v>
      </c>
      <c r="S45" s="99">
        <v>4</v>
      </c>
      <c r="T45" s="1666">
        <f t="shared" si="59"/>
        <v>0</v>
      </c>
      <c r="U45" s="2520">
        <f t="shared" ca="1" si="60"/>
        <v>0</v>
      </c>
      <c r="V45" s="2520">
        <f t="shared" ca="1" si="61"/>
        <v>0</v>
      </c>
      <c r="W45" s="2520">
        <f t="shared" ca="1" si="62"/>
        <v>0</v>
      </c>
      <c r="X45" s="2520">
        <f t="shared" si="62"/>
        <v>273.18175000000002</v>
      </c>
      <c r="Y45" s="2520">
        <f t="shared" si="63"/>
        <v>0</v>
      </c>
      <c r="Z45" s="2523">
        <f t="shared" si="63"/>
        <v>0</v>
      </c>
      <c r="AA45" s="1666">
        <f t="shared" ca="1" si="64"/>
        <v>0</v>
      </c>
      <c r="AB45" s="2526">
        <f t="shared" ca="1" si="65"/>
        <v>0</v>
      </c>
      <c r="AD45" s="505">
        <v>4</v>
      </c>
      <c r="AE45" s="2937">
        <f t="shared" si="66"/>
        <v>0</v>
      </c>
      <c r="AF45" s="2937">
        <f t="shared" ca="1" si="67"/>
        <v>0</v>
      </c>
      <c r="AG45" s="457">
        <f t="shared" ca="1" si="68"/>
        <v>0</v>
      </c>
      <c r="AH45" s="457">
        <f t="shared" ca="1" si="69"/>
        <v>0</v>
      </c>
      <c r="AI45" s="457">
        <f t="shared" si="69"/>
        <v>273.18175000000002</v>
      </c>
      <c r="AJ45" s="457">
        <f t="shared" ca="1" si="70"/>
        <v>0</v>
      </c>
      <c r="AK45" s="457">
        <f t="shared" ca="1" si="71"/>
        <v>0</v>
      </c>
      <c r="AL45" s="718">
        <f t="shared" ca="1" si="72"/>
        <v>0</v>
      </c>
      <c r="AM45" s="457">
        <f t="shared" ca="1" si="73"/>
        <v>0</v>
      </c>
    </row>
    <row r="46" spans="1:39" x14ac:dyDescent="0.25">
      <c r="A46" s="99">
        <v>5</v>
      </c>
      <c r="B46" s="1666">
        <f>IF('DATA INPUT'!$M$70&gt;=1,'DATA INPUT'!$E$70,0)</f>
        <v>0</v>
      </c>
      <c r="C46" s="1666">
        <f t="shared" si="52"/>
        <v>0</v>
      </c>
      <c r="D46" s="108">
        <f ca="1">OFFSET('DATA INPUT'!$D$68,OFFSET($A$4,INT((ROW()-ROW($A$4))/15)*15,0)-1,0)</f>
        <v>0</v>
      </c>
      <c r="E46" s="1666">
        <f ca="1">OFFSET('DATA INPUT'!$I$68,OFFSET($A$4,INT((ROW()-ROW($A$4))/15)*15,0)-1,A46-1)</f>
        <v>0</v>
      </c>
      <c r="F46" s="1666">
        <f t="shared" ca="1" si="53"/>
        <v>0</v>
      </c>
      <c r="G46" s="457">
        <f t="shared" ca="1" si="74"/>
        <v>0</v>
      </c>
      <c r="H46" s="457">
        <f t="shared" ca="1" si="74"/>
        <v>0</v>
      </c>
      <c r="I46" s="457">
        <f t="shared" ca="1" si="74"/>
        <v>0</v>
      </c>
      <c r="J46" s="457">
        <f t="shared" si="74"/>
        <v>281.37720250000001</v>
      </c>
      <c r="K46" s="457">
        <f t="shared" ca="1" si="54"/>
        <v>0</v>
      </c>
      <c r="L46" s="457">
        <f>(L45*$I$36)+L45</f>
        <v>0</v>
      </c>
      <c r="M46" s="1540">
        <f t="shared" si="55"/>
        <v>0</v>
      </c>
      <c r="N46" s="1541">
        <f t="shared" ca="1" si="56"/>
        <v>0</v>
      </c>
      <c r="O46" s="672">
        <f t="shared" si="57"/>
        <v>5</v>
      </c>
      <c r="P46" s="1489">
        <f t="shared" ca="1" si="58"/>
        <v>0</v>
      </c>
      <c r="Q46" s="1489">
        <f>(Q45*$I$36)+Q45</f>
        <v>0</v>
      </c>
      <c r="S46" s="99">
        <v>5</v>
      </c>
      <c r="T46" s="1666">
        <f t="shared" si="59"/>
        <v>0</v>
      </c>
      <c r="U46" s="2520">
        <f t="shared" ca="1" si="60"/>
        <v>0</v>
      </c>
      <c r="V46" s="2520">
        <f t="shared" ca="1" si="61"/>
        <v>0</v>
      </c>
      <c r="W46" s="2520">
        <f t="shared" ca="1" si="62"/>
        <v>0</v>
      </c>
      <c r="X46" s="2520">
        <f t="shared" si="62"/>
        <v>281.37720250000001</v>
      </c>
      <c r="Y46" s="2520">
        <f t="shared" si="63"/>
        <v>0</v>
      </c>
      <c r="Z46" s="2523">
        <f t="shared" si="63"/>
        <v>0</v>
      </c>
      <c r="AA46" s="1666">
        <f t="shared" ca="1" si="64"/>
        <v>0</v>
      </c>
      <c r="AB46" s="2526">
        <f t="shared" ca="1" si="65"/>
        <v>0</v>
      </c>
      <c r="AD46" s="505">
        <v>5</v>
      </c>
      <c r="AE46" s="2937">
        <f t="shared" si="66"/>
        <v>0</v>
      </c>
      <c r="AF46" s="2937">
        <f t="shared" ca="1" si="67"/>
        <v>0</v>
      </c>
      <c r="AG46" s="457">
        <f t="shared" ca="1" si="68"/>
        <v>0</v>
      </c>
      <c r="AH46" s="457">
        <f t="shared" ca="1" si="69"/>
        <v>0</v>
      </c>
      <c r="AI46" s="457">
        <f t="shared" si="69"/>
        <v>281.37720250000001</v>
      </c>
      <c r="AJ46" s="457">
        <f t="shared" ca="1" si="70"/>
        <v>0</v>
      </c>
      <c r="AK46" s="457">
        <f t="shared" ca="1" si="71"/>
        <v>0</v>
      </c>
      <c r="AL46" s="718">
        <f t="shared" ca="1" si="72"/>
        <v>0</v>
      </c>
      <c r="AM46" s="457">
        <f t="shared" ca="1" si="73"/>
        <v>0</v>
      </c>
    </row>
    <row r="47" spans="1:39" ht="15.75" thickBot="1" x14ac:dyDescent="0.3">
      <c r="A47" s="98">
        <v>6</v>
      </c>
      <c r="B47" s="1667">
        <f>IF('DATA INPUT'!$N$70&gt;=1,'DATA INPUT'!$E$70,0)</f>
        <v>0</v>
      </c>
      <c r="C47" s="1667">
        <f t="shared" si="52"/>
        <v>0</v>
      </c>
      <c r="D47" s="109">
        <f ca="1">OFFSET('DATA INPUT'!$D$68,OFFSET($A$4,INT((ROW()-ROW($A$4))/15)*15,0)-1,0)</f>
        <v>0</v>
      </c>
      <c r="E47" s="1667">
        <f ca="1">OFFSET('DATA INPUT'!$I$68,OFFSET($A$4,INT((ROW()-ROW($A$4))/15)*15,0)-1,A47-1)</f>
        <v>0</v>
      </c>
      <c r="F47" s="1667">
        <f t="shared" ca="1" si="53"/>
        <v>0</v>
      </c>
      <c r="G47" s="495">
        <f t="shared" ca="1" si="74"/>
        <v>0</v>
      </c>
      <c r="H47" s="495">
        <f t="shared" ca="1" si="74"/>
        <v>0</v>
      </c>
      <c r="I47" s="495">
        <f t="shared" ca="1" si="74"/>
        <v>0</v>
      </c>
      <c r="J47" s="495">
        <f t="shared" si="74"/>
        <v>289.81851857499998</v>
      </c>
      <c r="K47" s="495">
        <f t="shared" ca="1" si="54"/>
        <v>0</v>
      </c>
      <c r="L47" s="495">
        <f>(L46*$I$36)+L46</f>
        <v>0</v>
      </c>
      <c r="M47" s="1550">
        <f t="shared" si="55"/>
        <v>0</v>
      </c>
      <c r="N47" s="1551">
        <f t="shared" ca="1" si="56"/>
        <v>0</v>
      </c>
      <c r="O47" s="672">
        <f t="shared" si="57"/>
        <v>6</v>
      </c>
      <c r="P47" s="1513">
        <f t="shared" ca="1" si="58"/>
        <v>0</v>
      </c>
      <c r="Q47" s="1513">
        <f>(Q46*$I$36)+Q46</f>
        <v>0</v>
      </c>
      <c r="S47" s="98">
        <v>6</v>
      </c>
      <c r="T47" s="1667">
        <f t="shared" si="59"/>
        <v>0</v>
      </c>
      <c r="U47" s="2521">
        <f t="shared" ca="1" si="60"/>
        <v>0</v>
      </c>
      <c r="V47" s="2521">
        <f t="shared" ca="1" si="61"/>
        <v>0</v>
      </c>
      <c r="W47" s="2521">
        <f t="shared" ca="1" si="62"/>
        <v>0</v>
      </c>
      <c r="X47" s="2521">
        <f t="shared" si="62"/>
        <v>289.81851857499998</v>
      </c>
      <c r="Y47" s="2521">
        <f t="shared" si="63"/>
        <v>0</v>
      </c>
      <c r="Z47" s="2524">
        <f t="shared" si="63"/>
        <v>0</v>
      </c>
      <c r="AA47" s="1667">
        <f t="shared" ca="1" si="64"/>
        <v>0</v>
      </c>
      <c r="AB47" s="2527">
        <f t="shared" ca="1" si="65"/>
        <v>0</v>
      </c>
      <c r="AD47" s="505">
        <v>6</v>
      </c>
      <c r="AE47" s="2937">
        <f t="shared" si="66"/>
        <v>0</v>
      </c>
      <c r="AF47" s="2937">
        <f t="shared" ca="1" si="67"/>
        <v>0</v>
      </c>
      <c r="AG47" s="457">
        <f t="shared" ca="1" si="68"/>
        <v>0</v>
      </c>
      <c r="AH47" s="457">
        <f t="shared" ca="1" si="69"/>
        <v>0</v>
      </c>
      <c r="AI47" s="457">
        <f t="shared" si="69"/>
        <v>289.81851857499998</v>
      </c>
      <c r="AJ47" s="457">
        <f t="shared" ca="1" si="70"/>
        <v>0</v>
      </c>
      <c r="AK47" s="457">
        <f t="shared" ca="1" si="71"/>
        <v>0</v>
      </c>
      <c r="AL47" s="718">
        <f t="shared" ca="1" si="72"/>
        <v>0</v>
      </c>
      <c r="AM47" s="457">
        <f t="shared" ca="1" si="73"/>
        <v>0</v>
      </c>
    </row>
    <row r="48" spans="1:39" x14ac:dyDescent="0.25">
      <c r="A48" s="859"/>
      <c r="B48" s="668"/>
      <c r="C48" s="668"/>
      <c r="D48" s="668"/>
      <c r="E48" s="668"/>
      <c r="F48" s="668"/>
      <c r="G48" s="668"/>
      <c r="H48" s="668"/>
      <c r="I48" s="668"/>
      <c r="J48" s="668"/>
      <c r="K48" s="668"/>
      <c r="L48" s="668"/>
      <c r="M48" s="759" t="s">
        <v>300</v>
      </c>
      <c r="N48" s="1552">
        <f ca="1">SUM(N42:N47)</f>
        <v>0</v>
      </c>
      <c r="P48" s="1668">
        <f ca="1">SUM(P42:P47)</f>
        <v>0</v>
      </c>
      <c r="Q48" s="1668"/>
    </row>
    <row r="49" spans="1:39" ht="24" thickBot="1" x14ac:dyDescent="0.4">
      <c r="A49" s="1599">
        <f>A34+1</f>
        <v>4</v>
      </c>
      <c r="N49" s="2449" t="str">
        <f>IF(L35="Yes",N48+P48,"")</f>
        <v/>
      </c>
      <c r="O49" s="2450" t="s">
        <v>756</v>
      </c>
    </row>
    <row r="50" spans="1:39" ht="15.75" thickBot="1" x14ac:dyDescent="0.3">
      <c r="A50" s="118" t="s">
        <v>120</v>
      </c>
      <c r="B50" s="3645">
        <f>'DATA INPUT'!B71</f>
        <v>0</v>
      </c>
      <c r="C50" s="3646"/>
      <c r="D50" s="3646"/>
      <c r="E50" s="3646"/>
      <c r="F50" s="3696"/>
      <c r="G50" s="849"/>
      <c r="H50" s="850" t="s">
        <v>376</v>
      </c>
      <c r="I50" s="799" t="str">
        <f ca="1">IF(B51=$T$6,'Reference Sheet'!$J$4, 'Reference Sheet'!$J$3)</f>
        <v>Domestic</v>
      </c>
      <c r="J50" s="3698" t="s">
        <v>515</v>
      </c>
      <c r="K50" s="3699"/>
      <c r="L50" s="1669">
        <f>'DATA INPUT'!$H$71</f>
        <v>0</v>
      </c>
    </row>
    <row r="51" spans="1:39" x14ac:dyDescent="0.25">
      <c r="A51" s="118" t="s">
        <v>468</v>
      </c>
      <c r="B51" s="3645">
        <f ca="1">OFFSET('DATA INPUT'!$C$68,($A49-1),0)</f>
        <v>0</v>
      </c>
      <c r="C51" s="3646"/>
      <c r="D51" s="3646"/>
      <c r="E51" s="802"/>
      <c r="F51" s="801"/>
      <c r="G51" s="118"/>
      <c r="H51" s="118" t="s">
        <v>371</v>
      </c>
      <c r="I51" s="803">
        <f>'Reference Sheet'!$L$8</f>
        <v>0.03</v>
      </c>
    </row>
    <row r="52" spans="1:39" x14ac:dyDescent="0.25">
      <c r="A52" s="118" t="s">
        <v>116</v>
      </c>
      <c r="B52" s="1555">
        <f ca="1">IF(B51=$T$3, $U$3,IF(B51=$T$4,$U$4,IF(B51=$T$5,$U$5,IF(B51=$T$6,$U$6,0))))</f>
        <v>0</v>
      </c>
      <c r="C52" s="118" t="s">
        <v>115</v>
      </c>
      <c r="D52" s="1555">
        <f ca="1">IF(B51=$T$3,$V$3,IF(B51=$T$4,$V$4,IF(B51=$T$5,$V$5,IF(B51=$T$6,$V$6,0))))</f>
        <v>0</v>
      </c>
      <c r="E52" s="118" t="s">
        <v>23</v>
      </c>
      <c r="F52" s="1555">
        <f ca="1">OFFSET('DATA INPUT'!$F$68,($A49-1),0)</f>
        <v>0</v>
      </c>
      <c r="G52" s="118" t="s">
        <v>118</v>
      </c>
      <c r="H52" s="1555">
        <v>250</v>
      </c>
      <c r="I52" s="118" t="s">
        <v>755</v>
      </c>
      <c r="J52" s="764">
        <v>0.13</v>
      </c>
      <c r="K52" s="117" t="s">
        <v>362</v>
      </c>
      <c r="L52" s="116">
        <f>'DATA INPUT'!$G$71</f>
        <v>0</v>
      </c>
      <c r="S52" s="2551" t="s">
        <v>811</v>
      </c>
      <c r="T52" s="2551"/>
      <c r="U52" s="2551"/>
      <c r="V52" s="2551"/>
      <c r="W52" s="2551"/>
    </row>
    <row r="53" spans="1:39" ht="15.75" thickBot="1" x14ac:dyDescent="0.3">
      <c r="D53" s="110"/>
      <c r="AD53" s="2541" t="s">
        <v>808</v>
      </c>
      <c r="AE53" s="2542"/>
      <c r="AF53" s="2542"/>
      <c r="AG53" s="2542"/>
      <c r="AH53" s="2542"/>
    </row>
    <row r="54" spans="1:39" ht="15.75" thickBot="1" x14ac:dyDescent="0.3">
      <c r="A54" s="3629">
        <f>B50</f>
        <v>0</v>
      </c>
      <c r="B54" s="3626"/>
      <c r="C54" s="3626"/>
      <c r="D54" s="3626"/>
      <c r="E54" s="3626"/>
      <c r="F54" s="3626"/>
      <c r="G54" s="3626"/>
      <c r="H54" s="3626"/>
      <c r="I54" s="3626"/>
      <c r="J54" s="3626"/>
      <c r="K54" s="3626"/>
      <c r="L54" s="3626"/>
      <c r="M54" s="3626"/>
      <c r="N54" s="3627"/>
      <c r="S54" s="2536">
        <f>A54</f>
        <v>0</v>
      </c>
      <c r="T54" s="2537"/>
      <c r="U54" s="2537"/>
      <c r="V54" s="2537"/>
      <c r="W54" s="2537"/>
      <c r="X54" s="2537"/>
      <c r="Y54" s="2537"/>
      <c r="Z54" s="2537"/>
      <c r="AA54" s="2537"/>
      <c r="AB54" s="2538"/>
      <c r="AG54" s="2550" t="s">
        <v>809</v>
      </c>
      <c r="AH54" s="2550"/>
      <c r="AI54" s="2550"/>
      <c r="AJ54" s="2550"/>
      <c r="AK54" s="19" t="s">
        <v>812</v>
      </c>
      <c r="AL54" s="2541" t="s">
        <v>807</v>
      </c>
    </row>
    <row r="55" spans="1:39" ht="14.45" customHeight="1" x14ac:dyDescent="0.25">
      <c r="A55" s="858" t="s">
        <v>659</v>
      </c>
      <c r="B55" s="3641" t="s">
        <v>117</v>
      </c>
      <c r="C55" s="3642"/>
      <c r="D55" s="3521" t="s">
        <v>363</v>
      </c>
      <c r="E55" s="3521" t="s">
        <v>364</v>
      </c>
      <c r="F55" s="3521" t="s">
        <v>365</v>
      </c>
      <c r="G55" s="3521" t="s">
        <v>116</v>
      </c>
      <c r="H55" s="3521" t="s">
        <v>115</v>
      </c>
      <c r="I55" s="3521" t="s">
        <v>23</v>
      </c>
      <c r="J55" s="3521" t="s">
        <v>114</v>
      </c>
      <c r="K55" s="3521" t="s">
        <v>366</v>
      </c>
      <c r="L55" s="3521" t="s">
        <v>122</v>
      </c>
      <c r="M55" s="3521" t="s">
        <v>298</v>
      </c>
      <c r="N55" s="3521" t="s">
        <v>113</v>
      </c>
      <c r="P55" s="3520" t="s">
        <v>661</v>
      </c>
      <c r="Q55" s="3520" t="s">
        <v>122</v>
      </c>
      <c r="S55" s="3677" t="s">
        <v>253</v>
      </c>
      <c r="T55" s="3675" t="s">
        <v>112</v>
      </c>
      <c r="U55" s="3675" t="s">
        <v>116</v>
      </c>
      <c r="V55" s="3675" t="s">
        <v>794</v>
      </c>
      <c r="W55" s="3675" t="s">
        <v>23</v>
      </c>
      <c r="X55" s="3675" t="s">
        <v>114</v>
      </c>
      <c r="Y55" s="3675" t="s">
        <v>122</v>
      </c>
      <c r="Z55" s="3675" t="s">
        <v>795</v>
      </c>
      <c r="AA55" s="3675" t="s">
        <v>800</v>
      </c>
      <c r="AB55" s="3673" t="s">
        <v>796</v>
      </c>
      <c r="AD55" s="3679" t="s">
        <v>253</v>
      </c>
      <c r="AE55" s="3679" t="s">
        <v>112</v>
      </c>
      <c r="AF55" s="3679" t="s">
        <v>802</v>
      </c>
      <c r="AG55" s="3679" t="s">
        <v>803</v>
      </c>
      <c r="AH55" s="3679" t="s">
        <v>804</v>
      </c>
      <c r="AI55" s="3679" t="s">
        <v>805</v>
      </c>
      <c r="AJ55" s="3679" t="s">
        <v>116</v>
      </c>
      <c r="AK55" s="3710" t="s">
        <v>801</v>
      </c>
      <c r="AL55" s="3680" t="s">
        <v>806</v>
      </c>
      <c r="AM55" s="3710" t="s">
        <v>796</v>
      </c>
    </row>
    <row r="56" spans="1:39" ht="15" customHeight="1" thickBot="1" x14ac:dyDescent="0.3">
      <c r="A56" s="858" t="s">
        <v>660</v>
      </c>
      <c r="B56" s="1652" t="s">
        <v>112</v>
      </c>
      <c r="C56" s="763" t="s">
        <v>111</v>
      </c>
      <c r="D56" s="3522"/>
      <c r="E56" s="3522"/>
      <c r="F56" s="3522"/>
      <c r="G56" s="3522"/>
      <c r="H56" s="3522"/>
      <c r="I56" s="3522"/>
      <c r="J56" s="3522"/>
      <c r="K56" s="3522"/>
      <c r="L56" s="3522"/>
      <c r="M56" s="3522"/>
      <c r="N56" s="3522"/>
      <c r="P56" s="3522"/>
      <c r="Q56" s="3522"/>
      <c r="S56" s="3678"/>
      <c r="T56" s="3676"/>
      <c r="U56" s="3676"/>
      <c r="V56" s="3676"/>
      <c r="W56" s="3676"/>
      <c r="X56" s="3676"/>
      <c r="Y56" s="3676"/>
      <c r="Z56" s="3676"/>
      <c r="AA56" s="3676"/>
      <c r="AB56" s="3674"/>
      <c r="AD56" s="3679"/>
      <c r="AE56" s="3679"/>
      <c r="AF56" s="3679"/>
      <c r="AG56" s="3679"/>
      <c r="AH56" s="3679"/>
      <c r="AI56" s="3679"/>
      <c r="AJ56" s="3679"/>
      <c r="AK56" s="3710"/>
      <c r="AL56" s="3680"/>
      <c r="AM56" s="3710"/>
    </row>
    <row r="57" spans="1:39" x14ac:dyDescent="0.25">
      <c r="A57" s="651">
        <v>1</v>
      </c>
      <c r="B57" s="106">
        <f>IF('DATA INPUT'!$I$71&gt;=1,'DATA INPUT'!$E$71,0)</f>
        <v>0</v>
      </c>
      <c r="C57" s="106">
        <f t="shared" ref="C57:C62" si="75">IF(B57&gt;0,B57-1,0)</f>
        <v>0</v>
      </c>
      <c r="D57" s="106">
        <f ca="1">OFFSET('DATA INPUT'!$D$68,OFFSET($A$4,INT((ROW()-ROW($A$4))/15)*15,0)-1,0)</f>
        <v>0</v>
      </c>
      <c r="E57" s="106">
        <f ca="1">OFFSET('DATA INPUT'!$I$68,OFFSET($A$4,INT((ROW()-ROW($A$4))/15)*15,0)-1,A57-1)</f>
        <v>0</v>
      </c>
      <c r="F57" s="108">
        <f t="shared" ref="F57:F62" ca="1" si="76">E57*D57</f>
        <v>0</v>
      </c>
      <c r="G57" s="492">
        <f ca="1">B52</f>
        <v>0</v>
      </c>
      <c r="H57" s="492">
        <f ca="1">D52</f>
        <v>0</v>
      </c>
      <c r="I57" s="492">
        <f ca="1">F52</f>
        <v>0</v>
      </c>
      <c r="J57" s="492">
        <f>H52</f>
        <v>250</v>
      </c>
      <c r="K57" s="492">
        <f t="shared" ref="K57:K62" ca="1" si="77" xml:space="preserve"> H57*C57*$J$52</f>
        <v>0</v>
      </c>
      <c r="L57" s="492">
        <f>IF(L50="Yes",0,L52)</f>
        <v>0</v>
      </c>
      <c r="M57" s="1539">
        <f t="shared" ref="M57:M62" si="78">IF(B57&lt;1,0,(IF(C57=0,SUM(I57:L57),((B57-0.5)*G57+C57*H57+SUM(I57:L57)))))</f>
        <v>0</v>
      </c>
      <c r="N57" s="1500">
        <f t="shared" ref="N57:N62" ca="1" si="79">F57*M57</f>
        <v>0</v>
      </c>
      <c r="O57" s="672">
        <f t="shared" ref="O57:O62" si="80">A57</f>
        <v>1</v>
      </c>
      <c r="P57" s="1657">
        <f t="shared" ref="P57:P62" ca="1" si="81">Q57*F57</f>
        <v>0</v>
      </c>
      <c r="Q57" s="1657">
        <f>IF(L50="Yes",L52,0)</f>
        <v>0</v>
      </c>
      <c r="S57" s="651">
        <v>1</v>
      </c>
      <c r="T57" s="106">
        <f t="shared" ref="T57:T62" si="82">B57</f>
        <v>0</v>
      </c>
      <c r="U57" s="2519">
        <f t="shared" ref="U57:U62" ca="1" si="83">G57</f>
        <v>0</v>
      </c>
      <c r="V57" s="2519">
        <f t="shared" ref="V57:V62" ca="1" si="84">IFERROR(H57+K57/C57,0)</f>
        <v>0</v>
      </c>
      <c r="W57" s="2519">
        <f t="shared" ref="W57:X62" ca="1" si="85">I57</f>
        <v>0</v>
      </c>
      <c r="X57" s="2519">
        <f t="shared" si="85"/>
        <v>250</v>
      </c>
      <c r="Y57" s="2519">
        <f t="shared" ref="Y57:Z62" si="86">L57</f>
        <v>0</v>
      </c>
      <c r="Z57" s="2522">
        <f t="shared" si="86"/>
        <v>0</v>
      </c>
      <c r="AA57" s="106">
        <f t="shared" ref="AA57:AA62" ca="1" si="87">F57</f>
        <v>0</v>
      </c>
      <c r="AB57" s="2525">
        <f t="shared" ref="AB57:AB62" ca="1" si="88">N57</f>
        <v>0</v>
      </c>
      <c r="AD57" s="505">
        <v>1</v>
      </c>
      <c r="AE57" s="2539">
        <f t="shared" ref="AE57:AE62" si="89">B57</f>
        <v>0</v>
      </c>
      <c r="AF57" s="2539">
        <f t="shared" ref="AF57:AF62" ca="1" si="90">F57</f>
        <v>0</v>
      </c>
      <c r="AG57" s="457">
        <f t="shared" ref="AG57:AG62" ca="1" si="91">C57*H57+K57</f>
        <v>0</v>
      </c>
      <c r="AH57" s="457">
        <f t="shared" ref="AH57:AI62" ca="1" si="92">I57</f>
        <v>0</v>
      </c>
      <c r="AI57" s="457">
        <f t="shared" si="92"/>
        <v>250</v>
      </c>
      <c r="AJ57" s="457">
        <f t="shared" ref="AJ57:AJ62" ca="1" si="93">IF(AE57&gt;1,(B57-0.5)*G57,B57*G57)</f>
        <v>0</v>
      </c>
      <c r="AK57" s="457">
        <f t="shared" ref="AK57:AK62" ca="1" si="94">ROUND(SUM(AG57:AJ57)*AF57,0)</f>
        <v>0</v>
      </c>
      <c r="AL57" s="718">
        <f t="shared" ref="AL57:AL62" ca="1" si="95">AF57*(L57+Q57)</f>
        <v>0</v>
      </c>
      <c r="AM57" s="457">
        <f t="shared" ref="AM57:AM62" ca="1" si="96">AK57+AL57</f>
        <v>0</v>
      </c>
    </row>
    <row r="58" spans="1:39" x14ac:dyDescent="0.25">
      <c r="A58" s="99">
        <v>2</v>
      </c>
      <c r="B58" s="108">
        <f>IF('DATA INPUT'!$J$71&gt;=1,'DATA INPUT'!$E$71,0)</f>
        <v>0</v>
      </c>
      <c r="C58" s="108">
        <f t="shared" si="75"/>
        <v>0</v>
      </c>
      <c r="D58" s="108">
        <f ca="1">OFFSET('DATA INPUT'!$D$68,OFFSET($A$4,INT((ROW()-ROW($A$4))/15)*15,0)-1,0)</f>
        <v>0</v>
      </c>
      <c r="E58" s="108">
        <f ca="1">OFFSET('DATA INPUT'!$I$68,OFFSET($A$4,INT((ROW()-ROW($A$4))/15)*15,0)-1,A58-1)</f>
        <v>0</v>
      </c>
      <c r="F58" s="108">
        <f t="shared" ca="1" si="76"/>
        <v>0</v>
      </c>
      <c r="G58" s="457">
        <f t="shared" ref="G58:J62" ca="1" si="97">(G57*$I$51)+G57</f>
        <v>0</v>
      </c>
      <c r="H58" s="457">
        <f t="shared" ca="1" si="97"/>
        <v>0</v>
      </c>
      <c r="I58" s="457">
        <f t="shared" ca="1" si="97"/>
        <v>0</v>
      </c>
      <c r="J58" s="457">
        <f t="shared" si="97"/>
        <v>257.5</v>
      </c>
      <c r="K58" s="457">
        <f t="shared" ca="1" si="77"/>
        <v>0</v>
      </c>
      <c r="L58" s="457">
        <f>(L57*$I$51)+L57</f>
        <v>0</v>
      </c>
      <c r="M58" s="1540">
        <f t="shared" si="78"/>
        <v>0</v>
      </c>
      <c r="N58" s="1541">
        <f t="shared" ca="1" si="79"/>
        <v>0</v>
      </c>
      <c r="O58" s="672">
        <f t="shared" si="80"/>
        <v>2</v>
      </c>
      <c r="P58" s="1489">
        <f t="shared" ca="1" si="81"/>
        <v>0</v>
      </c>
      <c r="Q58" s="1489">
        <f>(Q57*$I$51)+Q57</f>
        <v>0</v>
      </c>
      <c r="S58" s="99">
        <v>2</v>
      </c>
      <c r="T58" s="108">
        <f t="shared" si="82"/>
        <v>0</v>
      </c>
      <c r="U58" s="2520">
        <f t="shared" ca="1" si="83"/>
        <v>0</v>
      </c>
      <c r="V58" s="2520">
        <f t="shared" ca="1" si="84"/>
        <v>0</v>
      </c>
      <c r="W58" s="2520">
        <f t="shared" ca="1" si="85"/>
        <v>0</v>
      </c>
      <c r="X58" s="2520">
        <f t="shared" si="85"/>
        <v>257.5</v>
      </c>
      <c r="Y58" s="2520">
        <f t="shared" si="86"/>
        <v>0</v>
      </c>
      <c r="Z58" s="2523">
        <f t="shared" si="86"/>
        <v>0</v>
      </c>
      <c r="AA58" s="108">
        <f t="shared" ca="1" si="87"/>
        <v>0</v>
      </c>
      <c r="AB58" s="2526">
        <f t="shared" ca="1" si="88"/>
        <v>0</v>
      </c>
      <c r="AD58" s="505">
        <v>2</v>
      </c>
      <c r="AE58" s="2539">
        <f t="shared" si="89"/>
        <v>0</v>
      </c>
      <c r="AF58" s="2539">
        <f t="shared" ca="1" si="90"/>
        <v>0</v>
      </c>
      <c r="AG58" s="457">
        <f t="shared" ca="1" si="91"/>
        <v>0</v>
      </c>
      <c r="AH58" s="457">
        <f t="shared" ca="1" si="92"/>
        <v>0</v>
      </c>
      <c r="AI58" s="457">
        <f t="shared" si="92"/>
        <v>257.5</v>
      </c>
      <c r="AJ58" s="457">
        <f t="shared" ca="1" si="93"/>
        <v>0</v>
      </c>
      <c r="AK58" s="457">
        <f t="shared" ca="1" si="94"/>
        <v>0</v>
      </c>
      <c r="AL58" s="718">
        <f t="shared" ca="1" si="95"/>
        <v>0</v>
      </c>
      <c r="AM58" s="457">
        <f t="shared" ca="1" si="96"/>
        <v>0</v>
      </c>
    </row>
    <row r="59" spans="1:39" x14ac:dyDescent="0.25">
      <c r="A59" s="652">
        <v>3</v>
      </c>
      <c r="B59" s="108">
        <f>IF('DATA INPUT'!$K$71&gt;=1,'DATA INPUT'!$E$71,0)</f>
        <v>0</v>
      </c>
      <c r="C59" s="108">
        <f t="shared" si="75"/>
        <v>0</v>
      </c>
      <c r="D59" s="108">
        <f ca="1">OFFSET('DATA INPUT'!$D$68,OFFSET($A$4,INT((ROW()-ROW($A$4))/15)*15,0)-1,0)</f>
        <v>0</v>
      </c>
      <c r="E59" s="108">
        <f ca="1">OFFSET('DATA INPUT'!$I$68,OFFSET($A$4,INT((ROW()-ROW($A$4))/15)*15,0)-1,A59-1)</f>
        <v>0</v>
      </c>
      <c r="F59" s="108">
        <f t="shared" ca="1" si="76"/>
        <v>0</v>
      </c>
      <c r="G59" s="457">
        <f t="shared" ca="1" si="97"/>
        <v>0</v>
      </c>
      <c r="H59" s="457">
        <f t="shared" ca="1" si="97"/>
        <v>0</v>
      </c>
      <c r="I59" s="457">
        <f t="shared" ca="1" si="97"/>
        <v>0</v>
      </c>
      <c r="J59" s="457">
        <f t="shared" si="97"/>
        <v>265.22500000000002</v>
      </c>
      <c r="K59" s="457">
        <f t="shared" ca="1" si="77"/>
        <v>0</v>
      </c>
      <c r="L59" s="457">
        <f>(L58*$I$51)+L58</f>
        <v>0</v>
      </c>
      <c r="M59" s="1540">
        <f t="shared" si="78"/>
        <v>0</v>
      </c>
      <c r="N59" s="1541">
        <f t="shared" ca="1" si="79"/>
        <v>0</v>
      </c>
      <c r="O59" s="672">
        <f t="shared" si="80"/>
        <v>3</v>
      </c>
      <c r="P59" s="1489">
        <f t="shared" ca="1" si="81"/>
        <v>0</v>
      </c>
      <c r="Q59" s="1489">
        <f>(Q58*$I$51)+Q58</f>
        <v>0</v>
      </c>
      <c r="S59" s="652">
        <v>3</v>
      </c>
      <c r="T59" s="108">
        <f t="shared" si="82"/>
        <v>0</v>
      </c>
      <c r="U59" s="2520">
        <f t="shared" ca="1" si="83"/>
        <v>0</v>
      </c>
      <c r="V59" s="2520">
        <f t="shared" ca="1" si="84"/>
        <v>0</v>
      </c>
      <c r="W59" s="2520">
        <f t="shared" ca="1" si="85"/>
        <v>0</v>
      </c>
      <c r="X59" s="2520">
        <f t="shared" si="85"/>
        <v>265.22500000000002</v>
      </c>
      <c r="Y59" s="2520">
        <f t="shared" si="86"/>
        <v>0</v>
      </c>
      <c r="Z59" s="2523">
        <f t="shared" si="86"/>
        <v>0</v>
      </c>
      <c r="AA59" s="108">
        <f t="shared" ca="1" si="87"/>
        <v>0</v>
      </c>
      <c r="AB59" s="2526">
        <f t="shared" ca="1" si="88"/>
        <v>0</v>
      </c>
      <c r="AD59" s="505">
        <v>3</v>
      </c>
      <c r="AE59" s="2539">
        <f t="shared" si="89"/>
        <v>0</v>
      </c>
      <c r="AF59" s="2539">
        <f t="shared" ca="1" si="90"/>
        <v>0</v>
      </c>
      <c r="AG59" s="457">
        <f t="shared" ca="1" si="91"/>
        <v>0</v>
      </c>
      <c r="AH59" s="457">
        <f t="shared" ca="1" si="92"/>
        <v>0</v>
      </c>
      <c r="AI59" s="457">
        <f t="shared" si="92"/>
        <v>265.22500000000002</v>
      </c>
      <c r="AJ59" s="457">
        <f t="shared" ca="1" si="93"/>
        <v>0</v>
      </c>
      <c r="AK59" s="457">
        <f t="shared" ca="1" si="94"/>
        <v>0</v>
      </c>
      <c r="AL59" s="718">
        <f t="shared" ca="1" si="95"/>
        <v>0</v>
      </c>
      <c r="AM59" s="457">
        <f t="shared" ca="1" si="96"/>
        <v>0</v>
      </c>
    </row>
    <row r="60" spans="1:39" x14ac:dyDescent="0.25">
      <c r="A60" s="99">
        <v>4</v>
      </c>
      <c r="B60" s="108">
        <f>IF('DATA INPUT'!$L$71&gt;=1,'DATA INPUT'!$E$71,0)</f>
        <v>0</v>
      </c>
      <c r="C60" s="108">
        <f t="shared" si="75"/>
        <v>0</v>
      </c>
      <c r="D60" s="108">
        <f ca="1">OFFSET('DATA INPUT'!$D$68,OFFSET($A$4,INT((ROW()-ROW($A$4))/15)*15,0)-1,0)</f>
        <v>0</v>
      </c>
      <c r="E60" s="108">
        <f ca="1">OFFSET('DATA INPUT'!$I$68,OFFSET($A$4,INT((ROW()-ROW($A$4))/15)*15,0)-1,A60-1)</f>
        <v>0</v>
      </c>
      <c r="F60" s="108">
        <f t="shared" ca="1" si="76"/>
        <v>0</v>
      </c>
      <c r="G60" s="457">
        <f t="shared" ca="1" si="97"/>
        <v>0</v>
      </c>
      <c r="H60" s="457">
        <f t="shared" ca="1" si="97"/>
        <v>0</v>
      </c>
      <c r="I60" s="457">
        <f t="shared" ca="1" si="97"/>
        <v>0</v>
      </c>
      <c r="J60" s="457">
        <f t="shared" si="97"/>
        <v>273.18175000000002</v>
      </c>
      <c r="K60" s="457">
        <f t="shared" ca="1" si="77"/>
        <v>0</v>
      </c>
      <c r="L60" s="457">
        <f>(L59*$I$51)+L59</f>
        <v>0</v>
      </c>
      <c r="M60" s="1540">
        <f t="shared" si="78"/>
        <v>0</v>
      </c>
      <c r="N60" s="1541">
        <f t="shared" ca="1" si="79"/>
        <v>0</v>
      </c>
      <c r="O60" s="672">
        <f t="shared" si="80"/>
        <v>4</v>
      </c>
      <c r="P60" s="1489">
        <f t="shared" ca="1" si="81"/>
        <v>0</v>
      </c>
      <c r="Q60" s="1489">
        <f>(Q59*$I$51)+Q59</f>
        <v>0</v>
      </c>
      <c r="S60" s="99">
        <v>4</v>
      </c>
      <c r="T60" s="108">
        <f t="shared" si="82"/>
        <v>0</v>
      </c>
      <c r="U60" s="2520">
        <f t="shared" ca="1" si="83"/>
        <v>0</v>
      </c>
      <c r="V60" s="2520">
        <f t="shared" ca="1" si="84"/>
        <v>0</v>
      </c>
      <c r="W60" s="2520">
        <f t="shared" ca="1" si="85"/>
        <v>0</v>
      </c>
      <c r="X60" s="2520">
        <f t="shared" si="85"/>
        <v>273.18175000000002</v>
      </c>
      <c r="Y60" s="2520">
        <f t="shared" si="86"/>
        <v>0</v>
      </c>
      <c r="Z60" s="2523">
        <f t="shared" si="86"/>
        <v>0</v>
      </c>
      <c r="AA60" s="108">
        <f t="shared" ca="1" si="87"/>
        <v>0</v>
      </c>
      <c r="AB60" s="2526">
        <f t="shared" ca="1" si="88"/>
        <v>0</v>
      </c>
      <c r="AD60" s="505">
        <v>4</v>
      </c>
      <c r="AE60" s="2539">
        <f t="shared" si="89"/>
        <v>0</v>
      </c>
      <c r="AF60" s="2539">
        <f t="shared" ca="1" si="90"/>
        <v>0</v>
      </c>
      <c r="AG60" s="457">
        <f t="shared" ca="1" si="91"/>
        <v>0</v>
      </c>
      <c r="AH60" s="457">
        <f t="shared" ca="1" si="92"/>
        <v>0</v>
      </c>
      <c r="AI60" s="457">
        <f t="shared" si="92"/>
        <v>273.18175000000002</v>
      </c>
      <c r="AJ60" s="457">
        <f t="shared" ca="1" si="93"/>
        <v>0</v>
      </c>
      <c r="AK60" s="457">
        <f t="shared" ca="1" si="94"/>
        <v>0</v>
      </c>
      <c r="AL60" s="718">
        <f t="shared" ca="1" si="95"/>
        <v>0</v>
      </c>
      <c r="AM60" s="457">
        <f t="shared" ca="1" si="96"/>
        <v>0</v>
      </c>
    </row>
    <row r="61" spans="1:39" x14ac:dyDescent="0.25">
      <c r="A61" s="99">
        <v>5</v>
      </c>
      <c r="B61" s="108">
        <f>IF('DATA INPUT'!$M$71&gt;=1,'DATA INPUT'!$E$71,0)</f>
        <v>0</v>
      </c>
      <c r="C61" s="108">
        <f t="shared" si="75"/>
        <v>0</v>
      </c>
      <c r="D61" s="108">
        <f ca="1">OFFSET('DATA INPUT'!$D$68,OFFSET($A$4,INT((ROW()-ROW($A$4))/15)*15,0)-1,0)</f>
        <v>0</v>
      </c>
      <c r="E61" s="108">
        <f ca="1">OFFSET('DATA INPUT'!$I$68,OFFSET($A$4,INT((ROW()-ROW($A$4))/15)*15,0)-1,A61-1)</f>
        <v>0</v>
      </c>
      <c r="F61" s="108">
        <f t="shared" ca="1" si="76"/>
        <v>0</v>
      </c>
      <c r="G61" s="457">
        <f t="shared" ca="1" si="97"/>
        <v>0</v>
      </c>
      <c r="H61" s="457">
        <f t="shared" ca="1" si="97"/>
        <v>0</v>
      </c>
      <c r="I61" s="457">
        <f t="shared" ca="1" si="97"/>
        <v>0</v>
      </c>
      <c r="J61" s="457">
        <f t="shared" si="97"/>
        <v>281.37720250000001</v>
      </c>
      <c r="K61" s="457">
        <f t="shared" ca="1" si="77"/>
        <v>0</v>
      </c>
      <c r="L61" s="457">
        <f>(L60*$I$51)+L60</f>
        <v>0</v>
      </c>
      <c r="M61" s="1540">
        <f t="shared" si="78"/>
        <v>0</v>
      </c>
      <c r="N61" s="1541">
        <f t="shared" ca="1" si="79"/>
        <v>0</v>
      </c>
      <c r="O61" s="672">
        <f t="shared" si="80"/>
        <v>5</v>
      </c>
      <c r="P61" s="1489">
        <f t="shared" ca="1" si="81"/>
        <v>0</v>
      </c>
      <c r="Q61" s="1489">
        <f>(Q60*$I$51)+Q60</f>
        <v>0</v>
      </c>
      <c r="S61" s="99">
        <v>5</v>
      </c>
      <c r="T61" s="108">
        <f t="shared" si="82"/>
        <v>0</v>
      </c>
      <c r="U61" s="2520">
        <f t="shared" ca="1" si="83"/>
        <v>0</v>
      </c>
      <c r="V61" s="2520">
        <f t="shared" ca="1" si="84"/>
        <v>0</v>
      </c>
      <c r="W61" s="2520">
        <f t="shared" ca="1" si="85"/>
        <v>0</v>
      </c>
      <c r="X61" s="2520">
        <f t="shared" si="85"/>
        <v>281.37720250000001</v>
      </c>
      <c r="Y61" s="2520">
        <f t="shared" si="86"/>
        <v>0</v>
      </c>
      <c r="Z61" s="2523">
        <f t="shared" si="86"/>
        <v>0</v>
      </c>
      <c r="AA61" s="108">
        <f t="shared" ca="1" si="87"/>
        <v>0</v>
      </c>
      <c r="AB61" s="2526">
        <f t="shared" ca="1" si="88"/>
        <v>0</v>
      </c>
      <c r="AD61" s="505">
        <v>5</v>
      </c>
      <c r="AE61" s="2539">
        <f t="shared" si="89"/>
        <v>0</v>
      </c>
      <c r="AF61" s="2539">
        <f t="shared" ca="1" si="90"/>
        <v>0</v>
      </c>
      <c r="AG61" s="457">
        <f t="shared" ca="1" si="91"/>
        <v>0</v>
      </c>
      <c r="AH61" s="457">
        <f t="shared" ca="1" si="92"/>
        <v>0</v>
      </c>
      <c r="AI61" s="457">
        <f t="shared" si="92"/>
        <v>281.37720250000001</v>
      </c>
      <c r="AJ61" s="457">
        <f t="shared" ca="1" si="93"/>
        <v>0</v>
      </c>
      <c r="AK61" s="457">
        <f t="shared" ca="1" si="94"/>
        <v>0</v>
      </c>
      <c r="AL61" s="718">
        <f t="shared" ca="1" si="95"/>
        <v>0</v>
      </c>
      <c r="AM61" s="457">
        <f t="shared" ca="1" si="96"/>
        <v>0</v>
      </c>
    </row>
    <row r="62" spans="1:39" ht="15.75" thickBot="1" x14ac:dyDescent="0.3">
      <c r="A62" s="98">
        <v>6</v>
      </c>
      <c r="B62" s="758">
        <f>IF('DATA INPUT'!$N$71&gt;=1,'DATA INPUT'!$E$71,0)</f>
        <v>0</v>
      </c>
      <c r="C62" s="758">
        <f t="shared" si="75"/>
        <v>0</v>
      </c>
      <c r="D62" s="109">
        <f ca="1">OFFSET('DATA INPUT'!$D$68,OFFSET($A$4,INT((ROW()-ROW($A$4))/15)*15,0)-1,0)</f>
        <v>0</v>
      </c>
      <c r="E62" s="109">
        <f ca="1">OFFSET('DATA INPUT'!$I$68,OFFSET($A$4,INT((ROW()-ROW($A$4))/15)*15,0)-1,A62-1)</f>
        <v>0</v>
      </c>
      <c r="F62" s="758">
        <f t="shared" ca="1" si="76"/>
        <v>0</v>
      </c>
      <c r="G62" s="495">
        <f t="shared" ca="1" si="97"/>
        <v>0</v>
      </c>
      <c r="H62" s="495">
        <f t="shared" ca="1" si="97"/>
        <v>0</v>
      </c>
      <c r="I62" s="495">
        <f t="shared" ca="1" si="97"/>
        <v>0</v>
      </c>
      <c r="J62" s="495">
        <f t="shared" si="97"/>
        <v>289.81851857499998</v>
      </c>
      <c r="K62" s="495">
        <f t="shared" ca="1" si="77"/>
        <v>0</v>
      </c>
      <c r="L62" s="495">
        <f>(L61*$I$51)+L61</f>
        <v>0</v>
      </c>
      <c r="M62" s="1550">
        <f t="shared" si="78"/>
        <v>0</v>
      </c>
      <c r="N62" s="1551">
        <f t="shared" ca="1" si="79"/>
        <v>0</v>
      </c>
      <c r="O62" s="672">
        <f t="shared" si="80"/>
        <v>6</v>
      </c>
      <c r="P62" s="1513">
        <f t="shared" ca="1" si="81"/>
        <v>0</v>
      </c>
      <c r="Q62" s="1513">
        <f>(Q61*$I$51)+Q61</f>
        <v>0</v>
      </c>
      <c r="S62" s="98">
        <v>6</v>
      </c>
      <c r="T62" s="109">
        <f t="shared" si="82"/>
        <v>0</v>
      </c>
      <c r="U62" s="2521">
        <f t="shared" ca="1" si="83"/>
        <v>0</v>
      </c>
      <c r="V62" s="2521">
        <f t="shared" ca="1" si="84"/>
        <v>0</v>
      </c>
      <c r="W62" s="2521">
        <f t="shared" ca="1" si="85"/>
        <v>0</v>
      </c>
      <c r="X62" s="2521">
        <f t="shared" si="85"/>
        <v>289.81851857499998</v>
      </c>
      <c r="Y62" s="2521">
        <f t="shared" si="86"/>
        <v>0</v>
      </c>
      <c r="Z62" s="2524">
        <f t="shared" si="86"/>
        <v>0</v>
      </c>
      <c r="AA62" s="109">
        <f t="shared" ca="1" si="87"/>
        <v>0</v>
      </c>
      <c r="AB62" s="2527">
        <f t="shared" ca="1" si="88"/>
        <v>0</v>
      </c>
      <c r="AD62" s="505">
        <v>6</v>
      </c>
      <c r="AE62" s="2539">
        <f t="shared" si="89"/>
        <v>0</v>
      </c>
      <c r="AF62" s="2539">
        <f t="shared" ca="1" si="90"/>
        <v>0</v>
      </c>
      <c r="AG62" s="457">
        <f t="shared" ca="1" si="91"/>
        <v>0</v>
      </c>
      <c r="AH62" s="457">
        <f t="shared" ca="1" si="92"/>
        <v>0</v>
      </c>
      <c r="AI62" s="457">
        <f t="shared" si="92"/>
        <v>289.81851857499998</v>
      </c>
      <c r="AJ62" s="457">
        <f t="shared" ca="1" si="93"/>
        <v>0</v>
      </c>
      <c r="AK62" s="457">
        <f t="shared" ca="1" si="94"/>
        <v>0</v>
      </c>
      <c r="AL62" s="718">
        <f t="shared" ca="1" si="95"/>
        <v>0</v>
      </c>
      <c r="AM62" s="457">
        <f t="shared" ca="1" si="96"/>
        <v>0</v>
      </c>
    </row>
    <row r="63" spans="1:39" x14ac:dyDescent="0.25">
      <c r="A63" s="859"/>
      <c r="B63" s="668"/>
      <c r="C63" s="668"/>
      <c r="D63" s="668"/>
      <c r="E63" s="668"/>
      <c r="F63" s="668"/>
      <c r="G63" s="668"/>
      <c r="H63" s="668"/>
      <c r="I63" s="668"/>
      <c r="J63" s="668"/>
      <c r="K63" s="668"/>
      <c r="L63" s="668"/>
      <c r="M63" s="759" t="s">
        <v>300</v>
      </c>
      <c r="N63" s="1552">
        <f ca="1">SUM(N57:N62)</f>
        <v>0</v>
      </c>
      <c r="P63" s="1668">
        <f ca="1">SUM(P57:P62)</f>
        <v>0</v>
      </c>
      <c r="Q63" s="1668"/>
    </row>
    <row r="64" spans="1:39" ht="24" thickBot="1" x14ac:dyDescent="0.4">
      <c r="A64" s="1599">
        <f>A49+1</f>
        <v>5</v>
      </c>
      <c r="N64" s="2449" t="str">
        <f>IF(L50="Yes",N63+P63,"")</f>
        <v/>
      </c>
      <c r="O64" s="2450" t="s">
        <v>756</v>
      </c>
    </row>
    <row r="65" spans="1:39" ht="15.75" thickBot="1" x14ac:dyDescent="0.3">
      <c r="A65" s="119" t="s">
        <v>120</v>
      </c>
      <c r="B65" s="3643">
        <f>'DATA INPUT'!B72</f>
        <v>0</v>
      </c>
      <c r="C65" s="3644"/>
      <c r="D65" s="3644"/>
      <c r="E65" s="3644"/>
      <c r="F65" s="3697"/>
      <c r="G65" s="805"/>
      <c r="H65" s="119" t="s">
        <v>376</v>
      </c>
      <c r="I65" s="780" t="str">
        <f ca="1">IF(B66=$T$6,'Reference Sheet'!$J$4, 'Reference Sheet'!$J$3)</f>
        <v>Domestic</v>
      </c>
      <c r="J65" s="3700" t="s">
        <v>515</v>
      </c>
      <c r="K65" s="3701"/>
      <c r="L65" s="1670">
        <f>'DATA INPUT'!$H$72</f>
        <v>0</v>
      </c>
    </row>
    <row r="66" spans="1:39" x14ac:dyDescent="0.25">
      <c r="A66" s="119" t="s">
        <v>468</v>
      </c>
      <c r="B66" s="3643">
        <f ca="1">OFFSET('DATA INPUT'!$C$68,($A64-1),0)</f>
        <v>0</v>
      </c>
      <c r="C66" s="3644"/>
      <c r="D66" s="3644"/>
      <c r="E66" s="1653"/>
      <c r="F66" s="1654"/>
      <c r="G66" s="119"/>
      <c r="H66" s="119" t="s">
        <v>371</v>
      </c>
      <c r="I66" s="804">
        <f>'Reference Sheet'!$L$8</f>
        <v>0.03</v>
      </c>
      <c r="K66" s="101"/>
    </row>
    <row r="67" spans="1:39" x14ac:dyDescent="0.25">
      <c r="A67" s="119" t="s">
        <v>116</v>
      </c>
      <c r="B67" s="1556">
        <f ca="1">IF(B66=$T$3, $U$3,IF(B66=$T$4,$U$4,IF(B66=$T$5,$U$5,IF(B66=$T$6,$U$6,0))))</f>
        <v>0</v>
      </c>
      <c r="C67" s="119" t="s">
        <v>115</v>
      </c>
      <c r="D67" s="1556">
        <f ca="1">IF(B66=$T$3,$V$3,IF(B66=$T$4,$V$4,IF(B66=$T$5,$V$5,IF(B66=$T$6,$V$6,0))))</f>
        <v>0</v>
      </c>
      <c r="E67" s="119" t="s">
        <v>23</v>
      </c>
      <c r="F67" s="1556">
        <f ca="1">OFFSET('DATA INPUT'!$F$68,($A64-1),0)</f>
        <v>0</v>
      </c>
      <c r="G67" s="119" t="s">
        <v>118</v>
      </c>
      <c r="H67" s="1556">
        <v>250</v>
      </c>
      <c r="I67" s="119" t="s">
        <v>755</v>
      </c>
      <c r="J67" s="765">
        <v>0.13</v>
      </c>
      <c r="K67" s="120" t="s">
        <v>362</v>
      </c>
      <c r="L67" s="121">
        <f>'DATA INPUT'!$G$72</f>
        <v>0</v>
      </c>
      <c r="S67" s="2551" t="s">
        <v>811</v>
      </c>
      <c r="T67" s="2551"/>
      <c r="U67" s="2551"/>
      <c r="V67" s="2551"/>
      <c r="W67" s="2551"/>
    </row>
    <row r="68" spans="1:39" ht="15.75" thickBot="1" x14ac:dyDescent="0.3">
      <c r="D68" s="110"/>
      <c r="AD68" s="2541" t="s">
        <v>808</v>
      </c>
      <c r="AE68" s="2542"/>
      <c r="AF68" s="2542"/>
      <c r="AG68" s="2542"/>
      <c r="AH68" s="2542"/>
    </row>
    <row r="69" spans="1:39" ht="15.75" thickBot="1" x14ac:dyDescent="0.3">
      <c r="A69" s="3628">
        <f>B65</f>
        <v>0</v>
      </c>
      <c r="B69" s="3626"/>
      <c r="C69" s="3626"/>
      <c r="D69" s="3626"/>
      <c r="E69" s="3626"/>
      <c r="F69" s="3626"/>
      <c r="G69" s="3626"/>
      <c r="H69" s="3626"/>
      <c r="I69" s="3626"/>
      <c r="J69" s="3626"/>
      <c r="K69" s="3626"/>
      <c r="L69" s="3626"/>
      <c r="M69" s="3626"/>
      <c r="N69" s="3627"/>
      <c r="S69" s="2536">
        <f>A69</f>
        <v>0</v>
      </c>
      <c r="T69" s="2537"/>
      <c r="U69" s="2537"/>
      <c r="V69" s="2537"/>
      <c r="W69" s="2537"/>
      <c r="X69" s="2537"/>
      <c r="Y69" s="2537"/>
      <c r="Z69" s="2537"/>
      <c r="AA69" s="2537"/>
      <c r="AB69" s="2538"/>
      <c r="AG69" s="2550" t="s">
        <v>809</v>
      </c>
      <c r="AH69" s="2550"/>
      <c r="AI69" s="2550"/>
      <c r="AJ69" s="2550"/>
      <c r="AK69" s="19" t="s">
        <v>812</v>
      </c>
      <c r="AL69" s="2541" t="s">
        <v>807</v>
      </c>
    </row>
    <row r="70" spans="1:39" ht="14.45" customHeight="1" x14ac:dyDescent="0.25">
      <c r="A70" s="858" t="s">
        <v>659</v>
      </c>
      <c r="B70" s="3641" t="s">
        <v>117</v>
      </c>
      <c r="C70" s="3642"/>
      <c r="D70" s="3521" t="s">
        <v>363</v>
      </c>
      <c r="E70" s="3521" t="s">
        <v>364</v>
      </c>
      <c r="F70" s="3521" t="s">
        <v>365</v>
      </c>
      <c r="G70" s="3521" t="s">
        <v>116</v>
      </c>
      <c r="H70" s="3521" t="s">
        <v>115</v>
      </c>
      <c r="I70" s="3521" t="s">
        <v>23</v>
      </c>
      <c r="J70" s="3521" t="s">
        <v>114</v>
      </c>
      <c r="K70" s="3521" t="s">
        <v>366</v>
      </c>
      <c r="L70" s="3521" t="s">
        <v>122</v>
      </c>
      <c r="M70" s="3521" t="s">
        <v>298</v>
      </c>
      <c r="N70" s="3521" t="s">
        <v>113</v>
      </c>
      <c r="P70" s="3520" t="s">
        <v>661</v>
      </c>
      <c r="Q70" s="3520" t="s">
        <v>122</v>
      </c>
      <c r="S70" s="3677" t="s">
        <v>253</v>
      </c>
      <c r="T70" s="3675" t="s">
        <v>112</v>
      </c>
      <c r="U70" s="3675" t="s">
        <v>116</v>
      </c>
      <c r="V70" s="3675" t="s">
        <v>794</v>
      </c>
      <c r="W70" s="3675" t="s">
        <v>23</v>
      </c>
      <c r="X70" s="3675" t="s">
        <v>114</v>
      </c>
      <c r="Y70" s="3675" t="s">
        <v>122</v>
      </c>
      <c r="Z70" s="3675" t="s">
        <v>795</v>
      </c>
      <c r="AA70" s="3675" t="s">
        <v>800</v>
      </c>
      <c r="AB70" s="3673" t="s">
        <v>796</v>
      </c>
      <c r="AD70" s="3679" t="s">
        <v>253</v>
      </c>
      <c r="AE70" s="3679" t="s">
        <v>112</v>
      </c>
      <c r="AF70" s="3679" t="s">
        <v>802</v>
      </c>
      <c r="AG70" s="3679" t="s">
        <v>803</v>
      </c>
      <c r="AH70" s="3679" t="s">
        <v>804</v>
      </c>
      <c r="AI70" s="3679" t="s">
        <v>805</v>
      </c>
      <c r="AJ70" s="3679" t="s">
        <v>116</v>
      </c>
      <c r="AK70" s="3710" t="s">
        <v>801</v>
      </c>
      <c r="AL70" s="3680" t="s">
        <v>806</v>
      </c>
      <c r="AM70" s="3710" t="s">
        <v>796</v>
      </c>
    </row>
    <row r="71" spans="1:39" ht="15" customHeight="1" thickBot="1" x14ac:dyDescent="0.3">
      <c r="A71" s="858" t="s">
        <v>660</v>
      </c>
      <c r="B71" s="1652" t="s">
        <v>112</v>
      </c>
      <c r="C71" s="763" t="s">
        <v>111</v>
      </c>
      <c r="D71" s="3522"/>
      <c r="E71" s="3522"/>
      <c r="F71" s="3522"/>
      <c r="G71" s="3522"/>
      <c r="H71" s="3522"/>
      <c r="I71" s="3522"/>
      <c r="J71" s="3522"/>
      <c r="K71" s="3522"/>
      <c r="L71" s="3522"/>
      <c r="M71" s="3522"/>
      <c r="N71" s="3522"/>
      <c r="P71" s="3522"/>
      <c r="Q71" s="3522"/>
      <c r="S71" s="3678"/>
      <c r="T71" s="3676"/>
      <c r="U71" s="3676"/>
      <c r="V71" s="3676"/>
      <c r="W71" s="3676"/>
      <c r="X71" s="3676"/>
      <c r="Y71" s="3676"/>
      <c r="Z71" s="3676"/>
      <c r="AA71" s="3676"/>
      <c r="AB71" s="3674"/>
      <c r="AD71" s="3679"/>
      <c r="AE71" s="3679"/>
      <c r="AF71" s="3679"/>
      <c r="AG71" s="3679"/>
      <c r="AH71" s="3679"/>
      <c r="AI71" s="3679"/>
      <c r="AJ71" s="3679"/>
      <c r="AK71" s="3710"/>
      <c r="AL71" s="3680"/>
      <c r="AM71" s="3710"/>
    </row>
    <row r="72" spans="1:39" x14ac:dyDescent="0.25">
      <c r="A72" s="651">
        <v>1</v>
      </c>
      <c r="B72" s="106">
        <f>IF('DATA INPUT'!$I$72&gt;=1,'DATA INPUT'!$E$72,0)</f>
        <v>0</v>
      </c>
      <c r="C72" s="106">
        <f t="shared" ref="C72:C77" si="98">IF(B72&gt;0,B72-1,0)</f>
        <v>0</v>
      </c>
      <c r="D72" s="106">
        <f ca="1">OFFSET('DATA INPUT'!$D$68,OFFSET($A$4,INT((ROW()-ROW($A$4))/15)*15,0)-1,0)</f>
        <v>0</v>
      </c>
      <c r="E72" s="106">
        <f ca="1">OFFSET('DATA INPUT'!$I$68,OFFSET($A$4,INT((ROW()-ROW($A$4))/15)*15,0)-1,A72-1)</f>
        <v>0</v>
      </c>
      <c r="F72" s="108">
        <f t="shared" ref="F72:F77" ca="1" si="99">E72*D72</f>
        <v>0</v>
      </c>
      <c r="G72" s="492">
        <f ca="1">B67</f>
        <v>0</v>
      </c>
      <c r="H72" s="492">
        <f ca="1">D67</f>
        <v>0</v>
      </c>
      <c r="I72" s="492">
        <f ca="1">F67</f>
        <v>0</v>
      </c>
      <c r="J72" s="492">
        <f>H67</f>
        <v>250</v>
      </c>
      <c r="K72" s="492">
        <f t="shared" ref="K72:K77" ca="1" si="100" xml:space="preserve"> H72*C72*$J$67</f>
        <v>0</v>
      </c>
      <c r="L72" s="492">
        <f>IF(L65="Yes",0,L67)</f>
        <v>0</v>
      </c>
      <c r="M72" s="1539">
        <f t="shared" ref="M72:M77" si="101">IF(B72&lt;1,0,(IF(C72=0,SUM(I72:L72),((B72-0.5)*G72+C72*H72+SUM(I72:L72)))))</f>
        <v>0</v>
      </c>
      <c r="N72" s="1500">
        <f t="shared" ref="N72:N77" ca="1" si="102">F72*M72</f>
        <v>0</v>
      </c>
      <c r="O72" s="672">
        <f t="shared" ref="O72:O77" si="103">A72</f>
        <v>1</v>
      </c>
      <c r="P72" s="1657">
        <f t="shared" ref="P72:P77" ca="1" si="104">Q72*F72</f>
        <v>0</v>
      </c>
      <c r="Q72" s="1657">
        <f>IF(L65="Yes",L67,0)</f>
        <v>0</v>
      </c>
      <c r="S72" s="651">
        <v>1</v>
      </c>
      <c r="T72" s="106">
        <f t="shared" ref="T72:T77" si="105">B72</f>
        <v>0</v>
      </c>
      <c r="U72" s="2519">
        <f t="shared" ref="U72:U77" ca="1" si="106">G72</f>
        <v>0</v>
      </c>
      <c r="V72" s="2519">
        <f t="shared" ref="V72:V77" ca="1" si="107">IFERROR(H72+K72/C72,0)</f>
        <v>0</v>
      </c>
      <c r="W72" s="2519">
        <f t="shared" ref="W72:X77" ca="1" si="108">I72</f>
        <v>0</v>
      </c>
      <c r="X72" s="2519">
        <f t="shared" si="108"/>
        <v>250</v>
      </c>
      <c r="Y72" s="2519">
        <f t="shared" ref="Y72:Z77" si="109">L72</f>
        <v>0</v>
      </c>
      <c r="Z72" s="2522">
        <f t="shared" si="109"/>
        <v>0</v>
      </c>
      <c r="AA72" s="106">
        <f t="shared" ref="AA72:AA77" ca="1" si="110">F72</f>
        <v>0</v>
      </c>
      <c r="AB72" s="2525">
        <f t="shared" ref="AB72:AB77" ca="1" si="111">N72</f>
        <v>0</v>
      </c>
      <c r="AD72" s="505">
        <v>1</v>
      </c>
      <c r="AE72" s="2539">
        <f t="shared" ref="AE72:AE77" si="112">B72</f>
        <v>0</v>
      </c>
      <c r="AF72" s="2539">
        <f t="shared" ref="AF72:AF77" ca="1" si="113">F72</f>
        <v>0</v>
      </c>
      <c r="AG72" s="457">
        <f t="shared" ref="AG72:AG77" ca="1" si="114">C72*H72+K72</f>
        <v>0</v>
      </c>
      <c r="AH72" s="457">
        <f t="shared" ref="AH72:AI77" ca="1" si="115">I72</f>
        <v>0</v>
      </c>
      <c r="AI72" s="457">
        <f t="shared" si="115"/>
        <v>250</v>
      </c>
      <c r="AJ72" s="457">
        <f t="shared" ref="AJ72:AJ77" ca="1" si="116">IF(AE72&gt;1,(B72-0.5)*G72,B72*G72)</f>
        <v>0</v>
      </c>
      <c r="AK72" s="457">
        <f t="shared" ref="AK72:AK77" ca="1" si="117">ROUND(SUM(AG72:AJ72)*AF72,0)</f>
        <v>0</v>
      </c>
      <c r="AL72" s="718">
        <f t="shared" ref="AL72:AL77" ca="1" si="118">AF72*(L72+Q72)</f>
        <v>0</v>
      </c>
      <c r="AM72" s="457">
        <f t="shared" ref="AM72:AM77" ca="1" si="119">AK72+AL72</f>
        <v>0</v>
      </c>
    </row>
    <row r="73" spans="1:39" x14ac:dyDescent="0.25">
      <c r="A73" s="99">
        <v>2</v>
      </c>
      <c r="B73" s="108">
        <f>IF('DATA INPUT'!$J$72&gt;=1,'DATA INPUT'!$E$72,0)</f>
        <v>0</v>
      </c>
      <c r="C73" s="108">
        <f t="shared" si="98"/>
        <v>0</v>
      </c>
      <c r="D73" s="108">
        <f ca="1">OFFSET('DATA INPUT'!$D$68,OFFSET($A$4,INT((ROW()-ROW($A$4))/15)*15,0)-1,0)</f>
        <v>0</v>
      </c>
      <c r="E73" s="108">
        <f ca="1">OFFSET('DATA INPUT'!$I$68,OFFSET($A$4,INT((ROW()-ROW($A$4))/15)*15,0)-1,A73-1)</f>
        <v>0</v>
      </c>
      <c r="F73" s="108">
        <f t="shared" ca="1" si="99"/>
        <v>0</v>
      </c>
      <c r="G73" s="457">
        <f t="shared" ref="G73:J77" ca="1" si="120">(G72*$I$66)+G72</f>
        <v>0</v>
      </c>
      <c r="H73" s="457">
        <f t="shared" ca="1" si="120"/>
        <v>0</v>
      </c>
      <c r="I73" s="457">
        <f t="shared" ca="1" si="120"/>
        <v>0</v>
      </c>
      <c r="J73" s="457">
        <f t="shared" si="120"/>
        <v>257.5</v>
      </c>
      <c r="K73" s="457">
        <f t="shared" ca="1" si="100"/>
        <v>0</v>
      </c>
      <c r="L73" s="457">
        <f>(L72*$I$66)+L72</f>
        <v>0</v>
      </c>
      <c r="M73" s="1540">
        <f t="shared" si="101"/>
        <v>0</v>
      </c>
      <c r="N73" s="1541">
        <f t="shared" ca="1" si="102"/>
        <v>0</v>
      </c>
      <c r="O73" s="672">
        <f t="shared" si="103"/>
        <v>2</v>
      </c>
      <c r="P73" s="1489">
        <f t="shared" ca="1" si="104"/>
        <v>0</v>
      </c>
      <c r="Q73" s="1489">
        <f>(Q72*$I$66)+Q72</f>
        <v>0</v>
      </c>
      <c r="S73" s="99">
        <v>2</v>
      </c>
      <c r="T73" s="108">
        <f t="shared" si="105"/>
        <v>0</v>
      </c>
      <c r="U73" s="2520">
        <f t="shared" ca="1" si="106"/>
        <v>0</v>
      </c>
      <c r="V73" s="2520">
        <f t="shared" ca="1" si="107"/>
        <v>0</v>
      </c>
      <c r="W73" s="2520">
        <f t="shared" ca="1" si="108"/>
        <v>0</v>
      </c>
      <c r="X73" s="2520">
        <f t="shared" si="108"/>
        <v>257.5</v>
      </c>
      <c r="Y73" s="2520">
        <f t="shared" si="109"/>
        <v>0</v>
      </c>
      <c r="Z73" s="2523">
        <f t="shared" si="109"/>
        <v>0</v>
      </c>
      <c r="AA73" s="108">
        <f t="shared" ca="1" si="110"/>
        <v>0</v>
      </c>
      <c r="AB73" s="2526">
        <f t="shared" ca="1" si="111"/>
        <v>0</v>
      </c>
      <c r="AD73" s="505">
        <v>2</v>
      </c>
      <c r="AE73" s="2539">
        <f t="shared" si="112"/>
        <v>0</v>
      </c>
      <c r="AF73" s="2539">
        <f t="shared" ca="1" si="113"/>
        <v>0</v>
      </c>
      <c r="AG73" s="457">
        <f t="shared" ca="1" si="114"/>
        <v>0</v>
      </c>
      <c r="AH73" s="457">
        <f t="shared" ca="1" si="115"/>
        <v>0</v>
      </c>
      <c r="AI73" s="457">
        <f t="shared" si="115"/>
        <v>257.5</v>
      </c>
      <c r="AJ73" s="457">
        <f t="shared" ca="1" si="116"/>
        <v>0</v>
      </c>
      <c r="AK73" s="457">
        <f t="shared" ca="1" si="117"/>
        <v>0</v>
      </c>
      <c r="AL73" s="718">
        <f t="shared" ca="1" si="118"/>
        <v>0</v>
      </c>
      <c r="AM73" s="457">
        <f t="shared" ca="1" si="119"/>
        <v>0</v>
      </c>
    </row>
    <row r="74" spans="1:39" x14ac:dyDescent="0.25">
      <c r="A74" s="652">
        <v>3</v>
      </c>
      <c r="B74" s="108">
        <f>IF('DATA INPUT'!$K$72&gt;=1,'DATA INPUT'!$E$72,0)</f>
        <v>0</v>
      </c>
      <c r="C74" s="108">
        <f t="shared" si="98"/>
        <v>0</v>
      </c>
      <c r="D74" s="108">
        <f ca="1">OFFSET('DATA INPUT'!$D$68,OFFSET($A$4,INT((ROW()-ROW($A$4))/15)*15,0)-1,0)</f>
        <v>0</v>
      </c>
      <c r="E74" s="108">
        <f ca="1">OFFSET('DATA INPUT'!$I$68,OFFSET($A$4,INT((ROW()-ROW($A$4))/15)*15,0)-1,A74-1)</f>
        <v>0</v>
      </c>
      <c r="F74" s="108">
        <f t="shared" ca="1" si="99"/>
        <v>0</v>
      </c>
      <c r="G74" s="457">
        <f t="shared" ca="1" si="120"/>
        <v>0</v>
      </c>
      <c r="H74" s="457">
        <f t="shared" ca="1" si="120"/>
        <v>0</v>
      </c>
      <c r="I74" s="457">
        <f t="shared" ca="1" si="120"/>
        <v>0</v>
      </c>
      <c r="J74" s="457">
        <f t="shared" si="120"/>
        <v>265.22500000000002</v>
      </c>
      <c r="K74" s="457">
        <f t="shared" ca="1" si="100"/>
        <v>0</v>
      </c>
      <c r="L74" s="457">
        <f>(L73*$I$66)+L73</f>
        <v>0</v>
      </c>
      <c r="M74" s="1540">
        <f t="shared" si="101"/>
        <v>0</v>
      </c>
      <c r="N74" s="1541">
        <f t="shared" ca="1" si="102"/>
        <v>0</v>
      </c>
      <c r="O74" s="672">
        <f t="shared" si="103"/>
        <v>3</v>
      </c>
      <c r="P74" s="1489">
        <f t="shared" ca="1" si="104"/>
        <v>0</v>
      </c>
      <c r="Q74" s="1489">
        <f>(Q73*$I$66)+Q73</f>
        <v>0</v>
      </c>
      <c r="S74" s="652">
        <v>3</v>
      </c>
      <c r="T74" s="108">
        <f t="shared" si="105"/>
        <v>0</v>
      </c>
      <c r="U74" s="2520">
        <f t="shared" ca="1" si="106"/>
        <v>0</v>
      </c>
      <c r="V74" s="2520">
        <f t="shared" ca="1" si="107"/>
        <v>0</v>
      </c>
      <c r="W74" s="2520">
        <f t="shared" ca="1" si="108"/>
        <v>0</v>
      </c>
      <c r="X74" s="2520">
        <f t="shared" si="108"/>
        <v>265.22500000000002</v>
      </c>
      <c r="Y74" s="2520">
        <f t="shared" si="109"/>
        <v>0</v>
      </c>
      <c r="Z74" s="2523">
        <f t="shared" si="109"/>
        <v>0</v>
      </c>
      <c r="AA74" s="108">
        <f t="shared" ca="1" si="110"/>
        <v>0</v>
      </c>
      <c r="AB74" s="2526">
        <f t="shared" ca="1" si="111"/>
        <v>0</v>
      </c>
      <c r="AD74" s="505">
        <v>3</v>
      </c>
      <c r="AE74" s="2539">
        <f t="shared" si="112"/>
        <v>0</v>
      </c>
      <c r="AF74" s="2539">
        <f t="shared" ca="1" si="113"/>
        <v>0</v>
      </c>
      <c r="AG74" s="457">
        <f t="shared" ca="1" si="114"/>
        <v>0</v>
      </c>
      <c r="AH74" s="457">
        <f t="shared" ca="1" si="115"/>
        <v>0</v>
      </c>
      <c r="AI74" s="457">
        <f t="shared" si="115"/>
        <v>265.22500000000002</v>
      </c>
      <c r="AJ74" s="457">
        <f t="shared" ca="1" si="116"/>
        <v>0</v>
      </c>
      <c r="AK74" s="457">
        <f t="shared" ca="1" si="117"/>
        <v>0</v>
      </c>
      <c r="AL74" s="718">
        <f t="shared" ca="1" si="118"/>
        <v>0</v>
      </c>
      <c r="AM74" s="457">
        <f t="shared" ca="1" si="119"/>
        <v>0</v>
      </c>
    </row>
    <row r="75" spans="1:39" x14ac:dyDescent="0.25">
      <c r="A75" s="99">
        <v>4</v>
      </c>
      <c r="B75" s="108">
        <f>IF('DATA INPUT'!$L$72&gt;=1,'DATA INPUT'!$E$72,0)</f>
        <v>0</v>
      </c>
      <c r="C75" s="108">
        <f t="shared" si="98"/>
        <v>0</v>
      </c>
      <c r="D75" s="108">
        <f ca="1">OFFSET('DATA INPUT'!$D$68,OFFSET($A$4,INT((ROW()-ROW($A$4))/15)*15,0)-1,0)</f>
        <v>0</v>
      </c>
      <c r="E75" s="108">
        <f ca="1">OFFSET('DATA INPUT'!$I$68,OFFSET($A$4,INT((ROW()-ROW($A$4))/15)*15,0)-1,A75-1)</f>
        <v>0</v>
      </c>
      <c r="F75" s="108">
        <f t="shared" ca="1" si="99"/>
        <v>0</v>
      </c>
      <c r="G75" s="457">
        <f t="shared" ca="1" si="120"/>
        <v>0</v>
      </c>
      <c r="H75" s="457">
        <f t="shared" ca="1" si="120"/>
        <v>0</v>
      </c>
      <c r="I75" s="457">
        <f t="shared" ca="1" si="120"/>
        <v>0</v>
      </c>
      <c r="J75" s="457">
        <f t="shared" si="120"/>
        <v>273.18175000000002</v>
      </c>
      <c r="K75" s="457">
        <f t="shared" ca="1" si="100"/>
        <v>0</v>
      </c>
      <c r="L75" s="457">
        <f>(L74*$I$66)+L74</f>
        <v>0</v>
      </c>
      <c r="M75" s="1540">
        <f t="shared" si="101"/>
        <v>0</v>
      </c>
      <c r="N75" s="1541">
        <f t="shared" ca="1" si="102"/>
        <v>0</v>
      </c>
      <c r="O75" s="672">
        <f t="shared" si="103"/>
        <v>4</v>
      </c>
      <c r="P75" s="1489">
        <f t="shared" ca="1" si="104"/>
        <v>0</v>
      </c>
      <c r="Q75" s="1489">
        <f>(Q74*$I$66)+Q74</f>
        <v>0</v>
      </c>
      <c r="S75" s="99">
        <v>4</v>
      </c>
      <c r="T75" s="108">
        <f t="shared" si="105"/>
        <v>0</v>
      </c>
      <c r="U75" s="2520">
        <f t="shared" ca="1" si="106"/>
        <v>0</v>
      </c>
      <c r="V75" s="2520">
        <f t="shared" ca="1" si="107"/>
        <v>0</v>
      </c>
      <c r="W75" s="2520">
        <f t="shared" ca="1" si="108"/>
        <v>0</v>
      </c>
      <c r="X75" s="2520">
        <f t="shared" si="108"/>
        <v>273.18175000000002</v>
      </c>
      <c r="Y75" s="2520">
        <f t="shared" si="109"/>
        <v>0</v>
      </c>
      <c r="Z75" s="2523">
        <f t="shared" si="109"/>
        <v>0</v>
      </c>
      <c r="AA75" s="108">
        <f t="shared" ca="1" si="110"/>
        <v>0</v>
      </c>
      <c r="AB75" s="2526">
        <f t="shared" ca="1" si="111"/>
        <v>0</v>
      </c>
      <c r="AD75" s="505">
        <v>4</v>
      </c>
      <c r="AE75" s="2539">
        <f t="shared" si="112"/>
        <v>0</v>
      </c>
      <c r="AF75" s="2539">
        <f t="shared" ca="1" si="113"/>
        <v>0</v>
      </c>
      <c r="AG75" s="457">
        <f t="shared" ca="1" si="114"/>
        <v>0</v>
      </c>
      <c r="AH75" s="457">
        <f t="shared" ca="1" si="115"/>
        <v>0</v>
      </c>
      <c r="AI75" s="457">
        <f t="shared" si="115"/>
        <v>273.18175000000002</v>
      </c>
      <c r="AJ75" s="457">
        <f t="shared" ca="1" si="116"/>
        <v>0</v>
      </c>
      <c r="AK75" s="457">
        <f t="shared" ca="1" si="117"/>
        <v>0</v>
      </c>
      <c r="AL75" s="718">
        <f t="shared" ca="1" si="118"/>
        <v>0</v>
      </c>
      <c r="AM75" s="457">
        <f t="shared" ca="1" si="119"/>
        <v>0</v>
      </c>
    </row>
    <row r="76" spans="1:39" x14ac:dyDescent="0.25">
      <c r="A76" s="99">
        <v>5</v>
      </c>
      <c r="B76" s="108">
        <f>IF('DATA INPUT'!$M$72&gt;=1,'DATA INPUT'!$E$72,0)</f>
        <v>0</v>
      </c>
      <c r="C76" s="108">
        <f t="shared" si="98"/>
        <v>0</v>
      </c>
      <c r="D76" s="108">
        <f ca="1">OFFSET('DATA INPUT'!$D$68,OFFSET($A$4,INT((ROW()-ROW($A$4))/15)*15,0)-1,0)</f>
        <v>0</v>
      </c>
      <c r="E76" s="108">
        <f ca="1">OFFSET('DATA INPUT'!$I$68,OFFSET($A$4,INT((ROW()-ROW($A$4))/15)*15,0)-1,A76-1)</f>
        <v>0</v>
      </c>
      <c r="F76" s="108">
        <f t="shared" ca="1" si="99"/>
        <v>0</v>
      </c>
      <c r="G76" s="457">
        <f t="shared" ca="1" si="120"/>
        <v>0</v>
      </c>
      <c r="H76" s="457">
        <f t="shared" ca="1" si="120"/>
        <v>0</v>
      </c>
      <c r="I76" s="457">
        <f t="shared" ca="1" si="120"/>
        <v>0</v>
      </c>
      <c r="J76" s="457">
        <f t="shared" si="120"/>
        <v>281.37720250000001</v>
      </c>
      <c r="K76" s="457">
        <f t="shared" ca="1" si="100"/>
        <v>0</v>
      </c>
      <c r="L76" s="457">
        <f>(L75*$I$66)+L75</f>
        <v>0</v>
      </c>
      <c r="M76" s="1540">
        <f t="shared" si="101"/>
        <v>0</v>
      </c>
      <c r="N76" s="1541">
        <f t="shared" ca="1" si="102"/>
        <v>0</v>
      </c>
      <c r="O76" s="672">
        <f t="shared" si="103"/>
        <v>5</v>
      </c>
      <c r="P76" s="1489">
        <f t="shared" ca="1" si="104"/>
        <v>0</v>
      </c>
      <c r="Q76" s="1489">
        <f>(Q75*$I$66)+Q75</f>
        <v>0</v>
      </c>
      <c r="S76" s="99">
        <v>5</v>
      </c>
      <c r="T76" s="108">
        <f t="shared" si="105"/>
        <v>0</v>
      </c>
      <c r="U76" s="2520">
        <f t="shared" ca="1" si="106"/>
        <v>0</v>
      </c>
      <c r="V76" s="2520">
        <f t="shared" ca="1" si="107"/>
        <v>0</v>
      </c>
      <c r="W76" s="2520">
        <f t="shared" ca="1" si="108"/>
        <v>0</v>
      </c>
      <c r="X76" s="2520">
        <f t="shared" si="108"/>
        <v>281.37720250000001</v>
      </c>
      <c r="Y76" s="2520">
        <f t="shared" si="109"/>
        <v>0</v>
      </c>
      <c r="Z76" s="2523">
        <f t="shared" si="109"/>
        <v>0</v>
      </c>
      <c r="AA76" s="108">
        <f t="shared" ca="1" si="110"/>
        <v>0</v>
      </c>
      <c r="AB76" s="2526">
        <f t="shared" ca="1" si="111"/>
        <v>0</v>
      </c>
      <c r="AD76" s="505">
        <v>5</v>
      </c>
      <c r="AE76" s="2539">
        <f t="shared" si="112"/>
        <v>0</v>
      </c>
      <c r="AF76" s="2539">
        <f t="shared" ca="1" si="113"/>
        <v>0</v>
      </c>
      <c r="AG76" s="457">
        <f t="shared" ca="1" si="114"/>
        <v>0</v>
      </c>
      <c r="AH76" s="457">
        <f t="shared" ca="1" si="115"/>
        <v>0</v>
      </c>
      <c r="AI76" s="457">
        <f t="shared" si="115"/>
        <v>281.37720250000001</v>
      </c>
      <c r="AJ76" s="457">
        <f t="shared" ca="1" si="116"/>
        <v>0</v>
      </c>
      <c r="AK76" s="457">
        <f t="shared" ca="1" si="117"/>
        <v>0</v>
      </c>
      <c r="AL76" s="718">
        <f t="shared" ca="1" si="118"/>
        <v>0</v>
      </c>
      <c r="AM76" s="457">
        <f t="shared" ca="1" si="119"/>
        <v>0</v>
      </c>
    </row>
    <row r="77" spans="1:39" ht="15.75" thickBot="1" x14ac:dyDescent="0.3">
      <c r="A77" s="98">
        <v>6</v>
      </c>
      <c r="B77" s="758">
        <f>IF('DATA INPUT'!$N$72&gt;=1,'DATA INPUT'!$E$72,0)</f>
        <v>0</v>
      </c>
      <c r="C77" s="758">
        <f t="shared" si="98"/>
        <v>0</v>
      </c>
      <c r="D77" s="109">
        <f ca="1">OFFSET('DATA INPUT'!$D$68,OFFSET($A$4,INT((ROW()-ROW($A$4))/15)*15,0)-1,0)</f>
        <v>0</v>
      </c>
      <c r="E77" s="109">
        <f ca="1">OFFSET('DATA INPUT'!$I$68,OFFSET($A$4,INT((ROW()-ROW($A$4))/15)*15,0)-1,A77-1)</f>
        <v>0</v>
      </c>
      <c r="F77" s="758">
        <f t="shared" ca="1" si="99"/>
        <v>0</v>
      </c>
      <c r="G77" s="457">
        <f t="shared" ca="1" si="120"/>
        <v>0</v>
      </c>
      <c r="H77" s="457">
        <f t="shared" ca="1" si="120"/>
        <v>0</v>
      </c>
      <c r="I77" s="457">
        <f t="shared" ca="1" si="120"/>
        <v>0</v>
      </c>
      <c r="J77" s="457">
        <f t="shared" si="120"/>
        <v>289.81851857499998</v>
      </c>
      <c r="K77" s="495">
        <f t="shared" ca="1" si="100"/>
        <v>0</v>
      </c>
      <c r="L77" s="495">
        <f>(L76*$I$66)+L76</f>
        <v>0</v>
      </c>
      <c r="M77" s="1550">
        <f t="shared" si="101"/>
        <v>0</v>
      </c>
      <c r="N77" s="1551">
        <f t="shared" ca="1" si="102"/>
        <v>0</v>
      </c>
      <c r="O77" s="672">
        <f t="shared" si="103"/>
        <v>6</v>
      </c>
      <c r="P77" s="1513">
        <f t="shared" ca="1" si="104"/>
        <v>0</v>
      </c>
      <c r="Q77" s="1513">
        <f>(Q76*$I$66)+Q76</f>
        <v>0</v>
      </c>
      <c r="S77" s="98">
        <v>6</v>
      </c>
      <c r="T77" s="109">
        <f t="shared" si="105"/>
        <v>0</v>
      </c>
      <c r="U77" s="2521">
        <f t="shared" ca="1" si="106"/>
        <v>0</v>
      </c>
      <c r="V77" s="2521">
        <f t="shared" ca="1" si="107"/>
        <v>0</v>
      </c>
      <c r="W77" s="2521">
        <f t="shared" ca="1" si="108"/>
        <v>0</v>
      </c>
      <c r="X77" s="2521">
        <f t="shared" si="108"/>
        <v>289.81851857499998</v>
      </c>
      <c r="Y77" s="2521">
        <f t="shared" si="109"/>
        <v>0</v>
      </c>
      <c r="Z77" s="2524">
        <f t="shared" si="109"/>
        <v>0</v>
      </c>
      <c r="AA77" s="109">
        <f t="shared" ca="1" si="110"/>
        <v>0</v>
      </c>
      <c r="AB77" s="2527">
        <f t="shared" ca="1" si="111"/>
        <v>0</v>
      </c>
      <c r="AD77" s="505">
        <v>6</v>
      </c>
      <c r="AE77" s="2539">
        <f t="shared" si="112"/>
        <v>0</v>
      </c>
      <c r="AF77" s="2539">
        <f t="shared" ca="1" si="113"/>
        <v>0</v>
      </c>
      <c r="AG77" s="457">
        <f t="shared" ca="1" si="114"/>
        <v>0</v>
      </c>
      <c r="AH77" s="457">
        <f t="shared" ca="1" si="115"/>
        <v>0</v>
      </c>
      <c r="AI77" s="457">
        <f t="shared" si="115"/>
        <v>289.81851857499998</v>
      </c>
      <c r="AJ77" s="457">
        <f t="shared" ca="1" si="116"/>
        <v>0</v>
      </c>
      <c r="AK77" s="457">
        <f t="shared" ca="1" si="117"/>
        <v>0</v>
      </c>
      <c r="AL77" s="718">
        <f t="shared" ca="1" si="118"/>
        <v>0</v>
      </c>
      <c r="AM77" s="457">
        <f t="shared" ca="1" si="119"/>
        <v>0</v>
      </c>
    </row>
    <row r="78" spans="1:39" x14ac:dyDescent="0.25">
      <c r="A78" s="859"/>
      <c r="B78" s="668"/>
      <c r="C78" s="668"/>
      <c r="D78" s="668"/>
      <c r="E78" s="668"/>
      <c r="F78" s="668"/>
      <c r="G78" s="668"/>
      <c r="H78" s="668"/>
      <c r="I78" s="668"/>
      <c r="J78" s="668"/>
      <c r="K78" s="668"/>
      <c r="L78" s="668"/>
      <c r="M78" s="759" t="s">
        <v>300</v>
      </c>
      <c r="N78" s="1552">
        <f ca="1">SUM(N72:N77)</f>
        <v>0</v>
      </c>
      <c r="P78" s="60">
        <f ca="1">SUM(P72:P77)</f>
        <v>0</v>
      </c>
      <c r="Q78" s="60"/>
    </row>
    <row r="79" spans="1:39" ht="24" thickBot="1" x14ac:dyDescent="0.4">
      <c r="A79" s="1599">
        <f>A64+1</f>
        <v>6</v>
      </c>
      <c r="N79" s="2449" t="str">
        <f>IF(L65="Yes",N78+P78,"")</f>
        <v/>
      </c>
      <c r="O79" s="2450" t="s">
        <v>756</v>
      </c>
    </row>
    <row r="80" spans="1:39" ht="15.75" thickBot="1" x14ac:dyDescent="0.3">
      <c r="A80" s="336" t="s">
        <v>120</v>
      </c>
      <c r="B80" s="3647">
        <f>'DATA INPUT'!B73</f>
        <v>0</v>
      </c>
      <c r="C80" s="3648"/>
      <c r="D80" s="3648"/>
      <c r="E80" s="3648"/>
      <c r="F80" s="3649"/>
      <c r="G80" s="336"/>
      <c r="H80" s="336" t="s">
        <v>376</v>
      </c>
      <c r="I80" s="806" t="str">
        <f ca="1">IF(B81=$T$6,'Reference Sheet'!$J$4, 'Reference Sheet'!$J$3)</f>
        <v>Domestic</v>
      </c>
      <c r="J80" s="3706" t="s">
        <v>515</v>
      </c>
      <c r="K80" s="3707"/>
      <c r="L80" s="1671">
        <f>'DATA INPUT'!$H$73</f>
        <v>0</v>
      </c>
      <c r="N80" s="10"/>
      <c r="O80" s="10"/>
      <c r="P80" s="10"/>
      <c r="Q80" s="10"/>
    </row>
    <row r="81" spans="1:67" x14ac:dyDescent="0.25">
      <c r="A81" s="336" t="s">
        <v>468</v>
      </c>
      <c r="B81" s="3647">
        <f ca="1">OFFSET('DATA INPUT'!$C$68,($A79-1),0)</f>
        <v>0</v>
      </c>
      <c r="C81" s="3648"/>
      <c r="D81" s="3648"/>
      <c r="E81" s="1655"/>
      <c r="F81" s="808"/>
      <c r="G81" s="336"/>
      <c r="H81" s="336" t="s">
        <v>371</v>
      </c>
      <c r="I81" s="807">
        <f>'Reference Sheet'!$L$8</f>
        <v>0.03</v>
      </c>
      <c r="J81" s="10"/>
      <c r="K81" s="10"/>
      <c r="L81" s="10"/>
      <c r="N81" s="10"/>
      <c r="O81" s="10"/>
      <c r="P81" s="10"/>
      <c r="Q81" s="10"/>
    </row>
    <row r="82" spans="1:67" x14ac:dyDescent="0.25">
      <c r="A82" s="336" t="s">
        <v>116</v>
      </c>
      <c r="B82" s="1557">
        <f ca="1">IF(B81=$T$3, $U$3,IF(B81=$T$4,$U$4,IF(B81=$T$5,$U$5,IF(B81=$T$6,$U$6,0))))</f>
        <v>0</v>
      </c>
      <c r="C82" s="336" t="s">
        <v>115</v>
      </c>
      <c r="D82" s="1557">
        <f ca="1">IF(B81=$T$3,$V$3,IF(B81=$T$4,$V$4,IF(B81=$T$5,$V$5,IF(B81=$T$6,$V$6,0))))</f>
        <v>0</v>
      </c>
      <c r="E82" s="336" t="s">
        <v>23</v>
      </c>
      <c r="F82" s="1557">
        <f ca="1">OFFSET('DATA INPUT'!$F$68,($A79-1),0)</f>
        <v>0</v>
      </c>
      <c r="G82" s="336" t="s">
        <v>118</v>
      </c>
      <c r="H82" s="1557">
        <v>250</v>
      </c>
      <c r="I82" s="336" t="s">
        <v>755</v>
      </c>
      <c r="J82" s="766">
        <v>0.13</v>
      </c>
      <c r="K82" s="337" t="s">
        <v>362</v>
      </c>
      <c r="L82" s="338">
        <f>'DATA INPUT'!$G$73</f>
        <v>0</v>
      </c>
      <c r="N82" s="10"/>
      <c r="S82" s="2551" t="s">
        <v>811</v>
      </c>
      <c r="T82" s="2551"/>
      <c r="U82" s="2551"/>
      <c r="V82" s="2551"/>
      <c r="W82" s="2551"/>
    </row>
    <row r="83" spans="1:67" ht="15.75" thickBot="1" x14ac:dyDescent="0.3">
      <c r="D83" s="110"/>
      <c r="N83" s="10"/>
      <c r="O83" s="10"/>
      <c r="P83" s="10"/>
      <c r="Q83" s="10"/>
      <c r="AD83" s="2541" t="s">
        <v>808</v>
      </c>
      <c r="AE83" s="2542"/>
      <c r="AF83" s="2542"/>
      <c r="AG83" s="2542"/>
      <c r="AH83" s="2542"/>
      <c r="BA83" t="s">
        <v>234</v>
      </c>
      <c r="BO83" t="s">
        <v>234</v>
      </c>
    </row>
    <row r="84" spans="1:67" ht="15.75" thickBot="1" x14ac:dyDescent="0.3">
      <c r="A84" s="3625">
        <f>B80</f>
        <v>0</v>
      </c>
      <c r="B84" s="3626"/>
      <c r="C84" s="3626"/>
      <c r="D84" s="3626"/>
      <c r="E84" s="3626"/>
      <c r="F84" s="3626"/>
      <c r="G84" s="3626"/>
      <c r="H84" s="3626"/>
      <c r="I84" s="3626"/>
      <c r="J84" s="3626"/>
      <c r="K84" s="3626"/>
      <c r="L84" s="3626"/>
      <c r="M84" s="3626"/>
      <c r="N84" s="3627"/>
      <c r="O84" s="10"/>
      <c r="P84" s="10"/>
      <c r="Q84" s="10"/>
      <c r="S84" s="2536">
        <f>A84</f>
        <v>0</v>
      </c>
      <c r="T84" s="2537"/>
      <c r="U84" s="2537"/>
      <c r="V84" s="2537"/>
      <c r="W84" s="2537"/>
      <c r="X84" s="2537"/>
      <c r="Y84" s="2537"/>
      <c r="Z84" s="2537"/>
      <c r="AA84" s="2537"/>
      <c r="AB84" s="2538"/>
      <c r="AG84" s="2550" t="s">
        <v>809</v>
      </c>
      <c r="AH84" s="2550"/>
      <c r="AI84" s="2550"/>
      <c r="AJ84" s="2550"/>
      <c r="AK84" s="19" t="s">
        <v>812</v>
      </c>
      <c r="AL84" s="2541" t="s">
        <v>807</v>
      </c>
    </row>
    <row r="85" spans="1:67" ht="14.45" customHeight="1" x14ac:dyDescent="0.25">
      <c r="A85" s="858" t="s">
        <v>659</v>
      </c>
      <c r="B85" s="3641" t="s">
        <v>117</v>
      </c>
      <c r="C85" s="3642"/>
      <c r="D85" s="3521" t="s">
        <v>363</v>
      </c>
      <c r="E85" s="3521" t="s">
        <v>364</v>
      </c>
      <c r="F85" s="3521" t="s">
        <v>365</v>
      </c>
      <c r="G85" s="3521" t="s">
        <v>116</v>
      </c>
      <c r="H85" s="3521" t="s">
        <v>115</v>
      </c>
      <c r="I85" s="3521" t="s">
        <v>23</v>
      </c>
      <c r="J85" s="3521" t="s">
        <v>114</v>
      </c>
      <c r="K85" s="3521" t="s">
        <v>366</v>
      </c>
      <c r="L85" s="3521" t="s">
        <v>122</v>
      </c>
      <c r="M85" s="3521" t="s">
        <v>298</v>
      </c>
      <c r="N85" s="3521" t="s">
        <v>113</v>
      </c>
      <c r="P85" s="3520" t="s">
        <v>661</v>
      </c>
      <c r="Q85" s="3520" t="s">
        <v>122</v>
      </c>
      <c r="S85" s="3677" t="s">
        <v>253</v>
      </c>
      <c r="T85" s="3675" t="s">
        <v>112</v>
      </c>
      <c r="U85" s="3675" t="s">
        <v>116</v>
      </c>
      <c r="V85" s="3675" t="s">
        <v>794</v>
      </c>
      <c r="W85" s="3675" t="s">
        <v>23</v>
      </c>
      <c r="X85" s="3675" t="s">
        <v>114</v>
      </c>
      <c r="Y85" s="3675" t="s">
        <v>122</v>
      </c>
      <c r="Z85" s="3675" t="s">
        <v>795</v>
      </c>
      <c r="AA85" s="3675" t="s">
        <v>800</v>
      </c>
      <c r="AB85" s="3673" t="s">
        <v>796</v>
      </c>
      <c r="AD85" s="3679" t="s">
        <v>253</v>
      </c>
      <c r="AE85" s="3679" t="s">
        <v>112</v>
      </c>
      <c r="AF85" s="3679" t="s">
        <v>802</v>
      </c>
      <c r="AG85" s="3679" t="s">
        <v>803</v>
      </c>
      <c r="AH85" s="3679" t="s">
        <v>804</v>
      </c>
      <c r="AI85" s="3679" t="s">
        <v>805</v>
      </c>
      <c r="AJ85" s="3679" t="s">
        <v>116</v>
      </c>
      <c r="AK85" s="3710" t="s">
        <v>801</v>
      </c>
      <c r="AL85" s="3680" t="s">
        <v>806</v>
      </c>
      <c r="AM85" s="3710" t="s">
        <v>796</v>
      </c>
    </row>
    <row r="86" spans="1:67" ht="15" customHeight="1" thickBot="1" x14ac:dyDescent="0.3">
      <c r="A86" s="858" t="s">
        <v>660</v>
      </c>
      <c r="B86" s="1652" t="s">
        <v>112</v>
      </c>
      <c r="C86" s="763" t="s">
        <v>111</v>
      </c>
      <c r="D86" s="3522"/>
      <c r="E86" s="3522"/>
      <c r="F86" s="3522"/>
      <c r="G86" s="3522"/>
      <c r="H86" s="3522"/>
      <c r="I86" s="3522"/>
      <c r="J86" s="3522"/>
      <c r="K86" s="3522"/>
      <c r="L86" s="3522"/>
      <c r="M86" s="3522"/>
      <c r="N86" s="3522"/>
      <c r="P86" s="3522"/>
      <c r="Q86" s="3522"/>
      <c r="S86" s="3678"/>
      <c r="T86" s="3676"/>
      <c r="U86" s="3676"/>
      <c r="V86" s="3676"/>
      <c r="W86" s="3676"/>
      <c r="X86" s="3676"/>
      <c r="Y86" s="3676"/>
      <c r="Z86" s="3676"/>
      <c r="AA86" s="3676"/>
      <c r="AB86" s="3674"/>
      <c r="AD86" s="3679"/>
      <c r="AE86" s="3679"/>
      <c r="AF86" s="3679"/>
      <c r="AG86" s="3679"/>
      <c r="AH86" s="3679"/>
      <c r="AI86" s="3679"/>
      <c r="AJ86" s="3679"/>
      <c r="AK86" s="3710"/>
      <c r="AL86" s="3680"/>
      <c r="AM86" s="3710"/>
      <c r="AQ86" s="10"/>
      <c r="AR86" s="10"/>
    </row>
    <row r="87" spans="1:67" x14ac:dyDescent="0.25">
      <c r="A87" s="651">
        <v>1</v>
      </c>
      <c r="B87" s="105">
        <f>IF('DATA INPUT'!$I$73&gt;=1,'DATA INPUT'!$E$73,0)</f>
        <v>0</v>
      </c>
      <c r="C87" s="106">
        <f t="shared" ref="C87:C92" si="121">IF(B87&gt;0,B87-1,0)</f>
        <v>0</v>
      </c>
      <c r="D87" s="106">
        <f ca="1">OFFSET('DATA INPUT'!$D$68,OFFSET($A$4,INT((ROW()-ROW($A$4))/15)*15,0)-1,0)</f>
        <v>0</v>
      </c>
      <c r="E87" s="106">
        <f ca="1">OFFSET('DATA INPUT'!$I$68,OFFSET($A$4,INT((ROW()-ROW($A$4))/15)*15,0)-1,A87-1)</f>
        <v>0</v>
      </c>
      <c r="F87" s="106">
        <f t="shared" ref="F87:F92" ca="1" si="122">E87*D87</f>
        <v>0</v>
      </c>
      <c r="G87" s="492">
        <f ca="1">B82</f>
        <v>0</v>
      </c>
      <c r="H87" s="492">
        <f ca="1">D82</f>
        <v>0</v>
      </c>
      <c r="I87" s="492">
        <f ca="1">F82</f>
        <v>0</v>
      </c>
      <c r="J87" s="492">
        <f>H82</f>
        <v>250</v>
      </c>
      <c r="K87" s="492">
        <f t="shared" ref="K87:K92" ca="1" si="123" xml:space="preserve"> H87*C87*$J$82</f>
        <v>0</v>
      </c>
      <c r="L87" s="492">
        <f>IF(L80="Yes",0,L82)</f>
        <v>0</v>
      </c>
      <c r="M87" s="1539">
        <f t="shared" ref="M87:M92" si="124">IF(B87&lt;1,0,(IF(C87=0,SUM(I87:L87),((B87-0.5)*G87+C87*H87+SUM(I87:L87)))))</f>
        <v>0</v>
      </c>
      <c r="N87" s="1500">
        <f t="shared" ref="N87:N92" ca="1" si="125">F87*M87</f>
        <v>0</v>
      </c>
      <c r="O87" s="672">
        <f t="shared" ref="O87:O92" si="126">A87</f>
        <v>1</v>
      </c>
      <c r="P87" s="1657">
        <f t="shared" ref="P87:P92" ca="1" si="127">Q87*F87</f>
        <v>0</v>
      </c>
      <c r="Q87" s="1657">
        <f>IF(L80="Yes",L82,0)</f>
        <v>0</v>
      </c>
      <c r="S87" s="651">
        <v>1</v>
      </c>
      <c r="T87" s="106">
        <f t="shared" ref="T87:T92" si="128">B87</f>
        <v>0</v>
      </c>
      <c r="U87" s="2519">
        <f t="shared" ref="U87:U92" ca="1" si="129">G87</f>
        <v>0</v>
      </c>
      <c r="V87" s="2519">
        <f t="shared" ref="V87:V92" ca="1" si="130">IFERROR(H87+K87/C87,0)</f>
        <v>0</v>
      </c>
      <c r="W87" s="2519">
        <f t="shared" ref="W87:X92" ca="1" si="131">I87</f>
        <v>0</v>
      </c>
      <c r="X87" s="2519">
        <f t="shared" si="131"/>
        <v>250</v>
      </c>
      <c r="Y87" s="2519">
        <f t="shared" ref="Y87:Z92" si="132">L87</f>
        <v>0</v>
      </c>
      <c r="Z87" s="2522">
        <f t="shared" si="132"/>
        <v>0</v>
      </c>
      <c r="AA87" s="106">
        <f t="shared" ref="AA87:AA92" ca="1" si="133">F87</f>
        <v>0</v>
      </c>
      <c r="AB87" s="2525">
        <f t="shared" ref="AB87:AB92" ca="1" si="134">N87</f>
        <v>0</v>
      </c>
      <c r="AD87" s="505">
        <v>1</v>
      </c>
      <c r="AE87" s="2539">
        <f t="shared" ref="AE87:AE92" si="135">B87</f>
        <v>0</v>
      </c>
      <c r="AF87" s="2539">
        <f t="shared" ref="AF87:AF92" ca="1" si="136">F87</f>
        <v>0</v>
      </c>
      <c r="AG87" s="457">
        <f t="shared" ref="AG87:AG92" ca="1" si="137">C87*H87+K87</f>
        <v>0</v>
      </c>
      <c r="AH87" s="457">
        <f t="shared" ref="AH87:AI92" ca="1" si="138">I87</f>
        <v>0</v>
      </c>
      <c r="AI87" s="457">
        <f t="shared" si="138"/>
        <v>250</v>
      </c>
      <c r="AJ87" s="457">
        <f t="shared" ref="AJ87:AJ92" ca="1" si="139">IF(AE87&gt;1,(B87-0.5)*G87,B87*G87)</f>
        <v>0</v>
      </c>
      <c r="AK87" s="457">
        <f t="shared" ref="AK87:AK92" ca="1" si="140">ROUND(SUM(AG87:AJ87)*AF87,0)</f>
        <v>0</v>
      </c>
      <c r="AL87" s="718">
        <f t="shared" ref="AL87:AL92" ca="1" si="141">AF87*(L87+Q87)</f>
        <v>0</v>
      </c>
      <c r="AM87" s="457">
        <f t="shared" ref="AM87:AM92" ca="1" si="142">AK87+AL87</f>
        <v>0</v>
      </c>
      <c r="AQ87" s="10"/>
      <c r="AR87" s="10"/>
    </row>
    <row r="88" spans="1:67" x14ac:dyDescent="0.25">
      <c r="A88" s="99">
        <v>2</v>
      </c>
      <c r="B88" s="107">
        <f>IF('DATA INPUT'!$J$73&gt;=1,'DATA INPUT'!$E$73,0)</f>
        <v>0</v>
      </c>
      <c r="C88" s="108">
        <f t="shared" si="121"/>
        <v>0</v>
      </c>
      <c r="D88" s="108">
        <f ca="1">OFFSET('DATA INPUT'!$D$68,OFFSET($A$4,INT((ROW()-ROW($A$4))/15)*15,0)-1,0)</f>
        <v>0</v>
      </c>
      <c r="E88" s="108">
        <f ca="1">OFFSET('DATA INPUT'!$I$68,OFFSET($A$4,INT((ROW()-ROW($A$4))/15)*15,0)-1,A88-1)</f>
        <v>0</v>
      </c>
      <c r="F88" s="108">
        <f t="shared" ca="1" si="122"/>
        <v>0</v>
      </c>
      <c r="G88" s="457">
        <f t="shared" ref="G88:J92" ca="1" si="143">(G87*$I$81)+G87</f>
        <v>0</v>
      </c>
      <c r="H88" s="457">
        <f t="shared" ca="1" si="143"/>
        <v>0</v>
      </c>
      <c r="I88" s="457">
        <f t="shared" ca="1" si="143"/>
        <v>0</v>
      </c>
      <c r="J88" s="457">
        <f t="shared" si="143"/>
        <v>257.5</v>
      </c>
      <c r="K88" s="457">
        <f t="shared" ca="1" si="123"/>
        <v>0</v>
      </c>
      <c r="L88" s="457">
        <f>(L87*$I$81)+L87</f>
        <v>0</v>
      </c>
      <c r="M88" s="1540">
        <f t="shared" si="124"/>
        <v>0</v>
      </c>
      <c r="N88" s="1541">
        <f t="shared" ca="1" si="125"/>
        <v>0</v>
      </c>
      <c r="O88" s="672">
        <f t="shared" si="126"/>
        <v>2</v>
      </c>
      <c r="P88" s="1489">
        <f t="shared" ca="1" si="127"/>
        <v>0</v>
      </c>
      <c r="Q88" s="1489">
        <f>(Q87*$I$81)+Q87</f>
        <v>0</v>
      </c>
      <c r="S88" s="99">
        <v>2</v>
      </c>
      <c r="T88" s="108">
        <f t="shared" si="128"/>
        <v>0</v>
      </c>
      <c r="U88" s="2520">
        <f t="shared" ca="1" si="129"/>
        <v>0</v>
      </c>
      <c r="V88" s="2520">
        <f t="shared" ca="1" si="130"/>
        <v>0</v>
      </c>
      <c r="W88" s="2520">
        <f t="shared" ca="1" si="131"/>
        <v>0</v>
      </c>
      <c r="X88" s="2520">
        <f t="shared" si="131"/>
        <v>257.5</v>
      </c>
      <c r="Y88" s="2520">
        <f t="shared" si="132"/>
        <v>0</v>
      </c>
      <c r="Z88" s="2523">
        <f t="shared" si="132"/>
        <v>0</v>
      </c>
      <c r="AA88" s="108">
        <f t="shared" ca="1" si="133"/>
        <v>0</v>
      </c>
      <c r="AB88" s="2526">
        <f t="shared" ca="1" si="134"/>
        <v>0</v>
      </c>
      <c r="AD88" s="505">
        <v>2</v>
      </c>
      <c r="AE88" s="2539">
        <f t="shared" si="135"/>
        <v>0</v>
      </c>
      <c r="AF88" s="2539">
        <f t="shared" ca="1" si="136"/>
        <v>0</v>
      </c>
      <c r="AG88" s="457">
        <f t="shared" ca="1" si="137"/>
        <v>0</v>
      </c>
      <c r="AH88" s="457">
        <f t="shared" ca="1" si="138"/>
        <v>0</v>
      </c>
      <c r="AI88" s="457">
        <f t="shared" si="138"/>
        <v>257.5</v>
      </c>
      <c r="AJ88" s="457">
        <f t="shared" ca="1" si="139"/>
        <v>0</v>
      </c>
      <c r="AK88" s="457">
        <f t="shared" ca="1" si="140"/>
        <v>0</v>
      </c>
      <c r="AL88" s="718">
        <f t="shared" ca="1" si="141"/>
        <v>0</v>
      </c>
      <c r="AM88" s="457">
        <f t="shared" ca="1" si="142"/>
        <v>0</v>
      </c>
      <c r="AQ88" s="10"/>
      <c r="AR88" s="10"/>
    </row>
    <row r="89" spans="1:67" x14ac:dyDescent="0.25">
      <c r="A89" s="652">
        <v>3</v>
      </c>
      <c r="B89" s="107">
        <f>IF('DATA INPUT'!$K$73&gt;=1,'DATA INPUT'!$E$73,0)</f>
        <v>0</v>
      </c>
      <c r="C89" s="108">
        <f t="shared" si="121"/>
        <v>0</v>
      </c>
      <c r="D89" s="108">
        <f ca="1">OFFSET('DATA INPUT'!$D$68,OFFSET($A$4,INT((ROW()-ROW($A$4))/15)*15,0)-1,0)</f>
        <v>0</v>
      </c>
      <c r="E89" s="108">
        <f ca="1">OFFSET('DATA INPUT'!$I$68,OFFSET($A$4,INT((ROW()-ROW($A$4))/15)*15,0)-1,A89-1)</f>
        <v>0</v>
      </c>
      <c r="F89" s="108">
        <f t="shared" ca="1" si="122"/>
        <v>0</v>
      </c>
      <c r="G89" s="457">
        <f t="shared" ca="1" si="143"/>
        <v>0</v>
      </c>
      <c r="H89" s="457">
        <f t="shared" ca="1" si="143"/>
        <v>0</v>
      </c>
      <c r="I89" s="457">
        <f t="shared" ca="1" si="143"/>
        <v>0</v>
      </c>
      <c r="J89" s="457">
        <f t="shared" si="143"/>
        <v>265.22500000000002</v>
      </c>
      <c r="K89" s="457">
        <f t="shared" ca="1" si="123"/>
        <v>0</v>
      </c>
      <c r="L89" s="457">
        <f>(L88*$I$81)+L88</f>
        <v>0</v>
      </c>
      <c r="M89" s="1540">
        <f t="shared" si="124"/>
        <v>0</v>
      </c>
      <c r="N89" s="1541">
        <f t="shared" ca="1" si="125"/>
        <v>0</v>
      </c>
      <c r="O89" s="672">
        <f t="shared" si="126"/>
        <v>3</v>
      </c>
      <c r="P89" s="1489">
        <f t="shared" ca="1" si="127"/>
        <v>0</v>
      </c>
      <c r="Q89" s="1489">
        <f>(Q88*$I$81)+Q88</f>
        <v>0</v>
      </c>
      <c r="S89" s="652">
        <v>3</v>
      </c>
      <c r="T89" s="108">
        <f t="shared" si="128"/>
        <v>0</v>
      </c>
      <c r="U89" s="2520">
        <f t="shared" ca="1" si="129"/>
        <v>0</v>
      </c>
      <c r="V89" s="2520">
        <f t="shared" ca="1" si="130"/>
        <v>0</v>
      </c>
      <c r="W89" s="2520">
        <f t="shared" ca="1" si="131"/>
        <v>0</v>
      </c>
      <c r="X89" s="2520">
        <f t="shared" si="131"/>
        <v>265.22500000000002</v>
      </c>
      <c r="Y89" s="2520">
        <f t="shared" si="132"/>
        <v>0</v>
      </c>
      <c r="Z89" s="2523">
        <f t="shared" si="132"/>
        <v>0</v>
      </c>
      <c r="AA89" s="108">
        <f t="shared" ca="1" si="133"/>
        <v>0</v>
      </c>
      <c r="AB89" s="2526">
        <f t="shared" ca="1" si="134"/>
        <v>0</v>
      </c>
      <c r="AD89" s="505">
        <v>3</v>
      </c>
      <c r="AE89" s="2539">
        <f t="shared" si="135"/>
        <v>0</v>
      </c>
      <c r="AF89" s="2539">
        <f t="shared" ca="1" si="136"/>
        <v>0</v>
      </c>
      <c r="AG89" s="457">
        <f t="shared" ca="1" si="137"/>
        <v>0</v>
      </c>
      <c r="AH89" s="457">
        <f t="shared" ca="1" si="138"/>
        <v>0</v>
      </c>
      <c r="AI89" s="457">
        <f t="shared" si="138"/>
        <v>265.22500000000002</v>
      </c>
      <c r="AJ89" s="457">
        <f t="shared" ca="1" si="139"/>
        <v>0</v>
      </c>
      <c r="AK89" s="457">
        <f t="shared" ca="1" si="140"/>
        <v>0</v>
      </c>
      <c r="AL89" s="718">
        <f t="shared" ca="1" si="141"/>
        <v>0</v>
      </c>
      <c r="AM89" s="457">
        <f t="shared" ca="1" si="142"/>
        <v>0</v>
      </c>
      <c r="AQ89" s="10"/>
      <c r="AR89" s="10"/>
    </row>
    <row r="90" spans="1:67" x14ac:dyDescent="0.25">
      <c r="A90" s="99">
        <v>4</v>
      </c>
      <c r="B90" s="107">
        <f>IF('DATA INPUT'!$L$73&gt;=1,'DATA INPUT'!$E$73,0)</f>
        <v>0</v>
      </c>
      <c r="C90" s="108">
        <f t="shared" si="121"/>
        <v>0</v>
      </c>
      <c r="D90" s="108">
        <f ca="1">OFFSET('DATA INPUT'!$D$68,OFFSET($A$4,INT((ROW()-ROW($A$4))/15)*15,0)-1,0)</f>
        <v>0</v>
      </c>
      <c r="E90" s="108">
        <f ca="1">OFFSET('DATA INPUT'!$I$68,OFFSET($A$4,INT((ROW()-ROW($A$4))/15)*15,0)-1,A90-1)</f>
        <v>0</v>
      </c>
      <c r="F90" s="108">
        <f t="shared" ca="1" si="122"/>
        <v>0</v>
      </c>
      <c r="G90" s="457">
        <f t="shared" ca="1" si="143"/>
        <v>0</v>
      </c>
      <c r="H90" s="457">
        <f t="shared" ca="1" si="143"/>
        <v>0</v>
      </c>
      <c r="I90" s="457">
        <f t="shared" ca="1" si="143"/>
        <v>0</v>
      </c>
      <c r="J90" s="457">
        <f t="shared" si="143"/>
        <v>273.18175000000002</v>
      </c>
      <c r="K90" s="457">
        <f t="shared" ca="1" si="123"/>
        <v>0</v>
      </c>
      <c r="L90" s="457">
        <f>(L89*$I$81)+L89</f>
        <v>0</v>
      </c>
      <c r="M90" s="1540">
        <f t="shared" si="124"/>
        <v>0</v>
      </c>
      <c r="N90" s="1541">
        <f t="shared" ca="1" si="125"/>
        <v>0</v>
      </c>
      <c r="O90" s="672">
        <f t="shared" si="126"/>
        <v>4</v>
      </c>
      <c r="P90" s="1489">
        <f t="shared" ca="1" si="127"/>
        <v>0</v>
      </c>
      <c r="Q90" s="1489">
        <f>(Q89*$I$81)+Q89</f>
        <v>0</v>
      </c>
      <c r="S90" s="99">
        <v>4</v>
      </c>
      <c r="T90" s="108">
        <f t="shared" si="128"/>
        <v>0</v>
      </c>
      <c r="U90" s="2520">
        <f t="shared" ca="1" si="129"/>
        <v>0</v>
      </c>
      <c r="V90" s="2520">
        <f t="shared" ca="1" si="130"/>
        <v>0</v>
      </c>
      <c r="W90" s="2520">
        <f t="shared" ca="1" si="131"/>
        <v>0</v>
      </c>
      <c r="X90" s="2520">
        <f t="shared" si="131"/>
        <v>273.18175000000002</v>
      </c>
      <c r="Y90" s="2520">
        <f t="shared" si="132"/>
        <v>0</v>
      </c>
      <c r="Z90" s="2523">
        <f t="shared" si="132"/>
        <v>0</v>
      </c>
      <c r="AA90" s="108">
        <f t="shared" ca="1" si="133"/>
        <v>0</v>
      </c>
      <c r="AB90" s="2526">
        <f t="shared" ca="1" si="134"/>
        <v>0</v>
      </c>
      <c r="AD90" s="505">
        <v>4</v>
      </c>
      <c r="AE90" s="2539">
        <f t="shared" si="135"/>
        <v>0</v>
      </c>
      <c r="AF90" s="2539">
        <f t="shared" ca="1" si="136"/>
        <v>0</v>
      </c>
      <c r="AG90" s="457">
        <f t="shared" ca="1" si="137"/>
        <v>0</v>
      </c>
      <c r="AH90" s="457">
        <f t="shared" ca="1" si="138"/>
        <v>0</v>
      </c>
      <c r="AI90" s="457">
        <f t="shared" si="138"/>
        <v>273.18175000000002</v>
      </c>
      <c r="AJ90" s="457">
        <f t="shared" ca="1" si="139"/>
        <v>0</v>
      </c>
      <c r="AK90" s="457">
        <f t="shared" ca="1" si="140"/>
        <v>0</v>
      </c>
      <c r="AL90" s="718">
        <f t="shared" ca="1" si="141"/>
        <v>0</v>
      </c>
      <c r="AM90" s="457">
        <f t="shared" ca="1" si="142"/>
        <v>0</v>
      </c>
      <c r="AQ90" s="10"/>
      <c r="AR90" s="10"/>
    </row>
    <row r="91" spans="1:67" x14ac:dyDescent="0.25">
      <c r="A91" s="99">
        <v>5</v>
      </c>
      <c r="B91" s="107">
        <f>IF('DATA INPUT'!$M$73&gt;=1,'DATA INPUT'!$E$73,0)</f>
        <v>0</v>
      </c>
      <c r="C91" s="108">
        <f t="shared" si="121"/>
        <v>0</v>
      </c>
      <c r="D91" s="108">
        <f ca="1">OFFSET('DATA INPUT'!$D$68,OFFSET($A$4,INT((ROW()-ROW($A$4))/15)*15,0)-1,0)</f>
        <v>0</v>
      </c>
      <c r="E91" s="108">
        <f ca="1">OFFSET('DATA INPUT'!$I$68,OFFSET($A$4,INT((ROW()-ROW($A$4))/15)*15,0)-1,A91-1)</f>
        <v>0</v>
      </c>
      <c r="F91" s="108">
        <f t="shared" ca="1" si="122"/>
        <v>0</v>
      </c>
      <c r="G91" s="457">
        <f t="shared" ca="1" si="143"/>
        <v>0</v>
      </c>
      <c r="H91" s="457">
        <f t="shared" ca="1" si="143"/>
        <v>0</v>
      </c>
      <c r="I91" s="457">
        <f t="shared" ca="1" si="143"/>
        <v>0</v>
      </c>
      <c r="J91" s="457">
        <f t="shared" si="143"/>
        <v>281.37720250000001</v>
      </c>
      <c r="K91" s="457">
        <f t="shared" ca="1" si="123"/>
        <v>0</v>
      </c>
      <c r="L91" s="457">
        <f>(L90*$I$81)+L90</f>
        <v>0</v>
      </c>
      <c r="M91" s="1540">
        <f t="shared" si="124"/>
        <v>0</v>
      </c>
      <c r="N91" s="1541">
        <f t="shared" ca="1" si="125"/>
        <v>0</v>
      </c>
      <c r="O91" s="672">
        <f t="shared" si="126"/>
        <v>5</v>
      </c>
      <c r="P91" s="1489">
        <f t="shared" ca="1" si="127"/>
        <v>0</v>
      </c>
      <c r="Q91" s="1489">
        <f>(Q90*$I$81)+Q90</f>
        <v>0</v>
      </c>
      <c r="S91" s="99">
        <v>5</v>
      </c>
      <c r="T91" s="108">
        <f t="shared" si="128"/>
        <v>0</v>
      </c>
      <c r="U91" s="2520">
        <f t="shared" ca="1" si="129"/>
        <v>0</v>
      </c>
      <c r="V91" s="2520">
        <f t="shared" ca="1" si="130"/>
        <v>0</v>
      </c>
      <c r="W91" s="2520">
        <f t="shared" ca="1" si="131"/>
        <v>0</v>
      </c>
      <c r="X91" s="2520">
        <f t="shared" si="131"/>
        <v>281.37720250000001</v>
      </c>
      <c r="Y91" s="2520">
        <f t="shared" si="132"/>
        <v>0</v>
      </c>
      <c r="Z91" s="2523">
        <f t="shared" si="132"/>
        <v>0</v>
      </c>
      <c r="AA91" s="108">
        <f t="shared" ca="1" si="133"/>
        <v>0</v>
      </c>
      <c r="AB91" s="2526">
        <f t="shared" ca="1" si="134"/>
        <v>0</v>
      </c>
      <c r="AD91" s="505">
        <v>5</v>
      </c>
      <c r="AE91" s="2539">
        <f t="shared" si="135"/>
        <v>0</v>
      </c>
      <c r="AF91" s="2539">
        <f t="shared" ca="1" si="136"/>
        <v>0</v>
      </c>
      <c r="AG91" s="457">
        <f t="shared" ca="1" si="137"/>
        <v>0</v>
      </c>
      <c r="AH91" s="457">
        <f t="shared" ca="1" si="138"/>
        <v>0</v>
      </c>
      <c r="AI91" s="457">
        <f t="shared" si="138"/>
        <v>281.37720250000001</v>
      </c>
      <c r="AJ91" s="457">
        <f t="shared" ca="1" si="139"/>
        <v>0</v>
      </c>
      <c r="AK91" s="457">
        <f t="shared" ca="1" si="140"/>
        <v>0</v>
      </c>
      <c r="AL91" s="718">
        <f t="shared" ca="1" si="141"/>
        <v>0</v>
      </c>
      <c r="AM91" s="457">
        <f t="shared" ca="1" si="142"/>
        <v>0</v>
      </c>
      <c r="AQ91" s="10"/>
      <c r="AR91" s="10"/>
    </row>
    <row r="92" spans="1:67" ht="15.75" thickBot="1" x14ac:dyDescent="0.3">
      <c r="A92" s="98">
        <v>6</v>
      </c>
      <c r="B92" s="757">
        <f>IF('DATA INPUT'!$N$73&gt;=1,'DATA INPUT'!$E$73,0)</f>
        <v>0</v>
      </c>
      <c r="C92" s="758">
        <f t="shared" si="121"/>
        <v>0</v>
      </c>
      <c r="D92" s="109">
        <f ca="1">OFFSET('DATA INPUT'!$D$68,OFFSET($A$4,INT((ROW()-ROW($A$4))/15)*15,0)-1,0)</f>
        <v>0</v>
      </c>
      <c r="E92" s="109">
        <f ca="1">OFFSET('DATA INPUT'!$I$68,OFFSET($A$4,INT((ROW()-ROW($A$4))/15)*15,0)-1,A92-1)</f>
        <v>0</v>
      </c>
      <c r="F92" s="758">
        <f t="shared" ca="1" si="122"/>
        <v>0</v>
      </c>
      <c r="G92" s="495">
        <f t="shared" ca="1" si="143"/>
        <v>0</v>
      </c>
      <c r="H92" s="495">
        <f t="shared" ca="1" si="143"/>
        <v>0</v>
      </c>
      <c r="I92" s="495">
        <f t="shared" ca="1" si="143"/>
        <v>0</v>
      </c>
      <c r="J92" s="495">
        <f t="shared" si="143"/>
        <v>289.81851857499998</v>
      </c>
      <c r="K92" s="495">
        <f t="shared" ca="1" si="123"/>
        <v>0</v>
      </c>
      <c r="L92" s="495">
        <f>(L91*$I$81)+L91</f>
        <v>0</v>
      </c>
      <c r="M92" s="1550">
        <f t="shared" si="124"/>
        <v>0</v>
      </c>
      <c r="N92" s="1551">
        <f t="shared" ca="1" si="125"/>
        <v>0</v>
      </c>
      <c r="O92" s="672">
        <f t="shared" si="126"/>
        <v>6</v>
      </c>
      <c r="P92" s="1513">
        <f t="shared" ca="1" si="127"/>
        <v>0</v>
      </c>
      <c r="Q92" s="1513">
        <f>(Q91*$I$81)+Q91</f>
        <v>0</v>
      </c>
      <c r="S92" s="98">
        <v>6</v>
      </c>
      <c r="T92" s="109">
        <f t="shared" si="128"/>
        <v>0</v>
      </c>
      <c r="U92" s="2521">
        <f t="shared" ca="1" si="129"/>
        <v>0</v>
      </c>
      <c r="V92" s="2521">
        <f t="shared" ca="1" si="130"/>
        <v>0</v>
      </c>
      <c r="W92" s="2521">
        <f t="shared" ca="1" si="131"/>
        <v>0</v>
      </c>
      <c r="X92" s="2521">
        <f t="shared" si="131"/>
        <v>289.81851857499998</v>
      </c>
      <c r="Y92" s="2521">
        <f t="shared" si="132"/>
        <v>0</v>
      </c>
      <c r="Z92" s="2524">
        <f t="shared" si="132"/>
        <v>0</v>
      </c>
      <c r="AA92" s="109">
        <f t="shared" ca="1" si="133"/>
        <v>0</v>
      </c>
      <c r="AB92" s="2527">
        <f t="shared" ca="1" si="134"/>
        <v>0</v>
      </c>
      <c r="AD92" s="505">
        <v>6</v>
      </c>
      <c r="AE92" s="2539">
        <f t="shared" si="135"/>
        <v>0</v>
      </c>
      <c r="AF92" s="2539">
        <f t="shared" ca="1" si="136"/>
        <v>0</v>
      </c>
      <c r="AG92" s="457">
        <f t="shared" ca="1" si="137"/>
        <v>0</v>
      </c>
      <c r="AH92" s="457">
        <f t="shared" ca="1" si="138"/>
        <v>0</v>
      </c>
      <c r="AI92" s="457">
        <f t="shared" si="138"/>
        <v>289.81851857499998</v>
      </c>
      <c r="AJ92" s="457">
        <f t="shared" ca="1" si="139"/>
        <v>0</v>
      </c>
      <c r="AK92" s="457">
        <f t="shared" ca="1" si="140"/>
        <v>0</v>
      </c>
      <c r="AL92" s="718">
        <f t="shared" ca="1" si="141"/>
        <v>0</v>
      </c>
      <c r="AM92" s="457">
        <f t="shared" ca="1" si="142"/>
        <v>0</v>
      </c>
      <c r="AQ92" s="10"/>
      <c r="AR92" s="10"/>
    </row>
    <row r="93" spans="1:67" x14ac:dyDescent="0.25">
      <c r="A93" s="859"/>
      <c r="B93" s="668"/>
      <c r="C93" s="668"/>
      <c r="D93" s="668"/>
      <c r="E93" s="668"/>
      <c r="F93" s="668"/>
      <c r="G93" s="668"/>
      <c r="H93" s="668"/>
      <c r="I93" s="668"/>
      <c r="J93" s="668"/>
      <c r="K93" s="668"/>
      <c r="L93" s="668"/>
      <c r="M93" s="759" t="s">
        <v>300</v>
      </c>
      <c r="N93" s="1552">
        <f ca="1">SUM(N87:N92)</f>
        <v>0</v>
      </c>
      <c r="O93" s="10"/>
      <c r="P93" s="60">
        <f ca="1">SUM(P87:P92)</f>
        <v>0</v>
      </c>
      <c r="Q93" s="60"/>
      <c r="AQ93" s="10"/>
      <c r="AR93" s="10"/>
    </row>
    <row r="94" spans="1:67" ht="23.25" x14ac:dyDescent="0.35">
      <c r="A94" s="1599">
        <f>A79+1</f>
        <v>7</v>
      </c>
      <c r="N94" s="2449" t="str">
        <f>IF(L80="Yes",N93+P93,"")</f>
        <v/>
      </c>
      <c r="O94" s="2450" t="s">
        <v>756</v>
      </c>
      <c r="P94" s="10"/>
      <c r="Q94" s="10"/>
      <c r="AQ94" s="10"/>
      <c r="AR94" s="10"/>
    </row>
    <row r="95" spans="1:67" x14ac:dyDescent="0.25">
      <c r="A95" s="339" t="s">
        <v>120</v>
      </c>
      <c r="B95" s="3685">
        <f>'DATA INPUT'!B74</f>
        <v>0</v>
      </c>
      <c r="C95" s="3686"/>
      <c r="D95" s="3686"/>
      <c r="E95" s="3686"/>
      <c r="F95" s="3687"/>
      <c r="G95" s="339"/>
      <c r="H95" s="339" t="s">
        <v>376</v>
      </c>
      <c r="I95" s="809" t="str">
        <f ca="1">IF(B96=$T$6,'Reference Sheet'!$J$4, 'Reference Sheet'!$J$3)</f>
        <v>Domestic</v>
      </c>
      <c r="J95" s="3702" t="s">
        <v>515</v>
      </c>
      <c r="K95" s="3703"/>
      <c r="L95" s="1673">
        <f>'DATA INPUT'!$H$74</f>
        <v>0</v>
      </c>
      <c r="N95" s="10"/>
      <c r="O95" s="10"/>
      <c r="P95" s="10"/>
      <c r="Q95" s="10"/>
      <c r="AR95" s="10"/>
      <c r="AS95" s="10"/>
    </row>
    <row r="96" spans="1:67" x14ac:dyDescent="0.25">
      <c r="A96" s="339" t="s">
        <v>468</v>
      </c>
      <c r="B96" s="3685">
        <f ca="1">OFFSET('DATA INPUT'!$C$68,($A94-1),0)</f>
        <v>0</v>
      </c>
      <c r="C96" s="3686"/>
      <c r="D96" s="3686"/>
      <c r="E96" s="814"/>
      <c r="F96" s="815"/>
      <c r="G96" s="339"/>
      <c r="H96" s="339" t="s">
        <v>371</v>
      </c>
      <c r="I96" s="811">
        <f>'Reference Sheet'!$L$8</f>
        <v>0.03</v>
      </c>
      <c r="J96" s="10"/>
      <c r="K96" s="10"/>
      <c r="L96" s="10"/>
      <c r="N96" s="10"/>
      <c r="O96" s="10"/>
      <c r="P96" s="10"/>
      <c r="Q96" s="10"/>
      <c r="AR96" s="10"/>
      <c r="AS96" s="10"/>
    </row>
    <row r="97" spans="1:45" x14ac:dyDescent="0.25">
      <c r="A97" s="339" t="s">
        <v>116</v>
      </c>
      <c r="B97" s="1558">
        <f ca="1">IF(B96=$T$3, $U$3,IF(B96=$T$4,$U$4,IF(B96=$T$5,$U$5,IF(B96=$T$6,$U$6,0))))</f>
        <v>0</v>
      </c>
      <c r="C97" s="339" t="s">
        <v>115</v>
      </c>
      <c r="D97" s="1558">
        <f ca="1">IF(B96=$T$3,$V$3,IF(B96=$T$4,$V$4,IF(B96=$T$5,$V$5,IF(B96=$T$6,$V$6,0))))</f>
        <v>0</v>
      </c>
      <c r="E97" s="339" t="s">
        <v>23</v>
      </c>
      <c r="F97" s="1558">
        <f ca="1">OFFSET('DATA INPUT'!$F$68,($A94-1),0)</f>
        <v>0</v>
      </c>
      <c r="G97" s="339" t="s">
        <v>118</v>
      </c>
      <c r="H97" s="1558">
        <v>250</v>
      </c>
      <c r="I97" s="339" t="s">
        <v>755</v>
      </c>
      <c r="J97" s="767">
        <v>0.13</v>
      </c>
      <c r="K97" s="340" t="s">
        <v>362</v>
      </c>
      <c r="L97" s="341">
        <f>'DATA INPUT'!$G$74</f>
        <v>0</v>
      </c>
      <c r="N97" s="10"/>
      <c r="S97" s="2551" t="s">
        <v>811</v>
      </c>
      <c r="T97" s="2551"/>
      <c r="U97" s="2551"/>
      <c r="V97" s="2551"/>
      <c r="W97" s="2551"/>
      <c r="AR97" s="10"/>
      <c r="AS97" s="10"/>
    </row>
    <row r="98" spans="1:45" ht="15.75" thickBot="1" x14ac:dyDescent="0.3">
      <c r="D98" s="110"/>
      <c r="AD98" s="2541" t="s">
        <v>808</v>
      </c>
      <c r="AE98" s="2542"/>
      <c r="AF98" s="2542"/>
      <c r="AG98" s="2542"/>
      <c r="AH98" s="2542"/>
      <c r="AR98" s="10"/>
      <c r="AS98" s="10"/>
    </row>
    <row r="99" spans="1:45" ht="15.75" thickBot="1" x14ac:dyDescent="0.3">
      <c r="A99" s="3708">
        <f>B95</f>
        <v>0</v>
      </c>
      <c r="B99" s="3626"/>
      <c r="C99" s="3626"/>
      <c r="D99" s="3626"/>
      <c r="E99" s="3626"/>
      <c r="F99" s="3626"/>
      <c r="G99" s="3626"/>
      <c r="H99" s="3626"/>
      <c r="I99" s="3626"/>
      <c r="J99" s="3626"/>
      <c r="K99" s="3626"/>
      <c r="L99" s="3626"/>
      <c r="M99" s="3626"/>
      <c r="N99" s="3627"/>
      <c r="S99" s="2536">
        <f>A99</f>
        <v>0</v>
      </c>
      <c r="T99" s="2537"/>
      <c r="U99" s="2537"/>
      <c r="V99" s="2537"/>
      <c r="W99" s="2537"/>
      <c r="X99" s="2537"/>
      <c r="Y99" s="2537"/>
      <c r="Z99" s="2537"/>
      <c r="AA99" s="2537"/>
      <c r="AB99" s="2538"/>
      <c r="AG99" s="2550" t="s">
        <v>809</v>
      </c>
      <c r="AH99" s="2550"/>
      <c r="AI99" s="2550"/>
      <c r="AJ99" s="2550"/>
      <c r="AK99" s="19" t="s">
        <v>812</v>
      </c>
      <c r="AL99" s="2541" t="s">
        <v>807</v>
      </c>
    </row>
    <row r="100" spans="1:45" ht="14.45" customHeight="1" x14ac:dyDescent="0.25">
      <c r="A100" s="858" t="s">
        <v>659</v>
      </c>
      <c r="B100" s="3641" t="s">
        <v>117</v>
      </c>
      <c r="C100" s="3642"/>
      <c r="D100" s="3521" t="s">
        <v>363</v>
      </c>
      <c r="E100" s="3521" t="s">
        <v>364</v>
      </c>
      <c r="F100" s="3521" t="s">
        <v>365</v>
      </c>
      <c r="G100" s="3521" t="s">
        <v>116</v>
      </c>
      <c r="H100" s="3521" t="s">
        <v>115</v>
      </c>
      <c r="I100" s="3521" t="s">
        <v>23</v>
      </c>
      <c r="J100" s="3521" t="s">
        <v>114</v>
      </c>
      <c r="K100" s="3521" t="s">
        <v>366</v>
      </c>
      <c r="L100" s="3521" t="s">
        <v>122</v>
      </c>
      <c r="M100" s="3521" t="s">
        <v>298</v>
      </c>
      <c r="N100" s="3521" t="s">
        <v>113</v>
      </c>
      <c r="P100" s="3520" t="s">
        <v>661</v>
      </c>
      <c r="Q100" s="3520" t="s">
        <v>122</v>
      </c>
      <c r="S100" s="3677" t="s">
        <v>253</v>
      </c>
      <c r="T100" s="3675" t="s">
        <v>112</v>
      </c>
      <c r="U100" s="3675" t="s">
        <v>116</v>
      </c>
      <c r="V100" s="3675" t="s">
        <v>794</v>
      </c>
      <c r="W100" s="3675" t="s">
        <v>23</v>
      </c>
      <c r="X100" s="3675" t="s">
        <v>114</v>
      </c>
      <c r="Y100" s="3675" t="s">
        <v>122</v>
      </c>
      <c r="Z100" s="3675" t="s">
        <v>795</v>
      </c>
      <c r="AA100" s="3675" t="s">
        <v>800</v>
      </c>
      <c r="AB100" s="3673" t="s">
        <v>796</v>
      </c>
      <c r="AD100" s="3679" t="s">
        <v>253</v>
      </c>
      <c r="AE100" s="3679" t="s">
        <v>112</v>
      </c>
      <c r="AF100" s="3679" t="s">
        <v>802</v>
      </c>
      <c r="AG100" s="3679" t="s">
        <v>803</v>
      </c>
      <c r="AH100" s="3679" t="s">
        <v>804</v>
      </c>
      <c r="AI100" s="3679" t="s">
        <v>805</v>
      </c>
      <c r="AJ100" s="3679" t="s">
        <v>116</v>
      </c>
      <c r="AK100" s="3710" t="s">
        <v>801</v>
      </c>
      <c r="AL100" s="3680" t="s">
        <v>806</v>
      </c>
      <c r="AM100" s="3710" t="s">
        <v>796</v>
      </c>
    </row>
    <row r="101" spans="1:45" ht="15" customHeight="1" thickBot="1" x14ac:dyDescent="0.3">
      <c r="A101" s="858" t="s">
        <v>660</v>
      </c>
      <c r="B101" s="1652" t="s">
        <v>112</v>
      </c>
      <c r="C101" s="763" t="s">
        <v>111</v>
      </c>
      <c r="D101" s="3522"/>
      <c r="E101" s="3522"/>
      <c r="F101" s="3522"/>
      <c r="G101" s="3522"/>
      <c r="H101" s="3522"/>
      <c r="I101" s="3522"/>
      <c r="J101" s="3522"/>
      <c r="K101" s="3522"/>
      <c r="L101" s="3522"/>
      <c r="M101" s="3522"/>
      <c r="N101" s="3522"/>
      <c r="P101" s="3522"/>
      <c r="Q101" s="3522"/>
      <c r="S101" s="3678"/>
      <c r="T101" s="3676"/>
      <c r="U101" s="3676"/>
      <c r="V101" s="3676"/>
      <c r="W101" s="3676"/>
      <c r="X101" s="3676"/>
      <c r="Y101" s="3676"/>
      <c r="Z101" s="3676"/>
      <c r="AA101" s="3676"/>
      <c r="AB101" s="3674"/>
      <c r="AD101" s="3679"/>
      <c r="AE101" s="3679"/>
      <c r="AF101" s="3679"/>
      <c r="AG101" s="3679"/>
      <c r="AH101" s="3679"/>
      <c r="AI101" s="3679"/>
      <c r="AJ101" s="3679"/>
      <c r="AK101" s="3710"/>
      <c r="AL101" s="3680"/>
      <c r="AM101" s="3710"/>
    </row>
    <row r="102" spans="1:45" x14ac:dyDescent="0.25">
      <c r="A102" s="651">
        <v>1</v>
      </c>
      <c r="B102" s="105">
        <f>IF('DATA INPUT'!$I$74&gt;=1,'DATA INPUT'!$E$74,0)</f>
        <v>0</v>
      </c>
      <c r="C102" s="106">
        <f t="shared" ref="C102:C107" si="144">IF(B102&gt;0,B102-1,0)</f>
        <v>0</v>
      </c>
      <c r="D102" s="106">
        <f ca="1">OFFSET('DATA INPUT'!$D$68,OFFSET($A$4,INT((ROW()-ROW($A$4))/15)*15,0)-1,0)</f>
        <v>0</v>
      </c>
      <c r="E102" s="106">
        <f ca="1">OFFSET('DATA INPUT'!$I$68,OFFSET($A$4,INT((ROW()-ROW($A$4))/15)*15,0)-1,A102-1)</f>
        <v>0</v>
      </c>
      <c r="F102" s="106">
        <f t="shared" ref="F102:F107" ca="1" si="145">E102*D102</f>
        <v>0</v>
      </c>
      <c r="G102" s="492">
        <f ca="1">B97</f>
        <v>0</v>
      </c>
      <c r="H102" s="492">
        <f ca="1">D97</f>
        <v>0</v>
      </c>
      <c r="I102" s="492">
        <f ca="1">F97</f>
        <v>0</v>
      </c>
      <c r="J102" s="492">
        <f>H97</f>
        <v>250</v>
      </c>
      <c r="K102" s="492">
        <f t="shared" ref="K102:K107" ca="1" si="146" xml:space="preserve"> H102*C102*$J$97</f>
        <v>0</v>
      </c>
      <c r="L102" s="492">
        <f>IF(L95="Yes",0,L97)</f>
        <v>0</v>
      </c>
      <c r="M102" s="1539">
        <f t="shared" ref="M102:M107" si="147">IF(B102&lt;1,0,(IF(C102=0,SUM(I102:L102),((B102-0.5)*G102+C102*H102+SUM(I102:L102)))))</f>
        <v>0</v>
      </c>
      <c r="N102" s="1500">
        <f t="shared" ref="N102:N107" ca="1" si="148">F102*M102</f>
        <v>0</v>
      </c>
      <c r="O102" s="672">
        <f t="shared" ref="O102:O107" si="149">A102</f>
        <v>1</v>
      </c>
      <c r="P102" s="1657">
        <f t="shared" ref="P102:P107" ca="1" si="150">Q102*F102</f>
        <v>0</v>
      </c>
      <c r="Q102" s="1657">
        <f>IF(L95="Yes",L97,0)</f>
        <v>0</v>
      </c>
      <c r="S102" s="651">
        <v>1</v>
      </c>
      <c r="T102" s="106">
        <f t="shared" ref="T102:T107" si="151">B102</f>
        <v>0</v>
      </c>
      <c r="U102" s="2519">
        <f t="shared" ref="U102:U107" ca="1" si="152">G102</f>
        <v>0</v>
      </c>
      <c r="V102" s="2519">
        <f t="shared" ref="V102:V107" ca="1" si="153">IFERROR(H102+K102/C102,0)</f>
        <v>0</v>
      </c>
      <c r="W102" s="2519">
        <f t="shared" ref="W102:X107" ca="1" si="154">I102</f>
        <v>0</v>
      </c>
      <c r="X102" s="2519">
        <f t="shared" si="154"/>
        <v>250</v>
      </c>
      <c r="Y102" s="2519">
        <f t="shared" ref="Y102:Z107" si="155">L102</f>
        <v>0</v>
      </c>
      <c r="Z102" s="2522">
        <f t="shared" si="155"/>
        <v>0</v>
      </c>
      <c r="AA102" s="106">
        <f t="shared" ref="AA102:AA107" ca="1" si="156">F102</f>
        <v>0</v>
      </c>
      <c r="AB102" s="2525">
        <f t="shared" ref="AB102:AB107" ca="1" si="157">N102</f>
        <v>0</v>
      </c>
      <c r="AD102" s="505">
        <v>1</v>
      </c>
      <c r="AE102" s="2539">
        <f t="shared" ref="AE102:AE107" si="158">B102</f>
        <v>0</v>
      </c>
      <c r="AF102" s="2539">
        <f t="shared" ref="AF102:AF107" ca="1" si="159">F102</f>
        <v>0</v>
      </c>
      <c r="AG102" s="457">
        <f t="shared" ref="AG102:AG107" ca="1" si="160">C102*H102+K102</f>
        <v>0</v>
      </c>
      <c r="AH102" s="457">
        <f t="shared" ref="AH102:AI107" ca="1" si="161">I102</f>
        <v>0</v>
      </c>
      <c r="AI102" s="457">
        <f t="shared" si="161"/>
        <v>250</v>
      </c>
      <c r="AJ102" s="457">
        <f t="shared" ref="AJ102:AJ107" ca="1" si="162">IF(AE102&gt;1,(B102-0.5)*G102,B102*G102)</f>
        <v>0</v>
      </c>
      <c r="AK102" s="457">
        <f t="shared" ref="AK102:AK107" ca="1" si="163">ROUND(SUM(AG102:AJ102)*AF102,0)</f>
        <v>0</v>
      </c>
      <c r="AL102" s="718">
        <f t="shared" ref="AL102:AL107" ca="1" si="164">AF102*(L102+Q102)</f>
        <v>0</v>
      </c>
      <c r="AM102" s="457">
        <f t="shared" ref="AM102:AM107" ca="1" si="165">AK102+AL102</f>
        <v>0</v>
      </c>
      <c r="AQ102" s="10"/>
      <c r="AR102" s="10"/>
    </row>
    <row r="103" spans="1:45" x14ac:dyDescent="0.25">
      <c r="A103" s="99">
        <v>2</v>
      </c>
      <c r="B103" s="107">
        <f>IF('DATA INPUT'!$J$74&gt;=1,'DATA INPUT'!$E$74,0)</f>
        <v>0</v>
      </c>
      <c r="C103" s="108">
        <f t="shared" si="144"/>
        <v>0</v>
      </c>
      <c r="D103" s="108">
        <f ca="1">OFFSET('DATA INPUT'!$D$68,OFFSET($A$4,INT((ROW()-ROW($A$4))/15)*15,0)-1,0)</f>
        <v>0</v>
      </c>
      <c r="E103" s="108">
        <f ca="1">OFFSET('DATA INPUT'!$I$68,OFFSET($A$4,INT((ROW()-ROW($A$4))/15)*15,0)-1,A103-1)</f>
        <v>0</v>
      </c>
      <c r="F103" s="108">
        <f t="shared" ca="1" si="145"/>
        <v>0</v>
      </c>
      <c r="G103" s="457">
        <f t="shared" ref="G103:J107" ca="1" si="166">(G102*$I$96)+G102</f>
        <v>0</v>
      </c>
      <c r="H103" s="457">
        <f t="shared" ca="1" si="166"/>
        <v>0</v>
      </c>
      <c r="I103" s="457">
        <f t="shared" ca="1" si="166"/>
        <v>0</v>
      </c>
      <c r="J103" s="457">
        <f t="shared" si="166"/>
        <v>257.5</v>
      </c>
      <c r="K103" s="457">
        <f t="shared" ca="1" si="146"/>
        <v>0</v>
      </c>
      <c r="L103" s="457">
        <f>(L102*$I$96)+L102</f>
        <v>0</v>
      </c>
      <c r="M103" s="1540">
        <f t="shared" si="147"/>
        <v>0</v>
      </c>
      <c r="N103" s="1541">
        <f t="shared" ca="1" si="148"/>
        <v>0</v>
      </c>
      <c r="O103" s="672">
        <f t="shared" si="149"/>
        <v>2</v>
      </c>
      <c r="P103" s="1489">
        <f t="shared" ca="1" si="150"/>
        <v>0</v>
      </c>
      <c r="Q103" s="1489">
        <f>(Q102*$I$96)+Q102</f>
        <v>0</v>
      </c>
      <c r="S103" s="99">
        <v>2</v>
      </c>
      <c r="T103" s="108">
        <f t="shared" si="151"/>
        <v>0</v>
      </c>
      <c r="U103" s="2520">
        <f t="shared" ca="1" si="152"/>
        <v>0</v>
      </c>
      <c r="V103" s="2520">
        <f t="shared" ca="1" si="153"/>
        <v>0</v>
      </c>
      <c r="W103" s="2520">
        <f t="shared" ca="1" si="154"/>
        <v>0</v>
      </c>
      <c r="X103" s="2520">
        <f t="shared" si="154"/>
        <v>257.5</v>
      </c>
      <c r="Y103" s="2520">
        <f t="shared" si="155"/>
        <v>0</v>
      </c>
      <c r="Z103" s="2523">
        <f t="shared" si="155"/>
        <v>0</v>
      </c>
      <c r="AA103" s="108">
        <f t="shared" ca="1" si="156"/>
        <v>0</v>
      </c>
      <c r="AB103" s="2526">
        <f t="shared" ca="1" si="157"/>
        <v>0</v>
      </c>
      <c r="AD103" s="505">
        <v>2</v>
      </c>
      <c r="AE103" s="2539">
        <f t="shared" si="158"/>
        <v>0</v>
      </c>
      <c r="AF103" s="2539">
        <f t="shared" ca="1" si="159"/>
        <v>0</v>
      </c>
      <c r="AG103" s="457">
        <f t="shared" ca="1" si="160"/>
        <v>0</v>
      </c>
      <c r="AH103" s="457">
        <f t="shared" ca="1" si="161"/>
        <v>0</v>
      </c>
      <c r="AI103" s="457">
        <f t="shared" si="161"/>
        <v>257.5</v>
      </c>
      <c r="AJ103" s="457">
        <f t="shared" ca="1" si="162"/>
        <v>0</v>
      </c>
      <c r="AK103" s="457">
        <f t="shared" ca="1" si="163"/>
        <v>0</v>
      </c>
      <c r="AL103" s="718">
        <f t="shared" ca="1" si="164"/>
        <v>0</v>
      </c>
      <c r="AM103" s="457">
        <f t="shared" ca="1" si="165"/>
        <v>0</v>
      </c>
      <c r="AQ103" s="10"/>
      <c r="AR103" s="10"/>
    </row>
    <row r="104" spans="1:45" x14ac:dyDescent="0.25">
      <c r="A104" s="652">
        <v>3</v>
      </c>
      <c r="B104" s="107">
        <f>IF('DATA INPUT'!$K$74&gt;=1,'DATA INPUT'!$E$74,0)</f>
        <v>0</v>
      </c>
      <c r="C104" s="108">
        <f t="shared" si="144"/>
        <v>0</v>
      </c>
      <c r="D104" s="108">
        <f ca="1">OFFSET('DATA INPUT'!$D$68,OFFSET($A$4,INT((ROW()-ROW($A$4))/15)*15,0)-1,0)</f>
        <v>0</v>
      </c>
      <c r="E104" s="108">
        <f ca="1">OFFSET('DATA INPUT'!$I$68,OFFSET($A$4,INT((ROW()-ROW($A$4))/15)*15,0)-1,A104-1)</f>
        <v>0</v>
      </c>
      <c r="F104" s="108">
        <f t="shared" ca="1" si="145"/>
        <v>0</v>
      </c>
      <c r="G104" s="457">
        <f t="shared" ca="1" si="166"/>
        <v>0</v>
      </c>
      <c r="H104" s="457">
        <f t="shared" ca="1" si="166"/>
        <v>0</v>
      </c>
      <c r="I104" s="457">
        <f t="shared" ca="1" si="166"/>
        <v>0</v>
      </c>
      <c r="J104" s="457">
        <f t="shared" si="166"/>
        <v>265.22500000000002</v>
      </c>
      <c r="K104" s="457">
        <f t="shared" ca="1" si="146"/>
        <v>0</v>
      </c>
      <c r="L104" s="457">
        <f>(L103*$I$96)+L103</f>
        <v>0</v>
      </c>
      <c r="M104" s="1540">
        <f t="shared" si="147"/>
        <v>0</v>
      </c>
      <c r="N104" s="1541">
        <f t="shared" ca="1" si="148"/>
        <v>0</v>
      </c>
      <c r="O104" s="672">
        <f t="shared" si="149"/>
        <v>3</v>
      </c>
      <c r="P104" s="1489">
        <f t="shared" ca="1" si="150"/>
        <v>0</v>
      </c>
      <c r="Q104" s="1489">
        <f>(Q103*$I$96)+Q103</f>
        <v>0</v>
      </c>
      <c r="S104" s="652">
        <v>3</v>
      </c>
      <c r="T104" s="108">
        <f t="shared" si="151"/>
        <v>0</v>
      </c>
      <c r="U104" s="2520">
        <f t="shared" ca="1" si="152"/>
        <v>0</v>
      </c>
      <c r="V104" s="2520">
        <f t="shared" ca="1" si="153"/>
        <v>0</v>
      </c>
      <c r="W104" s="2520">
        <f t="shared" ca="1" si="154"/>
        <v>0</v>
      </c>
      <c r="X104" s="2520">
        <f t="shared" si="154"/>
        <v>265.22500000000002</v>
      </c>
      <c r="Y104" s="2520">
        <f t="shared" si="155"/>
        <v>0</v>
      </c>
      <c r="Z104" s="2523">
        <f t="shared" si="155"/>
        <v>0</v>
      </c>
      <c r="AA104" s="108">
        <f t="shared" ca="1" si="156"/>
        <v>0</v>
      </c>
      <c r="AB104" s="2526">
        <f t="shared" ca="1" si="157"/>
        <v>0</v>
      </c>
      <c r="AD104" s="505">
        <v>3</v>
      </c>
      <c r="AE104" s="2539">
        <f t="shared" si="158"/>
        <v>0</v>
      </c>
      <c r="AF104" s="2539">
        <f t="shared" ca="1" si="159"/>
        <v>0</v>
      </c>
      <c r="AG104" s="457">
        <f t="shared" ca="1" si="160"/>
        <v>0</v>
      </c>
      <c r="AH104" s="457">
        <f t="shared" ca="1" si="161"/>
        <v>0</v>
      </c>
      <c r="AI104" s="457">
        <f t="shared" si="161"/>
        <v>265.22500000000002</v>
      </c>
      <c r="AJ104" s="457">
        <f t="shared" ca="1" si="162"/>
        <v>0</v>
      </c>
      <c r="AK104" s="457">
        <f t="shared" ca="1" si="163"/>
        <v>0</v>
      </c>
      <c r="AL104" s="718">
        <f t="shared" ca="1" si="164"/>
        <v>0</v>
      </c>
      <c r="AM104" s="457">
        <f t="shared" ca="1" si="165"/>
        <v>0</v>
      </c>
      <c r="AQ104" s="10"/>
      <c r="AR104" s="10"/>
    </row>
    <row r="105" spans="1:45" x14ac:dyDescent="0.25">
      <c r="A105" s="99">
        <v>4</v>
      </c>
      <c r="B105" s="107">
        <f>IF('DATA INPUT'!$L$74&gt;=1,'DATA INPUT'!$E$74,0)</f>
        <v>0</v>
      </c>
      <c r="C105" s="108">
        <f t="shared" si="144"/>
        <v>0</v>
      </c>
      <c r="D105" s="108">
        <f ca="1">OFFSET('DATA INPUT'!$D$68,OFFSET($A$4,INT((ROW()-ROW($A$4))/15)*15,0)-1,0)</f>
        <v>0</v>
      </c>
      <c r="E105" s="108">
        <f ca="1">OFFSET('DATA INPUT'!$I$68,OFFSET($A$4,INT((ROW()-ROW($A$4))/15)*15,0)-1,A105-1)</f>
        <v>0</v>
      </c>
      <c r="F105" s="108">
        <f t="shared" ca="1" si="145"/>
        <v>0</v>
      </c>
      <c r="G105" s="457">
        <f t="shared" ca="1" si="166"/>
        <v>0</v>
      </c>
      <c r="H105" s="457">
        <f t="shared" ca="1" si="166"/>
        <v>0</v>
      </c>
      <c r="I105" s="457">
        <f t="shared" ca="1" si="166"/>
        <v>0</v>
      </c>
      <c r="J105" s="457">
        <f t="shared" si="166"/>
        <v>273.18175000000002</v>
      </c>
      <c r="K105" s="457">
        <f t="shared" ca="1" si="146"/>
        <v>0</v>
      </c>
      <c r="L105" s="457">
        <f>(L104*$I$96)+L104</f>
        <v>0</v>
      </c>
      <c r="M105" s="1540">
        <f t="shared" si="147"/>
        <v>0</v>
      </c>
      <c r="N105" s="1541">
        <f t="shared" ca="1" si="148"/>
        <v>0</v>
      </c>
      <c r="O105" s="672">
        <f t="shared" si="149"/>
        <v>4</v>
      </c>
      <c r="P105" s="1489">
        <f t="shared" ca="1" si="150"/>
        <v>0</v>
      </c>
      <c r="Q105" s="1489">
        <f>(Q104*$I$96)+Q104</f>
        <v>0</v>
      </c>
      <c r="S105" s="99">
        <v>4</v>
      </c>
      <c r="T105" s="108">
        <f t="shared" si="151"/>
        <v>0</v>
      </c>
      <c r="U105" s="2520">
        <f t="shared" ca="1" si="152"/>
        <v>0</v>
      </c>
      <c r="V105" s="2520">
        <f t="shared" ca="1" si="153"/>
        <v>0</v>
      </c>
      <c r="W105" s="2520">
        <f t="shared" ca="1" si="154"/>
        <v>0</v>
      </c>
      <c r="X105" s="2520">
        <f t="shared" si="154"/>
        <v>273.18175000000002</v>
      </c>
      <c r="Y105" s="2520">
        <f t="shared" si="155"/>
        <v>0</v>
      </c>
      <c r="Z105" s="2523">
        <f t="shared" si="155"/>
        <v>0</v>
      </c>
      <c r="AA105" s="108">
        <f t="shared" ca="1" si="156"/>
        <v>0</v>
      </c>
      <c r="AB105" s="2526">
        <f t="shared" ca="1" si="157"/>
        <v>0</v>
      </c>
      <c r="AD105" s="505">
        <v>4</v>
      </c>
      <c r="AE105" s="2539">
        <f t="shared" si="158"/>
        <v>0</v>
      </c>
      <c r="AF105" s="2539">
        <f t="shared" ca="1" si="159"/>
        <v>0</v>
      </c>
      <c r="AG105" s="457">
        <f t="shared" ca="1" si="160"/>
        <v>0</v>
      </c>
      <c r="AH105" s="457">
        <f t="shared" ca="1" si="161"/>
        <v>0</v>
      </c>
      <c r="AI105" s="457">
        <f t="shared" si="161"/>
        <v>273.18175000000002</v>
      </c>
      <c r="AJ105" s="457">
        <f t="shared" ca="1" si="162"/>
        <v>0</v>
      </c>
      <c r="AK105" s="457">
        <f t="shared" ca="1" si="163"/>
        <v>0</v>
      </c>
      <c r="AL105" s="718">
        <f t="shared" ca="1" si="164"/>
        <v>0</v>
      </c>
      <c r="AM105" s="457">
        <f t="shared" ca="1" si="165"/>
        <v>0</v>
      </c>
      <c r="AQ105" s="10"/>
      <c r="AR105" s="10"/>
    </row>
    <row r="106" spans="1:45" x14ac:dyDescent="0.25">
      <c r="A106" s="99">
        <v>5</v>
      </c>
      <c r="B106" s="107">
        <f>IF('DATA INPUT'!$M$74&gt;=1,'DATA INPUT'!$E$74,0)</f>
        <v>0</v>
      </c>
      <c r="C106" s="108">
        <f t="shared" si="144"/>
        <v>0</v>
      </c>
      <c r="D106" s="108">
        <f ca="1">OFFSET('DATA INPUT'!$D$68,OFFSET($A$4,INT((ROW()-ROW($A$4))/15)*15,0)-1,0)</f>
        <v>0</v>
      </c>
      <c r="E106" s="108">
        <f ca="1">OFFSET('DATA INPUT'!$I$68,OFFSET($A$4,INT((ROW()-ROW($A$4))/15)*15,0)-1,A106-1)</f>
        <v>0</v>
      </c>
      <c r="F106" s="108">
        <f t="shared" ca="1" si="145"/>
        <v>0</v>
      </c>
      <c r="G106" s="457">
        <f t="shared" ca="1" si="166"/>
        <v>0</v>
      </c>
      <c r="H106" s="457">
        <f t="shared" ca="1" si="166"/>
        <v>0</v>
      </c>
      <c r="I106" s="457">
        <f t="shared" ca="1" si="166"/>
        <v>0</v>
      </c>
      <c r="J106" s="457">
        <f t="shared" si="166"/>
        <v>281.37720250000001</v>
      </c>
      <c r="K106" s="457">
        <f t="shared" ca="1" si="146"/>
        <v>0</v>
      </c>
      <c r="L106" s="457">
        <f>(L105*$I$96)+L105</f>
        <v>0</v>
      </c>
      <c r="M106" s="1540">
        <f t="shared" si="147"/>
        <v>0</v>
      </c>
      <c r="N106" s="1541">
        <f t="shared" ca="1" si="148"/>
        <v>0</v>
      </c>
      <c r="O106" s="672">
        <f t="shared" si="149"/>
        <v>5</v>
      </c>
      <c r="P106" s="1489">
        <f t="shared" ca="1" si="150"/>
        <v>0</v>
      </c>
      <c r="Q106" s="1489">
        <f>(Q105*$I$96)+Q105</f>
        <v>0</v>
      </c>
      <c r="S106" s="99">
        <v>5</v>
      </c>
      <c r="T106" s="108">
        <f t="shared" si="151"/>
        <v>0</v>
      </c>
      <c r="U106" s="2520">
        <f t="shared" ca="1" si="152"/>
        <v>0</v>
      </c>
      <c r="V106" s="2520">
        <f t="shared" ca="1" si="153"/>
        <v>0</v>
      </c>
      <c r="W106" s="2520">
        <f t="shared" ca="1" si="154"/>
        <v>0</v>
      </c>
      <c r="X106" s="2520">
        <f t="shared" si="154"/>
        <v>281.37720250000001</v>
      </c>
      <c r="Y106" s="2520">
        <f t="shared" si="155"/>
        <v>0</v>
      </c>
      <c r="Z106" s="2523">
        <f t="shared" si="155"/>
        <v>0</v>
      </c>
      <c r="AA106" s="108">
        <f t="shared" ca="1" si="156"/>
        <v>0</v>
      </c>
      <c r="AB106" s="2526">
        <f t="shared" ca="1" si="157"/>
        <v>0</v>
      </c>
      <c r="AD106" s="505">
        <v>5</v>
      </c>
      <c r="AE106" s="2539">
        <f t="shared" si="158"/>
        <v>0</v>
      </c>
      <c r="AF106" s="2539">
        <f t="shared" ca="1" si="159"/>
        <v>0</v>
      </c>
      <c r="AG106" s="457">
        <f t="shared" ca="1" si="160"/>
        <v>0</v>
      </c>
      <c r="AH106" s="457">
        <f t="shared" ca="1" si="161"/>
        <v>0</v>
      </c>
      <c r="AI106" s="457">
        <f t="shared" si="161"/>
        <v>281.37720250000001</v>
      </c>
      <c r="AJ106" s="457">
        <f t="shared" ca="1" si="162"/>
        <v>0</v>
      </c>
      <c r="AK106" s="457">
        <f t="shared" ca="1" si="163"/>
        <v>0</v>
      </c>
      <c r="AL106" s="718">
        <f t="shared" ca="1" si="164"/>
        <v>0</v>
      </c>
      <c r="AM106" s="457">
        <f t="shared" ca="1" si="165"/>
        <v>0</v>
      </c>
      <c r="AQ106" s="10"/>
      <c r="AR106" s="10"/>
    </row>
    <row r="107" spans="1:45" ht="15.75" thickBot="1" x14ac:dyDescent="0.3">
      <c r="A107" s="98">
        <v>6</v>
      </c>
      <c r="B107" s="757">
        <f>IF('DATA INPUT'!$N$74&gt;=1,'DATA INPUT'!$E$74,0)</f>
        <v>0</v>
      </c>
      <c r="C107" s="758">
        <f t="shared" si="144"/>
        <v>0</v>
      </c>
      <c r="D107" s="109">
        <f ca="1">OFFSET('DATA INPUT'!$D$68,OFFSET($A$4,INT((ROW()-ROW($A$4))/15)*15,0)-1,0)</f>
        <v>0</v>
      </c>
      <c r="E107" s="109">
        <f ca="1">OFFSET('DATA INPUT'!$I$68,OFFSET($A$4,INT((ROW()-ROW($A$4))/15)*15,0)-1,A107-1)</f>
        <v>0</v>
      </c>
      <c r="F107" s="758">
        <f t="shared" ca="1" si="145"/>
        <v>0</v>
      </c>
      <c r="G107" s="495">
        <f t="shared" ca="1" si="166"/>
        <v>0</v>
      </c>
      <c r="H107" s="495">
        <f t="shared" ca="1" si="166"/>
        <v>0</v>
      </c>
      <c r="I107" s="495">
        <f t="shared" ca="1" si="166"/>
        <v>0</v>
      </c>
      <c r="J107" s="495">
        <f t="shared" si="166"/>
        <v>289.81851857499998</v>
      </c>
      <c r="K107" s="495">
        <f t="shared" ca="1" si="146"/>
        <v>0</v>
      </c>
      <c r="L107" s="495">
        <f>(L106*$I$96)+L106</f>
        <v>0</v>
      </c>
      <c r="M107" s="1550">
        <f t="shared" si="147"/>
        <v>0</v>
      </c>
      <c r="N107" s="1551">
        <f t="shared" ca="1" si="148"/>
        <v>0</v>
      </c>
      <c r="O107" s="672">
        <f t="shared" si="149"/>
        <v>6</v>
      </c>
      <c r="P107" s="1513">
        <f t="shared" ca="1" si="150"/>
        <v>0</v>
      </c>
      <c r="Q107" s="1513">
        <f>(Q106*$I$96)+Q106</f>
        <v>0</v>
      </c>
      <c r="S107" s="98">
        <v>6</v>
      </c>
      <c r="T107" s="109">
        <f t="shared" si="151"/>
        <v>0</v>
      </c>
      <c r="U107" s="2521">
        <f t="shared" ca="1" si="152"/>
        <v>0</v>
      </c>
      <c r="V107" s="2521">
        <f t="shared" ca="1" si="153"/>
        <v>0</v>
      </c>
      <c r="W107" s="2521">
        <f t="shared" ca="1" si="154"/>
        <v>0</v>
      </c>
      <c r="X107" s="2521">
        <f t="shared" si="154"/>
        <v>289.81851857499998</v>
      </c>
      <c r="Y107" s="2521">
        <f t="shared" si="155"/>
        <v>0</v>
      </c>
      <c r="Z107" s="2524">
        <f t="shared" si="155"/>
        <v>0</v>
      </c>
      <c r="AA107" s="109">
        <f t="shared" ca="1" si="156"/>
        <v>0</v>
      </c>
      <c r="AB107" s="2527">
        <f t="shared" ca="1" si="157"/>
        <v>0</v>
      </c>
      <c r="AD107" s="505">
        <v>6</v>
      </c>
      <c r="AE107" s="2539">
        <f t="shared" si="158"/>
        <v>0</v>
      </c>
      <c r="AF107" s="2539">
        <f t="shared" ca="1" si="159"/>
        <v>0</v>
      </c>
      <c r="AG107" s="457">
        <f t="shared" ca="1" si="160"/>
        <v>0</v>
      </c>
      <c r="AH107" s="457">
        <f t="shared" ca="1" si="161"/>
        <v>0</v>
      </c>
      <c r="AI107" s="457">
        <f t="shared" si="161"/>
        <v>289.81851857499998</v>
      </c>
      <c r="AJ107" s="457">
        <f t="shared" ca="1" si="162"/>
        <v>0</v>
      </c>
      <c r="AK107" s="457">
        <f t="shared" ca="1" si="163"/>
        <v>0</v>
      </c>
      <c r="AL107" s="718">
        <f t="shared" ca="1" si="164"/>
        <v>0</v>
      </c>
      <c r="AM107" s="457">
        <f t="shared" ca="1" si="165"/>
        <v>0</v>
      </c>
      <c r="AQ107" s="10"/>
      <c r="AR107" s="10"/>
    </row>
    <row r="108" spans="1:45" x14ac:dyDescent="0.25">
      <c r="A108" s="859"/>
      <c r="B108" s="668"/>
      <c r="C108" s="668"/>
      <c r="D108" s="668"/>
      <c r="E108" s="668"/>
      <c r="F108" s="668"/>
      <c r="G108" s="668"/>
      <c r="H108" s="668"/>
      <c r="I108" s="668"/>
      <c r="J108" s="668"/>
      <c r="K108" s="668"/>
      <c r="L108" s="668"/>
      <c r="M108" s="759" t="s">
        <v>300</v>
      </c>
      <c r="N108" s="1552">
        <f ca="1">SUM(N102:N107)</f>
        <v>0</v>
      </c>
      <c r="O108" s="10"/>
      <c r="P108" s="1529">
        <f ca="1">SUM(P102:P107)</f>
        <v>0</v>
      </c>
      <c r="Q108" s="1529"/>
      <c r="AQ108" s="10"/>
      <c r="AR108" s="10"/>
    </row>
    <row r="109" spans="1:45" ht="23.25" x14ac:dyDescent="0.35">
      <c r="A109" s="1599">
        <f>A94+1</f>
        <v>8</v>
      </c>
      <c r="N109" s="2449" t="str">
        <f>IF(L95="Yes",N108+P108,"")</f>
        <v/>
      </c>
      <c r="O109" s="2450" t="s">
        <v>756</v>
      </c>
      <c r="P109" s="10"/>
      <c r="Q109" s="10"/>
      <c r="AQ109" s="10"/>
      <c r="AR109" s="10"/>
    </row>
    <row r="110" spans="1:45" x14ac:dyDescent="0.25">
      <c r="A110" s="342" t="s">
        <v>120</v>
      </c>
      <c r="B110" s="3688">
        <f>'DATA INPUT'!B75</f>
        <v>0</v>
      </c>
      <c r="C110" s="3689"/>
      <c r="D110" s="3689"/>
      <c r="E110" s="3689"/>
      <c r="F110" s="3690"/>
      <c r="G110" s="342"/>
      <c r="H110" s="342" t="s">
        <v>376</v>
      </c>
      <c r="I110" s="810" t="str">
        <f ca="1">IF(B111=$T$6,'Reference Sheet'!$J$4, 'Reference Sheet'!$J$3)</f>
        <v>Domestic</v>
      </c>
      <c r="J110" s="3704" t="s">
        <v>515</v>
      </c>
      <c r="K110" s="3705"/>
      <c r="L110" s="1672">
        <f>'DATA INPUT'!$H$75</f>
        <v>0</v>
      </c>
      <c r="N110" s="10"/>
      <c r="O110" s="10"/>
      <c r="P110" s="10"/>
      <c r="Q110" s="10"/>
      <c r="AR110" s="10"/>
      <c r="AS110" s="10"/>
    </row>
    <row r="111" spans="1:45" x14ac:dyDescent="0.25">
      <c r="A111" s="342" t="s">
        <v>468</v>
      </c>
      <c r="B111" s="3688">
        <f ca="1">OFFSET('DATA INPUT'!$C$68,($A109-1),0)</f>
        <v>0</v>
      </c>
      <c r="C111" s="3689"/>
      <c r="D111" s="3689"/>
      <c r="E111" s="816"/>
      <c r="F111" s="813"/>
      <c r="G111" s="342"/>
      <c r="H111" s="342" t="s">
        <v>371</v>
      </c>
      <c r="I111" s="812">
        <f>'Reference Sheet'!$L$8</f>
        <v>0.03</v>
      </c>
      <c r="J111" s="10"/>
      <c r="K111" s="10"/>
      <c r="L111" s="10"/>
      <c r="N111" s="10"/>
      <c r="O111" s="10"/>
      <c r="P111" s="10"/>
      <c r="Q111" s="10"/>
      <c r="AR111" s="10"/>
      <c r="AS111" s="10"/>
    </row>
    <row r="112" spans="1:45" x14ac:dyDescent="0.25">
      <c r="A112" s="342" t="s">
        <v>116</v>
      </c>
      <c r="B112" s="1553">
        <f ca="1">IF(B111=$T$3, $U$3,IF(B111=$T$4,$U$4,IF(B111=$T$5,$U$5,IF(B111=$T$6,$U$6,0))))</f>
        <v>0</v>
      </c>
      <c r="C112" s="342" t="s">
        <v>115</v>
      </c>
      <c r="D112" s="1553">
        <f ca="1">IF(B111=$T$3,$V$3,IF(B111=$T$4,$V$4,IF(B111=$T$5,$V$5,IF(B111=$T$6,$V$6,0))))</f>
        <v>0</v>
      </c>
      <c r="E112" s="342" t="s">
        <v>23</v>
      </c>
      <c r="F112" s="1553">
        <f ca="1">OFFSET('DATA INPUT'!$F$68,($A109-1),0)</f>
        <v>0</v>
      </c>
      <c r="G112" s="342" t="s">
        <v>118</v>
      </c>
      <c r="H112" s="1553">
        <v>250</v>
      </c>
      <c r="I112" s="342" t="s">
        <v>755</v>
      </c>
      <c r="J112" s="768">
        <v>0.13</v>
      </c>
      <c r="K112" s="343" t="s">
        <v>362</v>
      </c>
      <c r="L112" s="112">
        <f>'DATA INPUT'!$G$75</f>
        <v>0</v>
      </c>
      <c r="N112" s="10"/>
      <c r="S112" s="2551" t="s">
        <v>811</v>
      </c>
      <c r="T112" s="2551"/>
      <c r="U112" s="2551"/>
      <c r="V112" s="2551"/>
      <c r="W112" s="2551"/>
      <c r="AR112" s="10"/>
      <c r="AS112" s="10"/>
    </row>
    <row r="113" spans="1:45" ht="15.75" thickBot="1" x14ac:dyDescent="0.3">
      <c r="D113" s="110"/>
      <c r="AD113" s="2541" t="s">
        <v>808</v>
      </c>
      <c r="AE113" s="2542"/>
      <c r="AF113" s="2542"/>
      <c r="AG113" s="2542"/>
      <c r="AH113" s="2542"/>
      <c r="AR113" s="10"/>
      <c r="AS113" s="10"/>
    </row>
    <row r="114" spans="1:45" ht="15.75" thickBot="1" x14ac:dyDescent="0.3">
      <c r="A114" s="3631">
        <f>B110</f>
        <v>0</v>
      </c>
      <c r="B114" s="3626"/>
      <c r="C114" s="3626"/>
      <c r="D114" s="3626"/>
      <c r="E114" s="3626"/>
      <c r="F114" s="3626"/>
      <c r="G114" s="3626"/>
      <c r="H114" s="3626"/>
      <c r="I114" s="3626"/>
      <c r="J114" s="3626"/>
      <c r="K114" s="3626"/>
      <c r="L114" s="3626"/>
      <c r="M114" s="3626"/>
      <c r="N114" s="3627"/>
      <c r="S114" s="2536">
        <f>A114</f>
        <v>0</v>
      </c>
      <c r="T114" s="2537"/>
      <c r="U114" s="2537"/>
      <c r="V114" s="2537"/>
      <c r="W114" s="2537"/>
      <c r="X114" s="2537"/>
      <c r="Y114" s="2537"/>
      <c r="Z114" s="2537"/>
      <c r="AA114" s="2537"/>
      <c r="AB114" s="2538"/>
      <c r="AG114" s="2550" t="s">
        <v>809</v>
      </c>
      <c r="AH114" s="2550"/>
      <c r="AI114" s="2550"/>
      <c r="AJ114" s="2550"/>
      <c r="AK114" s="19" t="s">
        <v>812</v>
      </c>
      <c r="AL114" s="2541" t="s">
        <v>807</v>
      </c>
    </row>
    <row r="115" spans="1:45" ht="14.45" customHeight="1" x14ac:dyDescent="0.25">
      <c r="A115" s="858" t="s">
        <v>659</v>
      </c>
      <c r="B115" s="3641" t="s">
        <v>117</v>
      </c>
      <c r="C115" s="3642"/>
      <c r="D115" s="3521" t="s">
        <v>363</v>
      </c>
      <c r="E115" s="3521" t="s">
        <v>364</v>
      </c>
      <c r="F115" s="3521" t="s">
        <v>365</v>
      </c>
      <c r="G115" s="3521" t="s">
        <v>116</v>
      </c>
      <c r="H115" s="3521" t="s">
        <v>115</v>
      </c>
      <c r="I115" s="3521" t="s">
        <v>23</v>
      </c>
      <c r="J115" s="3521" t="s">
        <v>114</v>
      </c>
      <c r="K115" s="3521" t="s">
        <v>366</v>
      </c>
      <c r="L115" s="3521" t="s">
        <v>122</v>
      </c>
      <c r="M115" s="3521" t="s">
        <v>298</v>
      </c>
      <c r="N115" s="3521" t="s">
        <v>113</v>
      </c>
      <c r="P115" s="3520" t="s">
        <v>661</v>
      </c>
      <c r="Q115" s="3520" t="s">
        <v>122</v>
      </c>
      <c r="S115" s="3677" t="s">
        <v>253</v>
      </c>
      <c r="T115" s="3675" t="s">
        <v>112</v>
      </c>
      <c r="U115" s="3675" t="s">
        <v>116</v>
      </c>
      <c r="V115" s="3675" t="s">
        <v>794</v>
      </c>
      <c r="W115" s="3675" t="s">
        <v>23</v>
      </c>
      <c r="X115" s="3675" t="s">
        <v>114</v>
      </c>
      <c r="Y115" s="3675" t="s">
        <v>122</v>
      </c>
      <c r="Z115" s="3675" t="s">
        <v>795</v>
      </c>
      <c r="AA115" s="3675" t="s">
        <v>800</v>
      </c>
      <c r="AB115" s="3673" t="s">
        <v>796</v>
      </c>
      <c r="AD115" s="3679" t="s">
        <v>253</v>
      </c>
      <c r="AE115" s="3679" t="s">
        <v>112</v>
      </c>
      <c r="AF115" s="3679" t="s">
        <v>802</v>
      </c>
      <c r="AG115" s="3679" t="s">
        <v>803</v>
      </c>
      <c r="AH115" s="3679" t="s">
        <v>804</v>
      </c>
      <c r="AI115" s="3679" t="s">
        <v>805</v>
      </c>
      <c r="AJ115" s="3679" t="s">
        <v>116</v>
      </c>
      <c r="AK115" s="3710" t="s">
        <v>801</v>
      </c>
      <c r="AL115" s="3680" t="s">
        <v>806</v>
      </c>
      <c r="AM115" s="3710" t="s">
        <v>796</v>
      </c>
    </row>
    <row r="116" spans="1:45" ht="15" customHeight="1" thickBot="1" x14ac:dyDescent="0.3">
      <c r="A116" s="858" t="s">
        <v>660</v>
      </c>
      <c r="B116" s="1652" t="s">
        <v>112</v>
      </c>
      <c r="C116" s="763" t="s">
        <v>111</v>
      </c>
      <c r="D116" s="3522"/>
      <c r="E116" s="3522"/>
      <c r="F116" s="3522"/>
      <c r="G116" s="3522"/>
      <c r="H116" s="3522"/>
      <c r="I116" s="3522"/>
      <c r="J116" s="3522"/>
      <c r="K116" s="3522"/>
      <c r="L116" s="3522"/>
      <c r="M116" s="3522"/>
      <c r="N116" s="3522"/>
      <c r="P116" s="3522"/>
      <c r="Q116" s="3522"/>
      <c r="S116" s="3678"/>
      <c r="T116" s="3676"/>
      <c r="U116" s="3676"/>
      <c r="V116" s="3676"/>
      <c r="W116" s="3676"/>
      <c r="X116" s="3676"/>
      <c r="Y116" s="3676"/>
      <c r="Z116" s="3676"/>
      <c r="AA116" s="3676"/>
      <c r="AB116" s="3674"/>
      <c r="AD116" s="3679"/>
      <c r="AE116" s="3679"/>
      <c r="AF116" s="3679"/>
      <c r="AG116" s="3679"/>
      <c r="AH116" s="3679"/>
      <c r="AI116" s="3679"/>
      <c r="AJ116" s="3679"/>
      <c r="AK116" s="3710"/>
      <c r="AL116" s="3680"/>
      <c r="AM116" s="3710"/>
    </row>
    <row r="117" spans="1:45" ht="15.75" customHeight="1" x14ac:dyDescent="0.25">
      <c r="A117" s="651">
        <v>1</v>
      </c>
      <c r="B117" s="105">
        <f>IF('DATA INPUT'!$I$75&gt;=1,'DATA INPUT'!$E$75,0)</f>
        <v>0</v>
      </c>
      <c r="C117" s="106">
        <f t="shared" ref="C117:C122" si="167">IF(B117&gt;0,B117-1,0)</f>
        <v>0</v>
      </c>
      <c r="D117" s="106">
        <f ca="1">OFFSET('DATA INPUT'!$D$68,OFFSET($A$4,INT((ROW()-ROW($A$4))/15)*15,0)-1,0)</f>
        <v>0</v>
      </c>
      <c r="E117" s="106">
        <f ca="1">OFFSET('DATA INPUT'!$I$68,OFFSET($A$4,INT((ROW()-ROW($A$4))/15)*15,0)-1,A117-1)</f>
        <v>0</v>
      </c>
      <c r="F117" s="106">
        <f t="shared" ref="F117:F122" ca="1" si="168">E117*D117</f>
        <v>0</v>
      </c>
      <c r="G117" s="492">
        <f ca="1">B112</f>
        <v>0</v>
      </c>
      <c r="H117" s="492">
        <f ca="1">D112</f>
        <v>0</v>
      </c>
      <c r="I117" s="492">
        <f ca="1">F112</f>
        <v>0</v>
      </c>
      <c r="J117" s="492">
        <f>H112</f>
        <v>250</v>
      </c>
      <c r="K117" s="492">
        <f t="shared" ref="K117:K122" ca="1" si="169" xml:space="preserve"> H117*C117*$J$112</f>
        <v>0</v>
      </c>
      <c r="L117" s="492">
        <f>IF(L110="Yes",0,L112)</f>
        <v>0</v>
      </c>
      <c r="M117" s="1539">
        <f t="shared" ref="M117:M122" si="170">IF(B117&lt;1,0,(IF(C117=0,SUM(I117:L117),((B117-0.5)*G117+C117*H117+SUM(I117:L117)))))</f>
        <v>0</v>
      </c>
      <c r="N117" s="1500">
        <f t="shared" ref="N117:N122" ca="1" si="171">F117*M117</f>
        <v>0</v>
      </c>
      <c r="O117" s="672">
        <f t="shared" ref="O117:O122" si="172">A117</f>
        <v>1</v>
      </c>
      <c r="P117" s="1657">
        <f t="shared" ref="P117:P122" ca="1" si="173">Q117*F117</f>
        <v>0</v>
      </c>
      <c r="Q117" s="1657">
        <f>IF(L110="Yes",L112,0)</f>
        <v>0</v>
      </c>
      <c r="S117" s="651">
        <v>1</v>
      </c>
      <c r="T117" s="106">
        <f t="shared" ref="T117:T122" si="174">B117</f>
        <v>0</v>
      </c>
      <c r="U117" s="2519">
        <f t="shared" ref="U117:U122" ca="1" si="175">G117</f>
        <v>0</v>
      </c>
      <c r="V117" s="2519">
        <f t="shared" ref="V117:V122" ca="1" si="176">IFERROR(H117+K117/C117,0)</f>
        <v>0</v>
      </c>
      <c r="W117" s="2519">
        <f t="shared" ref="W117:X122" ca="1" si="177">I117</f>
        <v>0</v>
      </c>
      <c r="X117" s="2519">
        <f t="shared" si="177"/>
        <v>250</v>
      </c>
      <c r="Y117" s="2519">
        <f t="shared" ref="Y117:Z122" si="178">L117</f>
        <v>0</v>
      </c>
      <c r="Z117" s="2522">
        <f t="shared" si="178"/>
        <v>0</v>
      </c>
      <c r="AA117" s="106">
        <f t="shared" ref="AA117:AA122" ca="1" si="179">F117</f>
        <v>0</v>
      </c>
      <c r="AB117" s="2525">
        <f t="shared" ref="AB117:AB122" ca="1" si="180">N117</f>
        <v>0</v>
      </c>
      <c r="AD117" s="505">
        <v>1</v>
      </c>
      <c r="AE117" s="2539">
        <f t="shared" ref="AE117:AE122" si="181">B117</f>
        <v>0</v>
      </c>
      <c r="AF117" s="2539">
        <f t="shared" ref="AF117:AF122" ca="1" si="182">F117</f>
        <v>0</v>
      </c>
      <c r="AG117" s="457">
        <f t="shared" ref="AG117:AG122" ca="1" si="183">C117*H117+K117</f>
        <v>0</v>
      </c>
      <c r="AH117" s="457">
        <f t="shared" ref="AH117:AI122" ca="1" si="184">I117</f>
        <v>0</v>
      </c>
      <c r="AI117" s="457">
        <f t="shared" si="184"/>
        <v>250</v>
      </c>
      <c r="AJ117" s="457">
        <f t="shared" ref="AJ117:AJ122" ca="1" si="185">IF(AE117&gt;1,(B117-0.5)*G117,B117*G117)</f>
        <v>0</v>
      </c>
      <c r="AK117" s="457">
        <f t="shared" ref="AK117:AK122" ca="1" si="186">ROUND(SUM(AG117:AJ117)*AF117,0)</f>
        <v>0</v>
      </c>
      <c r="AL117" s="718">
        <f t="shared" ref="AL117:AL122" ca="1" si="187">AF117*(L117+Q117)</f>
        <v>0</v>
      </c>
      <c r="AM117" s="457">
        <f t="shared" ref="AM117:AM122" ca="1" si="188">AK117+AL117</f>
        <v>0</v>
      </c>
      <c r="AQ117" s="10"/>
      <c r="AR117" s="10"/>
    </row>
    <row r="118" spans="1:45" x14ac:dyDescent="0.25">
      <c r="A118" s="99">
        <v>2</v>
      </c>
      <c r="B118" s="107">
        <f>IF('DATA INPUT'!$J$75&gt;=1,'DATA INPUT'!$E$75,0)</f>
        <v>0</v>
      </c>
      <c r="C118" s="108">
        <f t="shared" si="167"/>
        <v>0</v>
      </c>
      <c r="D118" s="108">
        <f ca="1">OFFSET('DATA INPUT'!$D$68,OFFSET($A$4,INT((ROW()-ROW($A$4))/15)*15,0)-1,0)</f>
        <v>0</v>
      </c>
      <c r="E118" s="108">
        <f ca="1">OFFSET('DATA INPUT'!$I$68,OFFSET($A$4,INT((ROW()-ROW($A$4))/15)*15,0)-1,A118-1)</f>
        <v>0</v>
      </c>
      <c r="F118" s="108">
        <f t="shared" ca="1" si="168"/>
        <v>0</v>
      </c>
      <c r="G118" s="457">
        <f t="shared" ref="G118:J122" ca="1" si="189">(G117*$I$111)+G117</f>
        <v>0</v>
      </c>
      <c r="H118" s="457">
        <f t="shared" ca="1" si="189"/>
        <v>0</v>
      </c>
      <c r="I118" s="457">
        <f t="shared" ca="1" si="189"/>
        <v>0</v>
      </c>
      <c r="J118" s="457">
        <f t="shared" si="189"/>
        <v>257.5</v>
      </c>
      <c r="K118" s="457">
        <f t="shared" ca="1" si="169"/>
        <v>0</v>
      </c>
      <c r="L118" s="457">
        <f>(L117*$I$111)+L117</f>
        <v>0</v>
      </c>
      <c r="M118" s="1540">
        <f t="shared" si="170"/>
        <v>0</v>
      </c>
      <c r="N118" s="1541">
        <f t="shared" ca="1" si="171"/>
        <v>0</v>
      </c>
      <c r="O118" s="672">
        <f t="shared" si="172"/>
        <v>2</v>
      </c>
      <c r="P118" s="1489">
        <f t="shared" ca="1" si="173"/>
        <v>0</v>
      </c>
      <c r="Q118" s="1489">
        <f>(Q117*$I$111)+Q117</f>
        <v>0</v>
      </c>
      <c r="S118" s="99">
        <v>2</v>
      </c>
      <c r="T118" s="108">
        <f t="shared" si="174"/>
        <v>0</v>
      </c>
      <c r="U118" s="2520">
        <f t="shared" ca="1" si="175"/>
        <v>0</v>
      </c>
      <c r="V118" s="2520">
        <f t="shared" ca="1" si="176"/>
        <v>0</v>
      </c>
      <c r="W118" s="2520">
        <f t="shared" ca="1" si="177"/>
        <v>0</v>
      </c>
      <c r="X118" s="2520">
        <f t="shared" si="177"/>
        <v>257.5</v>
      </c>
      <c r="Y118" s="2520">
        <f t="shared" si="178"/>
        <v>0</v>
      </c>
      <c r="Z118" s="2523">
        <f t="shared" si="178"/>
        <v>0</v>
      </c>
      <c r="AA118" s="108">
        <f t="shared" ca="1" si="179"/>
        <v>0</v>
      </c>
      <c r="AB118" s="2526">
        <f t="shared" ca="1" si="180"/>
        <v>0</v>
      </c>
      <c r="AD118" s="505">
        <v>2</v>
      </c>
      <c r="AE118" s="2539">
        <f t="shared" si="181"/>
        <v>0</v>
      </c>
      <c r="AF118" s="2539">
        <f t="shared" ca="1" si="182"/>
        <v>0</v>
      </c>
      <c r="AG118" s="457">
        <f t="shared" ca="1" si="183"/>
        <v>0</v>
      </c>
      <c r="AH118" s="457">
        <f t="shared" ca="1" si="184"/>
        <v>0</v>
      </c>
      <c r="AI118" s="457">
        <f t="shared" si="184"/>
        <v>257.5</v>
      </c>
      <c r="AJ118" s="457">
        <f t="shared" ca="1" si="185"/>
        <v>0</v>
      </c>
      <c r="AK118" s="457">
        <f t="shared" ca="1" si="186"/>
        <v>0</v>
      </c>
      <c r="AL118" s="718">
        <f t="shared" ca="1" si="187"/>
        <v>0</v>
      </c>
      <c r="AM118" s="457">
        <f t="shared" ca="1" si="188"/>
        <v>0</v>
      </c>
      <c r="AQ118" s="10"/>
      <c r="AR118" s="10"/>
    </row>
    <row r="119" spans="1:45" x14ac:dyDescent="0.25">
      <c r="A119" s="652">
        <v>3</v>
      </c>
      <c r="B119" s="107">
        <f>IF('DATA INPUT'!$K$75&gt;=1,'DATA INPUT'!$E$75,0)</f>
        <v>0</v>
      </c>
      <c r="C119" s="108">
        <f t="shared" si="167"/>
        <v>0</v>
      </c>
      <c r="D119" s="108">
        <f ca="1">OFFSET('DATA INPUT'!$D$68,OFFSET($A$4,INT((ROW()-ROW($A$4))/15)*15,0)-1,0)</f>
        <v>0</v>
      </c>
      <c r="E119" s="108">
        <f ca="1">OFFSET('DATA INPUT'!$I$68,OFFSET($A$4,INT((ROW()-ROW($A$4))/15)*15,0)-1,A119-1)</f>
        <v>0</v>
      </c>
      <c r="F119" s="108">
        <f t="shared" ca="1" si="168"/>
        <v>0</v>
      </c>
      <c r="G119" s="457">
        <f t="shared" ca="1" si="189"/>
        <v>0</v>
      </c>
      <c r="H119" s="457">
        <f t="shared" ca="1" si="189"/>
        <v>0</v>
      </c>
      <c r="I119" s="457">
        <f t="shared" ca="1" si="189"/>
        <v>0</v>
      </c>
      <c r="J119" s="457">
        <f t="shared" si="189"/>
        <v>265.22500000000002</v>
      </c>
      <c r="K119" s="457">
        <f t="shared" ca="1" si="169"/>
        <v>0</v>
      </c>
      <c r="L119" s="457">
        <f>(L118*$I$111)+L118</f>
        <v>0</v>
      </c>
      <c r="M119" s="1540">
        <f t="shared" si="170"/>
        <v>0</v>
      </c>
      <c r="N119" s="1541">
        <f t="shared" ca="1" si="171"/>
        <v>0</v>
      </c>
      <c r="O119" s="672">
        <f t="shared" si="172"/>
        <v>3</v>
      </c>
      <c r="P119" s="1489">
        <f t="shared" ca="1" si="173"/>
        <v>0</v>
      </c>
      <c r="Q119" s="1489">
        <f>(Q118*$I$111)+Q118</f>
        <v>0</v>
      </c>
      <c r="S119" s="652">
        <v>3</v>
      </c>
      <c r="T119" s="108">
        <f t="shared" si="174"/>
        <v>0</v>
      </c>
      <c r="U119" s="2520">
        <f t="shared" ca="1" si="175"/>
        <v>0</v>
      </c>
      <c r="V119" s="2520">
        <f t="shared" ca="1" si="176"/>
        <v>0</v>
      </c>
      <c r="W119" s="2520">
        <f t="shared" ca="1" si="177"/>
        <v>0</v>
      </c>
      <c r="X119" s="2520">
        <f t="shared" si="177"/>
        <v>265.22500000000002</v>
      </c>
      <c r="Y119" s="2520">
        <f t="shared" si="178"/>
        <v>0</v>
      </c>
      <c r="Z119" s="2523">
        <f t="shared" si="178"/>
        <v>0</v>
      </c>
      <c r="AA119" s="108">
        <f t="shared" ca="1" si="179"/>
        <v>0</v>
      </c>
      <c r="AB119" s="2526">
        <f t="shared" ca="1" si="180"/>
        <v>0</v>
      </c>
      <c r="AD119" s="505">
        <v>3</v>
      </c>
      <c r="AE119" s="2539">
        <f t="shared" si="181"/>
        <v>0</v>
      </c>
      <c r="AF119" s="2539">
        <f t="shared" ca="1" si="182"/>
        <v>0</v>
      </c>
      <c r="AG119" s="457">
        <f t="shared" ca="1" si="183"/>
        <v>0</v>
      </c>
      <c r="AH119" s="457">
        <f t="shared" ca="1" si="184"/>
        <v>0</v>
      </c>
      <c r="AI119" s="457">
        <f t="shared" si="184"/>
        <v>265.22500000000002</v>
      </c>
      <c r="AJ119" s="457">
        <f t="shared" ca="1" si="185"/>
        <v>0</v>
      </c>
      <c r="AK119" s="457">
        <f t="shared" ca="1" si="186"/>
        <v>0</v>
      </c>
      <c r="AL119" s="718">
        <f t="shared" ca="1" si="187"/>
        <v>0</v>
      </c>
      <c r="AM119" s="457">
        <f t="shared" ca="1" si="188"/>
        <v>0</v>
      </c>
      <c r="AQ119" s="10"/>
      <c r="AR119" s="10"/>
    </row>
    <row r="120" spans="1:45" x14ac:dyDescent="0.25">
      <c r="A120" s="99">
        <v>4</v>
      </c>
      <c r="B120" s="107">
        <f>IF('DATA INPUT'!$L$75&gt;=1,'DATA INPUT'!$E$75,0)</f>
        <v>0</v>
      </c>
      <c r="C120" s="108">
        <f t="shared" si="167"/>
        <v>0</v>
      </c>
      <c r="D120" s="108">
        <f ca="1">OFFSET('DATA INPUT'!$D$68,OFFSET($A$4,INT((ROW()-ROW($A$4))/15)*15,0)-1,0)</f>
        <v>0</v>
      </c>
      <c r="E120" s="108">
        <f ca="1">OFFSET('DATA INPUT'!$I$68,OFFSET($A$4,INT((ROW()-ROW($A$4))/15)*15,0)-1,A120-1)</f>
        <v>0</v>
      </c>
      <c r="F120" s="108">
        <f t="shared" ca="1" si="168"/>
        <v>0</v>
      </c>
      <c r="G120" s="457">
        <f t="shared" ca="1" si="189"/>
        <v>0</v>
      </c>
      <c r="H120" s="457">
        <f t="shared" ca="1" si="189"/>
        <v>0</v>
      </c>
      <c r="I120" s="457">
        <f t="shared" ca="1" si="189"/>
        <v>0</v>
      </c>
      <c r="J120" s="457">
        <f t="shared" si="189"/>
        <v>273.18175000000002</v>
      </c>
      <c r="K120" s="457">
        <f t="shared" ca="1" si="169"/>
        <v>0</v>
      </c>
      <c r="L120" s="457">
        <f>(L119*$I$111)+L119</f>
        <v>0</v>
      </c>
      <c r="M120" s="1540">
        <f t="shared" si="170"/>
        <v>0</v>
      </c>
      <c r="N120" s="1541">
        <f t="shared" ca="1" si="171"/>
        <v>0</v>
      </c>
      <c r="O120" s="672">
        <f t="shared" si="172"/>
        <v>4</v>
      </c>
      <c r="P120" s="1489">
        <f t="shared" ca="1" si="173"/>
        <v>0</v>
      </c>
      <c r="Q120" s="1489">
        <f>(Q119*$I$111)+Q119</f>
        <v>0</v>
      </c>
      <c r="S120" s="99">
        <v>4</v>
      </c>
      <c r="T120" s="108">
        <f t="shared" si="174"/>
        <v>0</v>
      </c>
      <c r="U120" s="2520">
        <f t="shared" ca="1" si="175"/>
        <v>0</v>
      </c>
      <c r="V120" s="2520">
        <f t="shared" ca="1" si="176"/>
        <v>0</v>
      </c>
      <c r="W120" s="2520">
        <f t="shared" ca="1" si="177"/>
        <v>0</v>
      </c>
      <c r="X120" s="2520">
        <f t="shared" si="177"/>
        <v>273.18175000000002</v>
      </c>
      <c r="Y120" s="2520">
        <f t="shared" si="178"/>
        <v>0</v>
      </c>
      <c r="Z120" s="2523">
        <f t="shared" si="178"/>
        <v>0</v>
      </c>
      <c r="AA120" s="108">
        <f t="shared" ca="1" si="179"/>
        <v>0</v>
      </c>
      <c r="AB120" s="2526">
        <f t="shared" ca="1" si="180"/>
        <v>0</v>
      </c>
      <c r="AD120" s="505">
        <v>4</v>
      </c>
      <c r="AE120" s="2539">
        <f t="shared" si="181"/>
        <v>0</v>
      </c>
      <c r="AF120" s="2539">
        <f t="shared" ca="1" si="182"/>
        <v>0</v>
      </c>
      <c r="AG120" s="457">
        <f t="shared" ca="1" si="183"/>
        <v>0</v>
      </c>
      <c r="AH120" s="457">
        <f t="shared" ca="1" si="184"/>
        <v>0</v>
      </c>
      <c r="AI120" s="457">
        <f t="shared" si="184"/>
        <v>273.18175000000002</v>
      </c>
      <c r="AJ120" s="457">
        <f t="shared" ca="1" si="185"/>
        <v>0</v>
      </c>
      <c r="AK120" s="457">
        <f t="shared" ca="1" si="186"/>
        <v>0</v>
      </c>
      <c r="AL120" s="718">
        <f t="shared" ca="1" si="187"/>
        <v>0</v>
      </c>
      <c r="AM120" s="457">
        <f t="shared" ca="1" si="188"/>
        <v>0</v>
      </c>
      <c r="AQ120" s="10"/>
      <c r="AR120" s="10"/>
    </row>
    <row r="121" spans="1:45" x14ac:dyDescent="0.25">
      <c r="A121" s="99">
        <v>5</v>
      </c>
      <c r="B121" s="107">
        <f>IF('DATA INPUT'!$M$75&gt;=1,'DATA INPUT'!$E$75,0)</f>
        <v>0</v>
      </c>
      <c r="C121" s="108">
        <f t="shared" si="167"/>
        <v>0</v>
      </c>
      <c r="D121" s="108">
        <f ca="1">OFFSET('DATA INPUT'!$D$68,OFFSET($A$4,INT((ROW()-ROW($A$4))/15)*15,0)-1,0)</f>
        <v>0</v>
      </c>
      <c r="E121" s="108">
        <f ca="1">OFFSET('DATA INPUT'!$I$68,OFFSET($A$4,INT((ROW()-ROW($A$4))/15)*15,0)-1,A121-1)</f>
        <v>0</v>
      </c>
      <c r="F121" s="108">
        <f t="shared" ca="1" si="168"/>
        <v>0</v>
      </c>
      <c r="G121" s="457">
        <f t="shared" ca="1" si="189"/>
        <v>0</v>
      </c>
      <c r="H121" s="457">
        <f t="shared" ca="1" si="189"/>
        <v>0</v>
      </c>
      <c r="I121" s="457">
        <f t="shared" ca="1" si="189"/>
        <v>0</v>
      </c>
      <c r="J121" s="457">
        <f t="shared" si="189"/>
        <v>281.37720250000001</v>
      </c>
      <c r="K121" s="457">
        <f t="shared" ca="1" si="169"/>
        <v>0</v>
      </c>
      <c r="L121" s="457">
        <f>(L120*$I$111)+L120</f>
        <v>0</v>
      </c>
      <c r="M121" s="1540">
        <f t="shared" si="170"/>
        <v>0</v>
      </c>
      <c r="N121" s="1541">
        <f t="shared" ca="1" si="171"/>
        <v>0</v>
      </c>
      <c r="O121" s="672">
        <f t="shared" si="172"/>
        <v>5</v>
      </c>
      <c r="P121" s="1489">
        <f t="shared" ca="1" si="173"/>
        <v>0</v>
      </c>
      <c r="Q121" s="1489">
        <f>(Q120*$I$111)+Q120</f>
        <v>0</v>
      </c>
      <c r="S121" s="99">
        <v>5</v>
      </c>
      <c r="T121" s="108">
        <f t="shared" si="174"/>
        <v>0</v>
      </c>
      <c r="U121" s="2520">
        <f t="shared" ca="1" si="175"/>
        <v>0</v>
      </c>
      <c r="V121" s="2520">
        <f t="shared" ca="1" si="176"/>
        <v>0</v>
      </c>
      <c r="W121" s="2520">
        <f t="shared" ca="1" si="177"/>
        <v>0</v>
      </c>
      <c r="X121" s="2520">
        <f t="shared" si="177"/>
        <v>281.37720250000001</v>
      </c>
      <c r="Y121" s="2520">
        <f t="shared" si="178"/>
        <v>0</v>
      </c>
      <c r="Z121" s="2523">
        <f t="shared" si="178"/>
        <v>0</v>
      </c>
      <c r="AA121" s="108">
        <f t="shared" ca="1" si="179"/>
        <v>0</v>
      </c>
      <c r="AB121" s="2526">
        <f t="shared" ca="1" si="180"/>
        <v>0</v>
      </c>
      <c r="AD121" s="505">
        <v>5</v>
      </c>
      <c r="AE121" s="2539">
        <f t="shared" si="181"/>
        <v>0</v>
      </c>
      <c r="AF121" s="2539">
        <f t="shared" ca="1" si="182"/>
        <v>0</v>
      </c>
      <c r="AG121" s="457">
        <f t="shared" ca="1" si="183"/>
        <v>0</v>
      </c>
      <c r="AH121" s="457">
        <f t="shared" ca="1" si="184"/>
        <v>0</v>
      </c>
      <c r="AI121" s="457">
        <f t="shared" si="184"/>
        <v>281.37720250000001</v>
      </c>
      <c r="AJ121" s="457">
        <f t="shared" ca="1" si="185"/>
        <v>0</v>
      </c>
      <c r="AK121" s="457">
        <f t="shared" ca="1" si="186"/>
        <v>0</v>
      </c>
      <c r="AL121" s="718">
        <f t="shared" ca="1" si="187"/>
        <v>0</v>
      </c>
      <c r="AM121" s="457">
        <f t="shared" ca="1" si="188"/>
        <v>0</v>
      </c>
      <c r="AQ121" s="10"/>
      <c r="AR121" s="10"/>
    </row>
    <row r="122" spans="1:45" ht="15.75" thickBot="1" x14ac:dyDescent="0.3">
      <c r="A122" s="98">
        <v>6</v>
      </c>
      <c r="B122" s="757">
        <f>IF('DATA INPUT'!$N$75&gt;=1,'DATA INPUT'!$E$75,0)</f>
        <v>0</v>
      </c>
      <c r="C122" s="758">
        <f t="shared" si="167"/>
        <v>0</v>
      </c>
      <c r="D122" s="109">
        <f ca="1">OFFSET('DATA INPUT'!$D$68,OFFSET($A$4,INT((ROW()-ROW($A$4))/15)*15,0)-1,0)</f>
        <v>0</v>
      </c>
      <c r="E122" s="109">
        <f ca="1">OFFSET('DATA INPUT'!$I$68,OFFSET($A$4,INT((ROW()-ROW($A$4))/15)*15,0)-1,A122-1)</f>
        <v>0</v>
      </c>
      <c r="F122" s="758">
        <f t="shared" ca="1" si="168"/>
        <v>0</v>
      </c>
      <c r="G122" s="495">
        <f t="shared" ca="1" si="189"/>
        <v>0</v>
      </c>
      <c r="H122" s="495">
        <f t="shared" ca="1" si="189"/>
        <v>0</v>
      </c>
      <c r="I122" s="495">
        <f t="shared" ca="1" si="189"/>
        <v>0</v>
      </c>
      <c r="J122" s="495">
        <f t="shared" si="189"/>
        <v>289.81851857499998</v>
      </c>
      <c r="K122" s="495">
        <f t="shared" ca="1" si="169"/>
        <v>0</v>
      </c>
      <c r="L122" s="495">
        <f>(L121*$I$111)+L121</f>
        <v>0</v>
      </c>
      <c r="M122" s="1550">
        <f t="shared" si="170"/>
        <v>0</v>
      </c>
      <c r="N122" s="1551">
        <f t="shared" ca="1" si="171"/>
        <v>0</v>
      </c>
      <c r="O122" s="672">
        <f t="shared" si="172"/>
        <v>6</v>
      </c>
      <c r="P122" s="1513">
        <f t="shared" ca="1" si="173"/>
        <v>0</v>
      </c>
      <c r="Q122" s="1513">
        <f>(Q121*$I$111)+Q121</f>
        <v>0</v>
      </c>
      <c r="S122" s="98">
        <v>6</v>
      </c>
      <c r="T122" s="109">
        <f t="shared" si="174"/>
        <v>0</v>
      </c>
      <c r="U122" s="2521">
        <f t="shared" ca="1" si="175"/>
        <v>0</v>
      </c>
      <c r="V122" s="2521">
        <f t="shared" ca="1" si="176"/>
        <v>0</v>
      </c>
      <c r="W122" s="2521">
        <f t="shared" ca="1" si="177"/>
        <v>0</v>
      </c>
      <c r="X122" s="2521">
        <f t="shared" si="177"/>
        <v>289.81851857499998</v>
      </c>
      <c r="Y122" s="2521">
        <f t="shared" si="178"/>
        <v>0</v>
      </c>
      <c r="Z122" s="2524">
        <f t="shared" si="178"/>
        <v>0</v>
      </c>
      <c r="AA122" s="109">
        <f t="shared" ca="1" si="179"/>
        <v>0</v>
      </c>
      <c r="AB122" s="2527">
        <f t="shared" ca="1" si="180"/>
        <v>0</v>
      </c>
      <c r="AD122" s="505">
        <v>6</v>
      </c>
      <c r="AE122" s="2539">
        <f t="shared" si="181"/>
        <v>0</v>
      </c>
      <c r="AF122" s="2539">
        <f t="shared" ca="1" si="182"/>
        <v>0</v>
      </c>
      <c r="AG122" s="457">
        <f t="shared" ca="1" si="183"/>
        <v>0</v>
      </c>
      <c r="AH122" s="457">
        <f t="shared" ca="1" si="184"/>
        <v>0</v>
      </c>
      <c r="AI122" s="457">
        <f t="shared" si="184"/>
        <v>289.81851857499998</v>
      </c>
      <c r="AJ122" s="457">
        <f t="shared" ca="1" si="185"/>
        <v>0</v>
      </c>
      <c r="AK122" s="457">
        <f t="shared" ca="1" si="186"/>
        <v>0</v>
      </c>
      <c r="AL122" s="718">
        <f t="shared" ca="1" si="187"/>
        <v>0</v>
      </c>
      <c r="AM122" s="457">
        <f t="shared" ca="1" si="188"/>
        <v>0</v>
      </c>
      <c r="AQ122" s="10"/>
      <c r="AR122" s="10"/>
    </row>
    <row r="123" spans="1:45" x14ac:dyDescent="0.25">
      <c r="A123" s="859"/>
      <c r="B123" s="668"/>
      <c r="C123" s="668"/>
      <c r="D123" s="668"/>
      <c r="E123" s="668"/>
      <c r="F123" s="668"/>
      <c r="G123" s="668"/>
      <c r="H123" s="668"/>
      <c r="I123" s="668"/>
      <c r="J123" s="668"/>
      <c r="K123" s="668"/>
      <c r="L123" s="668"/>
      <c r="M123" s="759" t="s">
        <v>300</v>
      </c>
      <c r="N123" s="1552">
        <f ca="1">SUM(N117:N122)</f>
        <v>0</v>
      </c>
      <c r="O123" s="10"/>
      <c r="P123" s="1529">
        <f ca="1">SUM(P117:P122)</f>
        <v>0</v>
      </c>
      <c r="Q123" s="1529"/>
    </row>
    <row r="124" spans="1:45" ht="24" thickBot="1" x14ac:dyDescent="0.4">
      <c r="A124" s="1599">
        <f>A109+1</f>
        <v>9</v>
      </c>
      <c r="D124" s="60"/>
      <c r="N124" s="2449" t="str">
        <f>IF(L110="Yes",N123+P123,"")</f>
        <v/>
      </c>
      <c r="O124" s="2450" t="s">
        <v>756</v>
      </c>
    </row>
    <row r="125" spans="1:45" ht="14.45" customHeight="1" thickBot="1" x14ac:dyDescent="0.3">
      <c r="A125" s="2631" t="s">
        <v>120</v>
      </c>
      <c r="B125" s="3716">
        <f>'DATA INPUT'!B76</f>
        <v>0</v>
      </c>
      <c r="C125" s="3717"/>
      <c r="D125" s="3717"/>
      <c r="E125" s="3717"/>
      <c r="F125" s="3718"/>
      <c r="G125" s="2632"/>
      <c r="H125" s="2632" t="s">
        <v>376</v>
      </c>
      <c r="I125" s="2637" t="str">
        <f ca="1">IF(B126=$T$6,'Reference Sheet'!$J$4, 'Reference Sheet'!$J$3)</f>
        <v>Domestic</v>
      </c>
      <c r="J125" s="3719" t="s">
        <v>515</v>
      </c>
      <c r="K125" s="3720"/>
      <c r="L125" s="2640">
        <f>'DATA INPUT'!$H$76</f>
        <v>0</v>
      </c>
      <c r="O125" s="817"/>
      <c r="P125" s="817"/>
      <c r="Q125" s="817"/>
    </row>
    <row r="126" spans="1:45" x14ac:dyDescent="0.25">
      <c r="A126" s="2631" t="s">
        <v>468</v>
      </c>
      <c r="B126" s="3716">
        <f ca="1">OFFSET('DATA INPUT'!$C$68,($A124-1),0)</f>
        <v>0</v>
      </c>
      <c r="C126" s="3717"/>
      <c r="D126" s="3717"/>
      <c r="E126" s="2633"/>
      <c r="F126" s="2634"/>
      <c r="G126" s="2631"/>
      <c r="H126" s="2631" t="s">
        <v>371</v>
      </c>
      <c r="I126" s="2636">
        <f>'Reference Sheet'!$L$8</f>
        <v>0.03</v>
      </c>
      <c r="J126" s="788"/>
      <c r="O126" s="448"/>
      <c r="P126" s="448"/>
      <c r="Q126" s="448"/>
      <c r="AA126" s="60"/>
    </row>
    <row r="127" spans="1:45" x14ac:dyDescent="0.25">
      <c r="A127" s="2631" t="s">
        <v>116</v>
      </c>
      <c r="B127" s="2635">
        <f ca="1">IF(B126=$T$3, $U$3,IF(B126=$T$4,$U$4,IF(B126=$T$5,$U$5,IF(B126=$T$6,$U$6,0))))</f>
        <v>0</v>
      </c>
      <c r="C127" s="2631" t="s">
        <v>115</v>
      </c>
      <c r="D127" s="2635">
        <f ca="1">IF(B126=$T$3,$V$3,IF(B126=$T$4,$V$4,IF(B126=$T$5,$V$5,IF(B126=$T$6,$V$6,0))))</f>
        <v>0</v>
      </c>
      <c r="E127" s="2631" t="s">
        <v>23</v>
      </c>
      <c r="F127" s="2635">
        <f ca="1">OFFSET('DATA INPUT'!$F$68,($A124-1),0)</f>
        <v>0</v>
      </c>
      <c r="G127" s="2631" t="s">
        <v>118</v>
      </c>
      <c r="H127" s="2635">
        <v>250</v>
      </c>
      <c r="I127" s="2631" t="s">
        <v>755</v>
      </c>
      <c r="J127" s="2638">
        <v>0.13</v>
      </c>
      <c r="K127" s="2631" t="s">
        <v>362</v>
      </c>
      <c r="L127" s="2639">
        <f>'DATA INPUT'!$G$76</f>
        <v>0</v>
      </c>
      <c r="S127" s="2551" t="s">
        <v>811</v>
      </c>
      <c r="T127" s="2551"/>
      <c r="U127" s="2551"/>
      <c r="V127" s="2551"/>
      <c r="W127" s="2551"/>
      <c r="AA127" s="60"/>
    </row>
    <row r="128" spans="1:45" ht="15.75" thickBot="1" x14ac:dyDescent="0.3">
      <c r="D128" s="110"/>
      <c r="AD128" s="2541" t="s">
        <v>808</v>
      </c>
      <c r="AE128" s="2542"/>
      <c r="AF128" s="2542"/>
      <c r="AG128" s="2542"/>
      <c r="AH128" s="2542"/>
    </row>
    <row r="129" spans="1:39" ht="15.75" thickBot="1" x14ac:dyDescent="0.3">
      <c r="A129" s="3721">
        <f>B125</f>
        <v>0</v>
      </c>
      <c r="B129" s="3626"/>
      <c r="C129" s="3626"/>
      <c r="D129" s="3626"/>
      <c r="E129" s="3626"/>
      <c r="F129" s="3626"/>
      <c r="G129" s="3626"/>
      <c r="H129" s="3626"/>
      <c r="I129" s="3626"/>
      <c r="J129" s="3626"/>
      <c r="K129" s="3626"/>
      <c r="L129" s="3626"/>
      <c r="M129" s="3626"/>
      <c r="N129" s="3627"/>
      <c r="S129" s="2536">
        <f>A129</f>
        <v>0</v>
      </c>
      <c r="T129" s="2537"/>
      <c r="U129" s="2537"/>
      <c r="V129" s="2537"/>
      <c r="W129" s="2537"/>
      <c r="X129" s="2537"/>
      <c r="Y129" s="2537"/>
      <c r="Z129" s="2537"/>
      <c r="AA129" s="2537"/>
      <c r="AB129" s="2538"/>
      <c r="AG129" s="2550" t="s">
        <v>809</v>
      </c>
      <c r="AH129" s="2550"/>
      <c r="AI129" s="2550"/>
      <c r="AJ129" s="2550"/>
      <c r="AK129" s="19" t="s">
        <v>812</v>
      </c>
      <c r="AL129" s="2541" t="s">
        <v>807</v>
      </c>
    </row>
    <row r="130" spans="1:39" ht="15" customHeight="1" x14ac:dyDescent="0.25">
      <c r="A130" s="858" t="s">
        <v>659</v>
      </c>
      <c r="B130" s="3641" t="s">
        <v>117</v>
      </c>
      <c r="C130" s="3642"/>
      <c r="D130" s="3521" t="s">
        <v>363</v>
      </c>
      <c r="E130" s="3521" t="s">
        <v>364</v>
      </c>
      <c r="F130" s="3521" t="s">
        <v>365</v>
      </c>
      <c r="G130" s="3521" t="s">
        <v>116</v>
      </c>
      <c r="H130" s="3521" t="s">
        <v>115</v>
      </c>
      <c r="I130" s="3521" t="s">
        <v>23</v>
      </c>
      <c r="J130" s="3521" t="s">
        <v>114</v>
      </c>
      <c r="K130" s="3521" t="s">
        <v>366</v>
      </c>
      <c r="L130" s="3521" t="s">
        <v>122</v>
      </c>
      <c r="M130" s="3521" t="s">
        <v>298</v>
      </c>
      <c r="N130" s="3521" t="s">
        <v>113</v>
      </c>
      <c r="P130" s="3520" t="s">
        <v>661</v>
      </c>
      <c r="Q130" s="3520" t="s">
        <v>122</v>
      </c>
      <c r="S130" s="3677" t="s">
        <v>253</v>
      </c>
      <c r="T130" s="3675" t="s">
        <v>112</v>
      </c>
      <c r="U130" s="3675" t="s">
        <v>116</v>
      </c>
      <c r="V130" s="3675" t="s">
        <v>794</v>
      </c>
      <c r="W130" s="3675" t="s">
        <v>23</v>
      </c>
      <c r="X130" s="3675" t="s">
        <v>114</v>
      </c>
      <c r="Y130" s="3675" t="s">
        <v>122</v>
      </c>
      <c r="Z130" s="3675" t="s">
        <v>795</v>
      </c>
      <c r="AA130" s="3675" t="s">
        <v>800</v>
      </c>
      <c r="AB130" s="3673" t="s">
        <v>796</v>
      </c>
      <c r="AD130" s="3679" t="s">
        <v>253</v>
      </c>
      <c r="AE130" s="3679" t="s">
        <v>112</v>
      </c>
      <c r="AF130" s="3679" t="s">
        <v>802</v>
      </c>
      <c r="AG130" s="3679" t="s">
        <v>803</v>
      </c>
      <c r="AH130" s="3679" t="s">
        <v>804</v>
      </c>
      <c r="AI130" s="3679" t="s">
        <v>805</v>
      </c>
      <c r="AJ130" s="3679" t="s">
        <v>116</v>
      </c>
      <c r="AK130" s="3710" t="s">
        <v>801</v>
      </c>
      <c r="AL130" s="3680" t="s">
        <v>806</v>
      </c>
      <c r="AM130" s="3710" t="s">
        <v>796</v>
      </c>
    </row>
    <row r="131" spans="1:39" ht="15" customHeight="1" thickBot="1" x14ac:dyDescent="0.3">
      <c r="A131" s="858" t="s">
        <v>660</v>
      </c>
      <c r="B131" s="1652" t="s">
        <v>112</v>
      </c>
      <c r="C131" s="763" t="s">
        <v>111</v>
      </c>
      <c r="D131" s="3522"/>
      <c r="E131" s="3522"/>
      <c r="F131" s="3522"/>
      <c r="G131" s="3522"/>
      <c r="H131" s="3522"/>
      <c r="I131" s="3522"/>
      <c r="J131" s="3522"/>
      <c r="K131" s="3522"/>
      <c r="L131" s="3522"/>
      <c r="M131" s="3522"/>
      <c r="N131" s="3522"/>
      <c r="P131" s="3522"/>
      <c r="Q131" s="3522"/>
      <c r="S131" s="3678"/>
      <c r="T131" s="3676"/>
      <c r="U131" s="3676"/>
      <c r="V131" s="3676"/>
      <c r="W131" s="3676"/>
      <c r="X131" s="3676"/>
      <c r="Y131" s="3676"/>
      <c r="Z131" s="3676"/>
      <c r="AA131" s="3676"/>
      <c r="AB131" s="3674"/>
      <c r="AD131" s="3679"/>
      <c r="AE131" s="3679"/>
      <c r="AF131" s="3679"/>
      <c r="AG131" s="3679"/>
      <c r="AH131" s="3679"/>
      <c r="AI131" s="3679"/>
      <c r="AJ131" s="3679"/>
      <c r="AK131" s="3710"/>
      <c r="AL131" s="3680"/>
      <c r="AM131" s="3710"/>
    </row>
    <row r="132" spans="1:39" x14ac:dyDescent="0.25">
      <c r="A132" s="651">
        <v>1</v>
      </c>
      <c r="B132" s="1665">
        <f>IF('DATA INPUT'!$I$76&gt;=1,'DATA INPUT'!$E$76,0)</f>
        <v>0</v>
      </c>
      <c r="C132" s="1665">
        <f t="shared" ref="C132:C137" si="190">IF(B132&gt;0,B132-1,0)</f>
        <v>0</v>
      </c>
      <c r="D132" s="106">
        <f ca="1">OFFSET('DATA INPUT'!$D$68,OFFSET($A$4,INT((ROW()-ROW($A$4))/15)*15,0)-1,0)</f>
        <v>0</v>
      </c>
      <c r="E132" s="1665">
        <f ca="1">OFFSET('DATA INPUT'!$I$68,OFFSET($A$4,INT((ROW()-ROW($A$4))/15)*15,0)-1,A132-1)</f>
        <v>0</v>
      </c>
      <c r="F132" s="1665">
        <f t="shared" ref="F132:F137" ca="1" si="191">E132*D132</f>
        <v>0</v>
      </c>
      <c r="G132" s="492">
        <f ca="1">B127</f>
        <v>0</v>
      </c>
      <c r="H132" s="492">
        <f ca="1">D127</f>
        <v>0</v>
      </c>
      <c r="I132" s="492">
        <f ca="1">F127</f>
        <v>0</v>
      </c>
      <c r="J132" s="492">
        <f>H127</f>
        <v>250</v>
      </c>
      <c r="K132" s="492">
        <f t="shared" ref="K132:K137" ca="1" si="192" xml:space="preserve"> H132*C132*$J$22</f>
        <v>0</v>
      </c>
      <c r="L132" s="492">
        <f>IF(L125="Yes",0,L127)</f>
        <v>0</v>
      </c>
      <c r="M132" s="1539">
        <f t="shared" ref="M132:M137" si="193">IF(B132&lt;1,0,(IF(C132=0,SUM(I132:L132),((B132-0.5)*G132+C132*H132+SUM(I132:L132)))))</f>
        <v>0</v>
      </c>
      <c r="N132" s="1500">
        <f t="shared" ref="N132:N137" ca="1" si="194">F132*M132</f>
        <v>0</v>
      </c>
      <c r="O132" s="672">
        <f t="shared" ref="O132:O137" si="195">A132</f>
        <v>1</v>
      </c>
      <c r="P132" s="1657">
        <f t="shared" ref="P132:P137" ca="1" si="196">Q132*F132</f>
        <v>0</v>
      </c>
      <c r="Q132" s="1657">
        <f>IF(L125="Yes",L127,0)</f>
        <v>0</v>
      </c>
      <c r="S132" s="651">
        <v>1</v>
      </c>
      <c r="T132" s="1665">
        <f t="shared" ref="T132:T137" si="197">B132</f>
        <v>0</v>
      </c>
      <c r="U132" s="2519">
        <f t="shared" ref="U132:U137" ca="1" si="198">G132</f>
        <v>0</v>
      </c>
      <c r="V132" s="2519">
        <f t="shared" ref="V132:V137" ca="1" si="199">IFERROR(H132+K132/C132,0)</f>
        <v>0</v>
      </c>
      <c r="W132" s="2519">
        <f t="shared" ref="W132:X137" ca="1" si="200">I132</f>
        <v>0</v>
      </c>
      <c r="X132" s="2519">
        <f t="shared" si="200"/>
        <v>250</v>
      </c>
      <c r="Y132" s="2519">
        <f t="shared" ref="Y132:Z137" si="201">L132</f>
        <v>0</v>
      </c>
      <c r="Z132" s="2522">
        <f t="shared" si="201"/>
        <v>0</v>
      </c>
      <c r="AA132" s="1665">
        <f t="shared" ref="AA132:AA137" ca="1" si="202">F132</f>
        <v>0</v>
      </c>
      <c r="AB132" s="2525">
        <f t="shared" ref="AB132:AB137" ca="1" si="203">N132</f>
        <v>0</v>
      </c>
      <c r="AD132" s="505">
        <v>1</v>
      </c>
      <c r="AE132" s="2937">
        <f t="shared" ref="AE132:AE137" si="204">B132</f>
        <v>0</v>
      </c>
      <c r="AF132" s="2937">
        <f t="shared" ref="AF132:AF137" ca="1" si="205">F132</f>
        <v>0</v>
      </c>
      <c r="AG132" s="457">
        <f t="shared" ref="AG132:AG137" ca="1" si="206">C132*H132+K132</f>
        <v>0</v>
      </c>
      <c r="AH132" s="457">
        <f t="shared" ref="AH132:AI137" ca="1" si="207">I132</f>
        <v>0</v>
      </c>
      <c r="AI132" s="457">
        <f t="shared" si="207"/>
        <v>250</v>
      </c>
      <c r="AJ132" s="457">
        <f t="shared" ref="AJ132:AJ137" ca="1" si="208">IF(AE132&gt;1,(B132-0.5)*G132,B132*G132)</f>
        <v>0</v>
      </c>
      <c r="AK132" s="457">
        <f t="shared" ref="AK132:AK137" ca="1" si="209">ROUND(SUM(AG132:AJ132)*AF132,0)</f>
        <v>0</v>
      </c>
      <c r="AL132" s="718">
        <f t="shared" ref="AL132:AL137" ca="1" si="210">AF132*(L132+Q132)</f>
        <v>0</v>
      </c>
      <c r="AM132" s="457">
        <f t="shared" ref="AM132:AM137" ca="1" si="211">AK132+AL132</f>
        <v>0</v>
      </c>
    </row>
    <row r="133" spans="1:39" x14ac:dyDescent="0.25">
      <c r="A133" s="99">
        <v>2</v>
      </c>
      <c r="B133" s="1666">
        <f>IF('DATA INPUT'!$J$76&gt;=1,'DATA INPUT'!$E$76,0)</f>
        <v>0</v>
      </c>
      <c r="C133" s="1666">
        <f t="shared" si="190"/>
        <v>0</v>
      </c>
      <c r="D133" s="108">
        <f ca="1">OFFSET('DATA INPUT'!$D$68,OFFSET($A$4,INT((ROW()-ROW($A$4))/15)*15,0)-1,0)</f>
        <v>0</v>
      </c>
      <c r="E133" s="1666">
        <f ca="1">OFFSET('DATA INPUT'!$I$68,OFFSET($A$4,INT((ROW()-ROW($A$4))/15)*15,0)-1,A133-1)</f>
        <v>0</v>
      </c>
      <c r="F133" s="1666">
        <f t="shared" ca="1" si="191"/>
        <v>0</v>
      </c>
      <c r="G133" s="457">
        <f t="shared" ref="G133:J137" ca="1" si="212">(G132*$I$126)+G132</f>
        <v>0</v>
      </c>
      <c r="H133" s="457">
        <f t="shared" ca="1" si="212"/>
        <v>0</v>
      </c>
      <c r="I133" s="457">
        <f t="shared" ca="1" si="212"/>
        <v>0</v>
      </c>
      <c r="J133" s="457">
        <f t="shared" si="212"/>
        <v>257.5</v>
      </c>
      <c r="K133" s="457">
        <f t="shared" ca="1" si="192"/>
        <v>0</v>
      </c>
      <c r="L133" s="457">
        <f>(L132*$I$21)+L132</f>
        <v>0</v>
      </c>
      <c r="M133" s="1540">
        <f t="shared" si="193"/>
        <v>0</v>
      </c>
      <c r="N133" s="1541">
        <f t="shared" ca="1" si="194"/>
        <v>0</v>
      </c>
      <c r="O133" s="672">
        <f t="shared" si="195"/>
        <v>2</v>
      </c>
      <c r="P133" s="1489">
        <f t="shared" ca="1" si="196"/>
        <v>0</v>
      </c>
      <c r="Q133" s="1489">
        <f>(Q132*$I$21)+Q132</f>
        <v>0</v>
      </c>
      <c r="S133" s="99">
        <v>2</v>
      </c>
      <c r="T133" s="1666">
        <f t="shared" si="197"/>
        <v>0</v>
      </c>
      <c r="U133" s="2520">
        <f t="shared" ca="1" si="198"/>
        <v>0</v>
      </c>
      <c r="V133" s="2520">
        <f t="shared" ca="1" si="199"/>
        <v>0</v>
      </c>
      <c r="W133" s="2520">
        <f t="shared" ca="1" si="200"/>
        <v>0</v>
      </c>
      <c r="X133" s="2520">
        <f t="shared" si="200"/>
        <v>257.5</v>
      </c>
      <c r="Y133" s="2520">
        <f t="shared" si="201"/>
        <v>0</v>
      </c>
      <c r="Z133" s="2523">
        <f t="shared" si="201"/>
        <v>0</v>
      </c>
      <c r="AA133" s="1666">
        <f t="shared" ca="1" si="202"/>
        <v>0</v>
      </c>
      <c r="AB133" s="2526">
        <f t="shared" ca="1" si="203"/>
        <v>0</v>
      </c>
      <c r="AD133" s="505">
        <v>2</v>
      </c>
      <c r="AE133" s="2937">
        <f t="shared" si="204"/>
        <v>0</v>
      </c>
      <c r="AF133" s="2937">
        <f t="shared" ca="1" si="205"/>
        <v>0</v>
      </c>
      <c r="AG133" s="457">
        <f t="shared" ca="1" si="206"/>
        <v>0</v>
      </c>
      <c r="AH133" s="457">
        <f t="shared" ca="1" si="207"/>
        <v>0</v>
      </c>
      <c r="AI133" s="457">
        <f t="shared" si="207"/>
        <v>257.5</v>
      </c>
      <c r="AJ133" s="457">
        <f t="shared" ca="1" si="208"/>
        <v>0</v>
      </c>
      <c r="AK133" s="457">
        <f t="shared" ca="1" si="209"/>
        <v>0</v>
      </c>
      <c r="AL133" s="718">
        <f t="shared" ca="1" si="210"/>
        <v>0</v>
      </c>
      <c r="AM133" s="457">
        <f t="shared" ca="1" si="211"/>
        <v>0</v>
      </c>
    </row>
    <row r="134" spans="1:39" x14ac:dyDescent="0.25">
      <c r="A134" s="652">
        <v>3</v>
      </c>
      <c r="B134" s="1666">
        <f>IF('DATA INPUT'!$K$76&gt;=1,'DATA INPUT'!$E$76,0)</f>
        <v>0</v>
      </c>
      <c r="C134" s="1666">
        <f t="shared" si="190"/>
        <v>0</v>
      </c>
      <c r="D134" s="108">
        <f ca="1">OFFSET('DATA INPUT'!$D$68,OFFSET($A$4,INT((ROW()-ROW($A$4))/15)*15,0)-1,0)</f>
        <v>0</v>
      </c>
      <c r="E134" s="1666">
        <f ca="1">OFFSET('DATA INPUT'!$I$68,OFFSET($A$4,INT((ROW()-ROW($A$4))/15)*15,0)-1,A134-1)</f>
        <v>0</v>
      </c>
      <c r="F134" s="1666">
        <f t="shared" ca="1" si="191"/>
        <v>0</v>
      </c>
      <c r="G134" s="457">
        <f t="shared" ca="1" si="212"/>
        <v>0</v>
      </c>
      <c r="H134" s="457">
        <f t="shared" ca="1" si="212"/>
        <v>0</v>
      </c>
      <c r="I134" s="457">
        <f t="shared" ca="1" si="212"/>
        <v>0</v>
      </c>
      <c r="J134" s="457">
        <f t="shared" si="212"/>
        <v>265.22500000000002</v>
      </c>
      <c r="K134" s="457">
        <f t="shared" ca="1" si="192"/>
        <v>0</v>
      </c>
      <c r="L134" s="457">
        <f>(L133*$I$21)+L133</f>
        <v>0</v>
      </c>
      <c r="M134" s="1540">
        <f t="shared" si="193"/>
        <v>0</v>
      </c>
      <c r="N134" s="1541">
        <f t="shared" ca="1" si="194"/>
        <v>0</v>
      </c>
      <c r="O134" s="672">
        <f t="shared" si="195"/>
        <v>3</v>
      </c>
      <c r="P134" s="1489">
        <f t="shared" ca="1" si="196"/>
        <v>0</v>
      </c>
      <c r="Q134" s="1489">
        <f>(Q133*$I$21)+Q133</f>
        <v>0</v>
      </c>
      <c r="S134" s="652">
        <v>3</v>
      </c>
      <c r="T134" s="1666">
        <f t="shared" si="197"/>
        <v>0</v>
      </c>
      <c r="U134" s="2520">
        <f t="shared" ca="1" si="198"/>
        <v>0</v>
      </c>
      <c r="V134" s="2520">
        <f t="shared" ca="1" si="199"/>
        <v>0</v>
      </c>
      <c r="W134" s="2520">
        <f t="shared" ca="1" si="200"/>
        <v>0</v>
      </c>
      <c r="X134" s="2520">
        <f t="shared" si="200"/>
        <v>265.22500000000002</v>
      </c>
      <c r="Y134" s="2520">
        <f t="shared" si="201"/>
        <v>0</v>
      </c>
      <c r="Z134" s="2523">
        <f t="shared" si="201"/>
        <v>0</v>
      </c>
      <c r="AA134" s="1666">
        <f t="shared" ca="1" si="202"/>
        <v>0</v>
      </c>
      <c r="AB134" s="2526">
        <f t="shared" ca="1" si="203"/>
        <v>0</v>
      </c>
      <c r="AD134" s="505">
        <v>3</v>
      </c>
      <c r="AE134" s="2937">
        <f t="shared" si="204"/>
        <v>0</v>
      </c>
      <c r="AF134" s="2937">
        <f t="shared" ca="1" si="205"/>
        <v>0</v>
      </c>
      <c r="AG134" s="457">
        <f t="shared" ca="1" si="206"/>
        <v>0</v>
      </c>
      <c r="AH134" s="457">
        <f t="shared" ca="1" si="207"/>
        <v>0</v>
      </c>
      <c r="AI134" s="457">
        <f t="shared" si="207"/>
        <v>265.22500000000002</v>
      </c>
      <c r="AJ134" s="457">
        <f t="shared" ca="1" si="208"/>
        <v>0</v>
      </c>
      <c r="AK134" s="457">
        <f t="shared" ca="1" si="209"/>
        <v>0</v>
      </c>
      <c r="AL134" s="718">
        <f t="shared" ca="1" si="210"/>
        <v>0</v>
      </c>
      <c r="AM134" s="457">
        <f t="shared" ca="1" si="211"/>
        <v>0</v>
      </c>
    </row>
    <row r="135" spans="1:39" x14ac:dyDescent="0.25">
      <c r="A135" s="99">
        <v>4</v>
      </c>
      <c r="B135" s="1666">
        <f>IF('DATA INPUT'!$L$76&gt;=1,'DATA INPUT'!$E$76,0)</f>
        <v>0</v>
      </c>
      <c r="C135" s="1666">
        <f t="shared" si="190"/>
        <v>0</v>
      </c>
      <c r="D135" s="108">
        <f ca="1">OFFSET('DATA INPUT'!$D$68,OFFSET($A$4,INT((ROW()-ROW($A$4))/15)*15,0)-1,0)</f>
        <v>0</v>
      </c>
      <c r="E135" s="1666">
        <f ca="1">OFFSET('DATA INPUT'!$I$68,OFFSET($A$4,INT((ROW()-ROW($A$4))/15)*15,0)-1,A135-1)</f>
        <v>0</v>
      </c>
      <c r="F135" s="1666">
        <f t="shared" ca="1" si="191"/>
        <v>0</v>
      </c>
      <c r="G135" s="457">
        <f t="shared" ca="1" si="212"/>
        <v>0</v>
      </c>
      <c r="H135" s="457">
        <f t="shared" ca="1" si="212"/>
        <v>0</v>
      </c>
      <c r="I135" s="457">
        <f t="shared" ca="1" si="212"/>
        <v>0</v>
      </c>
      <c r="J135" s="457">
        <f t="shared" si="212"/>
        <v>273.18175000000002</v>
      </c>
      <c r="K135" s="457">
        <f t="shared" ca="1" si="192"/>
        <v>0</v>
      </c>
      <c r="L135" s="457">
        <f>(L134*$I$21)+L134</f>
        <v>0</v>
      </c>
      <c r="M135" s="1540">
        <f t="shared" si="193"/>
        <v>0</v>
      </c>
      <c r="N135" s="1541">
        <f t="shared" ca="1" si="194"/>
        <v>0</v>
      </c>
      <c r="O135" s="672">
        <f t="shared" si="195"/>
        <v>4</v>
      </c>
      <c r="P135" s="1489">
        <f t="shared" ca="1" si="196"/>
        <v>0</v>
      </c>
      <c r="Q135" s="1489">
        <f>(Q134*$I$21)+Q134</f>
        <v>0</v>
      </c>
      <c r="S135" s="99">
        <v>4</v>
      </c>
      <c r="T135" s="1666">
        <f t="shared" si="197"/>
        <v>0</v>
      </c>
      <c r="U135" s="2520">
        <f t="shared" ca="1" si="198"/>
        <v>0</v>
      </c>
      <c r="V135" s="2520">
        <f t="shared" ca="1" si="199"/>
        <v>0</v>
      </c>
      <c r="W135" s="2520">
        <f t="shared" ca="1" si="200"/>
        <v>0</v>
      </c>
      <c r="X135" s="2520">
        <f t="shared" si="200"/>
        <v>273.18175000000002</v>
      </c>
      <c r="Y135" s="2520">
        <f t="shared" si="201"/>
        <v>0</v>
      </c>
      <c r="Z135" s="2523">
        <f t="shared" si="201"/>
        <v>0</v>
      </c>
      <c r="AA135" s="1666">
        <f t="shared" ca="1" si="202"/>
        <v>0</v>
      </c>
      <c r="AB135" s="2526">
        <f t="shared" ca="1" si="203"/>
        <v>0</v>
      </c>
      <c r="AD135" s="505">
        <v>4</v>
      </c>
      <c r="AE135" s="2937">
        <f t="shared" si="204"/>
        <v>0</v>
      </c>
      <c r="AF135" s="2937">
        <f t="shared" ca="1" si="205"/>
        <v>0</v>
      </c>
      <c r="AG135" s="457">
        <f t="shared" ca="1" si="206"/>
        <v>0</v>
      </c>
      <c r="AH135" s="457">
        <f t="shared" ca="1" si="207"/>
        <v>0</v>
      </c>
      <c r="AI135" s="457">
        <f t="shared" si="207"/>
        <v>273.18175000000002</v>
      </c>
      <c r="AJ135" s="457">
        <f t="shared" ca="1" si="208"/>
        <v>0</v>
      </c>
      <c r="AK135" s="457">
        <f t="shared" ca="1" si="209"/>
        <v>0</v>
      </c>
      <c r="AL135" s="718">
        <f t="shared" ca="1" si="210"/>
        <v>0</v>
      </c>
      <c r="AM135" s="457">
        <f t="shared" ca="1" si="211"/>
        <v>0</v>
      </c>
    </row>
    <row r="136" spans="1:39" x14ac:dyDescent="0.25">
      <c r="A136" s="99">
        <v>5</v>
      </c>
      <c r="B136" s="1666">
        <f>IF('DATA INPUT'!$M$76&gt;=1,'DATA INPUT'!$E$76,0)</f>
        <v>0</v>
      </c>
      <c r="C136" s="1666">
        <f t="shared" si="190"/>
        <v>0</v>
      </c>
      <c r="D136" s="108">
        <f ca="1">OFFSET('DATA INPUT'!$D$68,OFFSET($A$4,INT((ROW()-ROW($A$4))/15)*15,0)-1,0)</f>
        <v>0</v>
      </c>
      <c r="E136" s="1666">
        <f ca="1">OFFSET('DATA INPUT'!$I$68,OFFSET($A$4,INT((ROW()-ROW($A$4))/15)*15,0)-1,A136-1)</f>
        <v>0</v>
      </c>
      <c r="F136" s="1666">
        <f t="shared" ca="1" si="191"/>
        <v>0</v>
      </c>
      <c r="G136" s="457">
        <f t="shared" ca="1" si="212"/>
        <v>0</v>
      </c>
      <c r="H136" s="457">
        <f t="shared" ca="1" si="212"/>
        <v>0</v>
      </c>
      <c r="I136" s="457">
        <f t="shared" ca="1" si="212"/>
        <v>0</v>
      </c>
      <c r="J136" s="457">
        <f t="shared" si="212"/>
        <v>281.37720250000001</v>
      </c>
      <c r="K136" s="457">
        <f t="shared" ca="1" si="192"/>
        <v>0</v>
      </c>
      <c r="L136" s="457">
        <f>(L135*$I$21)+L135</f>
        <v>0</v>
      </c>
      <c r="M136" s="1540">
        <f t="shared" si="193"/>
        <v>0</v>
      </c>
      <c r="N136" s="1541">
        <f t="shared" ca="1" si="194"/>
        <v>0</v>
      </c>
      <c r="O136" s="672">
        <f t="shared" si="195"/>
        <v>5</v>
      </c>
      <c r="P136" s="1489">
        <f t="shared" ca="1" si="196"/>
        <v>0</v>
      </c>
      <c r="Q136" s="1489">
        <f>(Q135*$I$21)+Q135</f>
        <v>0</v>
      </c>
      <c r="S136" s="99">
        <v>5</v>
      </c>
      <c r="T136" s="1666">
        <f t="shared" si="197"/>
        <v>0</v>
      </c>
      <c r="U136" s="2520">
        <f t="shared" ca="1" si="198"/>
        <v>0</v>
      </c>
      <c r="V136" s="2520">
        <f t="shared" ca="1" si="199"/>
        <v>0</v>
      </c>
      <c r="W136" s="2520">
        <f t="shared" ca="1" si="200"/>
        <v>0</v>
      </c>
      <c r="X136" s="2520">
        <f t="shared" si="200"/>
        <v>281.37720250000001</v>
      </c>
      <c r="Y136" s="2520">
        <f t="shared" si="201"/>
        <v>0</v>
      </c>
      <c r="Z136" s="2523">
        <f t="shared" si="201"/>
        <v>0</v>
      </c>
      <c r="AA136" s="1666">
        <f t="shared" ca="1" si="202"/>
        <v>0</v>
      </c>
      <c r="AB136" s="2526">
        <f t="shared" ca="1" si="203"/>
        <v>0</v>
      </c>
      <c r="AD136" s="505">
        <v>5</v>
      </c>
      <c r="AE136" s="2937">
        <f t="shared" si="204"/>
        <v>0</v>
      </c>
      <c r="AF136" s="2937">
        <f t="shared" ca="1" si="205"/>
        <v>0</v>
      </c>
      <c r="AG136" s="457">
        <f t="shared" ca="1" si="206"/>
        <v>0</v>
      </c>
      <c r="AH136" s="457">
        <f t="shared" ca="1" si="207"/>
        <v>0</v>
      </c>
      <c r="AI136" s="457">
        <f t="shared" si="207"/>
        <v>281.37720250000001</v>
      </c>
      <c r="AJ136" s="457">
        <f t="shared" ca="1" si="208"/>
        <v>0</v>
      </c>
      <c r="AK136" s="457">
        <f t="shared" ca="1" si="209"/>
        <v>0</v>
      </c>
      <c r="AL136" s="718">
        <f t="shared" ca="1" si="210"/>
        <v>0</v>
      </c>
      <c r="AM136" s="457">
        <f t="shared" ca="1" si="211"/>
        <v>0</v>
      </c>
    </row>
    <row r="137" spans="1:39" ht="15.75" thickBot="1" x14ac:dyDescent="0.3">
      <c r="A137" s="98">
        <v>6</v>
      </c>
      <c r="B137" s="1667">
        <f>IF('DATA INPUT'!$N$76&gt;=1,'DATA INPUT'!$E$76,0)</f>
        <v>0</v>
      </c>
      <c r="C137" s="1667">
        <f t="shared" si="190"/>
        <v>0</v>
      </c>
      <c r="D137" s="109">
        <f ca="1">OFFSET('DATA INPUT'!$D$68,OFFSET($A$4,INT((ROW()-ROW($A$4))/15)*15,0)-1,0)</f>
        <v>0</v>
      </c>
      <c r="E137" s="1667">
        <f ca="1">OFFSET('DATA INPUT'!$I$68,OFFSET($A$4,INT((ROW()-ROW($A$4))/15)*15,0)-1,A137-1)</f>
        <v>0</v>
      </c>
      <c r="F137" s="1667">
        <f t="shared" ca="1" si="191"/>
        <v>0</v>
      </c>
      <c r="G137" s="457">
        <f t="shared" ca="1" si="212"/>
        <v>0</v>
      </c>
      <c r="H137" s="457">
        <f t="shared" ca="1" si="212"/>
        <v>0</v>
      </c>
      <c r="I137" s="457">
        <f t="shared" ca="1" si="212"/>
        <v>0</v>
      </c>
      <c r="J137" s="457">
        <f t="shared" si="212"/>
        <v>289.81851857499998</v>
      </c>
      <c r="K137" s="495">
        <f t="shared" ca="1" si="192"/>
        <v>0</v>
      </c>
      <c r="L137" s="495">
        <f>(L136*$I$21)+L136</f>
        <v>0</v>
      </c>
      <c r="M137" s="1550">
        <f t="shared" si="193"/>
        <v>0</v>
      </c>
      <c r="N137" s="1551">
        <f t="shared" ca="1" si="194"/>
        <v>0</v>
      </c>
      <c r="O137" s="672">
        <f t="shared" si="195"/>
        <v>6</v>
      </c>
      <c r="P137" s="1513">
        <f t="shared" ca="1" si="196"/>
        <v>0</v>
      </c>
      <c r="Q137" s="1513">
        <f>(Q136*$I$21)+Q136</f>
        <v>0</v>
      </c>
      <c r="S137" s="98">
        <v>6</v>
      </c>
      <c r="T137" s="1667">
        <f t="shared" si="197"/>
        <v>0</v>
      </c>
      <c r="U137" s="2521">
        <f t="shared" ca="1" si="198"/>
        <v>0</v>
      </c>
      <c r="V137" s="2521">
        <f t="shared" ca="1" si="199"/>
        <v>0</v>
      </c>
      <c r="W137" s="2521">
        <f t="shared" ca="1" si="200"/>
        <v>0</v>
      </c>
      <c r="X137" s="2521">
        <f t="shared" si="200"/>
        <v>289.81851857499998</v>
      </c>
      <c r="Y137" s="2521">
        <f t="shared" si="201"/>
        <v>0</v>
      </c>
      <c r="Z137" s="2524">
        <f t="shared" si="201"/>
        <v>0</v>
      </c>
      <c r="AA137" s="1667">
        <f t="shared" ca="1" si="202"/>
        <v>0</v>
      </c>
      <c r="AB137" s="2527">
        <f t="shared" ca="1" si="203"/>
        <v>0</v>
      </c>
      <c r="AD137" s="505">
        <v>6</v>
      </c>
      <c r="AE137" s="2937">
        <f t="shared" si="204"/>
        <v>0</v>
      </c>
      <c r="AF137" s="2937">
        <f t="shared" ca="1" si="205"/>
        <v>0</v>
      </c>
      <c r="AG137" s="457">
        <f t="shared" ca="1" si="206"/>
        <v>0</v>
      </c>
      <c r="AH137" s="457">
        <f t="shared" ca="1" si="207"/>
        <v>0</v>
      </c>
      <c r="AI137" s="457">
        <f t="shared" si="207"/>
        <v>289.81851857499998</v>
      </c>
      <c r="AJ137" s="457">
        <f t="shared" ca="1" si="208"/>
        <v>0</v>
      </c>
      <c r="AK137" s="457">
        <f t="shared" ca="1" si="209"/>
        <v>0</v>
      </c>
      <c r="AL137" s="718">
        <f t="shared" ca="1" si="210"/>
        <v>0</v>
      </c>
      <c r="AM137" s="457">
        <f t="shared" ca="1" si="211"/>
        <v>0</v>
      </c>
    </row>
    <row r="138" spans="1:39" x14ac:dyDescent="0.25">
      <c r="A138" s="859"/>
      <c r="B138" s="668"/>
      <c r="C138" s="668"/>
      <c r="D138" s="668"/>
      <c r="E138" s="668"/>
      <c r="F138" s="668"/>
      <c r="G138" s="668"/>
      <c r="H138" s="668"/>
      <c r="I138" s="668"/>
      <c r="J138" s="668"/>
      <c r="K138" s="668"/>
      <c r="L138" s="668"/>
      <c r="M138" s="759" t="s">
        <v>300</v>
      </c>
      <c r="N138" s="1552">
        <f ca="1">SUM(N132:N137)</f>
        <v>0</v>
      </c>
      <c r="O138" s="103"/>
      <c r="P138" s="1668">
        <f ca="1">SUM(P132:P137)</f>
        <v>0</v>
      </c>
      <c r="Q138" s="1668"/>
    </row>
    <row r="139" spans="1:39" ht="24" thickBot="1" x14ac:dyDescent="0.4">
      <c r="A139" s="1599">
        <f>A124+1</f>
        <v>10</v>
      </c>
      <c r="N139" s="2449" t="str">
        <f>IF(L125="Yes",N138+P138,"")</f>
        <v/>
      </c>
      <c r="O139" s="2450" t="s">
        <v>756</v>
      </c>
      <c r="R139" s="103"/>
    </row>
    <row r="140" spans="1:39" ht="15.75" thickBot="1" x14ac:dyDescent="0.3">
      <c r="A140" s="113" t="s">
        <v>120</v>
      </c>
      <c r="B140" s="3639">
        <f>'DATA INPUT'!B77</f>
        <v>0</v>
      </c>
      <c r="C140" s="3640"/>
      <c r="D140" s="3640"/>
      <c r="E140" s="3640"/>
      <c r="F140" s="3691"/>
      <c r="G140" s="848"/>
      <c r="H140" s="795" t="s">
        <v>376</v>
      </c>
      <c r="I140" s="796" t="str">
        <f ca="1">IF(B141=$T$6,'Reference Sheet'!$J$4, 'Reference Sheet'!$J$3)</f>
        <v>Domestic</v>
      </c>
      <c r="J140" s="3694" t="s">
        <v>515</v>
      </c>
      <c r="K140" s="3695"/>
      <c r="L140" s="1664">
        <f>'DATA INPUT'!$H$77</f>
        <v>0</v>
      </c>
      <c r="R140" s="103"/>
    </row>
    <row r="141" spans="1:39" x14ac:dyDescent="0.25">
      <c r="A141" s="113" t="s">
        <v>468</v>
      </c>
      <c r="B141" s="3639">
        <f ca="1">OFFSET('DATA INPUT'!$C$68,($A139-1),0)</f>
        <v>0</v>
      </c>
      <c r="C141" s="3640"/>
      <c r="D141" s="3640"/>
      <c r="E141" s="800"/>
      <c r="F141" s="797"/>
      <c r="G141" s="113"/>
      <c r="H141" s="113" t="s">
        <v>371</v>
      </c>
      <c r="I141" s="798">
        <f>'Reference Sheet'!$L$8</f>
        <v>0.03</v>
      </c>
      <c r="R141" s="103"/>
    </row>
    <row r="142" spans="1:39" x14ac:dyDescent="0.25">
      <c r="A142" s="113" t="s">
        <v>116</v>
      </c>
      <c r="B142" s="1554">
        <f ca="1">IF(B141=$T$3, $U$3,IF(B141=$T$4,$U$4,IF(B141=$T$5,$U$5,IF(B141=$T$6,$U$6,0))))</f>
        <v>0</v>
      </c>
      <c r="C142" s="113" t="s">
        <v>115</v>
      </c>
      <c r="D142" s="1554">
        <f ca="1">IF(B141=$T$3,$V$3,IF(B141=$T$4,$V$4,IF(B141=$T$5,$V$5,IF(B141=$T$6,$V$6,0))))</f>
        <v>0</v>
      </c>
      <c r="E142" s="113" t="s">
        <v>23</v>
      </c>
      <c r="F142" s="1554">
        <f ca="1">OFFSET('DATA INPUT'!$F$68,($A139-1),0)</f>
        <v>0</v>
      </c>
      <c r="G142" s="113" t="s">
        <v>118</v>
      </c>
      <c r="H142" s="1554">
        <v>250</v>
      </c>
      <c r="I142" s="113" t="s">
        <v>755</v>
      </c>
      <c r="J142" s="762">
        <v>0.13</v>
      </c>
      <c r="K142" s="114" t="s">
        <v>362</v>
      </c>
      <c r="L142" s="115">
        <f>'DATA INPUT'!$G$77</f>
        <v>0</v>
      </c>
      <c r="S142" s="2551" t="s">
        <v>811</v>
      </c>
      <c r="T142" s="2551"/>
      <c r="U142" s="2551"/>
      <c r="V142" s="2551"/>
      <c r="W142" s="2551"/>
    </row>
    <row r="143" spans="1:39" ht="15.75" thickBot="1" x14ac:dyDescent="0.3">
      <c r="D143" s="110"/>
      <c r="AD143" s="2541" t="s">
        <v>808</v>
      </c>
      <c r="AE143" s="2542"/>
      <c r="AF143" s="2542"/>
      <c r="AG143" s="2542"/>
      <c r="AH143" s="2542"/>
    </row>
    <row r="144" spans="1:39" ht="15.75" thickBot="1" x14ac:dyDescent="0.3">
      <c r="A144" s="3630">
        <f>B140</f>
        <v>0</v>
      </c>
      <c r="B144" s="3626"/>
      <c r="C144" s="3626"/>
      <c r="D144" s="3626"/>
      <c r="E144" s="3626"/>
      <c r="F144" s="3626"/>
      <c r="G144" s="3626"/>
      <c r="H144" s="3626"/>
      <c r="I144" s="3626"/>
      <c r="J144" s="3626"/>
      <c r="K144" s="3626"/>
      <c r="L144" s="3626"/>
      <c r="M144" s="3626"/>
      <c r="N144" s="3627"/>
      <c r="S144" s="2536">
        <f>A144</f>
        <v>0</v>
      </c>
      <c r="T144" s="2537"/>
      <c r="U144" s="2537"/>
      <c r="V144" s="2537"/>
      <c r="W144" s="2537"/>
      <c r="X144" s="2537"/>
      <c r="Y144" s="2537"/>
      <c r="Z144" s="2537"/>
      <c r="AA144" s="2537"/>
      <c r="AB144" s="2538"/>
      <c r="AG144" s="2550" t="s">
        <v>809</v>
      </c>
      <c r="AH144" s="2550"/>
      <c r="AI144" s="2550"/>
      <c r="AJ144" s="2550"/>
      <c r="AK144" s="19" t="s">
        <v>812</v>
      </c>
      <c r="AL144" s="2541" t="s">
        <v>807</v>
      </c>
    </row>
    <row r="145" spans="1:39" ht="14.45" customHeight="1" x14ac:dyDescent="0.25">
      <c r="A145" s="858" t="s">
        <v>659</v>
      </c>
      <c r="B145" s="3641" t="s">
        <v>117</v>
      </c>
      <c r="C145" s="3642"/>
      <c r="D145" s="3521" t="s">
        <v>363</v>
      </c>
      <c r="E145" s="3521" t="s">
        <v>364</v>
      </c>
      <c r="F145" s="3521" t="s">
        <v>365</v>
      </c>
      <c r="G145" s="3521" t="s">
        <v>116</v>
      </c>
      <c r="H145" s="3521" t="s">
        <v>115</v>
      </c>
      <c r="I145" s="3521" t="s">
        <v>23</v>
      </c>
      <c r="J145" s="3521" t="s">
        <v>114</v>
      </c>
      <c r="K145" s="3521" t="s">
        <v>366</v>
      </c>
      <c r="L145" s="3521" t="s">
        <v>122</v>
      </c>
      <c r="M145" s="3521" t="s">
        <v>298</v>
      </c>
      <c r="N145" s="3521" t="s">
        <v>113</v>
      </c>
      <c r="P145" s="3520" t="s">
        <v>661</v>
      </c>
      <c r="Q145" s="3520" t="s">
        <v>122</v>
      </c>
      <c r="S145" s="3677" t="s">
        <v>253</v>
      </c>
      <c r="T145" s="3675" t="s">
        <v>112</v>
      </c>
      <c r="U145" s="3675" t="s">
        <v>116</v>
      </c>
      <c r="V145" s="3675" t="s">
        <v>794</v>
      </c>
      <c r="W145" s="3675" t="s">
        <v>23</v>
      </c>
      <c r="X145" s="3675" t="s">
        <v>114</v>
      </c>
      <c r="Y145" s="3675" t="s">
        <v>122</v>
      </c>
      <c r="Z145" s="3675" t="s">
        <v>795</v>
      </c>
      <c r="AA145" s="3675" t="s">
        <v>800</v>
      </c>
      <c r="AB145" s="3673" t="s">
        <v>796</v>
      </c>
      <c r="AD145" s="3679" t="s">
        <v>253</v>
      </c>
      <c r="AE145" s="3679" t="s">
        <v>112</v>
      </c>
      <c r="AF145" s="3679" t="s">
        <v>802</v>
      </c>
      <c r="AG145" s="3679" t="s">
        <v>803</v>
      </c>
      <c r="AH145" s="3679" t="s">
        <v>804</v>
      </c>
      <c r="AI145" s="3679" t="s">
        <v>805</v>
      </c>
      <c r="AJ145" s="3679" t="s">
        <v>116</v>
      </c>
      <c r="AK145" s="3710" t="s">
        <v>801</v>
      </c>
      <c r="AL145" s="3680" t="s">
        <v>806</v>
      </c>
      <c r="AM145" s="3710" t="s">
        <v>796</v>
      </c>
    </row>
    <row r="146" spans="1:39" ht="15" customHeight="1" thickBot="1" x14ac:dyDescent="0.3">
      <c r="A146" s="858" t="s">
        <v>660</v>
      </c>
      <c r="B146" s="1652" t="s">
        <v>112</v>
      </c>
      <c r="C146" s="763" t="s">
        <v>111</v>
      </c>
      <c r="D146" s="3522"/>
      <c r="E146" s="3522"/>
      <c r="F146" s="3522"/>
      <c r="G146" s="3522"/>
      <c r="H146" s="3522"/>
      <c r="I146" s="3522"/>
      <c r="J146" s="3522"/>
      <c r="K146" s="3522"/>
      <c r="L146" s="3522"/>
      <c r="M146" s="3522"/>
      <c r="N146" s="3522"/>
      <c r="P146" s="3522"/>
      <c r="Q146" s="3522"/>
      <c r="S146" s="3678"/>
      <c r="T146" s="3676"/>
      <c r="U146" s="3676"/>
      <c r="V146" s="3676"/>
      <c r="W146" s="3676"/>
      <c r="X146" s="3676"/>
      <c r="Y146" s="3676"/>
      <c r="Z146" s="3676"/>
      <c r="AA146" s="3676"/>
      <c r="AB146" s="3674"/>
      <c r="AD146" s="3679"/>
      <c r="AE146" s="3679"/>
      <c r="AF146" s="3679"/>
      <c r="AG146" s="3679"/>
      <c r="AH146" s="3679"/>
      <c r="AI146" s="3679"/>
      <c r="AJ146" s="3679"/>
      <c r="AK146" s="3710"/>
      <c r="AL146" s="3680"/>
      <c r="AM146" s="3710"/>
    </row>
    <row r="147" spans="1:39" x14ac:dyDescent="0.25">
      <c r="A147" s="651">
        <v>1</v>
      </c>
      <c r="B147" s="1665">
        <f>IF('DATA INPUT'!$I$77&gt;=1,'DATA INPUT'!$E$77,0)</f>
        <v>0</v>
      </c>
      <c r="C147" s="1665">
        <f t="shared" ref="C147:C152" si="213">IF(B147&gt;0,B147-1,0)</f>
        <v>0</v>
      </c>
      <c r="D147" s="106">
        <f ca="1">OFFSET('DATA INPUT'!$D$68,OFFSET($A$4,INT((ROW()-ROW($A$4))/15)*15,0)-1,0)</f>
        <v>0</v>
      </c>
      <c r="E147" s="1665">
        <f ca="1">OFFSET('DATA INPUT'!$I$68,OFFSET($A$4,INT((ROW()-ROW($A$4))/15)*15,0)-1,A147-1)</f>
        <v>0</v>
      </c>
      <c r="F147" s="1665">
        <f t="shared" ref="F147:F152" ca="1" si="214">E147*D147</f>
        <v>0</v>
      </c>
      <c r="G147" s="492">
        <f ca="1">B142</f>
        <v>0</v>
      </c>
      <c r="H147" s="492">
        <f ca="1">D142</f>
        <v>0</v>
      </c>
      <c r="I147" s="492">
        <f ca="1">F142</f>
        <v>0</v>
      </c>
      <c r="J147" s="492">
        <f>H142</f>
        <v>250</v>
      </c>
      <c r="K147" s="492">
        <f t="shared" ref="K147:K152" ca="1" si="215" xml:space="preserve"> H147*C147*$J$37</f>
        <v>0</v>
      </c>
      <c r="L147" s="492">
        <f>IF(L140="Yes",0,L142)</f>
        <v>0</v>
      </c>
      <c r="M147" s="1539">
        <f t="shared" ref="M147:M152" si="216">IF(B147&lt;1,0,(IF(C147=0,SUM(I147:L147),((B147-0.5)*G147+C147*H147+SUM(I147:L147)))))</f>
        <v>0</v>
      </c>
      <c r="N147" s="1500">
        <f t="shared" ref="N147:N152" ca="1" si="217">F147*M147</f>
        <v>0</v>
      </c>
      <c r="O147" s="672">
        <f t="shared" ref="O147:O152" si="218">A147</f>
        <v>1</v>
      </c>
      <c r="P147" s="1657">
        <f t="shared" ref="P147:P152" ca="1" si="219">Q147*F147</f>
        <v>0</v>
      </c>
      <c r="Q147" s="1657">
        <f>IF(L140="Yes",L142,0)</f>
        <v>0</v>
      </c>
      <c r="S147" s="651">
        <v>1</v>
      </c>
      <c r="T147" s="1665">
        <f t="shared" ref="T147:T152" si="220">B147</f>
        <v>0</v>
      </c>
      <c r="U147" s="2519">
        <f t="shared" ref="U147:U152" ca="1" si="221">G147</f>
        <v>0</v>
      </c>
      <c r="V147" s="2519">
        <f t="shared" ref="V147:V152" ca="1" si="222">IFERROR(H147+K147/C147,0)</f>
        <v>0</v>
      </c>
      <c r="W147" s="2519">
        <f t="shared" ref="W147:X152" ca="1" si="223">I147</f>
        <v>0</v>
      </c>
      <c r="X147" s="2519">
        <f t="shared" si="223"/>
        <v>250</v>
      </c>
      <c r="Y147" s="2519">
        <f t="shared" ref="Y147:Z152" si="224">L147</f>
        <v>0</v>
      </c>
      <c r="Z147" s="2522">
        <f t="shared" si="224"/>
        <v>0</v>
      </c>
      <c r="AA147" s="1665">
        <f t="shared" ref="AA147:AA152" ca="1" si="225">F147</f>
        <v>0</v>
      </c>
      <c r="AB147" s="2525">
        <f t="shared" ref="AB147:AB152" ca="1" si="226">N147</f>
        <v>0</v>
      </c>
      <c r="AD147" s="505">
        <v>1</v>
      </c>
      <c r="AE147" s="2937">
        <f t="shared" ref="AE147:AE152" si="227">B147</f>
        <v>0</v>
      </c>
      <c r="AF147" s="2937">
        <f t="shared" ref="AF147:AF152" ca="1" si="228">F147</f>
        <v>0</v>
      </c>
      <c r="AG147" s="457">
        <f t="shared" ref="AG147:AG152" ca="1" si="229">C147*H147+K147</f>
        <v>0</v>
      </c>
      <c r="AH147" s="457">
        <f t="shared" ref="AH147:AI152" ca="1" si="230">I147</f>
        <v>0</v>
      </c>
      <c r="AI147" s="457">
        <f t="shared" si="230"/>
        <v>250</v>
      </c>
      <c r="AJ147" s="457">
        <f t="shared" ref="AJ147:AJ152" ca="1" si="231">IF(AE147&gt;1,(B147-0.5)*G147,B147*G147)</f>
        <v>0</v>
      </c>
      <c r="AK147" s="457">
        <f t="shared" ref="AK147:AK152" ca="1" si="232">ROUND(SUM(AG147:AJ147)*AF147,0)</f>
        <v>0</v>
      </c>
      <c r="AL147" s="718">
        <f t="shared" ref="AL147:AL152" ca="1" si="233">AF147*(L147+Q147)</f>
        <v>0</v>
      </c>
      <c r="AM147" s="457">
        <f t="shared" ref="AM147:AM152" ca="1" si="234">AK147+AL147</f>
        <v>0</v>
      </c>
    </row>
    <row r="148" spans="1:39" x14ac:dyDescent="0.25">
      <c r="A148" s="99">
        <v>2</v>
      </c>
      <c r="B148" s="1666">
        <f>IF('DATA INPUT'!$J$77&gt;=1,'DATA INPUT'!$E$77,0)</f>
        <v>0</v>
      </c>
      <c r="C148" s="1666">
        <f t="shared" si="213"/>
        <v>0</v>
      </c>
      <c r="D148" s="108">
        <f ca="1">OFFSET('DATA INPUT'!$D$68,OFFSET($A$4,INT((ROW()-ROW($A$4))/15)*15,0)-1,0)</f>
        <v>0</v>
      </c>
      <c r="E148" s="1666">
        <f ca="1">OFFSET('DATA INPUT'!$I$68,OFFSET($A$4,INT((ROW()-ROW($A$4))/15)*15,0)-1,A148-1)</f>
        <v>0</v>
      </c>
      <c r="F148" s="1666">
        <f t="shared" ca="1" si="214"/>
        <v>0</v>
      </c>
      <c r="G148" s="457">
        <f t="shared" ref="G148:J152" ca="1" si="235">(G147*$I$141)+G147</f>
        <v>0</v>
      </c>
      <c r="H148" s="457">
        <f t="shared" ca="1" si="235"/>
        <v>0</v>
      </c>
      <c r="I148" s="457">
        <f t="shared" ca="1" si="235"/>
        <v>0</v>
      </c>
      <c r="J148" s="457">
        <f t="shared" si="235"/>
        <v>257.5</v>
      </c>
      <c r="K148" s="457">
        <f t="shared" ca="1" si="215"/>
        <v>0</v>
      </c>
      <c r="L148" s="457">
        <f>(L147*$I$36)+L147</f>
        <v>0</v>
      </c>
      <c r="M148" s="1540">
        <f t="shared" si="216"/>
        <v>0</v>
      </c>
      <c r="N148" s="1541">
        <f t="shared" ca="1" si="217"/>
        <v>0</v>
      </c>
      <c r="O148" s="672">
        <f t="shared" si="218"/>
        <v>2</v>
      </c>
      <c r="P148" s="1489">
        <f t="shared" ca="1" si="219"/>
        <v>0</v>
      </c>
      <c r="Q148" s="1489">
        <f>(Q147*$I$36)+Q147</f>
        <v>0</v>
      </c>
      <c r="S148" s="99">
        <v>2</v>
      </c>
      <c r="T148" s="1666">
        <f t="shared" si="220"/>
        <v>0</v>
      </c>
      <c r="U148" s="2520">
        <f t="shared" ca="1" si="221"/>
        <v>0</v>
      </c>
      <c r="V148" s="2520">
        <f t="shared" ca="1" si="222"/>
        <v>0</v>
      </c>
      <c r="W148" s="2520">
        <f t="shared" ca="1" si="223"/>
        <v>0</v>
      </c>
      <c r="X148" s="2520">
        <f t="shared" si="223"/>
        <v>257.5</v>
      </c>
      <c r="Y148" s="2520">
        <f t="shared" si="224"/>
        <v>0</v>
      </c>
      <c r="Z148" s="2523">
        <f t="shared" si="224"/>
        <v>0</v>
      </c>
      <c r="AA148" s="1666">
        <f t="shared" ca="1" si="225"/>
        <v>0</v>
      </c>
      <c r="AB148" s="2526">
        <f t="shared" ca="1" si="226"/>
        <v>0</v>
      </c>
      <c r="AD148" s="505">
        <v>2</v>
      </c>
      <c r="AE148" s="2937">
        <f t="shared" si="227"/>
        <v>0</v>
      </c>
      <c r="AF148" s="2937">
        <f t="shared" ca="1" si="228"/>
        <v>0</v>
      </c>
      <c r="AG148" s="457">
        <f t="shared" ca="1" si="229"/>
        <v>0</v>
      </c>
      <c r="AH148" s="457">
        <f t="shared" ca="1" si="230"/>
        <v>0</v>
      </c>
      <c r="AI148" s="457">
        <f t="shared" si="230"/>
        <v>257.5</v>
      </c>
      <c r="AJ148" s="457">
        <f t="shared" ca="1" si="231"/>
        <v>0</v>
      </c>
      <c r="AK148" s="457">
        <f t="shared" ca="1" si="232"/>
        <v>0</v>
      </c>
      <c r="AL148" s="718">
        <f t="shared" ca="1" si="233"/>
        <v>0</v>
      </c>
      <c r="AM148" s="457">
        <f t="shared" ca="1" si="234"/>
        <v>0</v>
      </c>
    </row>
    <row r="149" spans="1:39" x14ac:dyDescent="0.25">
      <c r="A149" s="652">
        <v>3</v>
      </c>
      <c r="B149" s="1666">
        <f>IF('DATA INPUT'!$K$77&gt;=1,'DATA INPUT'!$E$77,0)</f>
        <v>0</v>
      </c>
      <c r="C149" s="1666">
        <f t="shared" si="213"/>
        <v>0</v>
      </c>
      <c r="D149" s="108">
        <f ca="1">OFFSET('DATA INPUT'!$D$68,OFFSET($A$4,INT((ROW()-ROW($A$4))/15)*15,0)-1,0)</f>
        <v>0</v>
      </c>
      <c r="E149" s="1666">
        <f ca="1">OFFSET('DATA INPUT'!$I$68,OFFSET($A$4,INT((ROW()-ROW($A$4))/15)*15,0)-1,A149-1)</f>
        <v>0</v>
      </c>
      <c r="F149" s="1666">
        <f t="shared" ca="1" si="214"/>
        <v>0</v>
      </c>
      <c r="G149" s="457">
        <f t="shared" ca="1" si="235"/>
        <v>0</v>
      </c>
      <c r="H149" s="457">
        <f t="shared" ca="1" si="235"/>
        <v>0</v>
      </c>
      <c r="I149" s="457">
        <f t="shared" ca="1" si="235"/>
        <v>0</v>
      </c>
      <c r="J149" s="457">
        <f t="shared" si="235"/>
        <v>265.22500000000002</v>
      </c>
      <c r="K149" s="457">
        <f t="shared" ca="1" si="215"/>
        <v>0</v>
      </c>
      <c r="L149" s="457">
        <f>(L148*$I$36)+L148</f>
        <v>0</v>
      </c>
      <c r="M149" s="1540">
        <f t="shared" si="216"/>
        <v>0</v>
      </c>
      <c r="N149" s="1541">
        <f t="shared" ca="1" si="217"/>
        <v>0</v>
      </c>
      <c r="O149" s="672">
        <f t="shared" si="218"/>
        <v>3</v>
      </c>
      <c r="P149" s="1489">
        <f t="shared" ca="1" si="219"/>
        <v>0</v>
      </c>
      <c r="Q149" s="1489">
        <f>(Q148*$I$36)+Q148</f>
        <v>0</v>
      </c>
      <c r="S149" s="652">
        <v>3</v>
      </c>
      <c r="T149" s="1666">
        <f t="shared" si="220"/>
        <v>0</v>
      </c>
      <c r="U149" s="2520">
        <f t="shared" ca="1" si="221"/>
        <v>0</v>
      </c>
      <c r="V149" s="2520">
        <f t="shared" ca="1" si="222"/>
        <v>0</v>
      </c>
      <c r="W149" s="2520">
        <f t="shared" ca="1" si="223"/>
        <v>0</v>
      </c>
      <c r="X149" s="2520">
        <f t="shared" si="223"/>
        <v>265.22500000000002</v>
      </c>
      <c r="Y149" s="2520">
        <f t="shared" si="224"/>
        <v>0</v>
      </c>
      <c r="Z149" s="2523">
        <f t="shared" si="224"/>
        <v>0</v>
      </c>
      <c r="AA149" s="1666">
        <f t="shared" ca="1" si="225"/>
        <v>0</v>
      </c>
      <c r="AB149" s="2526">
        <f t="shared" ca="1" si="226"/>
        <v>0</v>
      </c>
      <c r="AD149" s="505">
        <v>3</v>
      </c>
      <c r="AE149" s="2937">
        <f t="shared" si="227"/>
        <v>0</v>
      </c>
      <c r="AF149" s="2937">
        <f t="shared" ca="1" si="228"/>
        <v>0</v>
      </c>
      <c r="AG149" s="457">
        <f t="shared" ca="1" si="229"/>
        <v>0</v>
      </c>
      <c r="AH149" s="457">
        <f t="shared" ca="1" si="230"/>
        <v>0</v>
      </c>
      <c r="AI149" s="457">
        <f t="shared" si="230"/>
        <v>265.22500000000002</v>
      </c>
      <c r="AJ149" s="457">
        <f t="shared" ca="1" si="231"/>
        <v>0</v>
      </c>
      <c r="AK149" s="457">
        <f t="shared" ca="1" si="232"/>
        <v>0</v>
      </c>
      <c r="AL149" s="718">
        <f t="shared" ca="1" si="233"/>
        <v>0</v>
      </c>
      <c r="AM149" s="457">
        <f t="shared" ca="1" si="234"/>
        <v>0</v>
      </c>
    </row>
    <row r="150" spans="1:39" x14ac:dyDescent="0.25">
      <c r="A150" s="99">
        <v>4</v>
      </c>
      <c r="B150" s="1666">
        <f>IF('DATA INPUT'!$L$77&gt;=1,'DATA INPUT'!$E$77,0)</f>
        <v>0</v>
      </c>
      <c r="C150" s="1666">
        <f t="shared" si="213"/>
        <v>0</v>
      </c>
      <c r="D150" s="108">
        <f ca="1">OFFSET('DATA INPUT'!$D$68,OFFSET($A$4,INT((ROW()-ROW($A$4))/15)*15,0)-1,0)</f>
        <v>0</v>
      </c>
      <c r="E150" s="1666">
        <f ca="1">OFFSET('DATA INPUT'!$I$68,OFFSET($A$4,INT((ROW()-ROW($A$4))/15)*15,0)-1,A150-1)</f>
        <v>0</v>
      </c>
      <c r="F150" s="1666">
        <f t="shared" ca="1" si="214"/>
        <v>0</v>
      </c>
      <c r="G150" s="457">
        <f t="shared" ca="1" si="235"/>
        <v>0</v>
      </c>
      <c r="H150" s="457">
        <f t="shared" ca="1" si="235"/>
        <v>0</v>
      </c>
      <c r="I150" s="457">
        <f t="shared" ca="1" si="235"/>
        <v>0</v>
      </c>
      <c r="J150" s="457">
        <f t="shared" si="235"/>
        <v>273.18175000000002</v>
      </c>
      <c r="K150" s="457">
        <f t="shared" ca="1" si="215"/>
        <v>0</v>
      </c>
      <c r="L150" s="457">
        <f>(L149*$I$36)+L149</f>
        <v>0</v>
      </c>
      <c r="M150" s="1540">
        <f t="shared" si="216"/>
        <v>0</v>
      </c>
      <c r="N150" s="1541">
        <f t="shared" ca="1" si="217"/>
        <v>0</v>
      </c>
      <c r="O150" s="672">
        <f t="shared" si="218"/>
        <v>4</v>
      </c>
      <c r="P150" s="1489">
        <f t="shared" ca="1" si="219"/>
        <v>0</v>
      </c>
      <c r="Q150" s="1489">
        <f>(Q149*$I$36)+Q149</f>
        <v>0</v>
      </c>
      <c r="S150" s="99">
        <v>4</v>
      </c>
      <c r="T150" s="1666">
        <f t="shared" si="220"/>
        <v>0</v>
      </c>
      <c r="U150" s="2520">
        <f t="shared" ca="1" si="221"/>
        <v>0</v>
      </c>
      <c r="V150" s="2520">
        <f t="shared" ca="1" si="222"/>
        <v>0</v>
      </c>
      <c r="W150" s="2520">
        <f t="shared" ca="1" si="223"/>
        <v>0</v>
      </c>
      <c r="X150" s="2520">
        <f t="shared" si="223"/>
        <v>273.18175000000002</v>
      </c>
      <c r="Y150" s="2520">
        <f t="shared" si="224"/>
        <v>0</v>
      </c>
      <c r="Z150" s="2523">
        <f t="shared" si="224"/>
        <v>0</v>
      </c>
      <c r="AA150" s="1666">
        <f t="shared" ca="1" si="225"/>
        <v>0</v>
      </c>
      <c r="AB150" s="2526">
        <f t="shared" ca="1" si="226"/>
        <v>0</v>
      </c>
      <c r="AD150" s="505">
        <v>4</v>
      </c>
      <c r="AE150" s="2937">
        <f t="shared" si="227"/>
        <v>0</v>
      </c>
      <c r="AF150" s="2937">
        <f t="shared" ca="1" si="228"/>
        <v>0</v>
      </c>
      <c r="AG150" s="457">
        <f t="shared" ca="1" si="229"/>
        <v>0</v>
      </c>
      <c r="AH150" s="457">
        <f t="shared" ca="1" si="230"/>
        <v>0</v>
      </c>
      <c r="AI150" s="457">
        <f t="shared" si="230"/>
        <v>273.18175000000002</v>
      </c>
      <c r="AJ150" s="457">
        <f t="shared" ca="1" si="231"/>
        <v>0</v>
      </c>
      <c r="AK150" s="457">
        <f t="shared" ca="1" si="232"/>
        <v>0</v>
      </c>
      <c r="AL150" s="718">
        <f t="shared" ca="1" si="233"/>
        <v>0</v>
      </c>
      <c r="AM150" s="457">
        <f t="shared" ca="1" si="234"/>
        <v>0</v>
      </c>
    </row>
    <row r="151" spans="1:39" x14ac:dyDescent="0.25">
      <c r="A151" s="99">
        <v>5</v>
      </c>
      <c r="B151" s="1666">
        <f>IF('DATA INPUT'!$M$77&gt;=1,'DATA INPUT'!$E$77,0)</f>
        <v>0</v>
      </c>
      <c r="C151" s="1666">
        <f t="shared" si="213"/>
        <v>0</v>
      </c>
      <c r="D151" s="108">
        <f ca="1">OFFSET('DATA INPUT'!$D$68,OFFSET($A$4,INT((ROW()-ROW($A$4))/15)*15,0)-1,0)</f>
        <v>0</v>
      </c>
      <c r="E151" s="1666">
        <f ca="1">OFFSET('DATA INPUT'!$I$68,OFFSET($A$4,INT((ROW()-ROW($A$4))/15)*15,0)-1,A151-1)</f>
        <v>0</v>
      </c>
      <c r="F151" s="1666">
        <f t="shared" ca="1" si="214"/>
        <v>0</v>
      </c>
      <c r="G151" s="457">
        <f t="shared" ca="1" si="235"/>
        <v>0</v>
      </c>
      <c r="H151" s="457">
        <f t="shared" ca="1" si="235"/>
        <v>0</v>
      </c>
      <c r="I151" s="457">
        <f t="shared" ca="1" si="235"/>
        <v>0</v>
      </c>
      <c r="J151" s="457">
        <f t="shared" si="235"/>
        <v>281.37720250000001</v>
      </c>
      <c r="K151" s="457">
        <f t="shared" ca="1" si="215"/>
        <v>0</v>
      </c>
      <c r="L151" s="457">
        <f>(L150*$I$36)+L150</f>
        <v>0</v>
      </c>
      <c r="M151" s="1540">
        <f t="shared" si="216"/>
        <v>0</v>
      </c>
      <c r="N151" s="1541">
        <f t="shared" ca="1" si="217"/>
        <v>0</v>
      </c>
      <c r="O151" s="672">
        <f t="shared" si="218"/>
        <v>5</v>
      </c>
      <c r="P151" s="1489">
        <f t="shared" ca="1" si="219"/>
        <v>0</v>
      </c>
      <c r="Q151" s="1489">
        <f>(Q150*$I$36)+Q150</f>
        <v>0</v>
      </c>
      <c r="S151" s="99">
        <v>5</v>
      </c>
      <c r="T151" s="1666">
        <f t="shared" si="220"/>
        <v>0</v>
      </c>
      <c r="U151" s="2520">
        <f t="shared" ca="1" si="221"/>
        <v>0</v>
      </c>
      <c r="V151" s="2520">
        <f t="shared" ca="1" si="222"/>
        <v>0</v>
      </c>
      <c r="W151" s="2520">
        <f t="shared" ca="1" si="223"/>
        <v>0</v>
      </c>
      <c r="X151" s="2520">
        <f t="shared" si="223"/>
        <v>281.37720250000001</v>
      </c>
      <c r="Y151" s="2520">
        <f t="shared" si="224"/>
        <v>0</v>
      </c>
      <c r="Z151" s="2523">
        <f t="shared" si="224"/>
        <v>0</v>
      </c>
      <c r="AA151" s="1666">
        <f t="shared" ca="1" si="225"/>
        <v>0</v>
      </c>
      <c r="AB151" s="2526">
        <f t="shared" ca="1" si="226"/>
        <v>0</v>
      </c>
      <c r="AD151" s="505">
        <v>5</v>
      </c>
      <c r="AE151" s="2937">
        <f t="shared" si="227"/>
        <v>0</v>
      </c>
      <c r="AF151" s="2937">
        <f t="shared" ca="1" si="228"/>
        <v>0</v>
      </c>
      <c r="AG151" s="457">
        <f t="shared" ca="1" si="229"/>
        <v>0</v>
      </c>
      <c r="AH151" s="457">
        <f t="shared" ca="1" si="230"/>
        <v>0</v>
      </c>
      <c r="AI151" s="457">
        <f t="shared" si="230"/>
        <v>281.37720250000001</v>
      </c>
      <c r="AJ151" s="457">
        <f t="shared" ca="1" si="231"/>
        <v>0</v>
      </c>
      <c r="AK151" s="457">
        <f t="shared" ca="1" si="232"/>
        <v>0</v>
      </c>
      <c r="AL151" s="718">
        <f t="shared" ca="1" si="233"/>
        <v>0</v>
      </c>
      <c r="AM151" s="457">
        <f t="shared" ca="1" si="234"/>
        <v>0</v>
      </c>
    </row>
    <row r="152" spans="1:39" ht="15.75" thickBot="1" x14ac:dyDescent="0.3">
      <c r="A152" s="98">
        <v>6</v>
      </c>
      <c r="B152" s="1667">
        <f>IF('DATA INPUT'!$N$77&gt;=1,'DATA INPUT'!$E$77,0)</f>
        <v>0</v>
      </c>
      <c r="C152" s="1667">
        <f t="shared" si="213"/>
        <v>0</v>
      </c>
      <c r="D152" s="109">
        <f ca="1">OFFSET('DATA INPUT'!$D$68,OFFSET($A$4,INT((ROW()-ROW($A$4))/15)*15,0)-1,0)</f>
        <v>0</v>
      </c>
      <c r="E152" s="1667">
        <f ca="1">OFFSET('DATA INPUT'!$I$68,OFFSET($A$4,INT((ROW()-ROW($A$4))/15)*15,0)-1,A152-1)</f>
        <v>0</v>
      </c>
      <c r="F152" s="1667">
        <f t="shared" ca="1" si="214"/>
        <v>0</v>
      </c>
      <c r="G152" s="457">
        <f t="shared" ca="1" si="235"/>
        <v>0</v>
      </c>
      <c r="H152" s="457">
        <f t="shared" ca="1" si="235"/>
        <v>0</v>
      </c>
      <c r="I152" s="457">
        <f t="shared" ca="1" si="235"/>
        <v>0</v>
      </c>
      <c r="J152" s="457">
        <f t="shared" si="235"/>
        <v>289.81851857499998</v>
      </c>
      <c r="K152" s="495">
        <f t="shared" ca="1" si="215"/>
        <v>0</v>
      </c>
      <c r="L152" s="495">
        <f>(L151*$I$36)+L151</f>
        <v>0</v>
      </c>
      <c r="M152" s="1550">
        <f t="shared" si="216"/>
        <v>0</v>
      </c>
      <c r="N152" s="1551">
        <f t="shared" ca="1" si="217"/>
        <v>0</v>
      </c>
      <c r="O152" s="672">
        <f t="shared" si="218"/>
        <v>6</v>
      </c>
      <c r="P152" s="1513">
        <f t="shared" ca="1" si="219"/>
        <v>0</v>
      </c>
      <c r="Q152" s="1513">
        <f>(Q151*$I$36)+Q151</f>
        <v>0</v>
      </c>
      <c r="S152" s="98">
        <v>6</v>
      </c>
      <c r="T152" s="1667">
        <f t="shared" si="220"/>
        <v>0</v>
      </c>
      <c r="U152" s="2521">
        <f t="shared" ca="1" si="221"/>
        <v>0</v>
      </c>
      <c r="V152" s="2521">
        <f t="shared" ca="1" si="222"/>
        <v>0</v>
      </c>
      <c r="W152" s="2521">
        <f t="shared" ca="1" si="223"/>
        <v>0</v>
      </c>
      <c r="X152" s="2521">
        <f t="shared" si="223"/>
        <v>289.81851857499998</v>
      </c>
      <c r="Y152" s="2521">
        <f t="shared" si="224"/>
        <v>0</v>
      </c>
      <c r="Z152" s="2524">
        <f t="shared" si="224"/>
        <v>0</v>
      </c>
      <c r="AA152" s="1667">
        <f t="shared" ca="1" si="225"/>
        <v>0</v>
      </c>
      <c r="AB152" s="2527">
        <f t="shared" ca="1" si="226"/>
        <v>0</v>
      </c>
      <c r="AD152" s="505">
        <v>6</v>
      </c>
      <c r="AE152" s="2937">
        <f t="shared" si="227"/>
        <v>0</v>
      </c>
      <c r="AF152" s="2937">
        <f t="shared" ca="1" si="228"/>
        <v>0</v>
      </c>
      <c r="AG152" s="457">
        <f t="shared" ca="1" si="229"/>
        <v>0</v>
      </c>
      <c r="AH152" s="457">
        <f t="shared" ca="1" si="230"/>
        <v>0</v>
      </c>
      <c r="AI152" s="457">
        <f t="shared" si="230"/>
        <v>289.81851857499998</v>
      </c>
      <c r="AJ152" s="457">
        <f t="shared" ca="1" si="231"/>
        <v>0</v>
      </c>
      <c r="AK152" s="457">
        <f t="shared" ca="1" si="232"/>
        <v>0</v>
      </c>
      <c r="AL152" s="718">
        <f t="shared" ca="1" si="233"/>
        <v>0</v>
      </c>
      <c r="AM152" s="457">
        <f t="shared" ca="1" si="234"/>
        <v>0</v>
      </c>
    </row>
    <row r="153" spans="1:39" x14ac:dyDescent="0.25">
      <c r="A153" s="859"/>
      <c r="B153" s="668"/>
      <c r="C153" s="668"/>
      <c r="D153" s="668"/>
      <c r="E153" s="668"/>
      <c r="F153" s="668"/>
      <c r="G153" s="668"/>
      <c r="H153" s="668"/>
      <c r="I153" s="668"/>
      <c r="J153" s="668"/>
      <c r="K153" s="668"/>
      <c r="L153" s="668"/>
      <c r="M153" s="759" t="s">
        <v>300</v>
      </c>
      <c r="N153" s="1552">
        <f ca="1">SUM(N147:N152)</f>
        <v>0</v>
      </c>
      <c r="P153" s="1668">
        <f ca="1">SUM(P147:P152)</f>
        <v>0</v>
      </c>
      <c r="Q153" s="1668"/>
    </row>
    <row r="154" spans="1:39" ht="24" thickBot="1" x14ac:dyDescent="0.4">
      <c r="A154" s="1599">
        <f>A139+1</f>
        <v>11</v>
      </c>
      <c r="N154" s="2449" t="str">
        <f>IF(L140="Yes",N153+P153,"")</f>
        <v/>
      </c>
      <c r="O154" s="2450" t="s">
        <v>756</v>
      </c>
    </row>
    <row r="155" spans="1:39" ht="15.75" thickBot="1" x14ac:dyDescent="0.3">
      <c r="A155" s="118" t="s">
        <v>120</v>
      </c>
      <c r="B155" s="3645">
        <f>'DATA INPUT'!B78</f>
        <v>0</v>
      </c>
      <c r="C155" s="3646"/>
      <c r="D155" s="3646"/>
      <c r="E155" s="3646"/>
      <c r="F155" s="3696"/>
      <c r="G155" s="849"/>
      <c r="H155" s="850" t="s">
        <v>376</v>
      </c>
      <c r="I155" s="799" t="str">
        <f ca="1">IF(B156=$T$6,'Reference Sheet'!$J$4, 'Reference Sheet'!$J$3)</f>
        <v>Domestic</v>
      </c>
      <c r="J155" s="3698" t="s">
        <v>515</v>
      </c>
      <c r="K155" s="3699"/>
      <c r="L155" s="1669">
        <f>'DATA INPUT'!$H$78</f>
        <v>0</v>
      </c>
    </row>
    <row r="156" spans="1:39" x14ac:dyDescent="0.25">
      <c r="A156" s="118" t="s">
        <v>468</v>
      </c>
      <c r="B156" s="3645">
        <f ca="1">OFFSET('DATA INPUT'!$C$68,($A154-1),0)</f>
        <v>0</v>
      </c>
      <c r="C156" s="3646"/>
      <c r="D156" s="3646"/>
      <c r="E156" s="802"/>
      <c r="F156" s="801"/>
      <c r="G156" s="118"/>
      <c r="H156" s="118" t="s">
        <v>371</v>
      </c>
      <c r="I156" s="803">
        <f>'Reference Sheet'!$L$8</f>
        <v>0.03</v>
      </c>
    </row>
    <row r="157" spans="1:39" x14ac:dyDescent="0.25">
      <c r="A157" s="118" t="s">
        <v>116</v>
      </c>
      <c r="B157" s="1555">
        <f ca="1">IF(B156=$T$3, $U$3,IF(B156=$T$4,$U$4,IF(B156=$T$5,$U$5,IF(B156=$T$6,$U$6,0))))</f>
        <v>0</v>
      </c>
      <c r="C157" s="118" t="s">
        <v>115</v>
      </c>
      <c r="D157" s="1555">
        <f ca="1">IF(B156=$T$3,$V$3,IF(B156=$T$4,$V$4,IF(B156=$T$5,$V$5,IF(B156=$T$6,$V$6,0))))</f>
        <v>0</v>
      </c>
      <c r="E157" s="118" t="s">
        <v>23</v>
      </c>
      <c r="F157" s="1555">
        <f ca="1">OFFSET('DATA INPUT'!$F$68,($A154-1),0)</f>
        <v>0</v>
      </c>
      <c r="G157" s="118" t="s">
        <v>118</v>
      </c>
      <c r="H157" s="1555">
        <v>250</v>
      </c>
      <c r="I157" s="118" t="s">
        <v>755</v>
      </c>
      <c r="J157" s="764">
        <v>0.13</v>
      </c>
      <c r="K157" s="117" t="s">
        <v>362</v>
      </c>
      <c r="L157" s="116">
        <f>'DATA INPUT'!$G$78</f>
        <v>0</v>
      </c>
      <c r="S157" s="2551" t="s">
        <v>811</v>
      </c>
      <c r="T157" s="2551"/>
      <c r="U157" s="2551"/>
      <c r="V157" s="2551"/>
      <c r="W157" s="2551"/>
    </row>
    <row r="158" spans="1:39" ht="15.75" thickBot="1" x14ac:dyDescent="0.3">
      <c r="D158" s="110"/>
      <c r="AD158" s="2541" t="s">
        <v>808</v>
      </c>
      <c r="AE158" s="2542"/>
      <c r="AF158" s="2542"/>
      <c r="AG158" s="2542"/>
      <c r="AH158" s="2542"/>
    </row>
    <row r="159" spans="1:39" ht="15.75" thickBot="1" x14ac:dyDescent="0.3">
      <c r="A159" s="3629">
        <f>B155</f>
        <v>0</v>
      </c>
      <c r="B159" s="3626"/>
      <c r="C159" s="3626"/>
      <c r="D159" s="3626"/>
      <c r="E159" s="3626"/>
      <c r="F159" s="3626"/>
      <c r="G159" s="3626"/>
      <c r="H159" s="3626"/>
      <c r="I159" s="3626"/>
      <c r="J159" s="3626"/>
      <c r="K159" s="3626"/>
      <c r="L159" s="3626"/>
      <c r="M159" s="3626"/>
      <c r="N159" s="3627"/>
      <c r="S159" s="2536">
        <f>A159</f>
        <v>0</v>
      </c>
      <c r="T159" s="2537"/>
      <c r="U159" s="2537"/>
      <c r="V159" s="2537"/>
      <c r="W159" s="2537"/>
      <c r="X159" s="2537"/>
      <c r="Y159" s="2537"/>
      <c r="Z159" s="2537"/>
      <c r="AA159" s="2537"/>
      <c r="AB159" s="2538"/>
      <c r="AG159" s="2550" t="s">
        <v>809</v>
      </c>
      <c r="AH159" s="2550"/>
      <c r="AI159" s="2550"/>
      <c r="AJ159" s="2550"/>
      <c r="AK159" s="19" t="s">
        <v>812</v>
      </c>
      <c r="AL159" s="2541" t="s">
        <v>807</v>
      </c>
    </row>
    <row r="160" spans="1:39" ht="14.45" customHeight="1" x14ac:dyDescent="0.25">
      <c r="A160" s="858" t="s">
        <v>659</v>
      </c>
      <c r="B160" s="3641" t="s">
        <v>117</v>
      </c>
      <c r="C160" s="3642"/>
      <c r="D160" s="3521" t="s">
        <v>363</v>
      </c>
      <c r="E160" s="3521" t="s">
        <v>364</v>
      </c>
      <c r="F160" s="3521" t="s">
        <v>365</v>
      </c>
      <c r="G160" s="3521" t="s">
        <v>116</v>
      </c>
      <c r="H160" s="3521" t="s">
        <v>115</v>
      </c>
      <c r="I160" s="3521" t="s">
        <v>23</v>
      </c>
      <c r="J160" s="3521" t="s">
        <v>114</v>
      </c>
      <c r="K160" s="3521" t="s">
        <v>366</v>
      </c>
      <c r="L160" s="3521" t="s">
        <v>122</v>
      </c>
      <c r="M160" s="3521" t="s">
        <v>298</v>
      </c>
      <c r="N160" s="3521" t="s">
        <v>113</v>
      </c>
      <c r="P160" s="3520" t="s">
        <v>661</v>
      </c>
      <c r="Q160" s="3520" t="s">
        <v>122</v>
      </c>
      <c r="S160" s="3677" t="s">
        <v>253</v>
      </c>
      <c r="T160" s="3675" t="s">
        <v>112</v>
      </c>
      <c r="U160" s="3675" t="s">
        <v>116</v>
      </c>
      <c r="V160" s="3675" t="s">
        <v>794</v>
      </c>
      <c r="W160" s="3675" t="s">
        <v>23</v>
      </c>
      <c r="X160" s="3675" t="s">
        <v>114</v>
      </c>
      <c r="Y160" s="3675" t="s">
        <v>122</v>
      </c>
      <c r="Z160" s="3675" t="s">
        <v>795</v>
      </c>
      <c r="AA160" s="3675" t="s">
        <v>800</v>
      </c>
      <c r="AB160" s="3673" t="s">
        <v>796</v>
      </c>
      <c r="AD160" s="3679" t="s">
        <v>253</v>
      </c>
      <c r="AE160" s="3679" t="s">
        <v>112</v>
      </c>
      <c r="AF160" s="3679" t="s">
        <v>802</v>
      </c>
      <c r="AG160" s="3679" t="s">
        <v>803</v>
      </c>
      <c r="AH160" s="3679" t="s">
        <v>804</v>
      </c>
      <c r="AI160" s="3679" t="s">
        <v>805</v>
      </c>
      <c r="AJ160" s="3679" t="s">
        <v>116</v>
      </c>
      <c r="AK160" s="3710" t="s">
        <v>801</v>
      </c>
      <c r="AL160" s="3680" t="s">
        <v>806</v>
      </c>
      <c r="AM160" s="3710" t="s">
        <v>796</v>
      </c>
    </row>
    <row r="161" spans="1:39" ht="15" customHeight="1" thickBot="1" x14ac:dyDescent="0.3">
      <c r="A161" s="858" t="s">
        <v>660</v>
      </c>
      <c r="B161" s="1652" t="s">
        <v>112</v>
      </c>
      <c r="C161" s="763" t="s">
        <v>111</v>
      </c>
      <c r="D161" s="3522"/>
      <c r="E161" s="3522"/>
      <c r="F161" s="3522"/>
      <c r="G161" s="3522"/>
      <c r="H161" s="3522"/>
      <c r="I161" s="3522"/>
      <c r="J161" s="3522"/>
      <c r="K161" s="3522"/>
      <c r="L161" s="3522"/>
      <c r="M161" s="3522"/>
      <c r="N161" s="3522"/>
      <c r="P161" s="3522"/>
      <c r="Q161" s="3522"/>
      <c r="S161" s="3678"/>
      <c r="T161" s="3676"/>
      <c r="U161" s="3676"/>
      <c r="V161" s="3676"/>
      <c r="W161" s="3676"/>
      <c r="X161" s="3676"/>
      <c r="Y161" s="3676"/>
      <c r="Z161" s="3676"/>
      <c r="AA161" s="3676"/>
      <c r="AB161" s="3674"/>
      <c r="AD161" s="3679"/>
      <c r="AE161" s="3679"/>
      <c r="AF161" s="3679"/>
      <c r="AG161" s="3679"/>
      <c r="AH161" s="3679"/>
      <c r="AI161" s="3679"/>
      <c r="AJ161" s="3679"/>
      <c r="AK161" s="3710"/>
      <c r="AL161" s="3680"/>
      <c r="AM161" s="3710"/>
    </row>
    <row r="162" spans="1:39" x14ac:dyDescent="0.25">
      <c r="A162" s="651">
        <v>1</v>
      </c>
      <c r="B162" s="106">
        <f>IF('DATA INPUT'!$I$78&gt;=1,'DATA INPUT'!$E$78,0)</f>
        <v>0</v>
      </c>
      <c r="C162" s="106">
        <f t="shared" ref="C162:C167" si="236">IF(B162&gt;0,B162-1,0)</f>
        <v>0</v>
      </c>
      <c r="D162" s="106">
        <f ca="1">OFFSET('DATA INPUT'!$D$68,OFFSET($A$4,INT((ROW()-ROW($A$4))/15)*15,0)-1,0)</f>
        <v>0</v>
      </c>
      <c r="E162" s="106">
        <f ca="1">OFFSET('DATA INPUT'!$I$68,OFFSET($A$4,INT((ROW()-ROW($A$4))/15)*15,0)-1,A162-1)</f>
        <v>0</v>
      </c>
      <c r="F162" s="108">
        <f t="shared" ref="F162:F167" ca="1" si="237">E162*D162</f>
        <v>0</v>
      </c>
      <c r="G162" s="492">
        <f ca="1">B157</f>
        <v>0</v>
      </c>
      <c r="H162" s="492">
        <f ca="1">D157</f>
        <v>0</v>
      </c>
      <c r="I162" s="492">
        <f ca="1">F157</f>
        <v>0</v>
      </c>
      <c r="J162" s="492">
        <f>H157</f>
        <v>250</v>
      </c>
      <c r="K162" s="492">
        <f t="shared" ref="K162:K167" ca="1" si="238" xml:space="preserve"> H162*C162*$J$52</f>
        <v>0</v>
      </c>
      <c r="L162" s="492">
        <f>IF(L155="Yes",0,L157)</f>
        <v>0</v>
      </c>
      <c r="M162" s="1539">
        <f t="shared" ref="M162:M167" si="239">IF(B162&lt;1,0,(IF(C162=0,SUM(I162:L162),((B162-0.5)*G162+C162*H162+SUM(I162:L162)))))</f>
        <v>0</v>
      </c>
      <c r="N162" s="1500">
        <f t="shared" ref="N162:N167" ca="1" si="240">F162*M162</f>
        <v>0</v>
      </c>
      <c r="O162" s="672">
        <f t="shared" ref="O162:O167" si="241">A162</f>
        <v>1</v>
      </c>
      <c r="P162" s="1657">
        <f t="shared" ref="P162:P167" ca="1" si="242">Q162*F162</f>
        <v>0</v>
      </c>
      <c r="Q162" s="1657">
        <f>IF(L155="Yes",L157,0)</f>
        <v>0</v>
      </c>
      <c r="S162" s="651">
        <v>1</v>
      </c>
      <c r="T162" s="106">
        <f t="shared" ref="T162:T167" si="243">B162</f>
        <v>0</v>
      </c>
      <c r="U162" s="2519">
        <f t="shared" ref="U162:U167" ca="1" si="244">G162</f>
        <v>0</v>
      </c>
      <c r="V162" s="2519">
        <f t="shared" ref="V162:V167" ca="1" si="245">IFERROR(H162+K162/C162,0)</f>
        <v>0</v>
      </c>
      <c r="W162" s="2519">
        <f t="shared" ref="W162:X167" ca="1" si="246">I162</f>
        <v>0</v>
      </c>
      <c r="X162" s="2519">
        <f t="shared" si="246"/>
        <v>250</v>
      </c>
      <c r="Y162" s="2519">
        <f t="shared" ref="Y162:Z167" si="247">L162</f>
        <v>0</v>
      </c>
      <c r="Z162" s="2522">
        <f t="shared" si="247"/>
        <v>0</v>
      </c>
      <c r="AA162" s="106">
        <f t="shared" ref="AA162:AA167" ca="1" si="248">F162</f>
        <v>0</v>
      </c>
      <c r="AB162" s="2525">
        <f t="shared" ref="AB162:AB167" ca="1" si="249">N162</f>
        <v>0</v>
      </c>
      <c r="AD162" s="505">
        <v>1</v>
      </c>
      <c r="AE162" s="2539">
        <f t="shared" ref="AE162:AE167" si="250">B162</f>
        <v>0</v>
      </c>
      <c r="AF162" s="2539">
        <f t="shared" ref="AF162:AF167" ca="1" si="251">F162</f>
        <v>0</v>
      </c>
      <c r="AG162" s="457">
        <f t="shared" ref="AG162:AG167" ca="1" si="252">C162*H162+K162</f>
        <v>0</v>
      </c>
      <c r="AH162" s="457">
        <f t="shared" ref="AH162:AI167" ca="1" si="253">I162</f>
        <v>0</v>
      </c>
      <c r="AI162" s="457">
        <f t="shared" si="253"/>
        <v>250</v>
      </c>
      <c r="AJ162" s="457">
        <f t="shared" ref="AJ162:AJ167" ca="1" si="254">IF(AE162&gt;1,(B162-0.5)*G162,B162*G162)</f>
        <v>0</v>
      </c>
      <c r="AK162" s="457">
        <f t="shared" ref="AK162:AK167" ca="1" si="255">ROUND(SUM(AG162:AJ162)*AF162,0)</f>
        <v>0</v>
      </c>
      <c r="AL162" s="718">
        <f t="shared" ref="AL162:AL167" ca="1" si="256">AF162*(L162+Q162)</f>
        <v>0</v>
      </c>
      <c r="AM162" s="457">
        <f t="shared" ref="AM162:AM167" ca="1" si="257">AK162+AL162</f>
        <v>0</v>
      </c>
    </row>
    <row r="163" spans="1:39" x14ac:dyDescent="0.25">
      <c r="A163" s="99">
        <v>2</v>
      </c>
      <c r="B163" s="108">
        <f>IF('DATA INPUT'!$J$78&gt;=1,'DATA INPUT'!$E$78,0)</f>
        <v>0</v>
      </c>
      <c r="C163" s="108">
        <f t="shared" si="236"/>
        <v>0</v>
      </c>
      <c r="D163" s="108">
        <f ca="1">OFFSET('DATA INPUT'!$D$68,OFFSET($A$4,INT((ROW()-ROW($A$4))/15)*15,0)-1,0)</f>
        <v>0</v>
      </c>
      <c r="E163" s="108">
        <f ca="1">OFFSET('DATA INPUT'!$I$68,OFFSET($A$4,INT((ROW()-ROW($A$4))/15)*15,0)-1,A163-1)</f>
        <v>0</v>
      </c>
      <c r="F163" s="108">
        <f t="shared" ca="1" si="237"/>
        <v>0</v>
      </c>
      <c r="G163" s="457">
        <f t="shared" ref="G163:J167" ca="1" si="258">(G162*$I$156)+G162</f>
        <v>0</v>
      </c>
      <c r="H163" s="457">
        <f t="shared" ca="1" si="258"/>
        <v>0</v>
      </c>
      <c r="I163" s="457">
        <f t="shared" ca="1" si="258"/>
        <v>0</v>
      </c>
      <c r="J163" s="457">
        <f t="shared" si="258"/>
        <v>257.5</v>
      </c>
      <c r="K163" s="457">
        <f t="shared" ca="1" si="238"/>
        <v>0</v>
      </c>
      <c r="L163" s="457">
        <f>(L162*$I$51)+L162</f>
        <v>0</v>
      </c>
      <c r="M163" s="1540">
        <f t="shared" si="239"/>
        <v>0</v>
      </c>
      <c r="N163" s="1541">
        <f t="shared" ca="1" si="240"/>
        <v>0</v>
      </c>
      <c r="O163" s="672">
        <f t="shared" si="241"/>
        <v>2</v>
      </c>
      <c r="P163" s="1489">
        <f t="shared" ca="1" si="242"/>
        <v>0</v>
      </c>
      <c r="Q163" s="1489">
        <f>(Q162*$I$51)+Q162</f>
        <v>0</v>
      </c>
      <c r="S163" s="99">
        <v>2</v>
      </c>
      <c r="T163" s="108">
        <f t="shared" si="243"/>
        <v>0</v>
      </c>
      <c r="U163" s="2520">
        <f t="shared" ca="1" si="244"/>
        <v>0</v>
      </c>
      <c r="V163" s="2520">
        <f t="shared" ca="1" si="245"/>
        <v>0</v>
      </c>
      <c r="W163" s="2520">
        <f t="shared" ca="1" si="246"/>
        <v>0</v>
      </c>
      <c r="X163" s="2520">
        <f t="shared" si="246"/>
        <v>257.5</v>
      </c>
      <c r="Y163" s="2520">
        <f t="shared" si="247"/>
        <v>0</v>
      </c>
      <c r="Z163" s="2523">
        <f t="shared" si="247"/>
        <v>0</v>
      </c>
      <c r="AA163" s="108">
        <f t="shared" ca="1" si="248"/>
        <v>0</v>
      </c>
      <c r="AB163" s="2526">
        <f t="shared" ca="1" si="249"/>
        <v>0</v>
      </c>
      <c r="AD163" s="505">
        <v>2</v>
      </c>
      <c r="AE163" s="2539">
        <f t="shared" si="250"/>
        <v>0</v>
      </c>
      <c r="AF163" s="2539">
        <f t="shared" ca="1" si="251"/>
        <v>0</v>
      </c>
      <c r="AG163" s="457">
        <f t="shared" ca="1" si="252"/>
        <v>0</v>
      </c>
      <c r="AH163" s="457">
        <f t="shared" ca="1" si="253"/>
        <v>0</v>
      </c>
      <c r="AI163" s="457">
        <f t="shared" si="253"/>
        <v>257.5</v>
      </c>
      <c r="AJ163" s="457">
        <f t="shared" ca="1" si="254"/>
        <v>0</v>
      </c>
      <c r="AK163" s="457">
        <f t="shared" ca="1" si="255"/>
        <v>0</v>
      </c>
      <c r="AL163" s="718">
        <f t="shared" ca="1" si="256"/>
        <v>0</v>
      </c>
      <c r="AM163" s="457">
        <f t="shared" ca="1" si="257"/>
        <v>0</v>
      </c>
    </row>
    <row r="164" spans="1:39" x14ac:dyDescent="0.25">
      <c r="A164" s="652">
        <v>3</v>
      </c>
      <c r="B164" s="108">
        <f>IF('DATA INPUT'!$K$78&gt;=1,'DATA INPUT'!$E$78,0)</f>
        <v>0</v>
      </c>
      <c r="C164" s="108">
        <f t="shared" si="236"/>
        <v>0</v>
      </c>
      <c r="D164" s="108">
        <f ca="1">OFFSET('DATA INPUT'!$D$68,OFFSET($A$4,INT((ROW()-ROW($A$4))/15)*15,0)-1,0)</f>
        <v>0</v>
      </c>
      <c r="E164" s="108">
        <f ca="1">OFFSET('DATA INPUT'!$I$68,OFFSET($A$4,INT((ROW()-ROW($A$4))/15)*15,0)-1,A164-1)</f>
        <v>0</v>
      </c>
      <c r="F164" s="108">
        <f t="shared" ca="1" si="237"/>
        <v>0</v>
      </c>
      <c r="G164" s="457">
        <f t="shared" ca="1" si="258"/>
        <v>0</v>
      </c>
      <c r="H164" s="457">
        <f t="shared" ca="1" si="258"/>
        <v>0</v>
      </c>
      <c r="I164" s="457">
        <f t="shared" ca="1" si="258"/>
        <v>0</v>
      </c>
      <c r="J164" s="457">
        <f t="shared" si="258"/>
        <v>265.22500000000002</v>
      </c>
      <c r="K164" s="457">
        <f t="shared" ca="1" si="238"/>
        <v>0</v>
      </c>
      <c r="L164" s="457">
        <f>(L163*$I$51)+L163</f>
        <v>0</v>
      </c>
      <c r="M164" s="1540">
        <f t="shared" si="239"/>
        <v>0</v>
      </c>
      <c r="N164" s="1541">
        <f t="shared" ca="1" si="240"/>
        <v>0</v>
      </c>
      <c r="O164" s="672">
        <f t="shared" si="241"/>
        <v>3</v>
      </c>
      <c r="P164" s="1489">
        <f t="shared" ca="1" si="242"/>
        <v>0</v>
      </c>
      <c r="Q164" s="1489">
        <f>(Q163*$I$51)+Q163</f>
        <v>0</v>
      </c>
      <c r="S164" s="652">
        <v>3</v>
      </c>
      <c r="T164" s="108">
        <f t="shared" si="243"/>
        <v>0</v>
      </c>
      <c r="U164" s="2520">
        <f t="shared" ca="1" si="244"/>
        <v>0</v>
      </c>
      <c r="V164" s="2520">
        <f t="shared" ca="1" si="245"/>
        <v>0</v>
      </c>
      <c r="W164" s="2520">
        <f t="shared" ca="1" si="246"/>
        <v>0</v>
      </c>
      <c r="X164" s="2520">
        <f t="shared" si="246"/>
        <v>265.22500000000002</v>
      </c>
      <c r="Y164" s="2520">
        <f t="shared" si="247"/>
        <v>0</v>
      </c>
      <c r="Z164" s="2523">
        <f t="shared" si="247"/>
        <v>0</v>
      </c>
      <c r="AA164" s="108">
        <f t="shared" ca="1" si="248"/>
        <v>0</v>
      </c>
      <c r="AB164" s="2526">
        <f t="shared" ca="1" si="249"/>
        <v>0</v>
      </c>
      <c r="AD164" s="505">
        <v>3</v>
      </c>
      <c r="AE164" s="2539">
        <f t="shared" si="250"/>
        <v>0</v>
      </c>
      <c r="AF164" s="2539">
        <f t="shared" ca="1" si="251"/>
        <v>0</v>
      </c>
      <c r="AG164" s="457">
        <f t="shared" ca="1" si="252"/>
        <v>0</v>
      </c>
      <c r="AH164" s="457">
        <f t="shared" ca="1" si="253"/>
        <v>0</v>
      </c>
      <c r="AI164" s="457">
        <f t="shared" si="253"/>
        <v>265.22500000000002</v>
      </c>
      <c r="AJ164" s="457">
        <f t="shared" ca="1" si="254"/>
        <v>0</v>
      </c>
      <c r="AK164" s="457">
        <f t="shared" ca="1" si="255"/>
        <v>0</v>
      </c>
      <c r="AL164" s="718">
        <f t="shared" ca="1" si="256"/>
        <v>0</v>
      </c>
      <c r="AM164" s="457">
        <f t="shared" ca="1" si="257"/>
        <v>0</v>
      </c>
    </row>
    <row r="165" spans="1:39" x14ac:dyDescent="0.25">
      <c r="A165" s="99">
        <v>4</v>
      </c>
      <c r="B165" s="108">
        <f>IF('DATA INPUT'!$L$78&gt;=1,'DATA INPUT'!$E$78,0)</f>
        <v>0</v>
      </c>
      <c r="C165" s="108">
        <f t="shared" si="236"/>
        <v>0</v>
      </c>
      <c r="D165" s="108">
        <f ca="1">OFFSET('DATA INPUT'!$D$68,OFFSET($A$4,INT((ROW()-ROW($A$4))/15)*15,0)-1,0)</f>
        <v>0</v>
      </c>
      <c r="E165" s="108">
        <f ca="1">OFFSET('DATA INPUT'!$I$68,OFFSET($A$4,INT((ROW()-ROW($A$4))/15)*15,0)-1,A165-1)</f>
        <v>0</v>
      </c>
      <c r="F165" s="108">
        <f t="shared" ca="1" si="237"/>
        <v>0</v>
      </c>
      <c r="G165" s="457">
        <f t="shared" ca="1" si="258"/>
        <v>0</v>
      </c>
      <c r="H165" s="457">
        <f t="shared" ca="1" si="258"/>
        <v>0</v>
      </c>
      <c r="I165" s="457">
        <f t="shared" ca="1" si="258"/>
        <v>0</v>
      </c>
      <c r="J165" s="457">
        <f t="shared" si="258"/>
        <v>273.18175000000002</v>
      </c>
      <c r="K165" s="457">
        <f t="shared" ca="1" si="238"/>
        <v>0</v>
      </c>
      <c r="L165" s="457">
        <f>(L164*$I$51)+L164</f>
        <v>0</v>
      </c>
      <c r="M165" s="1540">
        <f t="shared" si="239"/>
        <v>0</v>
      </c>
      <c r="N165" s="1541">
        <f t="shared" ca="1" si="240"/>
        <v>0</v>
      </c>
      <c r="O165" s="672">
        <f t="shared" si="241"/>
        <v>4</v>
      </c>
      <c r="P165" s="1489">
        <f t="shared" ca="1" si="242"/>
        <v>0</v>
      </c>
      <c r="Q165" s="1489">
        <f>(Q164*$I$51)+Q164</f>
        <v>0</v>
      </c>
      <c r="S165" s="99">
        <v>4</v>
      </c>
      <c r="T165" s="108">
        <f t="shared" si="243"/>
        <v>0</v>
      </c>
      <c r="U165" s="2520">
        <f t="shared" ca="1" si="244"/>
        <v>0</v>
      </c>
      <c r="V165" s="2520">
        <f t="shared" ca="1" si="245"/>
        <v>0</v>
      </c>
      <c r="W165" s="2520">
        <f t="shared" ca="1" si="246"/>
        <v>0</v>
      </c>
      <c r="X165" s="2520">
        <f t="shared" si="246"/>
        <v>273.18175000000002</v>
      </c>
      <c r="Y165" s="2520">
        <f t="shared" si="247"/>
        <v>0</v>
      </c>
      <c r="Z165" s="2523">
        <f t="shared" si="247"/>
        <v>0</v>
      </c>
      <c r="AA165" s="108">
        <f t="shared" ca="1" si="248"/>
        <v>0</v>
      </c>
      <c r="AB165" s="2526">
        <f t="shared" ca="1" si="249"/>
        <v>0</v>
      </c>
      <c r="AD165" s="505">
        <v>4</v>
      </c>
      <c r="AE165" s="2539">
        <f t="shared" si="250"/>
        <v>0</v>
      </c>
      <c r="AF165" s="2539">
        <f t="shared" ca="1" si="251"/>
        <v>0</v>
      </c>
      <c r="AG165" s="457">
        <f t="shared" ca="1" si="252"/>
        <v>0</v>
      </c>
      <c r="AH165" s="457">
        <f t="shared" ca="1" si="253"/>
        <v>0</v>
      </c>
      <c r="AI165" s="457">
        <f t="shared" si="253"/>
        <v>273.18175000000002</v>
      </c>
      <c r="AJ165" s="457">
        <f t="shared" ca="1" si="254"/>
        <v>0</v>
      </c>
      <c r="AK165" s="457">
        <f t="shared" ca="1" si="255"/>
        <v>0</v>
      </c>
      <c r="AL165" s="718">
        <f t="shared" ca="1" si="256"/>
        <v>0</v>
      </c>
      <c r="AM165" s="457">
        <f t="shared" ca="1" si="257"/>
        <v>0</v>
      </c>
    </row>
    <row r="166" spans="1:39" x14ac:dyDescent="0.25">
      <c r="A166" s="99">
        <v>5</v>
      </c>
      <c r="B166" s="108">
        <f>IF('DATA INPUT'!$M$78&gt;=1,'DATA INPUT'!$E$78,0)</f>
        <v>0</v>
      </c>
      <c r="C166" s="108">
        <f t="shared" si="236"/>
        <v>0</v>
      </c>
      <c r="D166" s="108">
        <f ca="1">OFFSET('DATA INPUT'!$D$68,OFFSET($A$4,INT((ROW()-ROW($A$4))/15)*15,0)-1,0)</f>
        <v>0</v>
      </c>
      <c r="E166" s="108">
        <f ca="1">OFFSET('DATA INPUT'!$I$68,OFFSET($A$4,INT((ROW()-ROW($A$4))/15)*15,0)-1,A166-1)</f>
        <v>0</v>
      </c>
      <c r="F166" s="108">
        <f t="shared" ca="1" si="237"/>
        <v>0</v>
      </c>
      <c r="G166" s="457">
        <f t="shared" ca="1" si="258"/>
        <v>0</v>
      </c>
      <c r="H166" s="457">
        <f t="shared" ca="1" si="258"/>
        <v>0</v>
      </c>
      <c r="I166" s="457">
        <f t="shared" ca="1" si="258"/>
        <v>0</v>
      </c>
      <c r="J166" s="457">
        <f t="shared" si="258"/>
        <v>281.37720250000001</v>
      </c>
      <c r="K166" s="457">
        <f t="shared" ca="1" si="238"/>
        <v>0</v>
      </c>
      <c r="L166" s="457">
        <f>(L165*$I$51)+L165</f>
        <v>0</v>
      </c>
      <c r="M166" s="1540">
        <f t="shared" si="239"/>
        <v>0</v>
      </c>
      <c r="N166" s="1541">
        <f t="shared" ca="1" si="240"/>
        <v>0</v>
      </c>
      <c r="O166" s="672">
        <f t="shared" si="241"/>
        <v>5</v>
      </c>
      <c r="P166" s="1489">
        <f t="shared" ca="1" si="242"/>
        <v>0</v>
      </c>
      <c r="Q166" s="1489">
        <f>(Q165*$I$51)+Q165</f>
        <v>0</v>
      </c>
      <c r="S166" s="99">
        <v>5</v>
      </c>
      <c r="T166" s="108">
        <f t="shared" si="243"/>
        <v>0</v>
      </c>
      <c r="U166" s="2520">
        <f t="shared" ca="1" si="244"/>
        <v>0</v>
      </c>
      <c r="V166" s="2520">
        <f t="shared" ca="1" si="245"/>
        <v>0</v>
      </c>
      <c r="W166" s="2520">
        <f t="shared" ca="1" si="246"/>
        <v>0</v>
      </c>
      <c r="X166" s="2520">
        <f t="shared" si="246"/>
        <v>281.37720250000001</v>
      </c>
      <c r="Y166" s="2520">
        <f t="shared" si="247"/>
        <v>0</v>
      </c>
      <c r="Z166" s="2523">
        <f t="shared" si="247"/>
        <v>0</v>
      </c>
      <c r="AA166" s="108">
        <f t="shared" ca="1" si="248"/>
        <v>0</v>
      </c>
      <c r="AB166" s="2526">
        <f t="shared" ca="1" si="249"/>
        <v>0</v>
      </c>
      <c r="AD166" s="505">
        <v>5</v>
      </c>
      <c r="AE166" s="2539">
        <f t="shared" si="250"/>
        <v>0</v>
      </c>
      <c r="AF166" s="2539">
        <f t="shared" ca="1" si="251"/>
        <v>0</v>
      </c>
      <c r="AG166" s="457">
        <f t="shared" ca="1" si="252"/>
        <v>0</v>
      </c>
      <c r="AH166" s="457">
        <f t="shared" ca="1" si="253"/>
        <v>0</v>
      </c>
      <c r="AI166" s="457">
        <f t="shared" si="253"/>
        <v>281.37720250000001</v>
      </c>
      <c r="AJ166" s="457">
        <f t="shared" ca="1" si="254"/>
        <v>0</v>
      </c>
      <c r="AK166" s="457">
        <f t="shared" ca="1" si="255"/>
        <v>0</v>
      </c>
      <c r="AL166" s="718">
        <f t="shared" ca="1" si="256"/>
        <v>0</v>
      </c>
      <c r="AM166" s="457">
        <f t="shared" ca="1" si="257"/>
        <v>0</v>
      </c>
    </row>
    <row r="167" spans="1:39" ht="15.75" thickBot="1" x14ac:dyDescent="0.3">
      <c r="A167" s="98">
        <v>6</v>
      </c>
      <c r="B167" s="758">
        <f>IF('DATA INPUT'!$N$78&gt;=1,'DATA INPUT'!$E$78,0)</f>
        <v>0</v>
      </c>
      <c r="C167" s="758">
        <f t="shared" si="236"/>
        <v>0</v>
      </c>
      <c r="D167" s="109">
        <f ca="1">OFFSET('DATA INPUT'!$D$68,OFFSET($A$4,INT((ROW()-ROW($A$4))/15)*15,0)-1,0)</f>
        <v>0</v>
      </c>
      <c r="E167" s="109">
        <f ca="1">OFFSET('DATA INPUT'!$I$68,OFFSET($A$4,INT((ROW()-ROW($A$4))/15)*15,0)-1,A167-1)</f>
        <v>0</v>
      </c>
      <c r="F167" s="758">
        <f t="shared" ca="1" si="237"/>
        <v>0</v>
      </c>
      <c r="G167" s="457">
        <f t="shared" ca="1" si="258"/>
        <v>0</v>
      </c>
      <c r="H167" s="457">
        <f t="shared" ca="1" si="258"/>
        <v>0</v>
      </c>
      <c r="I167" s="457">
        <f t="shared" ca="1" si="258"/>
        <v>0</v>
      </c>
      <c r="J167" s="457">
        <f t="shared" si="258"/>
        <v>289.81851857499998</v>
      </c>
      <c r="K167" s="495">
        <f t="shared" ca="1" si="238"/>
        <v>0</v>
      </c>
      <c r="L167" s="495">
        <f>(L166*$I$51)+L166</f>
        <v>0</v>
      </c>
      <c r="M167" s="1550">
        <f t="shared" si="239"/>
        <v>0</v>
      </c>
      <c r="N167" s="1551">
        <f t="shared" ca="1" si="240"/>
        <v>0</v>
      </c>
      <c r="O167" s="672">
        <f t="shared" si="241"/>
        <v>6</v>
      </c>
      <c r="P167" s="1513">
        <f t="shared" ca="1" si="242"/>
        <v>0</v>
      </c>
      <c r="Q167" s="1513">
        <f>(Q166*$I$51)+Q166</f>
        <v>0</v>
      </c>
      <c r="S167" s="98">
        <v>6</v>
      </c>
      <c r="T167" s="109">
        <f t="shared" si="243"/>
        <v>0</v>
      </c>
      <c r="U167" s="2521">
        <f t="shared" ca="1" si="244"/>
        <v>0</v>
      </c>
      <c r="V167" s="2521">
        <f t="shared" ca="1" si="245"/>
        <v>0</v>
      </c>
      <c r="W167" s="2521">
        <f t="shared" ca="1" si="246"/>
        <v>0</v>
      </c>
      <c r="X167" s="2521">
        <f t="shared" si="246"/>
        <v>289.81851857499998</v>
      </c>
      <c r="Y167" s="2521">
        <f t="shared" si="247"/>
        <v>0</v>
      </c>
      <c r="Z167" s="2524">
        <f t="shared" si="247"/>
        <v>0</v>
      </c>
      <c r="AA167" s="109">
        <f t="shared" ca="1" si="248"/>
        <v>0</v>
      </c>
      <c r="AB167" s="2527">
        <f t="shared" ca="1" si="249"/>
        <v>0</v>
      </c>
      <c r="AD167" s="505">
        <v>6</v>
      </c>
      <c r="AE167" s="2539">
        <f t="shared" si="250"/>
        <v>0</v>
      </c>
      <c r="AF167" s="2539">
        <f t="shared" ca="1" si="251"/>
        <v>0</v>
      </c>
      <c r="AG167" s="457">
        <f t="shared" ca="1" si="252"/>
        <v>0</v>
      </c>
      <c r="AH167" s="457">
        <f t="shared" ca="1" si="253"/>
        <v>0</v>
      </c>
      <c r="AI167" s="457">
        <f t="shared" si="253"/>
        <v>289.81851857499998</v>
      </c>
      <c r="AJ167" s="457">
        <f t="shared" ca="1" si="254"/>
        <v>0</v>
      </c>
      <c r="AK167" s="457">
        <f t="shared" ca="1" si="255"/>
        <v>0</v>
      </c>
      <c r="AL167" s="718">
        <f t="shared" ca="1" si="256"/>
        <v>0</v>
      </c>
      <c r="AM167" s="457">
        <f t="shared" ca="1" si="257"/>
        <v>0</v>
      </c>
    </row>
    <row r="168" spans="1:39" x14ac:dyDescent="0.25">
      <c r="A168" s="859"/>
      <c r="B168" s="668"/>
      <c r="C168" s="668"/>
      <c r="D168" s="668"/>
      <c r="E168" s="668"/>
      <c r="F168" s="668"/>
      <c r="G168" s="668"/>
      <c r="H168" s="668"/>
      <c r="I168" s="668"/>
      <c r="J168" s="668"/>
      <c r="K168" s="668"/>
      <c r="L168" s="668"/>
      <c r="M168" s="759" t="s">
        <v>300</v>
      </c>
      <c r="N168" s="1552">
        <f ca="1">SUM(N162:N167)</f>
        <v>0</v>
      </c>
      <c r="P168" s="1668">
        <f ca="1">SUM(P162:P167)</f>
        <v>0</v>
      </c>
      <c r="Q168" s="1668"/>
    </row>
    <row r="169" spans="1:39" ht="24" thickBot="1" x14ac:dyDescent="0.4">
      <c r="A169" s="1599">
        <f>A154+1</f>
        <v>12</v>
      </c>
      <c r="N169" s="2449" t="str">
        <f>IF(L155="Yes",N168+P168,"")</f>
        <v/>
      </c>
      <c r="O169" s="2450" t="s">
        <v>756</v>
      </c>
    </row>
    <row r="170" spans="1:39" ht="15.75" thickBot="1" x14ac:dyDescent="0.3">
      <c r="A170" s="119" t="s">
        <v>120</v>
      </c>
      <c r="B170" s="3643">
        <f>'DATA INPUT'!B79</f>
        <v>0</v>
      </c>
      <c r="C170" s="3644"/>
      <c r="D170" s="3644"/>
      <c r="E170" s="3644"/>
      <c r="F170" s="3697"/>
      <c r="G170" s="805"/>
      <c r="H170" s="119" t="s">
        <v>376</v>
      </c>
      <c r="I170" s="780" t="str">
        <f ca="1">IF(B171=$T$6,'Reference Sheet'!$J$4, 'Reference Sheet'!$J$3)</f>
        <v>Domestic</v>
      </c>
      <c r="J170" s="3700" t="s">
        <v>515</v>
      </c>
      <c r="K170" s="3701"/>
      <c r="L170" s="1670">
        <f>'DATA INPUT'!$H$79</f>
        <v>0</v>
      </c>
    </row>
    <row r="171" spans="1:39" x14ac:dyDescent="0.25">
      <c r="A171" s="119" t="s">
        <v>468</v>
      </c>
      <c r="B171" s="3643">
        <f ca="1">OFFSET('DATA INPUT'!$C$68,($A169-1),0)</f>
        <v>0</v>
      </c>
      <c r="C171" s="3644"/>
      <c r="D171" s="3644"/>
      <c r="E171" s="1653"/>
      <c r="F171" s="1654"/>
      <c r="G171" s="119"/>
      <c r="H171" s="119" t="s">
        <v>371</v>
      </c>
      <c r="I171" s="804">
        <f>'Reference Sheet'!$L$8</f>
        <v>0.03</v>
      </c>
      <c r="K171" s="101"/>
    </row>
    <row r="172" spans="1:39" x14ac:dyDescent="0.25">
      <c r="A172" s="119" t="s">
        <v>116</v>
      </c>
      <c r="B172" s="1556">
        <f ca="1">IF(B171=$T$3, $U$3,IF(B171=$T$4,$U$4,IF(B171=$T$5,$U$5,IF(B171=$T$6,$U$6,0))))</f>
        <v>0</v>
      </c>
      <c r="C172" s="119" t="s">
        <v>115</v>
      </c>
      <c r="D172" s="1556">
        <f ca="1">IF(B171=$T$3,$V$3,IF(B171=$T$4,$V$4,IF(B171=$T$5,$V$5,IF(B171=$T$6,$V$6,0))))</f>
        <v>0</v>
      </c>
      <c r="E172" s="119" t="s">
        <v>23</v>
      </c>
      <c r="F172" s="1556">
        <f ca="1">OFFSET('DATA INPUT'!$F$68,($A169-1),0)</f>
        <v>0</v>
      </c>
      <c r="G172" s="119" t="s">
        <v>118</v>
      </c>
      <c r="H172" s="1556">
        <v>250</v>
      </c>
      <c r="I172" s="119" t="s">
        <v>755</v>
      </c>
      <c r="J172" s="765">
        <v>0.13</v>
      </c>
      <c r="K172" s="120" t="s">
        <v>362</v>
      </c>
      <c r="L172" s="121">
        <f>'DATA INPUT'!$G$79</f>
        <v>0</v>
      </c>
      <c r="S172" s="2551" t="s">
        <v>811</v>
      </c>
      <c r="T172" s="2551"/>
      <c r="U172" s="2551"/>
      <c r="V172" s="2551"/>
      <c r="W172" s="2551"/>
    </row>
    <row r="173" spans="1:39" ht="15.75" thickBot="1" x14ac:dyDescent="0.3">
      <c r="D173" s="110"/>
      <c r="AD173" s="2541" t="s">
        <v>808</v>
      </c>
      <c r="AE173" s="2542"/>
      <c r="AF173" s="2542"/>
      <c r="AG173" s="2542"/>
      <c r="AH173" s="2542"/>
    </row>
    <row r="174" spans="1:39" ht="15.75" thickBot="1" x14ac:dyDescent="0.3">
      <c r="A174" s="3628">
        <f>B170</f>
        <v>0</v>
      </c>
      <c r="B174" s="3626"/>
      <c r="C174" s="3626"/>
      <c r="D174" s="3626"/>
      <c r="E174" s="3626"/>
      <c r="F174" s="3626"/>
      <c r="G174" s="3626"/>
      <c r="H174" s="3626"/>
      <c r="I174" s="3626"/>
      <c r="J174" s="3626"/>
      <c r="K174" s="3626"/>
      <c r="L174" s="3626"/>
      <c r="M174" s="3626"/>
      <c r="N174" s="3627"/>
      <c r="S174" s="2536">
        <f>A174</f>
        <v>0</v>
      </c>
      <c r="T174" s="2537"/>
      <c r="U174" s="2537"/>
      <c r="V174" s="2537"/>
      <c r="W174" s="2537"/>
      <c r="X174" s="2537"/>
      <c r="Y174" s="2537"/>
      <c r="Z174" s="2537"/>
      <c r="AA174" s="2537"/>
      <c r="AB174" s="2538"/>
      <c r="AG174" s="2550" t="s">
        <v>809</v>
      </c>
      <c r="AH174" s="2550"/>
      <c r="AI174" s="2550"/>
      <c r="AJ174" s="2550"/>
      <c r="AK174" s="19" t="s">
        <v>812</v>
      </c>
      <c r="AL174" s="2541" t="s">
        <v>807</v>
      </c>
    </row>
    <row r="175" spans="1:39" ht="14.45" customHeight="1" x14ac:dyDescent="0.25">
      <c r="A175" s="858" t="s">
        <v>659</v>
      </c>
      <c r="B175" s="3641" t="s">
        <v>117</v>
      </c>
      <c r="C175" s="3642"/>
      <c r="D175" s="3521" t="s">
        <v>363</v>
      </c>
      <c r="E175" s="3521" t="s">
        <v>364</v>
      </c>
      <c r="F175" s="3521" t="s">
        <v>365</v>
      </c>
      <c r="G175" s="3521" t="s">
        <v>116</v>
      </c>
      <c r="H175" s="3521" t="s">
        <v>115</v>
      </c>
      <c r="I175" s="3521" t="s">
        <v>23</v>
      </c>
      <c r="J175" s="3521" t="s">
        <v>114</v>
      </c>
      <c r="K175" s="3521" t="s">
        <v>366</v>
      </c>
      <c r="L175" s="3521" t="s">
        <v>122</v>
      </c>
      <c r="M175" s="3521" t="s">
        <v>298</v>
      </c>
      <c r="N175" s="3521" t="s">
        <v>113</v>
      </c>
      <c r="P175" s="3520" t="s">
        <v>661</v>
      </c>
      <c r="Q175" s="3520" t="s">
        <v>122</v>
      </c>
      <c r="S175" s="3677" t="s">
        <v>253</v>
      </c>
      <c r="T175" s="3675" t="s">
        <v>112</v>
      </c>
      <c r="U175" s="3675" t="s">
        <v>116</v>
      </c>
      <c r="V175" s="3675" t="s">
        <v>794</v>
      </c>
      <c r="W175" s="3675" t="s">
        <v>23</v>
      </c>
      <c r="X175" s="3675" t="s">
        <v>114</v>
      </c>
      <c r="Y175" s="3675" t="s">
        <v>122</v>
      </c>
      <c r="Z175" s="3675" t="s">
        <v>795</v>
      </c>
      <c r="AA175" s="3675" t="s">
        <v>800</v>
      </c>
      <c r="AB175" s="3673" t="s">
        <v>796</v>
      </c>
      <c r="AD175" s="3679" t="s">
        <v>253</v>
      </c>
      <c r="AE175" s="3679" t="s">
        <v>112</v>
      </c>
      <c r="AF175" s="3679" t="s">
        <v>802</v>
      </c>
      <c r="AG175" s="3679" t="s">
        <v>803</v>
      </c>
      <c r="AH175" s="3679" t="s">
        <v>804</v>
      </c>
      <c r="AI175" s="3679" t="s">
        <v>805</v>
      </c>
      <c r="AJ175" s="3679" t="s">
        <v>116</v>
      </c>
      <c r="AK175" s="3710" t="s">
        <v>801</v>
      </c>
      <c r="AL175" s="3680" t="s">
        <v>806</v>
      </c>
      <c r="AM175" s="3710" t="s">
        <v>796</v>
      </c>
    </row>
    <row r="176" spans="1:39" ht="15" customHeight="1" thickBot="1" x14ac:dyDescent="0.3">
      <c r="A176" s="858" t="s">
        <v>660</v>
      </c>
      <c r="B176" s="1652" t="s">
        <v>112</v>
      </c>
      <c r="C176" s="763" t="s">
        <v>111</v>
      </c>
      <c r="D176" s="3522"/>
      <c r="E176" s="3522"/>
      <c r="F176" s="3522"/>
      <c r="G176" s="3522"/>
      <c r="H176" s="3522"/>
      <c r="I176" s="3522"/>
      <c r="J176" s="3522"/>
      <c r="K176" s="3522"/>
      <c r="L176" s="3522"/>
      <c r="M176" s="3522"/>
      <c r="N176" s="3522"/>
      <c r="P176" s="3522"/>
      <c r="Q176" s="3522"/>
      <c r="S176" s="3678"/>
      <c r="T176" s="3676"/>
      <c r="U176" s="3676"/>
      <c r="V176" s="3676"/>
      <c r="W176" s="3676"/>
      <c r="X176" s="3676"/>
      <c r="Y176" s="3676"/>
      <c r="Z176" s="3676"/>
      <c r="AA176" s="3676"/>
      <c r="AB176" s="3674"/>
      <c r="AD176" s="3679"/>
      <c r="AE176" s="3679"/>
      <c r="AF176" s="3679"/>
      <c r="AG176" s="3679"/>
      <c r="AH176" s="3679"/>
      <c r="AI176" s="3679"/>
      <c r="AJ176" s="3679"/>
      <c r="AK176" s="3710"/>
      <c r="AL176" s="3680"/>
      <c r="AM176" s="3710"/>
    </row>
    <row r="177" spans="1:67" x14ac:dyDescent="0.25">
      <c r="A177" s="651">
        <v>1</v>
      </c>
      <c r="B177" s="106">
        <f>IF('DATA INPUT'!$I$79&gt;=1,'DATA INPUT'!$E$79,0)</f>
        <v>0</v>
      </c>
      <c r="C177" s="106">
        <f t="shared" ref="C177:C182" si="259">IF(B177&gt;0,B177-1,0)</f>
        <v>0</v>
      </c>
      <c r="D177" s="106">
        <f ca="1">OFFSET('DATA INPUT'!$D$68,OFFSET($A$4,INT((ROW()-ROW($A$4))/15)*15,0)-1,0)</f>
        <v>0</v>
      </c>
      <c r="E177" s="106">
        <f ca="1">OFFSET('DATA INPUT'!$I$68,OFFSET($A$4,INT((ROW()-ROW($A$4))/15)*15,0)-1,A177-1)</f>
        <v>0</v>
      </c>
      <c r="F177" s="108">
        <f t="shared" ref="F177:F182" ca="1" si="260">E177*D177</f>
        <v>0</v>
      </c>
      <c r="G177" s="492">
        <f ca="1">B172</f>
        <v>0</v>
      </c>
      <c r="H177" s="492">
        <f ca="1">D172</f>
        <v>0</v>
      </c>
      <c r="I177" s="492">
        <f ca="1">F172</f>
        <v>0</v>
      </c>
      <c r="J177" s="492">
        <f>H172</f>
        <v>250</v>
      </c>
      <c r="K177" s="492">
        <f t="shared" ref="K177:K182" ca="1" si="261" xml:space="preserve"> H177*C177*$J$67</f>
        <v>0</v>
      </c>
      <c r="L177" s="492">
        <f>IF(L170="Yes",0,L172)</f>
        <v>0</v>
      </c>
      <c r="M177" s="1539">
        <f t="shared" ref="M177:M182" si="262">IF(B177&lt;1,0,(IF(C177=0,SUM(I177:L177),((B177-0.5)*G177+C177*H177+SUM(I177:L177)))))</f>
        <v>0</v>
      </c>
      <c r="N177" s="1500">
        <f t="shared" ref="N177:N182" ca="1" si="263">F177*M177</f>
        <v>0</v>
      </c>
      <c r="O177" s="672">
        <f t="shared" ref="O177:O182" si="264">A177</f>
        <v>1</v>
      </c>
      <c r="P177" s="1657">
        <f t="shared" ref="P177:P182" ca="1" si="265">Q177*F177</f>
        <v>0</v>
      </c>
      <c r="Q177" s="1657">
        <f>IF(L170="Yes",L172,0)</f>
        <v>0</v>
      </c>
      <c r="S177" s="651">
        <v>1</v>
      </c>
      <c r="T177" s="106">
        <f t="shared" ref="T177:T182" si="266">B177</f>
        <v>0</v>
      </c>
      <c r="U177" s="2519">
        <f t="shared" ref="U177:U182" ca="1" si="267">G177</f>
        <v>0</v>
      </c>
      <c r="V177" s="2519">
        <f t="shared" ref="V177:V182" ca="1" si="268">IFERROR(H177+K177/C177,0)</f>
        <v>0</v>
      </c>
      <c r="W177" s="2519">
        <f t="shared" ref="W177:X182" ca="1" si="269">I177</f>
        <v>0</v>
      </c>
      <c r="X177" s="2519">
        <f t="shared" si="269"/>
        <v>250</v>
      </c>
      <c r="Y177" s="2519">
        <f t="shared" ref="Y177:Z182" si="270">L177</f>
        <v>0</v>
      </c>
      <c r="Z177" s="2522">
        <f t="shared" si="270"/>
        <v>0</v>
      </c>
      <c r="AA177" s="106">
        <f t="shared" ref="AA177:AA182" ca="1" si="271">F177</f>
        <v>0</v>
      </c>
      <c r="AB177" s="2525">
        <f t="shared" ref="AB177:AB182" ca="1" si="272">N177</f>
        <v>0</v>
      </c>
      <c r="AD177" s="505">
        <v>1</v>
      </c>
      <c r="AE177" s="2539">
        <f t="shared" ref="AE177:AE182" si="273">B177</f>
        <v>0</v>
      </c>
      <c r="AF177" s="2539">
        <f t="shared" ref="AF177:AF182" ca="1" si="274">F177</f>
        <v>0</v>
      </c>
      <c r="AG177" s="457">
        <f t="shared" ref="AG177:AG182" ca="1" si="275">C177*H177+K177</f>
        <v>0</v>
      </c>
      <c r="AH177" s="457">
        <f t="shared" ref="AH177:AI182" ca="1" si="276">I177</f>
        <v>0</v>
      </c>
      <c r="AI177" s="457">
        <f t="shared" si="276"/>
        <v>250</v>
      </c>
      <c r="AJ177" s="457">
        <f t="shared" ref="AJ177:AJ182" ca="1" si="277">IF(AE177&gt;1,(B177-0.5)*G177,B177*G177)</f>
        <v>0</v>
      </c>
      <c r="AK177" s="457">
        <f t="shared" ref="AK177:AK182" ca="1" si="278">ROUND(SUM(AG177:AJ177)*AF177,0)</f>
        <v>0</v>
      </c>
      <c r="AL177" s="718">
        <f t="shared" ref="AL177:AL182" ca="1" si="279">AF177*(L177+Q177)</f>
        <v>0</v>
      </c>
      <c r="AM177" s="457">
        <f t="shared" ref="AM177:AM182" ca="1" si="280">AK177+AL177</f>
        <v>0</v>
      </c>
    </row>
    <row r="178" spans="1:67" x14ac:dyDescent="0.25">
      <c r="A178" s="99">
        <v>2</v>
      </c>
      <c r="B178" s="108">
        <f>IF('DATA INPUT'!$J$79&gt;=1,'DATA INPUT'!$E$79,0)</f>
        <v>0</v>
      </c>
      <c r="C178" s="108">
        <f t="shared" si="259"/>
        <v>0</v>
      </c>
      <c r="D178" s="108">
        <f ca="1">OFFSET('DATA INPUT'!$D$68,OFFSET($A$4,INT((ROW()-ROW($A$4))/15)*15,0)-1,0)</f>
        <v>0</v>
      </c>
      <c r="E178" s="108">
        <f ca="1">OFFSET('DATA INPUT'!$I$68,OFFSET($A$4,INT((ROW()-ROW($A$4))/15)*15,0)-1,A178-1)</f>
        <v>0</v>
      </c>
      <c r="F178" s="108">
        <f t="shared" ca="1" si="260"/>
        <v>0</v>
      </c>
      <c r="G178" s="457">
        <f t="shared" ref="G178:J182" ca="1" si="281">(G177*$I$171)+G177</f>
        <v>0</v>
      </c>
      <c r="H178" s="457">
        <f t="shared" ca="1" si="281"/>
        <v>0</v>
      </c>
      <c r="I178" s="457">
        <f t="shared" ca="1" si="281"/>
        <v>0</v>
      </c>
      <c r="J178" s="457">
        <f t="shared" si="281"/>
        <v>257.5</v>
      </c>
      <c r="K178" s="457">
        <f t="shared" ca="1" si="261"/>
        <v>0</v>
      </c>
      <c r="L178" s="457">
        <f>(L177*$I$66)+L177</f>
        <v>0</v>
      </c>
      <c r="M178" s="1540">
        <f t="shared" si="262"/>
        <v>0</v>
      </c>
      <c r="N178" s="1541">
        <f t="shared" ca="1" si="263"/>
        <v>0</v>
      </c>
      <c r="O178" s="672">
        <f t="shared" si="264"/>
        <v>2</v>
      </c>
      <c r="P178" s="1489">
        <f t="shared" ca="1" si="265"/>
        <v>0</v>
      </c>
      <c r="Q178" s="1489">
        <f>(Q177*$I$66)+Q177</f>
        <v>0</v>
      </c>
      <c r="S178" s="99">
        <v>2</v>
      </c>
      <c r="T178" s="108">
        <f t="shared" si="266"/>
        <v>0</v>
      </c>
      <c r="U178" s="2520">
        <f t="shared" ca="1" si="267"/>
        <v>0</v>
      </c>
      <c r="V178" s="2520">
        <f t="shared" ca="1" si="268"/>
        <v>0</v>
      </c>
      <c r="W178" s="2520">
        <f t="shared" ca="1" si="269"/>
        <v>0</v>
      </c>
      <c r="X178" s="2520">
        <f t="shared" si="269"/>
        <v>257.5</v>
      </c>
      <c r="Y178" s="2520">
        <f t="shared" si="270"/>
        <v>0</v>
      </c>
      <c r="Z178" s="2523">
        <f t="shared" si="270"/>
        <v>0</v>
      </c>
      <c r="AA178" s="108">
        <f t="shared" ca="1" si="271"/>
        <v>0</v>
      </c>
      <c r="AB178" s="2526">
        <f t="shared" ca="1" si="272"/>
        <v>0</v>
      </c>
      <c r="AD178" s="505">
        <v>2</v>
      </c>
      <c r="AE178" s="2539">
        <f t="shared" si="273"/>
        <v>0</v>
      </c>
      <c r="AF178" s="2539">
        <f t="shared" ca="1" si="274"/>
        <v>0</v>
      </c>
      <c r="AG178" s="457">
        <f t="shared" ca="1" si="275"/>
        <v>0</v>
      </c>
      <c r="AH178" s="457">
        <f t="shared" ca="1" si="276"/>
        <v>0</v>
      </c>
      <c r="AI178" s="457">
        <f t="shared" si="276"/>
        <v>257.5</v>
      </c>
      <c r="AJ178" s="457">
        <f t="shared" ca="1" si="277"/>
        <v>0</v>
      </c>
      <c r="AK178" s="457">
        <f t="shared" ca="1" si="278"/>
        <v>0</v>
      </c>
      <c r="AL178" s="718">
        <f t="shared" ca="1" si="279"/>
        <v>0</v>
      </c>
      <c r="AM178" s="457">
        <f t="shared" ca="1" si="280"/>
        <v>0</v>
      </c>
    </row>
    <row r="179" spans="1:67" x14ac:dyDescent="0.25">
      <c r="A179" s="652">
        <v>3</v>
      </c>
      <c r="B179" s="108">
        <f>IF('DATA INPUT'!$K$79&gt;=1,'DATA INPUT'!$E$79,0)</f>
        <v>0</v>
      </c>
      <c r="C179" s="108">
        <f t="shared" si="259"/>
        <v>0</v>
      </c>
      <c r="D179" s="108">
        <f ca="1">OFFSET('DATA INPUT'!$D$68,OFFSET($A$4,INT((ROW()-ROW($A$4))/15)*15,0)-1,0)</f>
        <v>0</v>
      </c>
      <c r="E179" s="108">
        <f ca="1">OFFSET('DATA INPUT'!$I$68,OFFSET($A$4,INT((ROW()-ROW($A$4))/15)*15,0)-1,A179-1)</f>
        <v>0</v>
      </c>
      <c r="F179" s="108">
        <f t="shared" ca="1" si="260"/>
        <v>0</v>
      </c>
      <c r="G179" s="457">
        <f t="shared" ca="1" si="281"/>
        <v>0</v>
      </c>
      <c r="H179" s="457">
        <f t="shared" ca="1" si="281"/>
        <v>0</v>
      </c>
      <c r="I179" s="457">
        <f t="shared" ca="1" si="281"/>
        <v>0</v>
      </c>
      <c r="J179" s="457">
        <f t="shared" si="281"/>
        <v>265.22500000000002</v>
      </c>
      <c r="K179" s="457">
        <f t="shared" ca="1" si="261"/>
        <v>0</v>
      </c>
      <c r="L179" s="457">
        <f>(L178*$I$66)+L178</f>
        <v>0</v>
      </c>
      <c r="M179" s="1540">
        <f t="shared" si="262"/>
        <v>0</v>
      </c>
      <c r="N179" s="1541">
        <f t="shared" ca="1" si="263"/>
        <v>0</v>
      </c>
      <c r="O179" s="672">
        <f t="shared" si="264"/>
        <v>3</v>
      </c>
      <c r="P179" s="1489">
        <f t="shared" ca="1" si="265"/>
        <v>0</v>
      </c>
      <c r="Q179" s="1489">
        <f>(Q178*$I$66)+Q178</f>
        <v>0</v>
      </c>
      <c r="S179" s="652">
        <v>3</v>
      </c>
      <c r="T179" s="108">
        <f t="shared" si="266"/>
        <v>0</v>
      </c>
      <c r="U179" s="2520">
        <f t="shared" ca="1" si="267"/>
        <v>0</v>
      </c>
      <c r="V179" s="2520">
        <f t="shared" ca="1" si="268"/>
        <v>0</v>
      </c>
      <c r="W179" s="2520">
        <f t="shared" ca="1" si="269"/>
        <v>0</v>
      </c>
      <c r="X179" s="2520">
        <f t="shared" si="269"/>
        <v>265.22500000000002</v>
      </c>
      <c r="Y179" s="2520">
        <f t="shared" si="270"/>
        <v>0</v>
      </c>
      <c r="Z179" s="2523">
        <f t="shared" si="270"/>
        <v>0</v>
      </c>
      <c r="AA179" s="108">
        <f t="shared" ca="1" si="271"/>
        <v>0</v>
      </c>
      <c r="AB179" s="2526">
        <f t="shared" ca="1" si="272"/>
        <v>0</v>
      </c>
      <c r="AD179" s="505">
        <v>3</v>
      </c>
      <c r="AE179" s="2539">
        <f t="shared" si="273"/>
        <v>0</v>
      </c>
      <c r="AF179" s="2539">
        <f t="shared" ca="1" si="274"/>
        <v>0</v>
      </c>
      <c r="AG179" s="457">
        <f t="shared" ca="1" si="275"/>
        <v>0</v>
      </c>
      <c r="AH179" s="457">
        <f t="shared" ca="1" si="276"/>
        <v>0</v>
      </c>
      <c r="AI179" s="457">
        <f t="shared" si="276"/>
        <v>265.22500000000002</v>
      </c>
      <c r="AJ179" s="457">
        <f t="shared" ca="1" si="277"/>
        <v>0</v>
      </c>
      <c r="AK179" s="457">
        <f t="shared" ca="1" si="278"/>
        <v>0</v>
      </c>
      <c r="AL179" s="718">
        <f t="shared" ca="1" si="279"/>
        <v>0</v>
      </c>
      <c r="AM179" s="457">
        <f t="shared" ca="1" si="280"/>
        <v>0</v>
      </c>
    </row>
    <row r="180" spans="1:67" x14ac:dyDescent="0.25">
      <c r="A180" s="99">
        <v>4</v>
      </c>
      <c r="B180" s="108">
        <f>IF('DATA INPUT'!$L$79&gt;=1,'DATA INPUT'!$E$79,0)</f>
        <v>0</v>
      </c>
      <c r="C180" s="108">
        <f t="shared" si="259"/>
        <v>0</v>
      </c>
      <c r="D180" s="108">
        <f ca="1">OFFSET('DATA INPUT'!$D$68,OFFSET($A$4,INT((ROW()-ROW($A$4))/15)*15,0)-1,0)</f>
        <v>0</v>
      </c>
      <c r="E180" s="108">
        <f ca="1">OFFSET('DATA INPUT'!$I$68,OFFSET($A$4,INT((ROW()-ROW($A$4))/15)*15,0)-1,A180-1)</f>
        <v>0</v>
      </c>
      <c r="F180" s="108">
        <f t="shared" ca="1" si="260"/>
        <v>0</v>
      </c>
      <c r="G180" s="457">
        <f t="shared" ca="1" si="281"/>
        <v>0</v>
      </c>
      <c r="H180" s="457">
        <f t="shared" ca="1" si="281"/>
        <v>0</v>
      </c>
      <c r="I180" s="457">
        <f t="shared" ca="1" si="281"/>
        <v>0</v>
      </c>
      <c r="J180" s="457">
        <f t="shared" si="281"/>
        <v>273.18175000000002</v>
      </c>
      <c r="K180" s="457">
        <f t="shared" ca="1" si="261"/>
        <v>0</v>
      </c>
      <c r="L180" s="457">
        <f>(L179*$I$66)+L179</f>
        <v>0</v>
      </c>
      <c r="M180" s="1540">
        <f t="shared" si="262"/>
        <v>0</v>
      </c>
      <c r="N180" s="1541">
        <f t="shared" ca="1" si="263"/>
        <v>0</v>
      </c>
      <c r="O180" s="672">
        <f t="shared" si="264"/>
        <v>4</v>
      </c>
      <c r="P180" s="1489">
        <f t="shared" ca="1" si="265"/>
        <v>0</v>
      </c>
      <c r="Q180" s="1489">
        <f>(Q179*$I$66)+Q179</f>
        <v>0</v>
      </c>
      <c r="S180" s="99">
        <v>4</v>
      </c>
      <c r="T180" s="108">
        <f t="shared" si="266"/>
        <v>0</v>
      </c>
      <c r="U180" s="2520">
        <f t="shared" ca="1" si="267"/>
        <v>0</v>
      </c>
      <c r="V180" s="2520">
        <f t="shared" ca="1" si="268"/>
        <v>0</v>
      </c>
      <c r="W180" s="2520">
        <f t="shared" ca="1" si="269"/>
        <v>0</v>
      </c>
      <c r="X180" s="2520">
        <f t="shared" si="269"/>
        <v>273.18175000000002</v>
      </c>
      <c r="Y180" s="2520">
        <f t="shared" si="270"/>
        <v>0</v>
      </c>
      <c r="Z180" s="2523">
        <f t="shared" si="270"/>
        <v>0</v>
      </c>
      <c r="AA180" s="108">
        <f t="shared" ca="1" si="271"/>
        <v>0</v>
      </c>
      <c r="AB180" s="2526">
        <f t="shared" ca="1" si="272"/>
        <v>0</v>
      </c>
      <c r="AD180" s="505">
        <v>4</v>
      </c>
      <c r="AE180" s="2539">
        <f t="shared" si="273"/>
        <v>0</v>
      </c>
      <c r="AF180" s="2539">
        <f t="shared" ca="1" si="274"/>
        <v>0</v>
      </c>
      <c r="AG180" s="457">
        <f t="shared" ca="1" si="275"/>
        <v>0</v>
      </c>
      <c r="AH180" s="457">
        <f t="shared" ca="1" si="276"/>
        <v>0</v>
      </c>
      <c r="AI180" s="457">
        <f t="shared" si="276"/>
        <v>273.18175000000002</v>
      </c>
      <c r="AJ180" s="457">
        <f t="shared" ca="1" si="277"/>
        <v>0</v>
      </c>
      <c r="AK180" s="457">
        <f t="shared" ca="1" si="278"/>
        <v>0</v>
      </c>
      <c r="AL180" s="718">
        <f t="shared" ca="1" si="279"/>
        <v>0</v>
      </c>
      <c r="AM180" s="457">
        <f t="shared" ca="1" si="280"/>
        <v>0</v>
      </c>
    </row>
    <row r="181" spans="1:67" x14ac:dyDescent="0.25">
      <c r="A181" s="99">
        <v>5</v>
      </c>
      <c r="B181" s="108">
        <f>IF('DATA INPUT'!$M$79&gt;=1,'DATA INPUT'!$E$79,0)</f>
        <v>0</v>
      </c>
      <c r="C181" s="108">
        <f t="shared" si="259"/>
        <v>0</v>
      </c>
      <c r="D181" s="108">
        <f ca="1">OFFSET('DATA INPUT'!$D$68,OFFSET($A$4,INT((ROW()-ROW($A$4))/15)*15,0)-1,0)</f>
        <v>0</v>
      </c>
      <c r="E181" s="108">
        <f ca="1">OFFSET('DATA INPUT'!$I$68,OFFSET($A$4,INT((ROW()-ROW($A$4))/15)*15,0)-1,A181-1)</f>
        <v>0</v>
      </c>
      <c r="F181" s="108">
        <f t="shared" ca="1" si="260"/>
        <v>0</v>
      </c>
      <c r="G181" s="457">
        <f t="shared" ca="1" si="281"/>
        <v>0</v>
      </c>
      <c r="H181" s="457">
        <f t="shared" ca="1" si="281"/>
        <v>0</v>
      </c>
      <c r="I181" s="457">
        <f t="shared" ca="1" si="281"/>
        <v>0</v>
      </c>
      <c r="J181" s="457">
        <f t="shared" si="281"/>
        <v>281.37720250000001</v>
      </c>
      <c r="K181" s="457">
        <f t="shared" ca="1" si="261"/>
        <v>0</v>
      </c>
      <c r="L181" s="457">
        <f>(L180*$I$66)+L180</f>
        <v>0</v>
      </c>
      <c r="M181" s="1540">
        <f t="shared" si="262"/>
        <v>0</v>
      </c>
      <c r="N181" s="1541">
        <f t="shared" ca="1" si="263"/>
        <v>0</v>
      </c>
      <c r="O181" s="672">
        <f t="shared" si="264"/>
        <v>5</v>
      </c>
      <c r="P181" s="1489">
        <f t="shared" ca="1" si="265"/>
        <v>0</v>
      </c>
      <c r="Q181" s="1489">
        <f>(Q180*$I$66)+Q180</f>
        <v>0</v>
      </c>
      <c r="S181" s="99">
        <v>5</v>
      </c>
      <c r="T181" s="108">
        <f t="shared" si="266"/>
        <v>0</v>
      </c>
      <c r="U181" s="2520">
        <f t="shared" ca="1" si="267"/>
        <v>0</v>
      </c>
      <c r="V181" s="2520">
        <f t="shared" ca="1" si="268"/>
        <v>0</v>
      </c>
      <c r="W181" s="2520">
        <f t="shared" ca="1" si="269"/>
        <v>0</v>
      </c>
      <c r="X181" s="2520">
        <f t="shared" si="269"/>
        <v>281.37720250000001</v>
      </c>
      <c r="Y181" s="2520">
        <f t="shared" si="270"/>
        <v>0</v>
      </c>
      <c r="Z181" s="2523">
        <f t="shared" si="270"/>
        <v>0</v>
      </c>
      <c r="AA181" s="108">
        <f t="shared" ca="1" si="271"/>
        <v>0</v>
      </c>
      <c r="AB181" s="2526">
        <f t="shared" ca="1" si="272"/>
        <v>0</v>
      </c>
      <c r="AD181" s="505">
        <v>5</v>
      </c>
      <c r="AE181" s="2539">
        <f t="shared" si="273"/>
        <v>0</v>
      </c>
      <c r="AF181" s="2539">
        <f t="shared" ca="1" si="274"/>
        <v>0</v>
      </c>
      <c r="AG181" s="457">
        <f t="shared" ca="1" si="275"/>
        <v>0</v>
      </c>
      <c r="AH181" s="457">
        <f t="shared" ca="1" si="276"/>
        <v>0</v>
      </c>
      <c r="AI181" s="457">
        <f t="shared" si="276"/>
        <v>281.37720250000001</v>
      </c>
      <c r="AJ181" s="457">
        <f t="shared" ca="1" si="277"/>
        <v>0</v>
      </c>
      <c r="AK181" s="457">
        <f t="shared" ca="1" si="278"/>
        <v>0</v>
      </c>
      <c r="AL181" s="718">
        <f t="shared" ca="1" si="279"/>
        <v>0</v>
      </c>
      <c r="AM181" s="457">
        <f t="shared" ca="1" si="280"/>
        <v>0</v>
      </c>
    </row>
    <row r="182" spans="1:67" ht="15.75" thickBot="1" x14ac:dyDescent="0.3">
      <c r="A182" s="98">
        <v>6</v>
      </c>
      <c r="B182" s="758">
        <f>IF('DATA INPUT'!$N$79&gt;=1,'DATA INPUT'!$E$79,0)</f>
        <v>0</v>
      </c>
      <c r="C182" s="758">
        <f t="shared" si="259"/>
        <v>0</v>
      </c>
      <c r="D182" s="109">
        <f ca="1">OFFSET('DATA INPUT'!$D$68,OFFSET($A$4,INT((ROW()-ROW($A$4))/15)*15,0)-1,0)</f>
        <v>0</v>
      </c>
      <c r="E182" s="109">
        <f ca="1">OFFSET('DATA INPUT'!$I$68,OFFSET($A$4,INT((ROW()-ROW($A$4))/15)*15,0)-1,A182-1)</f>
        <v>0</v>
      </c>
      <c r="F182" s="758">
        <f t="shared" ca="1" si="260"/>
        <v>0</v>
      </c>
      <c r="G182" s="457">
        <f t="shared" ca="1" si="281"/>
        <v>0</v>
      </c>
      <c r="H182" s="457">
        <f t="shared" ca="1" si="281"/>
        <v>0</v>
      </c>
      <c r="I182" s="457">
        <f t="shared" ca="1" si="281"/>
        <v>0</v>
      </c>
      <c r="J182" s="457">
        <f t="shared" si="281"/>
        <v>289.81851857499998</v>
      </c>
      <c r="K182" s="495">
        <f t="shared" ca="1" si="261"/>
        <v>0</v>
      </c>
      <c r="L182" s="495">
        <f>(L181*$I$66)+L181</f>
        <v>0</v>
      </c>
      <c r="M182" s="1550">
        <f t="shared" si="262"/>
        <v>0</v>
      </c>
      <c r="N182" s="1551">
        <f t="shared" ca="1" si="263"/>
        <v>0</v>
      </c>
      <c r="O182" s="672">
        <f t="shared" si="264"/>
        <v>6</v>
      </c>
      <c r="P182" s="1513">
        <f t="shared" ca="1" si="265"/>
        <v>0</v>
      </c>
      <c r="Q182" s="1513">
        <f>(Q181*$I$66)+Q181</f>
        <v>0</v>
      </c>
      <c r="S182" s="98">
        <v>6</v>
      </c>
      <c r="T182" s="109">
        <f t="shared" si="266"/>
        <v>0</v>
      </c>
      <c r="U182" s="2521">
        <f t="shared" ca="1" si="267"/>
        <v>0</v>
      </c>
      <c r="V182" s="2521">
        <f t="shared" ca="1" si="268"/>
        <v>0</v>
      </c>
      <c r="W182" s="2521">
        <f t="shared" ca="1" si="269"/>
        <v>0</v>
      </c>
      <c r="X182" s="2521">
        <f t="shared" si="269"/>
        <v>289.81851857499998</v>
      </c>
      <c r="Y182" s="2521">
        <f t="shared" si="270"/>
        <v>0</v>
      </c>
      <c r="Z182" s="2524">
        <f t="shared" si="270"/>
        <v>0</v>
      </c>
      <c r="AA182" s="109">
        <f t="shared" ca="1" si="271"/>
        <v>0</v>
      </c>
      <c r="AB182" s="2527">
        <f t="shared" ca="1" si="272"/>
        <v>0</v>
      </c>
      <c r="AD182" s="505">
        <v>6</v>
      </c>
      <c r="AE182" s="2539">
        <f t="shared" si="273"/>
        <v>0</v>
      </c>
      <c r="AF182" s="2539">
        <f t="shared" ca="1" si="274"/>
        <v>0</v>
      </c>
      <c r="AG182" s="457">
        <f t="shared" ca="1" si="275"/>
        <v>0</v>
      </c>
      <c r="AH182" s="457">
        <f t="shared" ca="1" si="276"/>
        <v>0</v>
      </c>
      <c r="AI182" s="457">
        <f t="shared" si="276"/>
        <v>289.81851857499998</v>
      </c>
      <c r="AJ182" s="457">
        <f t="shared" ca="1" si="277"/>
        <v>0</v>
      </c>
      <c r="AK182" s="457">
        <f t="shared" ca="1" si="278"/>
        <v>0</v>
      </c>
      <c r="AL182" s="718">
        <f t="shared" ca="1" si="279"/>
        <v>0</v>
      </c>
      <c r="AM182" s="457">
        <f t="shared" ca="1" si="280"/>
        <v>0</v>
      </c>
    </row>
    <row r="183" spans="1:67" x14ac:dyDescent="0.25">
      <c r="A183" s="859"/>
      <c r="B183" s="668"/>
      <c r="C183" s="668"/>
      <c r="D183" s="668"/>
      <c r="E183" s="668"/>
      <c r="F183" s="668"/>
      <c r="G183" s="668"/>
      <c r="H183" s="668"/>
      <c r="I183" s="668"/>
      <c r="J183" s="668"/>
      <c r="K183" s="668"/>
      <c r="L183" s="668"/>
      <c r="M183" s="759" t="s">
        <v>300</v>
      </c>
      <c r="N183" s="1552">
        <f ca="1">SUM(N177:N182)</f>
        <v>0</v>
      </c>
      <c r="P183" s="60">
        <f ca="1">SUM(P177:P182)</f>
        <v>0</v>
      </c>
      <c r="Q183" s="60"/>
    </row>
    <row r="184" spans="1:67" ht="24" thickBot="1" x14ac:dyDescent="0.4">
      <c r="A184" s="1599">
        <f>A169+1</f>
        <v>13</v>
      </c>
      <c r="N184" s="2449" t="str">
        <f>IF(L170="Yes",N183+P183,"")</f>
        <v/>
      </c>
      <c r="O184" s="2450" t="s">
        <v>756</v>
      </c>
    </row>
    <row r="185" spans="1:67" ht="15.75" thickBot="1" x14ac:dyDescent="0.3">
      <c r="A185" s="336" t="s">
        <v>120</v>
      </c>
      <c r="B185" s="3647">
        <f>'DATA INPUT'!B80</f>
        <v>0</v>
      </c>
      <c r="C185" s="3648"/>
      <c r="D185" s="3648"/>
      <c r="E185" s="3648"/>
      <c r="F185" s="3649"/>
      <c r="G185" s="336"/>
      <c r="H185" s="336" t="s">
        <v>376</v>
      </c>
      <c r="I185" s="806" t="str">
        <f ca="1">IF(B186=$T$6,'Reference Sheet'!$J$4, 'Reference Sheet'!$J$3)</f>
        <v>Domestic</v>
      </c>
      <c r="J185" s="3706" t="s">
        <v>515</v>
      </c>
      <c r="K185" s="3707"/>
      <c r="L185" s="1671">
        <f>'DATA INPUT'!$H$80</f>
        <v>0</v>
      </c>
      <c r="N185" s="10"/>
      <c r="O185" s="10"/>
      <c r="P185" s="10"/>
      <c r="Q185" s="10"/>
    </row>
    <row r="186" spans="1:67" x14ac:dyDescent="0.25">
      <c r="A186" s="336" t="s">
        <v>468</v>
      </c>
      <c r="B186" s="3647">
        <f ca="1">OFFSET('DATA INPUT'!$C$68,($A184-1),0)</f>
        <v>0</v>
      </c>
      <c r="C186" s="3648"/>
      <c r="D186" s="3648"/>
      <c r="E186" s="1655"/>
      <c r="F186" s="808"/>
      <c r="G186" s="336"/>
      <c r="H186" s="336" t="s">
        <v>371</v>
      </c>
      <c r="I186" s="807">
        <f>'Reference Sheet'!$L$8</f>
        <v>0.03</v>
      </c>
      <c r="J186" s="10"/>
      <c r="K186" s="10"/>
      <c r="L186" s="10"/>
      <c r="N186" s="10"/>
      <c r="O186" s="10"/>
      <c r="P186" s="10"/>
      <c r="Q186" s="10"/>
    </row>
    <row r="187" spans="1:67" x14ac:dyDescent="0.25">
      <c r="A187" s="336" t="s">
        <v>116</v>
      </c>
      <c r="B187" s="1557">
        <f ca="1">IF(B186=$T$3, $U$3,IF(B186=$T$4,$U$4,IF(B186=$T$5,$U$5,IF(B186=$T$6,$U$6,0))))</f>
        <v>0</v>
      </c>
      <c r="C187" s="336" t="s">
        <v>115</v>
      </c>
      <c r="D187" s="1557">
        <f ca="1">IF(B186=$T$3,$V$3,IF(B186=$T$4,$V$4,IF(B186=$T$5,$V$5,IF(B186=$T$6,$V$6,0))))</f>
        <v>0</v>
      </c>
      <c r="E187" s="336" t="s">
        <v>23</v>
      </c>
      <c r="F187" s="1557">
        <f ca="1">OFFSET('DATA INPUT'!$F$68,($A184-1),0)</f>
        <v>0</v>
      </c>
      <c r="G187" s="336" t="s">
        <v>118</v>
      </c>
      <c r="H187" s="1557">
        <v>250</v>
      </c>
      <c r="I187" s="336" t="s">
        <v>755</v>
      </c>
      <c r="J187" s="766">
        <v>0.13</v>
      </c>
      <c r="K187" s="337" t="s">
        <v>362</v>
      </c>
      <c r="L187" s="338">
        <f>'DATA INPUT'!$G$80</f>
        <v>0</v>
      </c>
      <c r="N187" s="10"/>
      <c r="S187" s="2551" t="s">
        <v>811</v>
      </c>
      <c r="T187" s="2551"/>
      <c r="U187" s="2551"/>
      <c r="V187" s="2551"/>
      <c r="W187" s="2551"/>
    </row>
    <row r="188" spans="1:67" ht="15.75" thickBot="1" x14ac:dyDescent="0.3">
      <c r="D188" s="110"/>
      <c r="N188" s="10"/>
      <c r="O188" s="10"/>
      <c r="P188" s="10"/>
      <c r="Q188" s="10"/>
      <c r="AD188" s="2541" t="s">
        <v>808</v>
      </c>
      <c r="AE188" s="2542"/>
      <c r="AF188" s="2542"/>
      <c r="AG188" s="2542"/>
      <c r="AH188" s="2542"/>
      <c r="BA188" t="s">
        <v>234</v>
      </c>
      <c r="BO188" t="s">
        <v>234</v>
      </c>
    </row>
    <row r="189" spans="1:67" ht="15.75" thickBot="1" x14ac:dyDescent="0.3">
      <c r="A189" s="3625">
        <f>B185</f>
        <v>0</v>
      </c>
      <c r="B189" s="3626"/>
      <c r="C189" s="3626"/>
      <c r="D189" s="3626"/>
      <c r="E189" s="3626"/>
      <c r="F189" s="3626"/>
      <c r="G189" s="3626"/>
      <c r="H189" s="3626"/>
      <c r="I189" s="3626"/>
      <c r="J189" s="3626"/>
      <c r="K189" s="3626"/>
      <c r="L189" s="3626"/>
      <c r="M189" s="3626"/>
      <c r="N189" s="3627"/>
      <c r="O189" s="10"/>
      <c r="P189" s="10"/>
      <c r="Q189" s="10"/>
      <c r="S189" s="2536">
        <f>A189</f>
        <v>0</v>
      </c>
      <c r="T189" s="2537"/>
      <c r="U189" s="2537"/>
      <c r="V189" s="2537"/>
      <c r="W189" s="2537"/>
      <c r="X189" s="2537"/>
      <c r="Y189" s="2537"/>
      <c r="Z189" s="2537"/>
      <c r="AA189" s="2537"/>
      <c r="AB189" s="2538"/>
      <c r="AG189" s="2550" t="s">
        <v>809</v>
      </c>
      <c r="AH189" s="2550"/>
      <c r="AI189" s="2550"/>
      <c r="AJ189" s="2550"/>
      <c r="AK189" s="19" t="s">
        <v>812</v>
      </c>
      <c r="AL189" s="2541" t="s">
        <v>807</v>
      </c>
    </row>
    <row r="190" spans="1:67" ht="14.45" customHeight="1" x14ac:dyDescent="0.25">
      <c r="A190" s="858" t="s">
        <v>659</v>
      </c>
      <c r="B190" s="3641" t="s">
        <v>117</v>
      </c>
      <c r="C190" s="3642"/>
      <c r="D190" s="3521" t="s">
        <v>363</v>
      </c>
      <c r="E190" s="3521" t="s">
        <v>364</v>
      </c>
      <c r="F190" s="3521" t="s">
        <v>365</v>
      </c>
      <c r="G190" s="3521" t="s">
        <v>116</v>
      </c>
      <c r="H190" s="3521" t="s">
        <v>115</v>
      </c>
      <c r="I190" s="3521" t="s">
        <v>23</v>
      </c>
      <c r="J190" s="3521" t="s">
        <v>114</v>
      </c>
      <c r="K190" s="3521" t="s">
        <v>366</v>
      </c>
      <c r="L190" s="3521" t="s">
        <v>122</v>
      </c>
      <c r="M190" s="3521" t="s">
        <v>298</v>
      </c>
      <c r="N190" s="3521" t="s">
        <v>113</v>
      </c>
      <c r="P190" s="3520" t="s">
        <v>661</v>
      </c>
      <c r="Q190" s="3520" t="s">
        <v>122</v>
      </c>
      <c r="S190" s="3677" t="s">
        <v>253</v>
      </c>
      <c r="T190" s="3675" t="s">
        <v>112</v>
      </c>
      <c r="U190" s="3675" t="s">
        <v>116</v>
      </c>
      <c r="V190" s="3675" t="s">
        <v>794</v>
      </c>
      <c r="W190" s="3675" t="s">
        <v>23</v>
      </c>
      <c r="X190" s="3675" t="s">
        <v>114</v>
      </c>
      <c r="Y190" s="3675" t="s">
        <v>122</v>
      </c>
      <c r="Z190" s="3675" t="s">
        <v>795</v>
      </c>
      <c r="AA190" s="3675" t="s">
        <v>800</v>
      </c>
      <c r="AB190" s="3673" t="s">
        <v>796</v>
      </c>
      <c r="AD190" s="3679" t="s">
        <v>253</v>
      </c>
      <c r="AE190" s="3679" t="s">
        <v>112</v>
      </c>
      <c r="AF190" s="3679" t="s">
        <v>802</v>
      </c>
      <c r="AG190" s="3679" t="s">
        <v>803</v>
      </c>
      <c r="AH190" s="3679" t="s">
        <v>804</v>
      </c>
      <c r="AI190" s="3679" t="s">
        <v>805</v>
      </c>
      <c r="AJ190" s="3679" t="s">
        <v>116</v>
      </c>
      <c r="AK190" s="3710" t="s">
        <v>801</v>
      </c>
      <c r="AL190" s="3680" t="s">
        <v>806</v>
      </c>
      <c r="AM190" s="3710" t="s">
        <v>796</v>
      </c>
    </row>
    <row r="191" spans="1:67" ht="15" customHeight="1" thickBot="1" x14ac:dyDescent="0.3">
      <c r="A191" s="858" t="s">
        <v>660</v>
      </c>
      <c r="B191" s="1652" t="s">
        <v>112</v>
      </c>
      <c r="C191" s="763" t="s">
        <v>111</v>
      </c>
      <c r="D191" s="3522"/>
      <c r="E191" s="3522"/>
      <c r="F191" s="3522"/>
      <c r="G191" s="3522"/>
      <c r="H191" s="3522"/>
      <c r="I191" s="3522"/>
      <c r="J191" s="3522"/>
      <c r="K191" s="3522"/>
      <c r="L191" s="3522"/>
      <c r="M191" s="3522"/>
      <c r="N191" s="3522"/>
      <c r="P191" s="3522"/>
      <c r="Q191" s="3522"/>
      <c r="S191" s="3678"/>
      <c r="T191" s="3676"/>
      <c r="U191" s="3676"/>
      <c r="V191" s="3676"/>
      <c r="W191" s="3676"/>
      <c r="X191" s="3676"/>
      <c r="Y191" s="3676"/>
      <c r="Z191" s="3676"/>
      <c r="AA191" s="3676"/>
      <c r="AB191" s="3674"/>
      <c r="AD191" s="3679"/>
      <c r="AE191" s="3679"/>
      <c r="AF191" s="3679"/>
      <c r="AG191" s="3679"/>
      <c r="AH191" s="3679"/>
      <c r="AI191" s="3679"/>
      <c r="AJ191" s="3679"/>
      <c r="AK191" s="3710"/>
      <c r="AL191" s="3680"/>
      <c r="AM191" s="3710"/>
      <c r="AQ191" s="10"/>
      <c r="AR191" s="10"/>
    </row>
    <row r="192" spans="1:67" x14ac:dyDescent="0.25">
      <c r="A192" s="651">
        <v>1</v>
      </c>
      <c r="B192" s="105">
        <f>IF('DATA INPUT'!$I$80&gt;=1,'DATA INPUT'!$E$80,0)</f>
        <v>0</v>
      </c>
      <c r="C192" s="106">
        <f t="shared" ref="C192:C197" si="282">IF(B192&gt;0,B192-1,0)</f>
        <v>0</v>
      </c>
      <c r="D192" s="106">
        <f ca="1">OFFSET('DATA INPUT'!$D$68,OFFSET($A$4,INT((ROW()-ROW($A$4))/15)*15,0)-1,0)</f>
        <v>0</v>
      </c>
      <c r="E192" s="106">
        <f ca="1">OFFSET('DATA INPUT'!$I$68,OFFSET($A$4,INT((ROW()-ROW($A$4))/15)*15,0)-1,A192-1)</f>
        <v>0</v>
      </c>
      <c r="F192" s="106">
        <f t="shared" ref="F192:F197" ca="1" si="283">E192*D192</f>
        <v>0</v>
      </c>
      <c r="G192" s="492">
        <f ca="1">B187</f>
        <v>0</v>
      </c>
      <c r="H192" s="492">
        <f ca="1">D187</f>
        <v>0</v>
      </c>
      <c r="I192" s="492">
        <f ca="1">F187</f>
        <v>0</v>
      </c>
      <c r="J192" s="492">
        <f>H187</f>
        <v>250</v>
      </c>
      <c r="K192" s="492">
        <f t="shared" ref="K192:K197" ca="1" si="284" xml:space="preserve"> H192*C192*$J$82</f>
        <v>0</v>
      </c>
      <c r="L192" s="492">
        <f>IF(L185="Yes",0,L187)</f>
        <v>0</v>
      </c>
      <c r="M192" s="1539">
        <f t="shared" ref="M192:M197" si="285">IF(B192&lt;1,0,(IF(C192=0,SUM(I192:L192),((B192-0.5)*G192+C192*H192+SUM(I192:L192)))))</f>
        <v>0</v>
      </c>
      <c r="N192" s="1500">
        <f t="shared" ref="N192:N197" ca="1" si="286">F192*M192</f>
        <v>0</v>
      </c>
      <c r="O192" s="672">
        <f t="shared" ref="O192:O197" si="287">A192</f>
        <v>1</v>
      </c>
      <c r="P192" s="1657">
        <f t="shared" ref="P192:P197" ca="1" si="288">Q192*F192</f>
        <v>0</v>
      </c>
      <c r="Q192" s="1657">
        <f>IF(L185="Yes",L187,0)</f>
        <v>0</v>
      </c>
      <c r="S192" s="651">
        <v>1</v>
      </c>
      <c r="T192" s="106">
        <f t="shared" ref="T192:T197" si="289">B192</f>
        <v>0</v>
      </c>
      <c r="U192" s="2519">
        <f t="shared" ref="U192:U197" ca="1" si="290">G192</f>
        <v>0</v>
      </c>
      <c r="V192" s="2519">
        <f t="shared" ref="V192:V197" ca="1" si="291">IFERROR(H192+K192/C192,0)</f>
        <v>0</v>
      </c>
      <c r="W192" s="2519">
        <f t="shared" ref="W192:X197" ca="1" si="292">I192</f>
        <v>0</v>
      </c>
      <c r="X192" s="2519">
        <f t="shared" si="292"/>
        <v>250</v>
      </c>
      <c r="Y192" s="2519">
        <f t="shared" ref="Y192:Z197" si="293">L192</f>
        <v>0</v>
      </c>
      <c r="Z192" s="2522">
        <f t="shared" si="293"/>
        <v>0</v>
      </c>
      <c r="AA192" s="106">
        <f t="shared" ref="AA192:AA197" ca="1" si="294">F192</f>
        <v>0</v>
      </c>
      <c r="AB192" s="2525">
        <f t="shared" ref="AB192:AB197" ca="1" si="295">N192</f>
        <v>0</v>
      </c>
      <c r="AD192" s="505">
        <v>1</v>
      </c>
      <c r="AE192" s="2539">
        <f t="shared" ref="AE192:AE197" si="296">B192</f>
        <v>0</v>
      </c>
      <c r="AF192" s="2539">
        <f t="shared" ref="AF192:AF197" ca="1" si="297">F192</f>
        <v>0</v>
      </c>
      <c r="AG192" s="457">
        <f t="shared" ref="AG192:AG197" ca="1" si="298">C192*H192+K192</f>
        <v>0</v>
      </c>
      <c r="AH192" s="457">
        <f t="shared" ref="AH192:AI197" ca="1" si="299">I192</f>
        <v>0</v>
      </c>
      <c r="AI192" s="457">
        <f t="shared" si="299"/>
        <v>250</v>
      </c>
      <c r="AJ192" s="457">
        <f t="shared" ref="AJ192:AJ197" ca="1" si="300">IF(AE192&gt;1,(B192-0.5)*G192,B192*G192)</f>
        <v>0</v>
      </c>
      <c r="AK192" s="457">
        <f t="shared" ref="AK192:AK197" ca="1" si="301">ROUND(SUM(AG192:AJ192)*AF192,0)</f>
        <v>0</v>
      </c>
      <c r="AL192" s="718">
        <f t="shared" ref="AL192:AL197" ca="1" si="302">AF192*(L192+Q192)</f>
        <v>0</v>
      </c>
      <c r="AM192" s="457">
        <f t="shared" ref="AM192:AM197" ca="1" si="303">AK192+AL192</f>
        <v>0</v>
      </c>
      <c r="AQ192" s="10"/>
      <c r="AR192" s="10"/>
    </row>
    <row r="193" spans="1:45" x14ac:dyDescent="0.25">
      <c r="A193" s="99">
        <v>2</v>
      </c>
      <c r="B193" s="107">
        <f>IF('DATA INPUT'!$J$80&gt;=1,'DATA INPUT'!$E$80,0)</f>
        <v>0</v>
      </c>
      <c r="C193" s="108">
        <f t="shared" si="282"/>
        <v>0</v>
      </c>
      <c r="D193" s="108">
        <f ca="1">OFFSET('DATA INPUT'!$D$68,OFFSET($A$4,INT((ROW()-ROW($A$4))/15)*15,0)-1,0)</f>
        <v>0</v>
      </c>
      <c r="E193" s="108">
        <f ca="1">OFFSET('DATA INPUT'!$I$68,OFFSET($A$4,INT((ROW()-ROW($A$4))/15)*15,0)-1,A193-1)</f>
        <v>0</v>
      </c>
      <c r="F193" s="108">
        <f t="shared" ca="1" si="283"/>
        <v>0</v>
      </c>
      <c r="G193" s="457">
        <f t="shared" ref="G193:J197" ca="1" si="304">(G192*$I$186)+G192</f>
        <v>0</v>
      </c>
      <c r="H193" s="457">
        <f t="shared" ca="1" si="304"/>
        <v>0</v>
      </c>
      <c r="I193" s="457">
        <f t="shared" ca="1" si="304"/>
        <v>0</v>
      </c>
      <c r="J193" s="457">
        <f t="shared" si="304"/>
        <v>257.5</v>
      </c>
      <c r="K193" s="457">
        <f t="shared" ca="1" si="284"/>
        <v>0</v>
      </c>
      <c r="L193" s="457">
        <f>(L192*$I$81)+L192</f>
        <v>0</v>
      </c>
      <c r="M193" s="1540">
        <f t="shared" si="285"/>
        <v>0</v>
      </c>
      <c r="N193" s="1541">
        <f t="shared" ca="1" si="286"/>
        <v>0</v>
      </c>
      <c r="O193" s="672">
        <f t="shared" si="287"/>
        <v>2</v>
      </c>
      <c r="P193" s="1489">
        <f t="shared" ca="1" si="288"/>
        <v>0</v>
      </c>
      <c r="Q193" s="1489">
        <f>(Q192*$I$81)+Q192</f>
        <v>0</v>
      </c>
      <c r="S193" s="99">
        <v>2</v>
      </c>
      <c r="T193" s="108">
        <f t="shared" si="289"/>
        <v>0</v>
      </c>
      <c r="U193" s="2520">
        <f t="shared" ca="1" si="290"/>
        <v>0</v>
      </c>
      <c r="V193" s="2520">
        <f t="shared" ca="1" si="291"/>
        <v>0</v>
      </c>
      <c r="W193" s="2520">
        <f t="shared" ca="1" si="292"/>
        <v>0</v>
      </c>
      <c r="X193" s="2520">
        <f t="shared" si="292"/>
        <v>257.5</v>
      </c>
      <c r="Y193" s="2520">
        <f t="shared" si="293"/>
        <v>0</v>
      </c>
      <c r="Z193" s="2523">
        <f t="shared" si="293"/>
        <v>0</v>
      </c>
      <c r="AA193" s="108">
        <f t="shared" ca="1" si="294"/>
        <v>0</v>
      </c>
      <c r="AB193" s="2526">
        <f t="shared" ca="1" si="295"/>
        <v>0</v>
      </c>
      <c r="AD193" s="505">
        <v>2</v>
      </c>
      <c r="AE193" s="2539">
        <f t="shared" si="296"/>
        <v>0</v>
      </c>
      <c r="AF193" s="2539">
        <f t="shared" ca="1" si="297"/>
        <v>0</v>
      </c>
      <c r="AG193" s="457">
        <f t="shared" ca="1" si="298"/>
        <v>0</v>
      </c>
      <c r="AH193" s="457">
        <f t="shared" ca="1" si="299"/>
        <v>0</v>
      </c>
      <c r="AI193" s="457">
        <f t="shared" si="299"/>
        <v>257.5</v>
      </c>
      <c r="AJ193" s="457">
        <f t="shared" ca="1" si="300"/>
        <v>0</v>
      </c>
      <c r="AK193" s="457">
        <f t="shared" ca="1" si="301"/>
        <v>0</v>
      </c>
      <c r="AL193" s="718">
        <f t="shared" ca="1" si="302"/>
        <v>0</v>
      </c>
      <c r="AM193" s="457">
        <f t="shared" ca="1" si="303"/>
        <v>0</v>
      </c>
      <c r="AQ193" s="10"/>
      <c r="AR193" s="10"/>
    </row>
    <row r="194" spans="1:45" x14ac:dyDescent="0.25">
      <c r="A194" s="652">
        <v>3</v>
      </c>
      <c r="B194" s="107">
        <f>IF('DATA INPUT'!$K$80&gt;=1,'DATA INPUT'!$E$80,0)</f>
        <v>0</v>
      </c>
      <c r="C194" s="108">
        <f t="shared" si="282"/>
        <v>0</v>
      </c>
      <c r="D194" s="108">
        <f ca="1">OFFSET('DATA INPUT'!$D$68,OFFSET($A$4,INT((ROW()-ROW($A$4))/15)*15,0)-1,0)</f>
        <v>0</v>
      </c>
      <c r="E194" s="108">
        <f ca="1">OFFSET('DATA INPUT'!$I$68,OFFSET($A$4,INT((ROW()-ROW($A$4))/15)*15,0)-1,A194-1)</f>
        <v>0</v>
      </c>
      <c r="F194" s="108">
        <f t="shared" ca="1" si="283"/>
        <v>0</v>
      </c>
      <c r="G194" s="457">
        <f t="shared" ca="1" si="304"/>
        <v>0</v>
      </c>
      <c r="H194" s="457">
        <f t="shared" ca="1" si="304"/>
        <v>0</v>
      </c>
      <c r="I194" s="457">
        <f t="shared" ca="1" si="304"/>
        <v>0</v>
      </c>
      <c r="J194" s="457">
        <f t="shared" si="304"/>
        <v>265.22500000000002</v>
      </c>
      <c r="K194" s="457">
        <f t="shared" ca="1" si="284"/>
        <v>0</v>
      </c>
      <c r="L194" s="457">
        <f>(L193*$I$81)+L193</f>
        <v>0</v>
      </c>
      <c r="M194" s="1540">
        <f t="shared" si="285"/>
        <v>0</v>
      </c>
      <c r="N194" s="1541">
        <f t="shared" ca="1" si="286"/>
        <v>0</v>
      </c>
      <c r="O194" s="672">
        <f t="shared" si="287"/>
        <v>3</v>
      </c>
      <c r="P194" s="1489">
        <f t="shared" ca="1" si="288"/>
        <v>0</v>
      </c>
      <c r="Q194" s="1489">
        <f>(Q193*$I$81)+Q193</f>
        <v>0</v>
      </c>
      <c r="S194" s="652">
        <v>3</v>
      </c>
      <c r="T194" s="108">
        <f t="shared" si="289"/>
        <v>0</v>
      </c>
      <c r="U194" s="2520">
        <f t="shared" ca="1" si="290"/>
        <v>0</v>
      </c>
      <c r="V194" s="2520">
        <f t="shared" ca="1" si="291"/>
        <v>0</v>
      </c>
      <c r="W194" s="2520">
        <f t="shared" ca="1" si="292"/>
        <v>0</v>
      </c>
      <c r="X194" s="2520">
        <f t="shared" si="292"/>
        <v>265.22500000000002</v>
      </c>
      <c r="Y194" s="2520">
        <f t="shared" si="293"/>
        <v>0</v>
      </c>
      <c r="Z194" s="2523">
        <f t="shared" si="293"/>
        <v>0</v>
      </c>
      <c r="AA194" s="108">
        <f t="shared" ca="1" si="294"/>
        <v>0</v>
      </c>
      <c r="AB194" s="2526">
        <f t="shared" ca="1" si="295"/>
        <v>0</v>
      </c>
      <c r="AD194" s="505">
        <v>3</v>
      </c>
      <c r="AE194" s="2539">
        <f t="shared" si="296"/>
        <v>0</v>
      </c>
      <c r="AF194" s="2539">
        <f t="shared" ca="1" si="297"/>
        <v>0</v>
      </c>
      <c r="AG194" s="457">
        <f t="shared" ca="1" si="298"/>
        <v>0</v>
      </c>
      <c r="AH194" s="457">
        <f t="shared" ca="1" si="299"/>
        <v>0</v>
      </c>
      <c r="AI194" s="457">
        <f t="shared" si="299"/>
        <v>265.22500000000002</v>
      </c>
      <c r="AJ194" s="457">
        <f t="shared" ca="1" si="300"/>
        <v>0</v>
      </c>
      <c r="AK194" s="457">
        <f t="shared" ca="1" si="301"/>
        <v>0</v>
      </c>
      <c r="AL194" s="718">
        <f t="shared" ca="1" si="302"/>
        <v>0</v>
      </c>
      <c r="AM194" s="457">
        <f t="shared" ca="1" si="303"/>
        <v>0</v>
      </c>
      <c r="AQ194" s="10"/>
      <c r="AR194" s="10"/>
    </row>
    <row r="195" spans="1:45" x14ac:dyDescent="0.25">
      <c r="A195" s="99">
        <v>4</v>
      </c>
      <c r="B195" s="107">
        <f>IF('DATA INPUT'!$L$80&gt;=1,'DATA INPUT'!$E$80,0)</f>
        <v>0</v>
      </c>
      <c r="C195" s="108">
        <f t="shared" si="282"/>
        <v>0</v>
      </c>
      <c r="D195" s="108">
        <f ca="1">OFFSET('DATA INPUT'!$D$68,OFFSET($A$4,INT((ROW()-ROW($A$4))/15)*15,0)-1,0)</f>
        <v>0</v>
      </c>
      <c r="E195" s="108">
        <f ca="1">OFFSET('DATA INPUT'!$I$68,OFFSET($A$4,INT((ROW()-ROW($A$4))/15)*15,0)-1,A195-1)</f>
        <v>0</v>
      </c>
      <c r="F195" s="108">
        <f t="shared" ca="1" si="283"/>
        <v>0</v>
      </c>
      <c r="G195" s="457">
        <f t="shared" ca="1" si="304"/>
        <v>0</v>
      </c>
      <c r="H195" s="457">
        <f t="shared" ca="1" si="304"/>
        <v>0</v>
      </c>
      <c r="I195" s="457">
        <f t="shared" ca="1" si="304"/>
        <v>0</v>
      </c>
      <c r="J195" s="457">
        <f t="shared" si="304"/>
        <v>273.18175000000002</v>
      </c>
      <c r="K195" s="457">
        <f t="shared" ca="1" si="284"/>
        <v>0</v>
      </c>
      <c r="L195" s="457">
        <f>(L194*$I$81)+L194</f>
        <v>0</v>
      </c>
      <c r="M195" s="1540">
        <f t="shared" si="285"/>
        <v>0</v>
      </c>
      <c r="N195" s="1541">
        <f t="shared" ca="1" si="286"/>
        <v>0</v>
      </c>
      <c r="O195" s="672">
        <f t="shared" si="287"/>
        <v>4</v>
      </c>
      <c r="P195" s="1489">
        <f t="shared" ca="1" si="288"/>
        <v>0</v>
      </c>
      <c r="Q195" s="1489">
        <f>(Q194*$I$81)+Q194</f>
        <v>0</v>
      </c>
      <c r="S195" s="99">
        <v>4</v>
      </c>
      <c r="T195" s="108">
        <f t="shared" si="289"/>
        <v>0</v>
      </c>
      <c r="U195" s="2520">
        <f t="shared" ca="1" si="290"/>
        <v>0</v>
      </c>
      <c r="V195" s="2520">
        <f t="shared" ca="1" si="291"/>
        <v>0</v>
      </c>
      <c r="W195" s="2520">
        <f t="shared" ca="1" si="292"/>
        <v>0</v>
      </c>
      <c r="X195" s="2520">
        <f t="shared" si="292"/>
        <v>273.18175000000002</v>
      </c>
      <c r="Y195" s="2520">
        <f t="shared" si="293"/>
        <v>0</v>
      </c>
      <c r="Z195" s="2523">
        <f t="shared" si="293"/>
        <v>0</v>
      </c>
      <c r="AA195" s="108">
        <f t="shared" ca="1" si="294"/>
        <v>0</v>
      </c>
      <c r="AB195" s="2526">
        <f t="shared" ca="1" si="295"/>
        <v>0</v>
      </c>
      <c r="AD195" s="505">
        <v>4</v>
      </c>
      <c r="AE195" s="2539">
        <f t="shared" si="296"/>
        <v>0</v>
      </c>
      <c r="AF195" s="2539">
        <f t="shared" ca="1" si="297"/>
        <v>0</v>
      </c>
      <c r="AG195" s="457">
        <f t="shared" ca="1" si="298"/>
        <v>0</v>
      </c>
      <c r="AH195" s="457">
        <f t="shared" ca="1" si="299"/>
        <v>0</v>
      </c>
      <c r="AI195" s="457">
        <f t="shared" si="299"/>
        <v>273.18175000000002</v>
      </c>
      <c r="AJ195" s="457">
        <f t="shared" ca="1" si="300"/>
        <v>0</v>
      </c>
      <c r="AK195" s="457">
        <f t="shared" ca="1" si="301"/>
        <v>0</v>
      </c>
      <c r="AL195" s="718">
        <f t="shared" ca="1" si="302"/>
        <v>0</v>
      </c>
      <c r="AM195" s="457">
        <f t="shared" ca="1" si="303"/>
        <v>0</v>
      </c>
      <c r="AQ195" s="10"/>
      <c r="AR195" s="10"/>
    </row>
    <row r="196" spans="1:45" x14ac:dyDescent="0.25">
      <c r="A196" s="99">
        <v>5</v>
      </c>
      <c r="B196" s="107">
        <f>IF('DATA INPUT'!$M$80&gt;=1,'DATA INPUT'!$E$80,0)</f>
        <v>0</v>
      </c>
      <c r="C196" s="108">
        <f t="shared" si="282"/>
        <v>0</v>
      </c>
      <c r="D196" s="108">
        <f ca="1">OFFSET('DATA INPUT'!$D$68,OFFSET($A$4,INT((ROW()-ROW($A$4))/15)*15,0)-1,0)</f>
        <v>0</v>
      </c>
      <c r="E196" s="108">
        <f ca="1">OFFSET('DATA INPUT'!$I$68,OFFSET($A$4,INT((ROW()-ROW($A$4))/15)*15,0)-1,A196-1)</f>
        <v>0</v>
      </c>
      <c r="F196" s="108">
        <f t="shared" ca="1" si="283"/>
        <v>0</v>
      </c>
      <c r="G196" s="457">
        <f t="shared" ca="1" si="304"/>
        <v>0</v>
      </c>
      <c r="H196" s="457">
        <f t="shared" ca="1" si="304"/>
        <v>0</v>
      </c>
      <c r="I196" s="457">
        <f t="shared" ca="1" si="304"/>
        <v>0</v>
      </c>
      <c r="J196" s="457">
        <f t="shared" si="304"/>
        <v>281.37720250000001</v>
      </c>
      <c r="K196" s="457">
        <f t="shared" ca="1" si="284"/>
        <v>0</v>
      </c>
      <c r="L196" s="457">
        <f>(L195*$I$81)+L195</f>
        <v>0</v>
      </c>
      <c r="M196" s="1540">
        <f t="shared" si="285"/>
        <v>0</v>
      </c>
      <c r="N196" s="1541">
        <f t="shared" ca="1" si="286"/>
        <v>0</v>
      </c>
      <c r="O196" s="672">
        <f t="shared" si="287"/>
        <v>5</v>
      </c>
      <c r="P196" s="1489">
        <f t="shared" ca="1" si="288"/>
        <v>0</v>
      </c>
      <c r="Q196" s="1489">
        <f>(Q195*$I$81)+Q195</f>
        <v>0</v>
      </c>
      <c r="S196" s="99">
        <v>5</v>
      </c>
      <c r="T196" s="108">
        <f t="shared" si="289"/>
        <v>0</v>
      </c>
      <c r="U196" s="2520">
        <f t="shared" ca="1" si="290"/>
        <v>0</v>
      </c>
      <c r="V196" s="2520">
        <f t="shared" ca="1" si="291"/>
        <v>0</v>
      </c>
      <c r="W196" s="2520">
        <f t="shared" ca="1" si="292"/>
        <v>0</v>
      </c>
      <c r="X196" s="2520">
        <f t="shared" si="292"/>
        <v>281.37720250000001</v>
      </c>
      <c r="Y196" s="2520">
        <f t="shared" si="293"/>
        <v>0</v>
      </c>
      <c r="Z196" s="2523">
        <f t="shared" si="293"/>
        <v>0</v>
      </c>
      <c r="AA196" s="108">
        <f t="shared" ca="1" si="294"/>
        <v>0</v>
      </c>
      <c r="AB196" s="2526">
        <f t="shared" ca="1" si="295"/>
        <v>0</v>
      </c>
      <c r="AD196" s="505">
        <v>5</v>
      </c>
      <c r="AE196" s="2539">
        <f t="shared" si="296"/>
        <v>0</v>
      </c>
      <c r="AF196" s="2539">
        <f t="shared" ca="1" si="297"/>
        <v>0</v>
      </c>
      <c r="AG196" s="457">
        <f t="shared" ca="1" si="298"/>
        <v>0</v>
      </c>
      <c r="AH196" s="457">
        <f t="shared" ca="1" si="299"/>
        <v>0</v>
      </c>
      <c r="AI196" s="457">
        <f t="shared" si="299"/>
        <v>281.37720250000001</v>
      </c>
      <c r="AJ196" s="457">
        <f t="shared" ca="1" si="300"/>
        <v>0</v>
      </c>
      <c r="AK196" s="457">
        <f t="shared" ca="1" si="301"/>
        <v>0</v>
      </c>
      <c r="AL196" s="718">
        <f t="shared" ca="1" si="302"/>
        <v>0</v>
      </c>
      <c r="AM196" s="457">
        <f t="shared" ca="1" si="303"/>
        <v>0</v>
      </c>
      <c r="AQ196" s="10"/>
      <c r="AR196" s="10"/>
    </row>
    <row r="197" spans="1:45" ht="15.75" thickBot="1" x14ac:dyDescent="0.3">
      <c r="A197" s="98">
        <v>6</v>
      </c>
      <c r="B197" s="757">
        <f>IF('DATA INPUT'!$N$80&gt;=1,'DATA INPUT'!$E$80,0)</f>
        <v>0</v>
      </c>
      <c r="C197" s="758">
        <f t="shared" si="282"/>
        <v>0</v>
      </c>
      <c r="D197" s="109">
        <f ca="1">OFFSET('DATA INPUT'!$D$68,OFFSET($A$4,INT((ROW()-ROW($A$4))/15)*15,0)-1,0)</f>
        <v>0</v>
      </c>
      <c r="E197" s="109">
        <f ca="1">OFFSET('DATA INPUT'!$I$68,OFFSET($A$4,INT((ROW()-ROW($A$4))/15)*15,0)-1,A197-1)</f>
        <v>0</v>
      </c>
      <c r="F197" s="758">
        <f t="shared" ca="1" si="283"/>
        <v>0</v>
      </c>
      <c r="G197" s="457">
        <f t="shared" ca="1" si="304"/>
        <v>0</v>
      </c>
      <c r="H197" s="457">
        <f t="shared" ca="1" si="304"/>
        <v>0</v>
      </c>
      <c r="I197" s="457">
        <f t="shared" ca="1" si="304"/>
        <v>0</v>
      </c>
      <c r="J197" s="457">
        <f t="shared" si="304"/>
        <v>289.81851857499998</v>
      </c>
      <c r="K197" s="495">
        <f t="shared" ca="1" si="284"/>
        <v>0</v>
      </c>
      <c r="L197" s="495">
        <f>(L196*$I$81)+L196</f>
        <v>0</v>
      </c>
      <c r="M197" s="1550">
        <f t="shared" si="285"/>
        <v>0</v>
      </c>
      <c r="N197" s="1551">
        <f t="shared" ca="1" si="286"/>
        <v>0</v>
      </c>
      <c r="O197" s="672">
        <f t="shared" si="287"/>
        <v>6</v>
      </c>
      <c r="P197" s="1513">
        <f t="shared" ca="1" si="288"/>
        <v>0</v>
      </c>
      <c r="Q197" s="1513">
        <f>(Q196*$I$81)+Q196</f>
        <v>0</v>
      </c>
      <c r="S197" s="98">
        <v>6</v>
      </c>
      <c r="T197" s="109">
        <f t="shared" si="289"/>
        <v>0</v>
      </c>
      <c r="U197" s="2521">
        <f t="shared" ca="1" si="290"/>
        <v>0</v>
      </c>
      <c r="V197" s="2521">
        <f t="shared" ca="1" si="291"/>
        <v>0</v>
      </c>
      <c r="W197" s="2521">
        <f t="shared" ca="1" si="292"/>
        <v>0</v>
      </c>
      <c r="X197" s="2521">
        <f t="shared" si="292"/>
        <v>289.81851857499998</v>
      </c>
      <c r="Y197" s="2521">
        <f t="shared" si="293"/>
        <v>0</v>
      </c>
      <c r="Z197" s="2524">
        <f t="shared" si="293"/>
        <v>0</v>
      </c>
      <c r="AA197" s="109">
        <f t="shared" ca="1" si="294"/>
        <v>0</v>
      </c>
      <c r="AB197" s="2527">
        <f t="shared" ca="1" si="295"/>
        <v>0</v>
      </c>
      <c r="AD197" s="505">
        <v>6</v>
      </c>
      <c r="AE197" s="2539">
        <f t="shared" si="296"/>
        <v>0</v>
      </c>
      <c r="AF197" s="2539">
        <f t="shared" ca="1" si="297"/>
        <v>0</v>
      </c>
      <c r="AG197" s="457">
        <f t="shared" ca="1" si="298"/>
        <v>0</v>
      </c>
      <c r="AH197" s="457">
        <f t="shared" ca="1" si="299"/>
        <v>0</v>
      </c>
      <c r="AI197" s="457">
        <f t="shared" si="299"/>
        <v>289.81851857499998</v>
      </c>
      <c r="AJ197" s="457">
        <f t="shared" ca="1" si="300"/>
        <v>0</v>
      </c>
      <c r="AK197" s="457">
        <f t="shared" ca="1" si="301"/>
        <v>0</v>
      </c>
      <c r="AL197" s="718">
        <f t="shared" ca="1" si="302"/>
        <v>0</v>
      </c>
      <c r="AM197" s="457">
        <f t="shared" ca="1" si="303"/>
        <v>0</v>
      </c>
      <c r="AQ197" s="10"/>
      <c r="AR197" s="10"/>
    </row>
    <row r="198" spans="1:45" x14ac:dyDescent="0.25">
      <c r="A198" s="859"/>
      <c r="B198" s="668"/>
      <c r="C198" s="668"/>
      <c r="D198" s="668"/>
      <c r="E198" s="668"/>
      <c r="F198" s="668"/>
      <c r="G198" s="668"/>
      <c r="H198" s="668"/>
      <c r="I198" s="668"/>
      <c r="J198" s="668"/>
      <c r="K198" s="668"/>
      <c r="L198" s="668"/>
      <c r="M198" s="759" t="s">
        <v>300</v>
      </c>
      <c r="N198" s="1552">
        <f ca="1">SUM(N192:N197)</f>
        <v>0</v>
      </c>
      <c r="O198" s="10"/>
      <c r="P198" s="60">
        <f ca="1">SUM(P192:P197)</f>
        <v>0</v>
      </c>
      <c r="Q198" s="60"/>
      <c r="AQ198" s="10"/>
      <c r="AR198" s="10"/>
    </row>
    <row r="199" spans="1:45" ht="23.25" x14ac:dyDescent="0.35">
      <c r="A199" s="1599">
        <f>A184+1</f>
        <v>14</v>
      </c>
      <c r="N199" s="2449" t="str">
        <f>IF(L185="Yes",N198+P198,"")</f>
        <v/>
      </c>
      <c r="O199" s="2450" t="s">
        <v>756</v>
      </c>
      <c r="P199" s="10"/>
      <c r="Q199" s="10"/>
      <c r="AQ199" s="10"/>
      <c r="AR199" s="10"/>
    </row>
    <row r="200" spans="1:45" x14ac:dyDescent="0.25">
      <c r="A200" s="339" t="s">
        <v>120</v>
      </c>
      <c r="B200" s="3685">
        <f>'DATA INPUT'!B81</f>
        <v>0</v>
      </c>
      <c r="C200" s="3686"/>
      <c r="D200" s="3686"/>
      <c r="E200" s="3686"/>
      <c r="F200" s="3687"/>
      <c r="G200" s="339"/>
      <c r="H200" s="339" t="s">
        <v>376</v>
      </c>
      <c r="I200" s="809" t="str">
        <f ca="1">IF(B201=$T$6,'Reference Sheet'!$J$4, 'Reference Sheet'!$J$3)</f>
        <v>Domestic</v>
      </c>
      <c r="J200" s="3702" t="s">
        <v>515</v>
      </c>
      <c r="K200" s="3703"/>
      <c r="L200" s="1673">
        <f>'DATA INPUT'!$H$81</f>
        <v>0</v>
      </c>
      <c r="N200" s="10"/>
      <c r="O200" s="10"/>
      <c r="P200" s="10"/>
      <c r="Q200" s="10"/>
      <c r="AR200" s="10"/>
      <c r="AS200" s="10"/>
    </row>
    <row r="201" spans="1:45" x14ac:dyDescent="0.25">
      <c r="A201" s="339" t="s">
        <v>468</v>
      </c>
      <c r="B201" s="3685">
        <f ca="1">OFFSET('DATA INPUT'!$C$68,($A199-1),0)</f>
        <v>0</v>
      </c>
      <c r="C201" s="3686"/>
      <c r="D201" s="3686"/>
      <c r="E201" s="814"/>
      <c r="F201" s="815"/>
      <c r="G201" s="339"/>
      <c r="H201" s="339" t="s">
        <v>371</v>
      </c>
      <c r="I201" s="811">
        <f>'Reference Sheet'!$L$8</f>
        <v>0.03</v>
      </c>
      <c r="J201" s="10"/>
      <c r="K201" s="10"/>
      <c r="L201" s="10"/>
      <c r="N201" s="10"/>
      <c r="O201" s="10"/>
      <c r="P201" s="10"/>
      <c r="Q201" s="10"/>
      <c r="AR201" s="10"/>
      <c r="AS201" s="10"/>
    </row>
    <row r="202" spans="1:45" x14ac:dyDescent="0.25">
      <c r="A202" s="339" t="s">
        <v>116</v>
      </c>
      <c r="B202" s="1558">
        <f ca="1">IF(B201=$T$3, $U$3,IF(B201=$T$4,$U$4,IF(B201=$T$5,$U$5,IF(B201=$T$6,$U$6,0))))</f>
        <v>0</v>
      </c>
      <c r="C202" s="339" t="s">
        <v>115</v>
      </c>
      <c r="D202" s="1558">
        <f ca="1">IF(B201=$T$3,$V$3,IF(B201=$T$4,$V$4,IF(B201=$T$5,$V$5,IF(B201=$T$6,$V$6,0))))</f>
        <v>0</v>
      </c>
      <c r="E202" s="339" t="s">
        <v>23</v>
      </c>
      <c r="F202" s="1558">
        <f ca="1">OFFSET('DATA INPUT'!$F$68,($A199-1),0)</f>
        <v>0</v>
      </c>
      <c r="G202" s="339" t="s">
        <v>118</v>
      </c>
      <c r="H202" s="1558">
        <v>250</v>
      </c>
      <c r="I202" s="339" t="s">
        <v>755</v>
      </c>
      <c r="J202" s="767">
        <v>0.13</v>
      </c>
      <c r="K202" s="340" t="s">
        <v>362</v>
      </c>
      <c r="L202" s="341">
        <f>'DATA INPUT'!$G$81</f>
        <v>0</v>
      </c>
      <c r="N202" s="10"/>
      <c r="S202" s="2551" t="s">
        <v>811</v>
      </c>
      <c r="T202" s="2551"/>
      <c r="U202" s="2551"/>
      <c r="V202" s="2551"/>
      <c r="W202" s="2551"/>
      <c r="AR202" s="10"/>
      <c r="AS202" s="10"/>
    </row>
    <row r="203" spans="1:45" ht="15.75" thickBot="1" x14ac:dyDescent="0.3">
      <c r="D203" s="110"/>
      <c r="AD203" s="2541" t="s">
        <v>808</v>
      </c>
      <c r="AE203" s="2542"/>
      <c r="AF203" s="2542"/>
      <c r="AG203" s="2542"/>
      <c r="AH203" s="2542"/>
      <c r="AR203" s="10"/>
      <c r="AS203" s="10"/>
    </row>
    <row r="204" spans="1:45" ht="15.75" thickBot="1" x14ac:dyDescent="0.3">
      <c r="A204" s="3708">
        <f>B200</f>
        <v>0</v>
      </c>
      <c r="B204" s="3626"/>
      <c r="C204" s="3626"/>
      <c r="D204" s="3626"/>
      <c r="E204" s="3626"/>
      <c r="F204" s="3626"/>
      <c r="G204" s="3626"/>
      <c r="H204" s="3626"/>
      <c r="I204" s="3626"/>
      <c r="J204" s="3626"/>
      <c r="K204" s="3626"/>
      <c r="L204" s="3626"/>
      <c r="M204" s="3626"/>
      <c r="N204" s="3627"/>
      <c r="S204" s="2536">
        <f>A204</f>
        <v>0</v>
      </c>
      <c r="T204" s="2537"/>
      <c r="U204" s="2537"/>
      <c r="V204" s="2537"/>
      <c r="W204" s="2537"/>
      <c r="X204" s="2537"/>
      <c r="Y204" s="2537"/>
      <c r="Z204" s="2537"/>
      <c r="AA204" s="2537"/>
      <c r="AB204" s="2538"/>
      <c r="AG204" s="2550" t="s">
        <v>809</v>
      </c>
      <c r="AH204" s="2550"/>
      <c r="AI204" s="2550"/>
      <c r="AJ204" s="2550"/>
      <c r="AK204" s="19" t="s">
        <v>812</v>
      </c>
      <c r="AL204" s="2541" t="s">
        <v>807</v>
      </c>
    </row>
    <row r="205" spans="1:45" ht="14.45" customHeight="1" x14ac:dyDescent="0.25">
      <c r="A205" s="858" t="s">
        <v>659</v>
      </c>
      <c r="B205" s="3641" t="s">
        <v>117</v>
      </c>
      <c r="C205" s="3642"/>
      <c r="D205" s="3521" t="s">
        <v>363</v>
      </c>
      <c r="E205" s="3521" t="s">
        <v>364</v>
      </c>
      <c r="F205" s="3521" t="s">
        <v>365</v>
      </c>
      <c r="G205" s="3521" t="s">
        <v>116</v>
      </c>
      <c r="H205" s="3521" t="s">
        <v>115</v>
      </c>
      <c r="I205" s="3521" t="s">
        <v>23</v>
      </c>
      <c r="J205" s="3521" t="s">
        <v>114</v>
      </c>
      <c r="K205" s="3521" t="s">
        <v>366</v>
      </c>
      <c r="L205" s="3521" t="s">
        <v>122</v>
      </c>
      <c r="M205" s="3521" t="s">
        <v>298</v>
      </c>
      <c r="N205" s="3521" t="s">
        <v>113</v>
      </c>
      <c r="P205" s="3520" t="s">
        <v>661</v>
      </c>
      <c r="Q205" s="3520" t="s">
        <v>122</v>
      </c>
      <c r="S205" s="3677" t="s">
        <v>253</v>
      </c>
      <c r="T205" s="3675" t="s">
        <v>112</v>
      </c>
      <c r="U205" s="3675" t="s">
        <v>116</v>
      </c>
      <c r="V205" s="3675" t="s">
        <v>794</v>
      </c>
      <c r="W205" s="3675" t="s">
        <v>23</v>
      </c>
      <c r="X205" s="3675" t="s">
        <v>114</v>
      </c>
      <c r="Y205" s="3675" t="s">
        <v>122</v>
      </c>
      <c r="Z205" s="3675" t="s">
        <v>795</v>
      </c>
      <c r="AA205" s="3675" t="s">
        <v>800</v>
      </c>
      <c r="AB205" s="3673" t="s">
        <v>796</v>
      </c>
      <c r="AD205" s="3679" t="s">
        <v>253</v>
      </c>
      <c r="AE205" s="3679" t="s">
        <v>112</v>
      </c>
      <c r="AF205" s="3679" t="s">
        <v>802</v>
      </c>
      <c r="AG205" s="3679" t="s">
        <v>803</v>
      </c>
      <c r="AH205" s="3679" t="s">
        <v>804</v>
      </c>
      <c r="AI205" s="3679" t="s">
        <v>805</v>
      </c>
      <c r="AJ205" s="3679" t="s">
        <v>116</v>
      </c>
      <c r="AK205" s="3710" t="s">
        <v>801</v>
      </c>
      <c r="AL205" s="3680" t="s">
        <v>806</v>
      </c>
      <c r="AM205" s="3710" t="s">
        <v>796</v>
      </c>
    </row>
    <row r="206" spans="1:45" ht="15" customHeight="1" thickBot="1" x14ac:dyDescent="0.3">
      <c r="A206" s="858" t="s">
        <v>660</v>
      </c>
      <c r="B206" s="1652" t="s">
        <v>112</v>
      </c>
      <c r="C206" s="763" t="s">
        <v>111</v>
      </c>
      <c r="D206" s="3522"/>
      <c r="E206" s="3522"/>
      <c r="F206" s="3522"/>
      <c r="G206" s="3522"/>
      <c r="H206" s="3522"/>
      <c r="I206" s="3522"/>
      <c r="J206" s="3522"/>
      <c r="K206" s="3522"/>
      <c r="L206" s="3522"/>
      <c r="M206" s="3522"/>
      <c r="N206" s="3522"/>
      <c r="P206" s="3522"/>
      <c r="Q206" s="3522"/>
      <c r="S206" s="3678"/>
      <c r="T206" s="3676"/>
      <c r="U206" s="3676"/>
      <c r="V206" s="3676"/>
      <c r="W206" s="3676"/>
      <c r="X206" s="3676"/>
      <c r="Y206" s="3676"/>
      <c r="Z206" s="3676"/>
      <c r="AA206" s="3676"/>
      <c r="AB206" s="3674"/>
      <c r="AD206" s="3679"/>
      <c r="AE206" s="3679"/>
      <c r="AF206" s="3679"/>
      <c r="AG206" s="3679"/>
      <c r="AH206" s="3679"/>
      <c r="AI206" s="3679"/>
      <c r="AJ206" s="3679"/>
      <c r="AK206" s="3710"/>
      <c r="AL206" s="3680"/>
      <c r="AM206" s="3710"/>
    </row>
    <row r="207" spans="1:45" x14ac:dyDescent="0.25">
      <c r="A207" s="651">
        <v>1</v>
      </c>
      <c r="B207" s="105">
        <f>IF('DATA INPUT'!$I$81&gt;=1,'DATA INPUT'!$E$81,0)</f>
        <v>0</v>
      </c>
      <c r="C207" s="106">
        <f t="shared" ref="C207:C212" si="305">IF(B207&gt;0,B207-1,0)</f>
        <v>0</v>
      </c>
      <c r="D207" s="106">
        <f ca="1">OFFSET('DATA INPUT'!$D$68,OFFSET($A$4,INT((ROW()-ROW($A$4))/15)*15,0)-1,0)</f>
        <v>0</v>
      </c>
      <c r="E207" s="106">
        <f ca="1">OFFSET('DATA INPUT'!$I$68,OFFSET($A$4,INT((ROW()-ROW($A$4))/15)*15,0)-1,A207-1)</f>
        <v>0</v>
      </c>
      <c r="F207" s="106">
        <f t="shared" ref="F207:F212" ca="1" si="306">E207*D207</f>
        <v>0</v>
      </c>
      <c r="G207" s="492">
        <f ca="1">B202</f>
        <v>0</v>
      </c>
      <c r="H207" s="492">
        <f ca="1">D202</f>
        <v>0</v>
      </c>
      <c r="I207" s="492">
        <f ca="1">F202</f>
        <v>0</v>
      </c>
      <c r="J207" s="492">
        <f>H202</f>
        <v>250</v>
      </c>
      <c r="K207" s="492">
        <f t="shared" ref="K207:K212" ca="1" si="307" xml:space="preserve"> H207*C207*$J$97</f>
        <v>0</v>
      </c>
      <c r="L207" s="492">
        <f>IF(L200="Yes",0,L202)</f>
        <v>0</v>
      </c>
      <c r="M207" s="1539">
        <f t="shared" ref="M207:M212" si="308">IF(B207&lt;1,0,(IF(C207=0,SUM(I207:L207),((B207-0.5)*G207+C207*H207+SUM(I207:L207)))))</f>
        <v>0</v>
      </c>
      <c r="N207" s="1500">
        <f t="shared" ref="N207:N212" ca="1" si="309">F207*M207</f>
        <v>0</v>
      </c>
      <c r="O207" s="672">
        <f t="shared" ref="O207:O212" si="310">A207</f>
        <v>1</v>
      </c>
      <c r="P207" s="1657">
        <f t="shared" ref="P207:P212" ca="1" si="311">Q207*F207</f>
        <v>0</v>
      </c>
      <c r="Q207" s="1657">
        <f>IF(L200="Yes",L202,0)</f>
        <v>0</v>
      </c>
      <c r="S207" s="651">
        <v>1</v>
      </c>
      <c r="T207" s="106">
        <f t="shared" ref="T207:T212" si="312">B207</f>
        <v>0</v>
      </c>
      <c r="U207" s="2519">
        <f t="shared" ref="U207:U212" ca="1" si="313">G207</f>
        <v>0</v>
      </c>
      <c r="V207" s="2519">
        <f t="shared" ref="V207:V212" ca="1" si="314">IFERROR(H207+K207/C207,0)</f>
        <v>0</v>
      </c>
      <c r="W207" s="2519">
        <f t="shared" ref="W207:X212" ca="1" si="315">I207</f>
        <v>0</v>
      </c>
      <c r="X207" s="2519">
        <f t="shared" si="315"/>
        <v>250</v>
      </c>
      <c r="Y207" s="2519">
        <f t="shared" ref="Y207:Z212" si="316">L207</f>
        <v>0</v>
      </c>
      <c r="Z207" s="2522">
        <f t="shared" si="316"/>
        <v>0</v>
      </c>
      <c r="AA207" s="106">
        <f t="shared" ref="AA207:AA212" ca="1" si="317">F207</f>
        <v>0</v>
      </c>
      <c r="AB207" s="2525">
        <f t="shared" ref="AB207:AB212" ca="1" si="318">N207</f>
        <v>0</v>
      </c>
      <c r="AD207" s="505">
        <v>1</v>
      </c>
      <c r="AE207" s="2539">
        <f t="shared" ref="AE207:AE212" si="319">B207</f>
        <v>0</v>
      </c>
      <c r="AF207" s="2539">
        <f t="shared" ref="AF207:AF212" ca="1" si="320">F207</f>
        <v>0</v>
      </c>
      <c r="AG207" s="457">
        <f t="shared" ref="AG207:AG212" ca="1" si="321">C207*H207+K207</f>
        <v>0</v>
      </c>
      <c r="AH207" s="457">
        <f t="shared" ref="AH207:AI212" ca="1" si="322">I207</f>
        <v>0</v>
      </c>
      <c r="AI207" s="457">
        <f t="shared" si="322"/>
        <v>250</v>
      </c>
      <c r="AJ207" s="457">
        <f t="shared" ref="AJ207:AJ212" ca="1" si="323">IF(AE207&gt;1,(B207-0.5)*G207,B207*G207)</f>
        <v>0</v>
      </c>
      <c r="AK207" s="457">
        <f t="shared" ref="AK207:AK212" ca="1" si="324">ROUND(SUM(AG207:AJ207)*AF207,0)</f>
        <v>0</v>
      </c>
      <c r="AL207" s="718">
        <f t="shared" ref="AL207:AL212" ca="1" si="325">AF207*(L207+Q207)</f>
        <v>0</v>
      </c>
      <c r="AM207" s="457">
        <f t="shared" ref="AM207:AM212" ca="1" si="326">AK207+AL207</f>
        <v>0</v>
      </c>
      <c r="AQ207" s="10"/>
      <c r="AR207" s="10"/>
    </row>
    <row r="208" spans="1:45" x14ac:dyDescent="0.25">
      <c r="A208" s="99">
        <v>2</v>
      </c>
      <c r="B208" s="107">
        <f>IF('DATA INPUT'!$J$81&gt;=1,'DATA INPUT'!$E$81,0)</f>
        <v>0</v>
      </c>
      <c r="C208" s="108">
        <f t="shared" si="305"/>
        <v>0</v>
      </c>
      <c r="D208" s="108">
        <f ca="1">OFFSET('DATA INPUT'!$D$68,OFFSET($A$4,INT((ROW()-ROW($A$4))/15)*15,0)-1,0)</f>
        <v>0</v>
      </c>
      <c r="E208" s="108">
        <f ca="1">OFFSET('DATA INPUT'!$I$68,OFFSET($A$4,INT((ROW()-ROW($A$4))/15)*15,0)-1,A208-1)</f>
        <v>0</v>
      </c>
      <c r="F208" s="108">
        <f t="shared" ca="1" si="306"/>
        <v>0</v>
      </c>
      <c r="G208" s="457">
        <f t="shared" ref="G208:J212" ca="1" si="327">(G207*$I$201)+G207</f>
        <v>0</v>
      </c>
      <c r="H208" s="457">
        <f t="shared" ca="1" si="327"/>
        <v>0</v>
      </c>
      <c r="I208" s="457">
        <f t="shared" ca="1" si="327"/>
        <v>0</v>
      </c>
      <c r="J208" s="457">
        <f t="shared" si="327"/>
        <v>257.5</v>
      </c>
      <c r="K208" s="457">
        <f t="shared" ca="1" si="307"/>
        <v>0</v>
      </c>
      <c r="L208" s="457">
        <f>(L207*$I$96)+L207</f>
        <v>0</v>
      </c>
      <c r="M208" s="1540">
        <f t="shared" si="308"/>
        <v>0</v>
      </c>
      <c r="N208" s="1541">
        <f t="shared" ca="1" si="309"/>
        <v>0</v>
      </c>
      <c r="O208" s="672">
        <f t="shared" si="310"/>
        <v>2</v>
      </c>
      <c r="P208" s="1489">
        <f t="shared" ca="1" si="311"/>
        <v>0</v>
      </c>
      <c r="Q208" s="1489">
        <f>(Q207*$I$96)+Q207</f>
        <v>0</v>
      </c>
      <c r="S208" s="99">
        <v>2</v>
      </c>
      <c r="T208" s="108">
        <f t="shared" si="312"/>
        <v>0</v>
      </c>
      <c r="U208" s="2520">
        <f t="shared" ca="1" si="313"/>
        <v>0</v>
      </c>
      <c r="V208" s="2520">
        <f t="shared" ca="1" si="314"/>
        <v>0</v>
      </c>
      <c r="W208" s="2520">
        <f t="shared" ca="1" si="315"/>
        <v>0</v>
      </c>
      <c r="X208" s="2520">
        <f t="shared" si="315"/>
        <v>257.5</v>
      </c>
      <c r="Y208" s="2520">
        <f t="shared" si="316"/>
        <v>0</v>
      </c>
      <c r="Z208" s="2523">
        <f t="shared" si="316"/>
        <v>0</v>
      </c>
      <c r="AA208" s="108">
        <f t="shared" ca="1" si="317"/>
        <v>0</v>
      </c>
      <c r="AB208" s="2526">
        <f t="shared" ca="1" si="318"/>
        <v>0</v>
      </c>
      <c r="AD208" s="505">
        <v>2</v>
      </c>
      <c r="AE208" s="2539">
        <f t="shared" si="319"/>
        <v>0</v>
      </c>
      <c r="AF208" s="2539">
        <f t="shared" ca="1" si="320"/>
        <v>0</v>
      </c>
      <c r="AG208" s="457">
        <f t="shared" ca="1" si="321"/>
        <v>0</v>
      </c>
      <c r="AH208" s="457">
        <f t="shared" ca="1" si="322"/>
        <v>0</v>
      </c>
      <c r="AI208" s="457">
        <f t="shared" si="322"/>
        <v>257.5</v>
      </c>
      <c r="AJ208" s="457">
        <f t="shared" ca="1" si="323"/>
        <v>0</v>
      </c>
      <c r="AK208" s="457">
        <f t="shared" ca="1" si="324"/>
        <v>0</v>
      </c>
      <c r="AL208" s="718">
        <f t="shared" ca="1" si="325"/>
        <v>0</v>
      </c>
      <c r="AM208" s="457">
        <f t="shared" ca="1" si="326"/>
        <v>0</v>
      </c>
      <c r="AQ208" s="10"/>
      <c r="AR208" s="10"/>
    </row>
    <row r="209" spans="1:45" x14ac:dyDescent="0.25">
      <c r="A209" s="652">
        <v>3</v>
      </c>
      <c r="B209" s="107">
        <f>IF('DATA INPUT'!$K$81&gt;=1,'DATA INPUT'!$E$81,0)</f>
        <v>0</v>
      </c>
      <c r="C209" s="108">
        <f t="shared" si="305"/>
        <v>0</v>
      </c>
      <c r="D209" s="108">
        <f ca="1">OFFSET('DATA INPUT'!$D$68,OFFSET($A$4,INT((ROW()-ROW($A$4))/15)*15,0)-1,0)</f>
        <v>0</v>
      </c>
      <c r="E209" s="108">
        <f ca="1">OFFSET('DATA INPUT'!$I$68,OFFSET($A$4,INT((ROW()-ROW($A$4))/15)*15,0)-1,A209-1)</f>
        <v>0</v>
      </c>
      <c r="F209" s="108">
        <f t="shared" ca="1" si="306"/>
        <v>0</v>
      </c>
      <c r="G209" s="457">
        <f t="shared" ca="1" si="327"/>
        <v>0</v>
      </c>
      <c r="H209" s="457">
        <f t="shared" ca="1" si="327"/>
        <v>0</v>
      </c>
      <c r="I209" s="457">
        <f t="shared" ca="1" si="327"/>
        <v>0</v>
      </c>
      <c r="J209" s="457">
        <f t="shared" si="327"/>
        <v>265.22500000000002</v>
      </c>
      <c r="K209" s="457">
        <f t="shared" ca="1" si="307"/>
        <v>0</v>
      </c>
      <c r="L209" s="457">
        <f>(L208*$I$96)+L208</f>
        <v>0</v>
      </c>
      <c r="M209" s="1540">
        <f t="shared" si="308"/>
        <v>0</v>
      </c>
      <c r="N209" s="1541">
        <f t="shared" ca="1" si="309"/>
        <v>0</v>
      </c>
      <c r="O209" s="672">
        <f t="shared" si="310"/>
        <v>3</v>
      </c>
      <c r="P209" s="1489">
        <f t="shared" ca="1" si="311"/>
        <v>0</v>
      </c>
      <c r="Q209" s="1489">
        <f>(Q208*$I$96)+Q208</f>
        <v>0</v>
      </c>
      <c r="S209" s="652">
        <v>3</v>
      </c>
      <c r="T209" s="108">
        <f t="shared" si="312"/>
        <v>0</v>
      </c>
      <c r="U209" s="2520">
        <f t="shared" ca="1" si="313"/>
        <v>0</v>
      </c>
      <c r="V209" s="2520">
        <f t="shared" ca="1" si="314"/>
        <v>0</v>
      </c>
      <c r="W209" s="2520">
        <f t="shared" ca="1" si="315"/>
        <v>0</v>
      </c>
      <c r="X209" s="2520">
        <f t="shared" si="315"/>
        <v>265.22500000000002</v>
      </c>
      <c r="Y209" s="2520">
        <f t="shared" si="316"/>
        <v>0</v>
      </c>
      <c r="Z209" s="2523">
        <f t="shared" si="316"/>
        <v>0</v>
      </c>
      <c r="AA209" s="108">
        <f t="shared" ca="1" si="317"/>
        <v>0</v>
      </c>
      <c r="AB209" s="2526">
        <f t="shared" ca="1" si="318"/>
        <v>0</v>
      </c>
      <c r="AD209" s="505">
        <v>3</v>
      </c>
      <c r="AE209" s="2539">
        <f t="shared" si="319"/>
        <v>0</v>
      </c>
      <c r="AF209" s="2539">
        <f t="shared" ca="1" si="320"/>
        <v>0</v>
      </c>
      <c r="AG209" s="457">
        <f t="shared" ca="1" si="321"/>
        <v>0</v>
      </c>
      <c r="AH209" s="457">
        <f t="shared" ca="1" si="322"/>
        <v>0</v>
      </c>
      <c r="AI209" s="457">
        <f t="shared" si="322"/>
        <v>265.22500000000002</v>
      </c>
      <c r="AJ209" s="457">
        <f t="shared" ca="1" si="323"/>
        <v>0</v>
      </c>
      <c r="AK209" s="457">
        <f t="shared" ca="1" si="324"/>
        <v>0</v>
      </c>
      <c r="AL209" s="718">
        <f t="shared" ca="1" si="325"/>
        <v>0</v>
      </c>
      <c r="AM209" s="457">
        <f t="shared" ca="1" si="326"/>
        <v>0</v>
      </c>
      <c r="AQ209" s="10"/>
      <c r="AR209" s="10"/>
    </row>
    <row r="210" spans="1:45" x14ac:dyDescent="0.25">
      <c r="A210" s="99">
        <v>4</v>
      </c>
      <c r="B210" s="107">
        <f>IF('DATA INPUT'!$L$81&gt;=1,'DATA INPUT'!$E$81,0)</f>
        <v>0</v>
      </c>
      <c r="C210" s="108">
        <f t="shared" si="305"/>
        <v>0</v>
      </c>
      <c r="D210" s="108">
        <f ca="1">OFFSET('DATA INPUT'!$D$68,OFFSET($A$4,INT((ROW()-ROW($A$4))/15)*15,0)-1,0)</f>
        <v>0</v>
      </c>
      <c r="E210" s="108">
        <f ca="1">OFFSET('DATA INPUT'!$I$68,OFFSET($A$4,INT((ROW()-ROW($A$4))/15)*15,0)-1,A210-1)</f>
        <v>0</v>
      </c>
      <c r="F210" s="108">
        <f t="shared" ca="1" si="306"/>
        <v>0</v>
      </c>
      <c r="G210" s="457">
        <f t="shared" ca="1" si="327"/>
        <v>0</v>
      </c>
      <c r="H210" s="457">
        <f t="shared" ca="1" si="327"/>
        <v>0</v>
      </c>
      <c r="I210" s="457">
        <f t="shared" ca="1" si="327"/>
        <v>0</v>
      </c>
      <c r="J210" s="457">
        <f t="shared" si="327"/>
        <v>273.18175000000002</v>
      </c>
      <c r="K210" s="457">
        <f t="shared" ca="1" si="307"/>
        <v>0</v>
      </c>
      <c r="L210" s="457">
        <f>(L209*$I$96)+L209</f>
        <v>0</v>
      </c>
      <c r="M210" s="1540">
        <f t="shared" si="308"/>
        <v>0</v>
      </c>
      <c r="N210" s="1541">
        <f t="shared" ca="1" si="309"/>
        <v>0</v>
      </c>
      <c r="O210" s="672">
        <f t="shared" si="310"/>
        <v>4</v>
      </c>
      <c r="P210" s="1489">
        <f t="shared" ca="1" si="311"/>
        <v>0</v>
      </c>
      <c r="Q210" s="1489">
        <f>(Q209*$I$96)+Q209</f>
        <v>0</v>
      </c>
      <c r="S210" s="99">
        <v>4</v>
      </c>
      <c r="T210" s="108">
        <f t="shared" si="312"/>
        <v>0</v>
      </c>
      <c r="U210" s="2520">
        <f t="shared" ca="1" si="313"/>
        <v>0</v>
      </c>
      <c r="V210" s="2520">
        <f t="shared" ca="1" si="314"/>
        <v>0</v>
      </c>
      <c r="W210" s="2520">
        <f t="shared" ca="1" si="315"/>
        <v>0</v>
      </c>
      <c r="X210" s="2520">
        <f t="shared" si="315"/>
        <v>273.18175000000002</v>
      </c>
      <c r="Y210" s="2520">
        <f t="shared" si="316"/>
        <v>0</v>
      </c>
      <c r="Z210" s="2523">
        <f t="shared" si="316"/>
        <v>0</v>
      </c>
      <c r="AA210" s="108">
        <f t="shared" ca="1" si="317"/>
        <v>0</v>
      </c>
      <c r="AB210" s="2526">
        <f t="shared" ca="1" si="318"/>
        <v>0</v>
      </c>
      <c r="AD210" s="505">
        <v>4</v>
      </c>
      <c r="AE210" s="2539">
        <f t="shared" si="319"/>
        <v>0</v>
      </c>
      <c r="AF210" s="2539">
        <f t="shared" ca="1" si="320"/>
        <v>0</v>
      </c>
      <c r="AG210" s="457">
        <f t="shared" ca="1" si="321"/>
        <v>0</v>
      </c>
      <c r="AH210" s="457">
        <f t="shared" ca="1" si="322"/>
        <v>0</v>
      </c>
      <c r="AI210" s="457">
        <f t="shared" si="322"/>
        <v>273.18175000000002</v>
      </c>
      <c r="AJ210" s="457">
        <f t="shared" ca="1" si="323"/>
        <v>0</v>
      </c>
      <c r="AK210" s="457">
        <f t="shared" ca="1" si="324"/>
        <v>0</v>
      </c>
      <c r="AL210" s="718">
        <f t="shared" ca="1" si="325"/>
        <v>0</v>
      </c>
      <c r="AM210" s="457">
        <f t="shared" ca="1" si="326"/>
        <v>0</v>
      </c>
      <c r="AQ210" s="10"/>
      <c r="AR210" s="10"/>
    </row>
    <row r="211" spans="1:45" x14ac:dyDescent="0.25">
      <c r="A211" s="99">
        <v>5</v>
      </c>
      <c r="B211" s="107">
        <f>IF('DATA INPUT'!$M$81&gt;=1,'DATA INPUT'!$E$81,0)</f>
        <v>0</v>
      </c>
      <c r="C211" s="108">
        <f t="shared" si="305"/>
        <v>0</v>
      </c>
      <c r="D211" s="108">
        <f ca="1">OFFSET('DATA INPUT'!$D$68,OFFSET($A$4,INT((ROW()-ROW($A$4))/15)*15,0)-1,0)</f>
        <v>0</v>
      </c>
      <c r="E211" s="108">
        <f ca="1">OFFSET('DATA INPUT'!$I$68,OFFSET($A$4,INT((ROW()-ROW($A$4))/15)*15,0)-1,A211-1)</f>
        <v>0</v>
      </c>
      <c r="F211" s="108">
        <f t="shared" ca="1" si="306"/>
        <v>0</v>
      </c>
      <c r="G211" s="457">
        <f t="shared" ca="1" si="327"/>
        <v>0</v>
      </c>
      <c r="H211" s="457">
        <f t="shared" ca="1" si="327"/>
        <v>0</v>
      </c>
      <c r="I211" s="457">
        <f t="shared" ca="1" si="327"/>
        <v>0</v>
      </c>
      <c r="J211" s="457">
        <f t="shared" si="327"/>
        <v>281.37720250000001</v>
      </c>
      <c r="K211" s="457">
        <f t="shared" ca="1" si="307"/>
        <v>0</v>
      </c>
      <c r="L211" s="457">
        <f>(L210*$I$96)+L210</f>
        <v>0</v>
      </c>
      <c r="M211" s="1540">
        <f t="shared" si="308"/>
        <v>0</v>
      </c>
      <c r="N211" s="1541">
        <f t="shared" ca="1" si="309"/>
        <v>0</v>
      </c>
      <c r="O211" s="672">
        <f t="shared" si="310"/>
        <v>5</v>
      </c>
      <c r="P211" s="1489">
        <f t="shared" ca="1" si="311"/>
        <v>0</v>
      </c>
      <c r="Q211" s="1489">
        <f>(Q210*$I$96)+Q210</f>
        <v>0</v>
      </c>
      <c r="S211" s="99">
        <v>5</v>
      </c>
      <c r="T211" s="108">
        <f t="shared" si="312"/>
        <v>0</v>
      </c>
      <c r="U211" s="2520">
        <f t="shared" ca="1" si="313"/>
        <v>0</v>
      </c>
      <c r="V211" s="2520">
        <f t="shared" ca="1" si="314"/>
        <v>0</v>
      </c>
      <c r="W211" s="2520">
        <f t="shared" ca="1" si="315"/>
        <v>0</v>
      </c>
      <c r="X211" s="2520">
        <f t="shared" si="315"/>
        <v>281.37720250000001</v>
      </c>
      <c r="Y211" s="2520">
        <f t="shared" si="316"/>
        <v>0</v>
      </c>
      <c r="Z211" s="2523">
        <f t="shared" si="316"/>
        <v>0</v>
      </c>
      <c r="AA211" s="108">
        <f t="shared" ca="1" si="317"/>
        <v>0</v>
      </c>
      <c r="AB211" s="2526">
        <f t="shared" ca="1" si="318"/>
        <v>0</v>
      </c>
      <c r="AD211" s="505">
        <v>5</v>
      </c>
      <c r="AE211" s="2539">
        <f t="shared" si="319"/>
        <v>0</v>
      </c>
      <c r="AF211" s="2539">
        <f t="shared" ca="1" si="320"/>
        <v>0</v>
      </c>
      <c r="AG211" s="457">
        <f t="shared" ca="1" si="321"/>
        <v>0</v>
      </c>
      <c r="AH211" s="457">
        <f t="shared" ca="1" si="322"/>
        <v>0</v>
      </c>
      <c r="AI211" s="457">
        <f t="shared" si="322"/>
        <v>281.37720250000001</v>
      </c>
      <c r="AJ211" s="457">
        <f t="shared" ca="1" si="323"/>
        <v>0</v>
      </c>
      <c r="AK211" s="457">
        <f t="shared" ca="1" si="324"/>
        <v>0</v>
      </c>
      <c r="AL211" s="718">
        <f t="shared" ca="1" si="325"/>
        <v>0</v>
      </c>
      <c r="AM211" s="457">
        <f t="shared" ca="1" si="326"/>
        <v>0</v>
      </c>
      <c r="AQ211" s="10"/>
      <c r="AR211" s="10"/>
    </row>
    <row r="212" spans="1:45" ht="15.75" thickBot="1" x14ac:dyDescent="0.3">
      <c r="A212" s="98">
        <v>6</v>
      </c>
      <c r="B212" s="757">
        <f>IF('DATA INPUT'!$N$81&gt;=1,'DATA INPUT'!$E$81,0)</f>
        <v>0</v>
      </c>
      <c r="C212" s="758">
        <f t="shared" si="305"/>
        <v>0</v>
      </c>
      <c r="D212" s="109">
        <f ca="1">OFFSET('DATA INPUT'!$D$68,OFFSET($A$4,INT((ROW()-ROW($A$4))/15)*15,0)-1,0)</f>
        <v>0</v>
      </c>
      <c r="E212" s="109">
        <f ca="1">OFFSET('DATA INPUT'!$I$68,OFFSET($A$4,INT((ROW()-ROW($A$4))/15)*15,0)-1,A212-1)</f>
        <v>0</v>
      </c>
      <c r="F212" s="758">
        <f t="shared" ca="1" si="306"/>
        <v>0</v>
      </c>
      <c r="G212" s="457">
        <f t="shared" ca="1" si="327"/>
        <v>0</v>
      </c>
      <c r="H212" s="457">
        <f t="shared" ca="1" si="327"/>
        <v>0</v>
      </c>
      <c r="I212" s="457">
        <f t="shared" ca="1" si="327"/>
        <v>0</v>
      </c>
      <c r="J212" s="457">
        <f t="shared" si="327"/>
        <v>289.81851857499998</v>
      </c>
      <c r="K212" s="495">
        <f t="shared" ca="1" si="307"/>
        <v>0</v>
      </c>
      <c r="L212" s="495">
        <f>(L211*$I$96)+L211</f>
        <v>0</v>
      </c>
      <c r="M212" s="1550">
        <f t="shared" si="308"/>
        <v>0</v>
      </c>
      <c r="N212" s="1551">
        <f t="shared" ca="1" si="309"/>
        <v>0</v>
      </c>
      <c r="O212" s="672">
        <f t="shared" si="310"/>
        <v>6</v>
      </c>
      <c r="P212" s="1513">
        <f t="shared" ca="1" si="311"/>
        <v>0</v>
      </c>
      <c r="Q212" s="1513">
        <f>(Q211*$I$96)+Q211</f>
        <v>0</v>
      </c>
      <c r="S212" s="98">
        <v>6</v>
      </c>
      <c r="T212" s="109">
        <f t="shared" si="312"/>
        <v>0</v>
      </c>
      <c r="U212" s="2521">
        <f t="shared" ca="1" si="313"/>
        <v>0</v>
      </c>
      <c r="V212" s="2521">
        <f t="shared" ca="1" si="314"/>
        <v>0</v>
      </c>
      <c r="W212" s="2521">
        <f t="shared" ca="1" si="315"/>
        <v>0</v>
      </c>
      <c r="X212" s="2521">
        <f t="shared" si="315"/>
        <v>289.81851857499998</v>
      </c>
      <c r="Y212" s="2521">
        <f t="shared" si="316"/>
        <v>0</v>
      </c>
      <c r="Z212" s="2524">
        <f t="shared" si="316"/>
        <v>0</v>
      </c>
      <c r="AA212" s="109">
        <f t="shared" ca="1" si="317"/>
        <v>0</v>
      </c>
      <c r="AB212" s="2527">
        <f t="shared" ca="1" si="318"/>
        <v>0</v>
      </c>
      <c r="AD212" s="505">
        <v>6</v>
      </c>
      <c r="AE212" s="2539">
        <f t="shared" si="319"/>
        <v>0</v>
      </c>
      <c r="AF212" s="2539">
        <f t="shared" ca="1" si="320"/>
        <v>0</v>
      </c>
      <c r="AG212" s="457">
        <f t="shared" ca="1" si="321"/>
        <v>0</v>
      </c>
      <c r="AH212" s="457">
        <f t="shared" ca="1" si="322"/>
        <v>0</v>
      </c>
      <c r="AI212" s="457">
        <f t="shared" si="322"/>
        <v>289.81851857499998</v>
      </c>
      <c r="AJ212" s="457">
        <f t="shared" ca="1" si="323"/>
        <v>0</v>
      </c>
      <c r="AK212" s="457">
        <f t="shared" ca="1" si="324"/>
        <v>0</v>
      </c>
      <c r="AL212" s="718">
        <f t="shared" ca="1" si="325"/>
        <v>0</v>
      </c>
      <c r="AM212" s="457">
        <f t="shared" ca="1" si="326"/>
        <v>0</v>
      </c>
      <c r="AQ212" s="10"/>
      <c r="AR212" s="10"/>
    </row>
    <row r="213" spans="1:45" x14ac:dyDescent="0.25">
      <c r="A213" s="859"/>
      <c r="B213" s="668"/>
      <c r="C213" s="668"/>
      <c r="D213" s="668"/>
      <c r="E213" s="668"/>
      <c r="F213" s="668"/>
      <c r="G213" s="668"/>
      <c r="H213" s="668"/>
      <c r="I213" s="668"/>
      <c r="J213" s="668"/>
      <c r="K213" s="668"/>
      <c r="L213" s="668"/>
      <c r="M213" s="759" t="s">
        <v>300</v>
      </c>
      <c r="N213" s="1552">
        <f ca="1">SUM(N207:N212)</f>
        <v>0</v>
      </c>
      <c r="O213" s="10"/>
      <c r="P213" s="1529">
        <f ca="1">SUM(P207:P212)</f>
        <v>0</v>
      </c>
      <c r="Q213" s="1529"/>
      <c r="AQ213" s="10"/>
      <c r="AR213" s="10"/>
    </row>
    <row r="214" spans="1:45" ht="23.25" x14ac:dyDescent="0.35">
      <c r="A214" s="1599">
        <f>A199+1</f>
        <v>15</v>
      </c>
      <c r="N214" s="2449" t="str">
        <f>IF(L200="Yes",N213+P213,"")</f>
        <v/>
      </c>
      <c r="O214" s="2450" t="s">
        <v>756</v>
      </c>
      <c r="P214" s="10"/>
      <c r="Q214" s="10"/>
      <c r="AQ214" s="10"/>
      <c r="AR214" s="10"/>
    </row>
    <row r="215" spans="1:45" x14ac:dyDescent="0.25">
      <c r="A215" s="342" t="s">
        <v>120</v>
      </c>
      <c r="B215" s="3688">
        <f>'DATA INPUT'!B82</f>
        <v>0</v>
      </c>
      <c r="C215" s="3689"/>
      <c r="D215" s="3689"/>
      <c r="E215" s="3689"/>
      <c r="F215" s="3690"/>
      <c r="G215" s="342"/>
      <c r="H215" s="342" t="s">
        <v>376</v>
      </c>
      <c r="I215" s="810" t="str">
        <f ca="1">IF(B216=$T$6,'Reference Sheet'!$J$4, 'Reference Sheet'!$J$3)</f>
        <v>Domestic</v>
      </c>
      <c r="J215" s="3704" t="s">
        <v>515</v>
      </c>
      <c r="K215" s="3705"/>
      <c r="L215" s="1672">
        <f>'DATA INPUT'!$H$82</f>
        <v>0</v>
      </c>
      <c r="N215" s="10"/>
      <c r="O215" s="10"/>
      <c r="P215" s="10"/>
      <c r="Q215" s="10"/>
      <c r="AR215" s="10"/>
      <c r="AS215" s="10"/>
    </row>
    <row r="216" spans="1:45" x14ac:dyDescent="0.25">
      <c r="A216" s="342" t="s">
        <v>468</v>
      </c>
      <c r="B216" s="3688">
        <f ca="1">OFFSET('DATA INPUT'!$C$68,($A214-1),0)</f>
        <v>0</v>
      </c>
      <c r="C216" s="3689"/>
      <c r="D216" s="3689"/>
      <c r="E216" s="816"/>
      <c r="F216" s="813"/>
      <c r="G216" s="342"/>
      <c r="H216" s="342" t="s">
        <v>371</v>
      </c>
      <c r="I216" s="812">
        <f>'Reference Sheet'!$L$8</f>
        <v>0.03</v>
      </c>
      <c r="J216" s="10"/>
      <c r="K216" s="10"/>
      <c r="L216" s="10"/>
      <c r="N216" s="10"/>
      <c r="O216" s="10"/>
      <c r="P216" s="10"/>
      <c r="Q216" s="10"/>
      <c r="AR216" s="10"/>
      <c r="AS216" s="10"/>
    </row>
    <row r="217" spans="1:45" x14ac:dyDescent="0.25">
      <c r="A217" s="342" t="s">
        <v>116</v>
      </c>
      <c r="B217" s="1553">
        <f ca="1">IF(B216=$T$3, $U$3,IF(B216=$T$4,$U$4,IF(B216=$T$5,$U$5,IF(B216=$T$6,$U$6,0))))</f>
        <v>0</v>
      </c>
      <c r="C217" s="342" t="s">
        <v>115</v>
      </c>
      <c r="D217" s="1553">
        <f ca="1">IF(B216=$T$3,$V$3,IF(B216=$T$4,$V$4,IF(B216=$T$5,$V$5,IF(B216=$T$6,$V$6,0))))</f>
        <v>0</v>
      </c>
      <c r="E217" s="342" t="s">
        <v>23</v>
      </c>
      <c r="F217" s="1553">
        <f ca="1">OFFSET('DATA INPUT'!$F$68,($A214-1),0)</f>
        <v>0</v>
      </c>
      <c r="G217" s="342" t="s">
        <v>118</v>
      </c>
      <c r="H217" s="1553">
        <v>250</v>
      </c>
      <c r="I217" s="342" t="s">
        <v>755</v>
      </c>
      <c r="J217" s="768">
        <v>0.13</v>
      </c>
      <c r="K217" s="343" t="s">
        <v>362</v>
      </c>
      <c r="L217" s="112">
        <f>'DATA INPUT'!$G$82</f>
        <v>0</v>
      </c>
      <c r="N217" s="10"/>
      <c r="S217" s="2551" t="s">
        <v>811</v>
      </c>
      <c r="T217" s="2551"/>
      <c r="U217" s="2551"/>
      <c r="V217" s="2551"/>
      <c r="W217" s="2551"/>
      <c r="AR217" s="10"/>
      <c r="AS217" s="10"/>
    </row>
    <row r="218" spans="1:45" ht="15.75" thickBot="1" x14ac:dyDescent="0.3">
      <c r="D218" s="110"/>
      <c r="AD218" s="2541" t="s">
        <v>808</v>
      </c>
      <c r="AE218" s="2542"/>
      <c r="AF218" s="2542"/>
      <c r="AG218" s="2542"/>
      <c r="AH218" s="2542"/>
      <c r="AR218" s="10"/>
      <c r="AS218" s="10"/>
    </row>
    <row r="219" spans="1:45" ht="15.75" thickBot="1" x14ac:dyDescent="0.3">
      <c r="A219" s="3631">
        <f>B215</f>
        <v>0</v>
      </c>
      <c r="B219" s="3626"/>
      <c r="C219" s="3626"/>
      <c r="D219" s="3626"/>
      <c r="E219" s="3626"/>
      <c r="F219" s="3626"/>
      <c r="G219" s="3626"/>
      <c r="H219" s="3626"/>
      <c r="I219" s="3626"/>
      <c r="J219" s="3626"/>
      <c r="K219" s="3626"/>
      <c r="L219" s="3626"/>
      <c r="M219" s="3626"/>
      <c r="N219" s="3627"/>
      <c r="S219" s="2536">
        <f>A219</f>
        <v>0</v>
      </c>
      <c r="T219" s="2537"/>
      <c r="U219" s="2537"/>
      <c r="V219" s="2537"/>
      <c r="W219" s="2537"/>
      <c r="X219" s="2537"/>
      <c r="Y219" s="2537"/>
      <c r="Z219" s="2537"/>
      <c r="AA219" s="2537"/>
      <c r="AB219" s="2538"/>
      <c r="AG219" s="2550" t="s">
        <v>809</v>
      </c>
      <c r="AH219" s="2550"/>
      <c r="AI219" s="2550"/>
      <c r="AJ219" s="2550"/>
      <c r="AK219" s="19" t="s">
        <v>812</v>
      </c>
      <c r="AL219" s="2541" t="s">
        <v>807</v>
      </c>
    </row>
    <row r="220" spans="1:45" ht="14.45" customHeight="1" x14ac:dyDescent="0.25">
      <c r="A220" s="858" t="s">
        <v>659</v>
      </c>
      <c r="B220" s="3641" t="s">
        <v>117</v>
      </c>
      <c r="C220" s="3642"/>
      <c r="D220" s="3521" t="s">
        <v>363</v>
      </c>
      <c r="E220" s="3521" t="s">
        <v>364</v>
      </c>
      <c r="F220" s="3521" t="s">
        <v>365</v>
      </c>
      <c r="G220" s="3521" t="s">
        <v>116</v>
      </c>
      <c r="H220" s="3521" t="s">
        <v>115</v>
      </c>
      <c r="I220" s="3521" t="s">
        <v>23</v>
      </c>
      <c r="J220" s="3521" t="s">
        <v>114</v>
      </c>
      <c r="K220" s="3521" t="s">
        <v>366</v>
      </c>
      <c r="L220" s="3521" t="s">
        <v>122</v>
      </c>
      <c r="M220" s="3521" t="s">
        <v>298</v>
      </c>
      <c r="N220" s="3521" t="s">
        <v>113</v>
      </c>
      <c r="P220" s="3520" t="s">
        <v>661</v>
      </c>
      <c r="Q220" s="3520" t="s">
        <v>122</v>
      </c>
      <c r="S220" s="3677" t="s">
        <v>253</v>
      </c>
      <c r="T220" s="3675" t="s">
        <v>112</v>
      </c>
      <c r="U220" s="3675" t="s">
        <v>116</v>
      </c>
      <c r="V220" s="3675" t="s">
        <v>794</v>
      </c>
      <c r="W220" s="3675" t="s">
        <v>23</v>
      </c>
      <c r="X220" s="3675" t="s">
        <v>114</v>
      </c>
      <c r="Y220" s="3675" t="s">
        <v>122</v>
      </c>
      <c r="Z220" s="3675" t="s">
        <v>795</v>
      </c>
      <c r="AA220" s="3675" t="s">
        <v>800</v>
      </c>
      <c r="AB220" s="3673" t="s">
        <v>796</v>
      </c>
      <c r="AD220" s="3679" t="s">
        <v>253</v>
      </c>
      <c r="AE220" s="3679" t="s">
        <v>112</v>
      </c>
      <c r="AF220" s="3679" t="s">
        <v>802</v>
      </c>
      <c r="AG220" s="3679" t="s">
        <v>803</v>
      </c>
      <c r="AH220" s="3679" t="s">
        <v>804</v>
      </c>
      <c r="AI220" s="3679" t="s">
        <v>805</v>
      </c>
      <c r="AJ220" s="3679" t="s">
        <v>116</v>
      </c>
      <c r="AK220" s="3710" t="s">
        <v>801</v>
      </c>
      <c r="AL220" s="3680" t="s">
        <v>806</v>
      </c>
      <c r="AM220" s="3710" t="s">
        <v>796</v>
      </c>
    </row>
    <row r="221" spans="1:45" ht="15" customHeight="1" thickBot="1" x14ac:dyDescent="0.3">
      <c r="A221" s="858" t="s">
        <v>660</v>
      </c>
      <c r="B221" s="1652" t="s">
        <v>112</v>
      </c>
      <c r="C221" s="763" t="s">
        <v>111</v>
      </c>
      <c r="D221" s="3522"/>
      <c r="E221" s="3522"/>
      <c r="F221" s="3522"/>
      <c r="G221" s="3522"/>
      <c r="H221" s="3522"/>
      <c r="I221" s="3522"/>
      <c r="J221" s="3522"/>
      <c r="K221" s="3522"/>
      <c r="L221" s="3522"/>
      <c r="M221" s="3522"/>
      <c r="N221" s="3522"/>
      <c r="P221" s="3522"/>
      <c r="Q221" s="3522"/>
      <c r="S221" s="3678"/>
      <c r="T221" s="3676"/>
      <c r="U221" s="3676"/>
      <c r="V221" s="3676"/>
      <c r="W221" s="3676"/>
      <c r="X221" s="3676"/>
      <c r="Y221" s="3676"/>
      <c r="Z221" s="3676"/>
      <c r="AA221" s="3676"/>
      <c r="AB221" s="3674"/>
      <c r="AD221" s="3679"/>
      <c r="AE221" s="3679"/>
      <c r="AF221" s="3679"/>
      <c r="AG221" s="3679"/>
      <c r="AH221" s="3679"/>
      <c r="AI221" s="3679"/>
      <c r="AJ221" s="3679"/>
      <c r="AK221" s="3710"/>
      <c r="AL221" s="3680"/>
      <c r="AM221" s="3710"/>
    </row>
    <row r="222" spans="1:45" ht="15.75" customHeight="1" x14ac:dyDescent="0.25">
      <c r="A222" s="651">
        <v>1</v>
      </c>
      <c r="B222" s="105">
        <f>IF('DATA INPUT'!$I$82&gt;=1,'DATA INPUT'!$E$82,0)</f>
        <v>0</v>
      </c>
      <c r="C222" s="106">
        <f t="shared" ref="C222:C227" si="328">IF(B222&gt;0,B222-1,0)</f>
        <v>0</v>
      </c>
      <c r="D222" s="106">
        <f ca="1">OFFSET('DATA INPUT'!$D$68,OFFSET($A$4,INT((ROW()-ROW($A$4))/15)*15,0)-1,0)</f>
        <v>0</v>
      </c>
      <c r="E222" s="106">
        <f ca="1">OFFSET('DATA INPUT'!$I$68,OFFSET($A$4,INT((ROW()-ROW($A$4))/15)*15,0)-1,A222-1)</f>
        <v>0</v>
      </c>
      <c r="F222" s="106">
        <f t="shared" ref="F222:F227" ca="1" si="329">E222*D222</f>
        <v>0</v>
      </c>
      <c r="G222" s="492">
        <f ca="1">B217</f>
        <v>0</v>
      </c>
      <c r="H222" s="492">
        <f ca="1">D217</f>
        <v>0</v>
      </c>
      <c r="I222" s="492">
        <f ca="1">F217</f>
        <v>0</v>
      </c>
      <c r="J222" s="492">
        <f>H217</f>
        <v>250</v>
      </c>
      <c r="K222" s="492">
        <f t="shared" ref="K222:K227" ca="1" si="330" xml:space="preserve"> H222*C222*$J$112</f>
        <v>0</v>
      </c>
      <c r="L222" s="492">
        <f>IF(L215="Yes",0,L217)</f>
        <v>0</v>
      </c>
      <c r="M222" s="1539">
        <f t="shared" ref="M222:M227" si="331">IF(B222&lt;1,0,(IF(C222=0,SUM(I222:L222),((B222-0.5)*G222+C222*H222+SUM(I222:L222)))))</f>
        <v>0</v>
      </c>
      <c r="N222" s="1500">
        <f t="shared" ref="N222:N227" ca="1" si="332">F222*M222</f>
        <v>0</v>
      </c>
      <c r="O222" s="672">
        <f t="shared" ref="O222:O227" si="333">A222</f>
        <v>1</v>
      </c>
      <c r="P222" s="1657">
        <f t="shared" ref="P222:P227" ca="1" si="334">Q222*F222</f>
        <v>0</v>
      </c>
      <c r="Q222" s="1657">
        <f>IF(L215="Yes",L217,0)</f>
        <v>0</v>
      </c>
      <c r="S222" s="651">
        <v>1</v>
      </c>
      <c r="T222" s="106">
        <f t="shared" ref="T222:T227" si="335">B222</f>
        <v>0</v>
      </c>
      <c r="U222" s="2519">
        <f t="shared" ref="U222:U227" ca="1" si="336">G222</f>
        <v>0</v>
      </c>
      <c r="V222" s="2519">
        <f t="shared" ref="V222:V227" ca="1" si="337">IFERROR(H222+K222/C222,0)</f>
        <v>0</v>
      </c>
      <c r="W222" s="2519">
        <f t="shared" ref="W222:X227" ca="1" si="338">I222</f>
        <v>0</v>
      </c>
      <c r="X222" s="2519">
        <f t="shared" si="338"/>
        <v>250</v>
      </c>
      <c r="Y222" s="2519">
        <f t="shared" ref="Y222:Z227" si="339">L222</f>
        <v>0</v>
      </c>
      <c r="Z222" s="2522">
        <f t="shared" si="339"/>
        <v>0</v>
      </c>
      <c r="AA222" s="106">
        <f t="shared" ref="AA222:AA227" ca="1" si="340">F222</f>
        <v>0</v>
      </c>
      <c r="AB222" s="2525">
        <f t="shared" ref="AB222:AB227" ca="1" si="341">N222</f>
        <v>0</v>
      </c>
      <c r="AD222" s="505">
        <v>1</v>
      </c>
      <c r="AE222" s="2539">
        <f t="shared" ref="AE222:AE227" si="342">B222</f>
        <v>0</v>
      </c>
      <c r="AF222" s="2539">
        <f t="shared" ref="AF222:AF227" ca="1" si="343">F222</f>
        <v>0</v>
      </c>
      <c r="AG222" s="457">
        <f t="shared" ref="AG222:AG227" ca="1" si="344">C222*H222+K222</f>
        <v>0</v>
      </c>
      <c r="AH222" s="457">
        <f t="shared" ref="AH222:AI227" ca="1" si="345">I222</f>
        <v>0</v>
      </c>
      <c r="AI222" s="457">
        <f t="shared" si="345"/>
        <v>250</v>
      </c>
      <c r="AJ222" s="457">
        <f t="shared" ref="AJ222:AJ227" ca="1" si="346">IF(AE222&gt;1,(B222-0.5)*G222,B222*G222)</f>
        <v>0</v>
      </c>
      <c r="AK222" s="457">
        <f t="shared" ref="AK222:AK227" ca="1" si="347">ROUND(SUM(AG222:AJ222)*AF222,0)</f>
        <v>0</v>
      </c>
      <c r="AL222" s="718">
        <f t="shared" ref="AL222:AL227" ca="1" si="348">AF222*(L222+Q222)</f>
        <v>0</v>
      </c>
      <c r="AM222" s="457">
        <f t="shared" ref="AM222:AM227" ca="1" si="349">AK222+AL222</f>
        <v>0</v>
      </c>
      <c r="AQ222" s="10"/>
      <c r="AR222" s="10"/>
    </row>
    <row r="223" spans="1:45" x14ac:dyDescent="0.25">
      <c r="A223" s="99">
        <v>2</v>
      </c>
      <c r="B223" s="107">
        <f>IF('DATA INPUT'!$J$82&gt;=1,'DATA INPUT'!$E$82,0)</f>
        <v>0</v>
      </c>
      <c r="C223" s="108">
        <f t="shared" si="328"/>
        <v>0</v>
      </c>
      <c r="D223" s="108">
        <f ca="1">OFFSET('DATA INPUT'!$D$68,OFFSET($A$4,INT((ROW()-ROW($A$4))/15)*15,0)-1,0)</f>
        <v>0</v>
      </c>
      <c r="E223" s="108">
        <f ca="1">OFFSET('DATA INPUT'!$I$68,OFFSET($A$4,INT((ROW()-ROW($A$4))/15)*15,0)-1,A223-1)</f>
        <v>0</v>
      </c>
      <c r="F223" s="108">
        <f t="shared" ca="1" si="329"/>
        <v>0</v>
      </c>
      <c r="G223" s="457">
        <f t="shared" ref="G223:J227" ca="1" si="350">(G222*$I$216)+G222</f>
        <v>0</v>
      </c>
      <c r="H223" s="457">
        <f t="shared" ca="1" si="350"/>
        <v>0</v>
      </c>
      <c r="I223" s="457">
        <f t="shared" ca="1" si="350"/>
        <v>0</v>
      </c>
      <c r="J223" s="457">
        <f t="shared" si="350"/>
        <v>257.5</v>
      </c>
      <c r="K223" s="457">
        <f t="shared" ca="1" si="330"/>
        <v>0</v>
      </c>
      <c r="L223" s="457">
        <f>(L222*$I$111)+L222</f>
        <v>0</v>
      </c>
      <c r="M223" s="1540">
        <f t="shared" si="331"/>
        <v>0</v>
      </c>
      <c r="N223" s="1541">
        <f t="shared" ca="1" si="332"/>
        <v>0</v>
      </c>
      <c r="O223" s="672">
        <f t="shared" si="333"/>
        <v>2</v>
      </c>
      <c r="P223" s="1489">
        <f t="shared" ca="1" si="334"/>
        <v>0</v>
      </c>
      <c r="Q223" s="1489">
        <f>(Q222*$I$111)+Q222</f>
        <v>0</v>
      </c>
      <c r="S223" s="99">
        <v>2</v>
      </c>
      <c r="T223" s="108">
        <f t="shared" si="335"/>
        <v>0</v>
      </c>
      <c r="U223" s="2520">
        <f t="shared" ca="1" si="336"/>
        <v>0</v>
      </c>
      <c r="V223" s="2520">
        <f t="shared" ca="1" si="337"/>
        <v>0</v>
      </c>
      <c r="W223" s="2520">
        <f t="shared" ca="1" si="338"/>
        <v>0</v>
      </c>
      <c r="X223" s="2520">
        <f t="shared" si="338"/>
        <v>257.5</v>
      </c>
      <c r="Y223" s="2520">
        <f t="shared" si="339"/>
        <v>0</v>
      </c>
      <c r="Z223" s="2523">
        <f t="shared" si="339"/>
        <v>0</v>
      </c>
      <c r="AA223" s="108">
        <f t="shared" ca="1" si="340"/>
        <v>0</v>
      </c>
      <c r="AB223" s="2526">
        <f t="shared" ca="1" si="341"/>
        <v>0</v>
      </c>
      <c r="AD223" s="505">
        <v>2</v>
      </c>
      <c r="AE223" s="2539">
        <f t="shared" si="342"/>
        <v>0</v>
      </c>
      <c r="AF223" s="2539">
        <f t="shared" ca="1" si="343"/>
        <v>0</v>
      </c>
      <c r="AG223" s="457">
        <f t="shared" ca="1" si="344"/>
        <v>0</v>
      </c>
      <c r="AH223" s="457">
        <f t="shared" ca="1" si="345"/>
        <v>0</v>
      </c>
      <c r="AI223" s="457">
        <f t="shared" si="345"/>
        <v>257.5</v>
      </c>
      <c r="AJ223" s="457">
        <f t="shared" ca="1" si="346"/>
        <v>0</v>
      </c>
      <c r="AK223" s="457">
        <f t="shared" ca="1" si="347"/>
        <v>0</v>
      </c>
      <c r="AL223" s="718">
        <f t="shared" ca="1" si="348"/>
        <v>0</v>
      </c>
      <c r="AM223" s="457">
        <f t="shared" ca="1" si="349"/>
        <v>0</v>
      </c>
      <c r="AQ223" s="10"/>
      <c r="AR223" s="10"/>
    </row>
    <row r="224" spans="1:45" x14ac:dyDescent="0.25">
      <c r="A224" s="652">
        <v>3</v>
      </c>
      <c r="B224" s="107">
        <f>IF('DATA INPUT'!$K$82&gt;=1,'DATA INPUT'!$E$82,0)</f>
        <v>0</v>
      </c>
      <c r="C224" s="108">
        <f t="shared" si="328"/>
        <v>0</v>
      </c>
      <c r="D224" s="108">
        <f ca="1">OFFSET('DATA INPUT'!$D$68,OFFSET($A$4,INT((ROW()-ROW($A$4))/15)*15,0)-1,0)</f>
        <v>0</v>
      </c>
      <c r="E224" s="108">
        <f ca="1">OFFSET('DATA INPUT'!$I$68,OFFSET($A$4,INT((ROW()-ROW($A$4))/15)*15,0)-1,A224-1)</f>
        <v>0</v>
      </c>
      <c r="F224" s="108">
        <f t="shared" ca="1" si="329"/>
        <v>0</v>
      </c>
      <c r="G224" s="457">
        <f t="shared" ca="1" si="350"/>
        <v>0</v>
      </c>
      <c r="H224" s="457">
        <f t="shared" ca="1" si="350"/>
        <v>0</v>
      </c>
      <c r="I224" s="457">
        <f t="shared" ca="1" si="350"/>
        <v>0</v>
      </c>
      <c r="J224" s="457">
        <f t="shared" si="350"/>
        <v>265.22500000000002</v>
      </c>
      <c r="K224" s="457">
        <f t="shared" ca="1" si="330"/>
        <v>0</v>
      </c>
      <c r="L224" s="457">
        <f>(L223*$I$111)+L223</f>
        <v>0</v>
      </c>
      <c r="M224" s="1540">
        <f t="shared" si="331"/>
        <v>0</v>
      </c>
      <c r="N224" s="1541">
        <f t="shared" ca="1" si="332"/>
        <v>0</v>
      </c>
      <c r="O224" s="672">
        <f t="shared" si="333"/>
        <v>3</v>
      </c>
      <c r="P224" s="1489">
        <f t="shared" ca="1" si="334"/>
        <v>0</v>
      </c>
      <c r="Q224" s="1489">
        <f>(Q223*$I$111)+Q223</f>
        <v>0</v>
      </c>
      <c r="S224" s="652">
        <v>3</v>
      </c>
      <c r="T224" s="108">
        <f t="shared" si="335"/>
        <v>0</v>
      </c>
      <c r="U224" s="2520">
        <f t="shared" ca="1" si="336"/>
        <v>0</v>
      </c>
      <c r="V224" s="2520">
        <f t="shared" ca="1" si="337"/>
        <v>0</v>
      </c>
      <c r="W224" s="2520">
        <f t="shared" ca="1" si="338"/>
        <v>0</v>
      </c>
      <c r="X224" s="2520">
        <f t="shared" si="338"/>
        <v>265.22500000000002</v>
      </c>
      <c r="Y224" s="2520">
        <f t="shared" si="339"/>
        <v>0</v>
      </c>
      <c r="Z224" s="2523">
        <f t="shared" si="339"/>
        <v>0</v>
      </c>
      <c r="AA224" s="108">
        <f t="shared" ca="1" si="340"/>
        <v>0</v>
      </c>
      <c r="AB224" s="2526">
        <f t="shared" ca="1" si="341"/>
        <v>0</v>
      </c>
      <c r="AD224" s="505">
        <v>3</v>
      </c>
      <c r="AE224" s="2539">
        <f t="shared" si="342"/>
        <v>0</v>
      </c>
      <c r="AF224" s="2539">
        <f t="shared" ca="1" si="343"/>
        <v>0</v>
      </c>
      <c r="AG224" s="457">
        <f t="shared" ca="1" si="344"/>
        <v>0</v>
      </c>
      <c r="AH224" s="457">
        <f t="shared" ca="1" si="345"/>
        <v>0</v>
      </c>
      <c r="AI224" s="457">
        <f t="shared" si="345"/>
        <v>265.22500000000002</v>
      </c>
      <c r="AJ224" s="457">
        <f t="shared" ca="1" si="346"/>
        <v>0</v>
      </c>
      <c r="AK224" s="457">
        <f t="shared" ca="1" si="347"/>
        <v>0</v>
      </c>
      <c r="AL224" s="718">
        <f t="shared" ca="1" si="348"/>
        <v>0</v>
      </c>
      <c r="AM224" s="457">
        <f t="shared" ca="1" si="349"/>
        <v>0</v>
      </c>
      <c r="AQ224" s="10"/>
      <c r="AR224" s="10"/>
    </row>
    <row r="225" spans="1:45" x14ac:dyDescent="0.25">
      <c r="A225" s="99">
        <v>4</v>
      </c>
      <c r="B225" s="107">
        <f>IF('DATA INPUT'!$L$82&gt;=1,'DATA INPUT'!$E$82,0)</f>
        <v>0</v>
      </c>
      <c r="C225" s="108">
        <f t="shared" si="328"/>
        <v>0</v>
      </c>
      <c r="D225" s="108">
        <f ca="1">OFFSET('DATA INPUT'!$D$68,OFFSET($A$4,INT((ROW()-ROW($A$4))/15)*15,0)-1,0)</f>
        <v>0</v>
      </c>
      <c r="E225" s="108">
        <f ca="1">OFFSET('DATA INPUT'!$I$68,OFFSET($A$4,INT((ROW()-ROW($A$4))/15)*15,0)-1,A225-1)</f>
        <v>0</v>
      </c>
      <c r="F225" s="108">
        <f t="shared" ca="1" si="329"/>
        <v>0</v>
      </c>
      <c r="G225" s="457">
        <f t="shared" ca="1" si="350"/>
        <v>0</v>
      </c>
      <c r="H225" s="457">
        <f t="shared" ca="1" si="350"/>
        <v>0</v>
      </c>
      <c r="I225" s="457">
        <f t="shared" ca="1" si="350"/>
        <v>0</v>
      </c>
      <c r="J225" s="457">
        <f t="shared" si="350"/>
        <v>273.18175000000002</v>
      </c>
      <c r="K225" s="457">
        <f t="shared" ca="1" si="330"/>
        <v>0</v>
      </c>
      <c r="L225" s="457">
        <f>(L224*$I$111)+L224</f>
        <v>0</v>
      </c>
      <c r="M225" s="1540">
        <f t="shared" si="331"/>
        <v>0</v>
      </c>
      <c r="N225" s="1541">
        <f t="shared" ca="1" si="332"/>
        <v>0</v>
      </c>
      <c r="O225" s="672">
        <f t="shared" si="333"/>
        <v>4</v>
      </c>
      <c r="P225" s="1489">
        <f t="shared" ca="1" si="334"/>
        <v>0</v>
      </c>
      <c r="Q225" s="1489">
        <f>(Q224*$I$111)+Q224</f>
        <v>0</v>
      </c>
      <c r="S225" s="99">
        <v>4</v>
      </c>
      <c r="T225" s="108">
        <f t="shared" si="335"/>
        <v>0</v>
      </c>
      <c r="U225" s="2520">
        <f t="shared" ca="1" si="336"/>
        <v>0</v>
      </c>
      <c r="V225" s="2520">
        <f t="shared" ca="1" si="337"/>
        <v>0</v>
      </c>
      <c r="W225" s="2520">
        <f t="shared" ca="1" si="338"/>
        <v>0</v>
      </c>
      <c r="X225" s="2520">
        <f t="shared" si="338"/>
        <v>273.18175000000002</v>
      </c>
      <c r="Y225" s="2520">
        <f t="shared" si="339"/>
        <v>0</v>
      </c>
      <c r="Z225" s="2523">
        <f t="shared" si="339"/>
        <v>0</v>
      </c>
      <c r="AA225" s="108">
        <f t="shared" ca="1" si="340"/>
        <v>0</v>
      </c>
      <c r="AB225" s="2526">
        <f t="shared" ca="1" si="341"/>
        <v>0</v>
      </c>
      <c r="AD225" s="505">
        <v>4</v>
      </c>
      <c r="AE225" s="2539">
        <f t="shared" si="342"/>
        <v>0</v>
      </c>
      <c r="AF225" s="2539">
        <f t="shared" ca="1" si="343"/>
        <v>0</v>
      </c>
      <c r="AG225" s="457">
        <f t="shared" ca="1" si="344"/>
        <v>0</v>
      </c>
      <c r="AH225" s="457">
        <f t="shared" ca="1" si="345"/>
        <v>0</v>
      </c>
      <c r="AI225" s="457">
        <f t="shared" si="345"/>
        <v>273.18175000000002</v>
      </c>
      <c r="AJ225" s="457">
        <f t="shared" ca="1" si="346"/>
        <v>0</v>
      </c>
      <c r="AK225" s="457">
        <f t="shared" ca="1" si="347"/>
        <v>0</v>
      </c>
      <c r="AL225" s="718">
        <f t="shared" ca="1" si="348"/>
        <v>0</v>
      </c>
      <c r="AM225" s="457">
        <f t="shared" ca="1" si="349"/>
        <v>0</v>
      </c>
      <c r="AQ225" s="10"/>
      <c r="AR225" s="10"/>
    </row>
    <row r="226" spans="1:45" x14ac:dyDescent="0.25">
      <c r="A226" s="99">
        <v>5</v>
      </c>
      <c r="B226" s="107">
        <f>IF('DATA INPUT'!$M$82&gt;=1,'DATA INPUT'!$E$82,0)</f>
        <v>0</v>
      </c>
      <c r="C226" s="108">
        <f t="shared" si="328"/>
        <v>0</v>
      </c>
      <c r="D226" s="108">
        <f ca="1">OFFSET('DATA INPUT'!$D$68,OFFSET($A$4,INT((ROW()-ROW($A$4))/15)*15,0)-1,0)</f>
        <v>0</v>
      </c>
      <c r="E226" s="108">
        <f ca="1">OFFSET('DATA INPUT'!$I$68,OFFSET($A$4,INT((ROW()-ROW($A$4))/15)*15,0)-1,A226-1)</f>
        <v>0</v>
      </c>
      <c r="F226" s="108">
        <f t="shared" ca="1" si="329"/>
        <v>0</v>
      </c>
      <c r="G226" s="457">
        <f t="shared" ca="1" si="350"/>
        <v>0</v>
      </c>
      <c r="H226" s="457">
        <f t="shared" ca="1" si="350"/>
        <v>0</v>
      </c>
      <c r="I226" s="457">
        <f t="shared" ca="1" si="350"/>
        <v>0</v>
      </c>
      <c r="J226" s="457">
        <f t="shared" si="350"/>
        <v>281.37720250000001</v>
      </c>
      <c r="K226" s="457">
        <f t="shared" ca="1" si="330"/>
        <v>0</v>
      </c>
      <c r="L226" s="457">
        <f>(L225*$I$111)+L225</f>
        <v>0</v>
      </c>
      <c r="M226" s="1540">
        <f t="shared" si="331"/>
        <v>0</v>
      </c>
      <c r="N226" s="1541">
        <f t="shared" ca="1" si="332"/>
        <v>0</v>
      </c>
      <c r="O226" s="672">
        <f t="shared" si="333"/>
        <v>5</v>
      </c>
      <c r="P226" s="1489">
        <f t="shared" ca="1" si="334"/>
        <v>0</v>
      </c>
      <c r="Q226" s="1489">
        <f>(Q225*$I$111)+Q225</f>
        <v>0</v>
      </c>
      <c r="S226" s="99">
        <v>5</v>
      </c>
      <c r="T226" s="108">
        <f t="shared" si="335"/>
        <v>0</v>
      </c>
      <c r="U226" s="2520">
        <f t="shared" ca="1" si="336"/>
        <v>0</v>
      </c>
      <c r="V226" s="2520">
        <f t="shared" ca="1" si="337"/>
        <v>0</v>
      </c>
      <c r="W226" s="2520">
        <f t="shared" ca="1" si="338"/>
        <v>0</v>
      </c>
      <c r="X226" s="2520">
        <f t="shared" si="338"/>
        <v>281.37720250000001</v>
      </c>
      <c r="Y226" s="2520">
        <f t="shared" si="339"/>
        <v>0</v>
      </c>
      <c r="Z226" s="2523">
        <f t="shared" si="339"/>
        <v>0</v>
      </c>
      <c r="AA226" s="108">
        <f t="shared" ca="1" si="340"/>
        <v>0</v>
      </c>
      <c r="AB226" s="2526">
        <f t="shared" ca="1" si="341"/>
        <v>0</v>
      </c>
      <c r="AD226" s="505">
        <v>5</v>
      </c>
      <c r="AE226" s="2539">
        <f t="shared" si="342"/>
        <v>0</v>
      </c>
      <c r="AF226" s="2539">
        <f t="shared" ca="1" si="343"/>
        <v>0</v>
      </c>
      <c r="AG226" s="457">
        <f t="shared" ca="1" si="344"/>
        <v>0</v>
      </c>
      <c r="AH226" s="457">
        <f t="shared" ca="1" si="345"/>
        <v>0</v>
      </c>
      <c r="AI226" s="457">
        <f t="shared" si="345"/>
        <v>281.37720250000001</v>
      </c>
      <c r="AJ226" s="457">
        <f t="shared" ca="1" si="346"/>
        <v>0</v>
      </c>
      <c r="AK226" s="457">
        <f t="shared" ca="1" si="347"/>
        <v>0</v>
      </c>
      <c r="AL226" s="718">
        <f t="shared" ca="1" si="348"/>
        <v>0</v>
      </c>
      <c r="AM226" s="457">
        <f t="shared" ca="1" si="349"/>
        <v>0</v>
      </c>
      <c r="AQ226" s="10"/>
      <c r="AR226" s="10"/>
    </row>
    <row r="227" spans="1:45" ht="15.75" thickBot="1" x14ac:dyDescent="0.3">
      <c r="A227" s="98">
        <v>6</v>
      </c>
      <c r="B227" s="757">
        <f>IF('DATA INPUT'!$N$82&gt;=1,'DATA INPUT'!$E$82,0)</f>
        <v>0</v>
      </c>
      <c r="C227" s="758">
        <f t="shared" si="328"/>
        <v>0</v>
      </c>
      <c r="D227" s="109">
        <f ca="1">OFFSET('DATA INPUT'!$D$68,OFFSET($A$4,INT((ROW()-ROW($A$4))/15)*15,0)-1,0)</f>
        <v>0</v>
      </c>
      <c r="E227" s="109">
        <f ca="1">OFFSET('DATA INPUT'!$I$68,OFFSET($A$4,INT((ROW()-ROW($A$4))/15)*15,0)-1,A227-1)</f>
        <v>0</v>
      </c>
      <c r="F227" s="758">
        <f t="shared" ca="1" si="329"/>
        <v>0</v>
      </c>
      <c r="G227" s="457">
        <f t="shared" ca="1" si="350"/>
        <v>0</v>
      </c>
      <c r="H227" s="457">
        <f t="shared" ca="1" si="350"/>
        <v>0</v>
      </c>
      <c r="I227" s="457">
        <f t="shared" ca="1" si="350"/>
        <v>0</v>
      </c>
      <c r="J227" s="457">
        <f t="shared" si="350"/>
        <v>289.81851857499998</v>
      </c>
      <c r="K227" s="495">
        <f t="shared" ca="1" si="330"/>
        <v>0</v>
      </c>
      <c r="L227" s="495">
        <f>(L226*$I$111)+L226</f>
        <v>0</v>
      </c>
      <c r="M227" s="1550">
        <f t="shared" si="331"/>
        <v>0</v>
      </c>
      <c r="N227" s="1551">
        <f t="shared" ca="1" si="332"/>
        <v>0</v>
      </c>
      <c r="O227" s="672">
        <f t="shared" si="333"/>
        <v>6</v>
      </c>
      <c r="P227" s="1513">
        <f t="shared" ca="1" si="334"/>
        <v>0</v>
      </c>
      <c r="Q227" s="1513">
        <f>(Q226*$I$111)+Q226</f>
        <v>0</v>
      </c>
      <c r="S227" s="98">
        <v>6</v>
      </c>
      <c r="T227" s="109">
        <f t="shared" si="335"/>
        <v>0</v>
      </c>
      <c r="U227" s="2521">
        <f t="shared" ca="1" si="336"/>
        <v>0</v>
      </c>
      <c r="V227" s="2521">
        <f t="shared" ca="1" si="337"/>
        <v>0</v>
      </c>
      <c r="W227" s="2521">
        <f t="shared" ca="1" si="338"/>
        <v>0</v>
      </c>
      <c r="X227" s="2521">
        <f t="shared" si="338"/>
        <v>289.81851857499998</v>
      </c>
      <c r="Y227" s="2521">
        <f t="shared" si="339"/>
        <v>0</v>
      </c>
      <c r="Z227" s="2524">
        <f t="shared" si="339"/>
        <v>0</v>
      </c>
      <c r="AA227" s="109">
        <f t="shared" ca="1" si="340"/>
        <v>0</v>
      </c>
      <c r="AB227" s="2527">
        <f t="shared" ca="1" si="341"/>
        <v>0</v>
      </c>
      <c r="AD227" s="505">
        <v>6</v>
      </c>
      <c r="AE227" s="2539">
        <f t="shared" si="342"/>
        <v>0</v>
      </c>
      <c r="AF227" s="2539">
        <f t="shared" ca="1" si="343"/>
        <v>0</v>
      </c>
      <c r="AG227" s="457">
        <f t="shared" ca="1" si="344"/>
        <v>0</v>
      </c>
      <c r="AH227" s="457">
        <f t="shared" ca="1" si="345"/>
        <v>0</v>
      </c>
      <c r="AI227" s="457">
        <f t="shared" si="345"/>
        <v>289.81851857499998</v>
      </c>
      <c r="AJ227" s="457">
        <f t="shared" ca="1" si="346"/>
        <v>0</v>
      </c>
      <c r="AK227" s="457">
        <f t="shared" ca="1" si="347"/>
        <v>0</v>
      </c>
      <c r="AL227" s="718">
        <f t="shared" ca="1" si="348"/>
        <v>0</v>
      </c>
      <c r="AM227" s="457">
        <f t="shared" ca="1" si="349"/>
        <v>0</v>
      </c>
      <c r="AQ227" s="10"/>
      <c r="AR227" s="10"/>
    </row>
    <row r="228" spans="1:45" x14ac:dyDescent="0.25">
      <c r="A228" s="859"/>
      <c r="B228" s="668"/>
      <c r="C228" s="668"/>
      <c r="D228" s="668"/>
      <c r="E228" s="668"/>
      <c r="F228" s="668"/>
      <c r="G228" s="668"/>
      <c r="H228" s="668"/>
      <c r="I228" s="668"/>
      <c r="J228" s="668"/>
      <c r="K228" s="668"/>
      <c r="L228" s="668"/>
      <c r="M228" s="759" t="s">
        <v>300</v>
      </c>
      <c r="N228" s="1552">
        <f ca="1">SUM(N222:N227)</f>
        <v>0</v>
      </c>
      <c r="O228" s="10"/>
      <c r="P228" s="1529">
        <f ca="1">SUM(P222:P227)</f>
        <v>0</v>
      </c>
      <c r="Q228" s="1529"/>
      <c r="AQ228" s="10"/>
      <c r="AR228" s="10"/>
    </row>
    <row r="229" spans="1:45" x14ac:dyDescent="0.25">
      <c r="N229" s="2449" t="str">
        <f>IF(L215="Yes",N228+P228,"")</f>
        <v/>
      </c>
      <c r="O229" s="2450" t="s">
        <v>756</v>
      </c>
      <c r="P229" s="10"/>
      <c r="Q229" s="10"/>
      <c r="AQ229" s="10"/>
      <c r="AR229" s="10"/>
    </row>
    <row r="230" spans="1:45" x14ac:dyDescent="0.25">
      <c r="N230" s="10"/>
      <c r="O230" s="10"/>
      <c r="P230" s="10"/>
      <c r="Q230" s="10"/>
      <c r="AR230" s="10"/>
      <c r="AS230" s="10"/>
    </row>
    <row r="231" spans="1:45" x14ac:dyDescent="0.25">
      <c r="N231" s="10"/>
      <c r="O231" s="10"/>
      <c r="P231" s="10"/>
      <c r="Q231" s="10"/>
      <c r="AR231" s="10"/>
      <c r="AS231" s="10"/>
    </row>
    <row r="232" spans="1:45" x14ac:dyDescent="0.25">
      <c r="N232" s="10"/>
      <c r="O232" s="10"/>
      <c r="P232" s="10"/>
      <c r="Q232" s="10"/>
      <c r="AR232" s="10"/>
      <c r="AS232" s="10"/>
    </row>
    <row r="233" spans="1:45" x14ac:dyDescent="0.25">
      <c r="P233" s="10"/>
      <c r="Q233" s="10"/>
      <c r="AR233" s="10"/>
      <c r="AS233" s="10"/>
    </row>
    <row r="234" spans="1:45" x14ac:dyDescent="0.25">
      <c r="AR234" s="10"/>
      <c r="AS234" s="10"/>
    </row>
    <row r="235" spans="1:45" x14ac:dyDescent="0.25">
      <c r="AR235" s="10"/>
      <c r="AS235" s="10"/>
    </row>
    <row r="236" spans="1:45" x14ac:dyDescent="0.25">
      <c r="AR236" s="10"/>
      <c r="AS236" s="10"/>
    </row>
  </sheetData>
  <mergeCells count="608">
    <mergeCell ref="AJ220:AJ221"/>
    <mergeCell ref="AK220:AK221"/>
    <mergeCell ref="AL220:AL221"/>
    <mergeCell ref="AM220:AM221"/>
    <mergeCell ref="V220:V221"/>
    <mergeCell ref="W220:W221"/>
    <mergeCell ref="X220:X221"/>
    <mergeCell ref="Y220:Y221"/>
    <mergeCell ref="Z220:Z221"/>
    <mergeCell ref="AA220:AA221"/>
    <mergeCell ref="AB220:AB221"/>
    <mergeCell ref="AD220:AD221"/>
    <mergeCell ref="AE220:AE221"/>
    <mergeCell ref="P220:P221"/>
    <mergeCell ref="Q220:Q221"/>
    <mergeCell ref="S220:S221"/>
    <mergeCell ref="T220:T221"/>
    <mergeCell ref="U220:U221"/>
    <mergeCell ref="AF220:AF221"/>
    <mergeCell ref="AG220:AG221"/>
    <mergeCell ref="AH220:AH221"/>
    <mergeCell ref="AI220:AI221"/>
    <mergeCell ref="B216:D216"/>
    <mergeCell ref="B220:C220"/>
    <mergeCell ref="D220:D221"/>
    <mergeCell ref="E220:E221"/>
    <mergeCell ref="F220:F221"/>
    <mergeCell ref="G220:G221"/>
    <mergeCell ref="H220:H221"/>
    <mergeCell ref="I220:I221"/>
    <mergeCell ref="J220:J221"/>
    <mergeCell ref="A219:N219"/>
    <mergeCell ref="K220:K221"/>
    <mergeCell ref="L220:L221"/>
    <mergeCell ref="M220:M221"/>
    <mergeCell ref="N220:N221"/>
    <mergeCell ref="AF205:AF206"/>
    <mergeCell ref="AG205:AG206"/>
    <mergeCell ref="AH205:AH206"/>
    <mergeCell ref="AI205:AI206"/>
    <mergeCell ref="AJ205:AJ206"/>
    <mergeCell ref="AK205:AK206"/>
    <mergeCell ref="AL205:AL206"/>
    <mergeCell ref="AM205:AM206"/>
    <mergeCell ref="B215:F215"/>
    <mergeCell ref="J215:K215"/>
    <mergeCell ref="V205:V206"/>
    <mergeCell ref="W205:W206"/>
    <mergeCell ref="X205:X206"/>
    <mergeCell ref="Y205:Y206"/>
    <mergeCell ref="Z205:Z206"/>
    <mergeCell ref="AA205:AA206"/>
    <mergeCell ref="AB205:AB206"/>
    <mergeCell ref="AD205:AD206"/>
    <mergeCell ref="AE205:AE206"/>
    <mergeCell ref="K205:K206"/>
    <mergeCell ref="L205:L206"/>
    <mergeCell ref="M205:M206"/>
    <mergeCell ref="N205:N206"/>
    <mergeCell ref="P205:P206"/>
    <mergeCell ref="Q205:Q206"/>
    <mergeCell ref="S205:S206"/>
    <mergeCell ref="T205:T206"/>
    <mergeCell ref="U205:U206"/>
    <mergeCell ref="B201:D201"/>
    <mergeCell ref="B205:C205"/>
    <mergeCell ref="D205:D206"/>
    <mergeCell ref="E205:E206"/>
    <mergeCell ref="F205:F206"/>
    <mergeCell ref="G205:G206"/>
    <mergeCell ref="H205:H206"/>
    <mergeCell ref="I205:I206"/>
    <mergeCell ref="J205:J206"/>
    <mergeCell ref="A204:N204"/>
    <mergeCell ref="AF190:AF191"/>
    <mergeCell ref="AG190:AG191"/>
    <mergeCell ref="AH190:AH191"/>
    <mergeCell ref="AI190:AI191"/>
    <mergeCell ref="AJ190:AJ191"/>
    <mergeCell ref="AK190:AK191"/>
    <mergeCell ref="AL190:AL191"/>
    <mergeCell ref="AM190:AM191"/>
    <mergeCell ref="B200:F200"/>
    <mergeCell ref="J200:K200"/>
    <mergeCell ref="V190:V191"/>
    <mergeCell ref="W190:W191"/>
    <mergeCell ref="X190:X191"/>
    <mergeCell ref="Y190:Y191"/>
    <mergeCell ref="Z190:Z191"/>
    <mergeCell ref="AA190:AA191"/>
    <mergeCell ref="AB190:AB191"/>
    <mergeCell ref="AD190:AD191"/>
    <mergeCell ref="AE190:AE191"/>
    <mergeCell ref="K190:K191"/>
    <mergeCell ref="L190:L191"/>
    <mergeCell ref="M190:M191"/>
    <mergeCell ref="N190:N191"/>
    <mergeCell ref="P190:P191"/>
    <mergeCell ref="Q190:Q191"/>
    <mergeCell ref="S190:S191"/>
    <mergeCell ref="T190:T191"/>
    <mergeCell ref="U190:U191"/>
    <mergeCell ref="B186:D186"/>
    <mergeCell ref="B190:C190"/>
    <mergeCell ref="D190:D191"/>
    <mergeCell ref="E190:E191"/>
    <mergeCell ref="F190:F191"/>
    <mergeCell ref="G190:G191"/>
    <mergeCell ref="H190:H191"/>
    <mergeCell ref="I190:I191"/>
    <mergeCell ref="J190:J191"/>
    <mergeCell ref="A189:N189"/>
    <mergeCell ref="AF175:AF176"/>
    <mergeCell ref="AG175:AG176"/>
    <mergeCell ref="AH175:AH176"/>
    <mergeCell ref="AI175:AI176"/>
    <mergeCell ref="AJ175:AJ176"/>
    <mergeCell ref="AK175:AK176"/>
    <mergeCell ref="AL175:AL176"/>
    <mergeCell ref="AM175:AM176"/>
    <mergeCell ref="B185:F185"/>
    <mergeCell ref="J185:K185"/>
    <mergeCell ref="V175:V176"/>
    <mergeCell ref="W175:W176"/>
    <mergeCell ref="X175:X176"/>
    <mergeCell ref="Y175:Y176"/>
    <mergeCell ref="Z175:Z176"/>
    <mergeCell ref="AA175:AA176"/>
    <mergeCell ref="AB175:AB176"/>
    <mergeCell ref="AD175:AD176"/>
    <mergeCell ref="AE175:AE176"/>
    <mergeCell ref="K175:K176"/>
    <mergeCell ref="L175:L176"/>
    <mergeCell ref="M175:M176"/>
    <mergeCell ref="N175:N176"/>
    <mergeCell ref="P175:P176"/>
    <mergeCell ref="Q175:Q176"/>
    <mergeCell ref="S175:S176"/>
    <mergeCell ref="T175:T176"/>
    <mergeCell ref="U175:U176"/>
    <mergeCell ref="B171:D171"/>
    <mergeCell ref="B175:C175"/>
    <mergeCell ref="D175:D176"/>
    <mergeCell ref="E175:E176"/>
    <mergeCell ref="F175:F176"/>
    <mergeCell ref="G175:G176"/>
    <mergeCell ref="H175:H176"/>
    <mergeCell ref="I175:I176"/>
    <mergeCell ref="J175:J176"/>
    <mergeCell ref="A174:N174"/>
    <mergeCell ref="AF160:AF161"/>
    <mergeCell ref="AG160:AG161"/>
    <mergeCell ref="AH160:AH161"/>
    <mergeCell ref="AI160:AI161"/>
    <mergeCell ref="AJ160:AJ161"/>
    <mergeCell ref="AK160:AK161"/>
    <mergeCell ref="AL160:AL161"/>
    <mergeCell ref="AM160:AM161"/>
    <mergeCell ref="B170:F170"/>
    <mergeCell ref="J170:K170"/>
    <mergeCell ref="V160:V161"/>
    <mergeCell ref="W160:W161"/>
    <mergeCell ref="X160:X161"/>
    <mergeCell ref="Y160:Y161"/>
    <mergeCell ref="Z160:Z161"/>
    <mergeCell ref="AA160:AA161"/>
    <mergeCell ref="AB160:AB161"/>
    <mergeCell ref="AD160:AD161"/>
    <mergeCell ref="AE160:AE161"/>
    <mergeCell ref="K160:K161"/>
    <mergeCell ref="L160:L161"/>
    <mergeCell ref="M160:M161"/>
    <mergeCell ref="N160:N161"/>
    <mergeCell ref="P160:P161"/>
    <mergeCell ref="Q160:Q161"/>
    <mergeCell ref="S160:S161"/>
    <mergeCell ref="T160:T161"/>
    <mergeCell ref="U160:U161"/>
    <mergeCell ref="B156:D156"/>
    <mergeCell ref="B160:C160"/>
    <mergeCell ref="D160:D161"/>
    <mergeCell ref="E160:E161"/>
    <mergeCell ref="F160:F161"/>
    <mergeCell ref="G160:G161"/>
    <mergeCell ref="H160:H161"/>
    <mergeCell ref="I160:I161"/>
    <mergeCell ref="J160:J161"/>
    <mergeCell ref="A159:N159"/>
    <mergeCell ref="AF145:AF146"/>
    <mergeCell ref="AG145:AG146"/>
    <mergeCell ref="AH145:AH146"/>
    <mergeCell ref="AI145:AI146"/>
    <mergeCell ref="AJ145:AJ146"/>
    <mergeCell ref="AK145:AK146"/>
    <mergeCell ref="AL145:AL146"/>
    <mergeCell ref="AM145:AM146"/>
    <mergeCell ref="B155:F155"/>
    <mergeCell ref="J155:K155"/>
    <mergeCell ref="V145:V146"/>
    <mergeCell ref="W145:W146"/>
    <mergeCell ref="X145:X146"/>
    <mergeCell ref="Y145:Y146"/>
    <mergeCell ref="Z145:Z146"/>
    <mergeCell ref="AA145:AA146"/>
    <mergeCell ref="AB145:AB146"/>
    <mergeCell ref="AD145:AD146"/>
    <mergeCell ref="AE145:AE146"/>
    <mergeCell ref="K145:K146"/>
    <mergeCell ref="L145:L146"/>
    <mergeCell ref="M145:M146"/>
    <mergeCell ref="N145:N146"/>
    <mergeCell ref="P145:P146"/>
    <mergeCell ref="Q145:Q146"/>
    <mergeCell ref="S145:S146"/>
    <mergeCell ref="T145:T146"/>
    <mergeCell ref="U145:U146"/>
    <mergeCell ref="B141:D141"/>
    <mergeCell ref="B145:C145"/>
    <mergeCell ref="D145:D146"/>
    <mergeCell ref="E145:E146"/>
    <mergeCell ref="F145:F146"/>
    <mergeCell ref="G145:G146"/>
    <mergeCell ref="H145:H146"/>
    <mergeCell ref="I145:I146"/>
    <mergeCell ref="J145:J146"/>
    <mergeCell ref="A144:N144"/>
    <mergeCell ref="AG130:AG131"/>
    <mergeCell ref="AH130:AH131"/>
    <mergeCell ref="AI130:AI131"/>
    <mergeCell ref="AJ130:AJ131"/>
    <mergeCell ref="AK130:AK131"/>
    <mergeCell ref="AL130:AL131"/>
    <mergeCell ref="AM130:AM131"/>
    <mergeCell ref="B140:F140"/>
    <mergeCell ref="J140:K140"/>
    <mergeCell ref="W130:W131"/>
    <mergeCell ref="X130:X131"/>
    <mergeCell ref="Y130:Y131"/>
    <mergeCell ref="Z130:Z131"/>
    <mergeCell ref="AA130:AA131"/>
    <mergeCell ref="AB130:AB131"/>
    <mergeCell ref="AD130:AD131"/>
    <mergeCell ref="AE130:AE131"/>
    <mergeCell ref="AF130:AF131"/>
    <mergeCell ref="L130:L131"/>
    <mergeCell ref="M130:M131"/>
    <mergeCell ref="N130:N131"/>
    <mergeCell ref="P130:P131"/>
    <mergeCell ref="Q130:Q131"/>
    <mergeCell ref="S130:S131"/>
    <mergeCell ref="T130:T131"/>
    <mergeCell ref="U130:U131"/>
    <mergeCell ref="V130:V131"/>
    <mergeCell ref="B125:F125"/>
    <mergeCell ref="J125:K125"/>
    <mergeCell ref="B126:D126"/>
    <mergeCell ref="B130:C130"/>
    <mergeCell ref="D130:D131"/>
    <mergeCell ref="E130:E131"/>
    <mergeCell ref="F130:F131"/>
    <mergeCell ref="G130:G131"/>
    <mergeCell ref="H130:H131"/>
    <mergeCell ref="I130:I131"/>
    <mergeCell ref="J130:J131"/>
    <mergeCell ref="K130:K131"/>
    <mergeCell ref="A129:N129"/>
    <mergeCell ref="AL100:AL101"/>
    <mergeCell ref="AM100:AM101"/>
    <mergeCell ref="AB85:AB86"/>
    <mergeCell ref="AD85:AD86"/>
    <mergeCell ref="S115:S116"/>
    <mergeCell ref="T115:T116"/>
    <mergeCell ref="U115:U116"/>
    <mergeCell ref="V115:V116"/>
    <mergeCell ref="W115:W116"/>
    <mergeCell ref="X115:X116"/>
    <mergeCell ref="Y115:Y116"/>
    <mergeCell ref="Z115:Z116"/>
    <mergeCell ref="AA115:AA116"/>
    <mergeCell ref="AL115:AL116"/>
    <mergeCell ref="AM115:AM116"/>
    <mergeCell ref="AB115:AB116"/>
    <mergeCell ref="AD115:AD116"/>
    <mergeCell ref="AE115:AE116"/>
    <mergeCell ref="AF115:AF116"/>
    <mergeCell ref="AG115:AG116"/>
    <mergeCell ref="AH115:AH116"/>
    <mergeCell ref="AI115:AI116"/>
    <mergeCell ref="AJ115:AJ116"/>
    <mergeCell ref="AK115:AK116"/>
    <mergeCell ref="AB100:AB101"/>
    <mergeCell ref="AD100:AD101"/>
    <mergeCell ref="AE100:AE101"/>
    <mergeCell ref="AF100:AF101"/>
    <mergeCell ref="AG100:AG101"/>
    <mergeCell ref="AH100:AH101"/>
    <mergeCell ref="AI100:AI101"/>
    <mergeCell ref="AJ100:AJ101"/>
    <mergeCell ref="AK100:AK101"/>
    <mergeCell ref="S100:S101"/>
    <mergeCell ref="T100:T101"/>
    <mergeCell ref="U100:U101"/>
    <mergeCell ref="V100:V101"/>
    <mergeCell ref="W100:W101"/>
    <mergeCell ref="X100:X101"/>
    <mergeCell ref="Y100:Y101"/>
    <mergeCell ref="Z100:Z101"/>
    <mergeCell ref="AA100:AA101"/>
    <mergeCell ref="S85:S86"/>
    <mergeCell ref="T85:T86"/>
    <mergeCell ref="U85:U86"/>
    <mergeCell ref="V85:V86"/>
    <mergeCell ref="W85:W86"/>
    <mergeCell ref="X85:X86"/>
    <mergeCell ref="Y85:Y86"/>
    <mergeCell ref="Z85:Z86"/>
    <mergeCell ref="AA85:AA86"/>
    <mergeCell ref="AL70:AL71"/>
    <mergeCell ref="AM70:AM71"/>
    <mergeCell ref="AB55:AB56"/>
    <mergeCell ref="AD55:AD56"/>
    <mergeCell ref="AE85:AE86"/>
    <mergeCell ref="AF85:AF86"/>
    <mergeCell ref="AG85:AG86"/>
    <mergeCell ref="AH85:AH86"/>
    <mergeCell ref="AI85:AI86"/>
    <mergeCell ref="AJ85:AJ86"/>
    <mergeCell ref="AK85:AK86"/>
    <mergeCell ref="AL85:AL86"/>
    <mergeCell ref="AM85:AM86"/>
    <mergeCell ref="AB70:AB71"/>
    <mergeCell ref="AD70:AD71"/>
    <mergeCell ref="AE70:AE71"/>
    <mergeCell ref="AF70:AF71"/>
    <mergeCell ref="AG70:AG71"/>
    <mergeCell ref="AH70:AH71"/>
    <mergeCell ref="AI70:AI71"/>
    <mergeCell ref="AJ70:AJ71"/>
    <mergeCell ref="AK70:AK71"/>
    <mergeCell ref="S70:S71"/>
    <mergeCell ref="T70:T71"/>
    <mergeCell ref="U70:U71"/>
    <mergeCell ref="V70:V71"/>
    <mergeCell ref="W70:W71"/>
    <mergeCell ref="X70:X71"/>
    <mergeCell ref="Y70:Y71"/>
    <mergeCell ref="Z70:Z71"/>
    <mergeCell ref="AA70:AA71"/>
    <mergeCell ref="S55:S56"/>
    <mergeCell ref="T55:T56"/>
    <mergeCell ref="U55:U56"/>
    <mergeCell ref="V55:V56"/>
    <mergeCell ref="W55:W56"/>
    <mergeCell ref="X55:X56"/>
    <mergeCell ref="Y55:Y56"/>
    <mergeCell ref="Z55:Z56"/>
    <mergeCell ref="AA55:AA56"/>
    <mergeCell ref="AG40:AG41"/>
    <mergeCell ref="AH40:AH41"/>
    <mergeCell ref="AI40:AI41"/>
    <mergeCell ref="AJ40:AJ41"/>
    <mergeCell ref="AK40:AK41"/>
    <mergeCell ref="AL40:AL41"/>
    <mergeCell ref="AM40:AM41"/>
    <mergeCell ref="AE55:AE56"/>
    <mergeCell ref="AF55:AF56"/>
    <mergeCell ref="AG55:AG56"/>
    <mergeCell ref="AH55:AH56"/>
    <mergeCell ref="AI55:AI56"/>
    <mergeCell ref="AJ55:AJ56"/>
    <mergeCell ref="AK55:AK56"/>
    <mergeCell ref="AL55:AL56"/>
    <mergeCell ref="AM55:AM56"/>
    <mergeCell ref="B5:F5"/>
    <mergeCell ref="G10:G11"/>
    <mergeCell ref="J5:K5"/>
    <mergeCell ref="AE25:AE26"/>
    <mergeCell ref="AF25:AF26"/>
    <mergeCell ref="AG25:AG26"/>
    <mergeCell ref="AH25:AH26"/>
    <mergeCell ref="AI25:AI26"/>
    <mergeCell ref="AJ25:AJ26"/>
    <mergeCell ref="S25:S26"/>
    <mergeCell ref="T25:T26"/>
    <mergeCell ref="U25:U26"/>
    <mergeCell ref="V25:V26"/>
    <mergeCell ref="W25:W26"/>
    <mergeCell ref="X25:X26"/>
    <mergeCell ref="Y25:Y26"/>
    <mergeCell ref="Z25:Z26"/>
    <mergeCell ref="AA25:AA26"/>
    <mergeCell ref="AB25:AB26"/>
    <mergeCell ref="AD25:AD26"/>
    <mergeCell ref="J10:J11"/>
    <mergeCell ref="H10:H11"/>
    <mergeCell ref="E10:E11"/>
    <mergeCell ref="B6:D6"/>
    <mergeCell ref="AM10:AM11"/>
    <mergeCell ref="AK10:AK11"/>
    <mergeCell ref="AD10:AD11"/>
    <mergeCell ref="L10:L11"/>
    <mergeCell ref="B10:C10"/>
    <mergeCell ref="AK25:AK26"/>
    <mergeCell ref="AL25:AL26"/>
    <mergeCell ref="AM25:AM26"/>
    <mergeCell ref="S40:S41"/>
    <mergeCell ref="T40:T41"/>
    <mergeCell ref="U40:U41"/>
    <mergeCell ref="V40:V41"/>
    <mergeCell ref="W40:W41"/>
    <mergeCell ref="X40:X41"/>
    <mergeCell ref="Y40:Y41"/>
    <mergeCell ref="Z40:Z41"/>
    <mergeCell ref="AA40:AA41"/>
    <mergeCell ref="AB40:AB41"/>
    <mergeCell ref="AD40:AD41"/>
    <mergeCell ref="I10:I11"/>
    <mergeCell ref="D10:D11"/>
    <mergeCell ref="E40:E41"/>
    <mergeCell ref="AE40:AE41"/>
    <mergeCell ref="AF40:AF41"/>
    <mergeCell ref="N115:N116"/>
    <mergeCell ref="L70:L71"/>
    <mergeCell ref="M70:M71"/>
    <mergeCell ref="N70:N71"/>
    <mergeCell ref="I85:I86"/>
    <mergeCell ref="J85:J86"/>
    <mergeCell ref="K85:K86"/>
    <mergeCell ref="L85:L86"/>
    <mergeCell ref="M85:M86"/>
    <mergeCell ref="N85:N86"/>
    <mergeCell ref="I70:I71"/>
    <mergeCell ref="J70:J71"/>
    <mergeCell ref="K70:K71"/>
    <mergeCell ref="J95:K95"/>
    <mergeCell ref="J110:K110"/>
    <mergeCell ref="L100:L101"/>
    <mergeCell ref="M100:M101"/>
    <mergeCell ref="N100:N101"/>
    <mergeCell ref="I100:I101"/>
    <mergeCell ref="J100:J101"/>
    <mergeCell ref="K100:K101"/>
    <mergeCell ref="J80:K80"/>
    <mergeCell ref="A114:N114"/>
    <mergeCell ref="A99:N99"/>
    <mergeCell ref="I115:I116"/>
    <mergeCell ref="J115:J116"/>
    <mergeCell ref="K115:K116"/>
    <mergeCell ref="L115:L116"/>
    <mergeCell ref="M115:M116"/>
    <mergeCell ref="G70:G71"/>
    <mergeCell ref="H70:H71"/>
    <mergeCell ref="B81:D81"/>
    <mergeCell ref="B85:C85"/>
    <mergeCell ref="D85:D86"/>
    <mergeCell ref="H115:H116"/>
    <mergeCell ref="B96:D96"/>
    <mergeCell ref="B100:C100"/>
    <mergeCell ref="D100:D101"/>
    <mergeCell ref="G100:G101"/>
    <mergeCell ref="H100:H101"/>
    <mergeCell ref="E100:E101"/>
    <mergeCell ref="F100:F101"/>
    <mergeCell ref="E115:E116"/>
    <mergeCell ref="F115:F116"/>
    <mergeCell ref="G85:G86"/>
    <mergeCell ref="H85:H86"/>
    <mergeCell ref="E85:E86"/>
    <mergeCell ref="E70:E71"/>
    <mergeCell ref="F85:F86"/>
    <mergeCell ref="M10:M11"/>
    <mergeCell ref="N10:N11"/>
    <mergeCell ref="B21:D21"/>
    <mergeCell ref="D70:D71"/>
    <mergeCell ref="J20:K20"/>
    <mergeCell ref="J35:K35"/>
    <mergeCell ref="I25:I26"/>
    <mergeCell ref="J25:J26"/>
    <mergeCell ref="B50:F50"/>
    <mergeCell ref="B65:F65"/>
    <mergeCell ref="H40:H41"/>
    <mergeCell ref="I40:I41"/>
    <mergeCell ref="L40:L41"/>
    <mergeCell ref="G55:G56"/>
    <mergeCell ref="H55:H56"/>
    <mergeCell ref="I55:I56"/>
    <mergeCell ref="J55:J56"/>
    <mergeCell ref="K55:K56"/>
    <mergeCell ref="L55:L56"/>
    <mergeCell ref="K40:K41"/>
    <mergeCell ref="J40:J41"/>
    <mergeCell ref="J50:K50"/>
    <mergeCell ref="J65:K65"/>
    <mergeCell ref="P115:P116"/>
    <mergeCell ref="AR7:AR8"/>
    <mergeCell ref="AP7:AP8"/>
    <mergeCell ref="B95:F95"/>
    <mergeCell ref="B110:F110"/>
    <mergeCell ref="B35:F35"/>
    <mergeCell ref="B20:F20"/>
    <mergeCell ref="AO7:AO8"/>
    <mergeCell ref="B25:C25"/>
    <mergeCell ref="G25:G26"/>
    <mergeCell ref="H25:H26"/>
    <mergeCell ref="M40:M41"/>
    <mergeCell ref="M25:M26"/>
    <mergeCell ref="N25:N26"/>
    <mergeCell ref="K25:K26"/>
    <mergeCell ref="L25:L26"/>
    <mergeCell ref="D25:D26"/>
    <mergeCell ref="E25:E26"/>
    <mergeCell ref="F25:F26"/>
    <mergeCell ref="K10:K11"/>
    <mergeCell ref="B111:D111"/>
    <mergeCell ref="B115:C115"/>
    <mergeCell ref="D115:D116"/>
    <mergeCell ref="G115:G116"/>
    <mergeCell ref="AQ7:AQ8"/>
    <mergeCell ref="M55:M56"/>
    <mergeCell ref="N55:N56"/>
    <mergeCell ref="P55:P56"/>
    <mergeCell ref="Q10:Q11"/>
    <mergeCell ref="Q55:Q56"/>
    <mergeCell ref="AB10:AB11"/>
    <mergeCell ref="V10:V11"/>
    <mergeCell ref="W10:W11"/>
    <mergeCell ref="X10:X11"/>
    <mergeCell ref="Y10:Y11"/>
    <mergeCell ref="Z10:Z11"/>
    <mergeCell ref="AA10:AA11"/>
    <mergeCell ref="U10:U11"/>
    <mergeCell ref="S10:S11"/>
    <mergeCell ref="T10:T11"/>
    <mergeCell ref="AE10:AE11"/>
    <mergeCell ref="AF10:AF11"/>
    <mergeCell ref="N40:N41"/>
    <mergeCell ref="AG10:AG11"/>
    <mergeCell ref="AH10:AH11"/>
    <mergeCell ref="AI10:AI11"/>
    <mergeCell ref="AJ10:AJ11"/>
    <mergeCell ref="AL10:AL11"/>
    <mergeCell ref="Q100:Q101"/>
    <mergeCell ref="Q115:Q116"/>
    <mergeCell ref="BC18:BD18"/>
    <mergeCell ref="BE18:BF18"/>
    <mergeCell ref="BG18:BH18"/>
    <mergeCell ref="P10:P11"/>
    <mergeCell ref="P25:P26"/>
    <mergeCell ref="P40:P41"/>
    <mergeCell ref="AW18:AX18"/>
    <mergeCell ref="AY18:AZ18"/>
    <mergeCell ref="BA18:BB18"/>
    <mergeCell ref="Q25:Q26"/>
    <mergeCell ref="Q40:Q41"/>
    <mergeCell ref="P70:P71"/>
    <mergeCell ref="P85:P86"/>
    <mergeCell ref="AO18:AO19"/>
    <mergeCell ref="AP18:AP19"/>
    <mergeCell ref="AQ18:AQ19"/>
    <mergeCell ref="AR18:AR19"/>
    <mergeCell ref="AS18:AT18"/>
    <mergeCell ref="AU18:AV18"/>
    <mergeCell ref="Q70:Q71"/>
    <mergeCell ref="Q85:Q86"/>
    <mergeCell ref="P100:P101"/>
    <mergeCell ref="BO18:BP18"/>
    <mergeCell ref="BQ18:BR18"/>
    <mergeCell ref="BS18:BT18"/>
    <mergeCell ref="BU18:BV18"/>
    <mergeCell ref="AS7:AT7"/>
    <mergeCell ref="AU7:AV7"/>
    <mergeCell ref="AW7:AX7"/>
    <mergeCell ref="AY7:AZ7"/>
    <mergeCell ref="BA7:BB7"/>
    <mergeCell ref="BC7:BD7"/>
    <mergeCell ref="BE7:BF7"/>
    <mergeCell ref="BG7:BH7"/>
    <mergeCell ref="BI7:BJ7"/>
    <mergeCell ref="BK7:BL7"/>
    <mergeCell ref="BM7:BN7"/>
    <mergeCell ref="BO7:BP7"/>
    <mergeCell ref="BQ7:BR7"/>
    <mergeCell ref="BS7:BT7"/>
    <mergeCell ref="BU7:BV7"/>
    <mergeCell ref="A84:N84"/>
    <mergeCell ref="A69:N69"/>
    <mergeCell ref="A54:N54"/>
    <mergeCell ref="A39:N39"/>
    <mergeCell ref="A24:N24"/>
    <mergeCell ref="A9:N9"/>
    <mergeCell ref="BI18:BJ18"/>
    <mergeCell ref="BK18:BL18"/>
    <mergeCell ref="BM18:BN18"/>
    <mergeCell ref="G40:G41"/>
    <mergeCell ref="E55:E56"/>
    <mergeCell ref="F55:F56"/>
    <mergeCell ref="F70:F71"/>
    <mergeCell ref="F10:F11"/>
    <mergeCell ref="B36:D36"/>
    <mergeCell ref="D40:D41"/>
    <mergeCell ref="B40:C40"/>
    <mergeCell ref="B66:D66"/>
    <mergeCell ref="D55:D56"/>
    <mergeCell ref="B51:D51"/>
    <mergeCell ref="B55:C55"/>
    <mergeCell ref="B70:C70"/>
    <mergeCell ref="F40:F41"/>
    <mergeCell ref="B80:F80"/>
  </mergeCells>
  <dataValidations count="3">
    <dataValidation type="list" errorStyle="warning" allowBlank="1" showInputMessage="1" showErrorMessage="1" error="If entering actual destination, you'll need to also fill out the Per Diem and Lodging costs (they won't auto populate). " sqref="B111:D111 B96:D96 B216:D216 B201:D201" xr:uid="{00000000-0002-0000-0800-000000000000}">
      <formula1>Destination</formula1>
    </dataValidation>
    <dataValidation type="list" errorStyle="warning" allowBlank="1" showInputMessage="1" error="If entering actual destination, look up the current Per Diem and Lodging costs for that location, from OSU's travel website. " prompt="Select Type" sqref="B66:D66 B6:D6 B36:D36 B51:D51 B21:D21 B81:D81 B171:D171 B141:D141 B156:D156 B126:D126 B186:D186" xr:uid="{00000000-0002-0000-0800-000001000000}">
      <formula1>Destination</formula1>
    </dataValidation>
    <dataValidation type="list" allowBlank="1" showInputMessage="1" showErrorMessage="1" error="Select Domestic or Foreign Travel" sqref="I5 I20 I35 I50 I65 I80 I95 I110 I125 I140 I155 I170 I185 I200 I215" xr:uid="{00000000-0002-0000-0800-000002000000}">
      <formula1>Dest</formula1>
    </dataValidation>
  </dataValidations>
  <hyperlinks>
    <hyperlink ref="C1" r:id="rId1" display="https://fa.oregonstate.edu/controllers-unit/travel-and-expense" xr:uid="{DFDA1BBC-934F-467D-8794-D97F889AA3FE}"/>
    <hyperlink ref="C1:G1" r:id="rId2" display="https://fa.oregonstate.edu/controllers-unit" xr:uid="{C584C0FA-533F-4122-A164-5159F82ABC89}"/>
    <hyperlink ref="A3" r:id="rId3" xr:uid="{1E221D7E-41B5-46AE-8292-6CD3E0F4760A}"/>
    <hyperlink ref="X4" r:id="rId4" xr:uid="{7313D80B-2507-4DC2-A6FC-136576339689}"/>
  </hyperlinks>
  <pageMargins left="0.7" right="0.7" top="0.75" bottom="0.75" header="0.3" footer="0.3"/>
  <pageSetup orientation="portrait" horizontalDpi="1200" verticalDpi="1200" r:id="rId5"/>
  <legacyDrawing r:id="rId6"/>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21844D-B24F-4877-94A9-AF7BDF3F5817}">
  <sheetPr codeName="Sheet18">
    <tabColor theme="5" tint="0.59999389629810485"/>
  </sheetPr>
  <dimension ref="A1:Q135"/>
  <sheetViews>
    <sheetView showGridLines="0" zoomScaleNormal="100" workbookViewId="0"/>
  </sheetViews>
  <sheetFormatPr defaultColWidth="8.85546875" defaultRowHeight="15" x14ac:dyDescent="0.25"/>
  <cols>
    <col min="1" max="1" width="7.28515625" style="51" customWidth="1"/>
    <col min="2" max="2" width="9.5703125" bestFit="1" customWidth="1"/>
    <col min="3" max="3" width="9.5703125" style="51" bestFit="1" customWidth="1"/>
    <col min="4" max="4" width="10" style="51" bestFit="1" customWidth="1"/>
    <col min="5" max="7" width="7.5703125" style="51" bestFit="1" customWidth="1"/>
    <col min="8" max="8" width="10" style="51" bestFit="1" customWidth="1"/>
    <col min="9" max="9" width="10" style="51" customWidth="1"/>
    <col min="10" max="10" width="11.28515625" style="51" customWidth="1"/>
    <col min="11" max="11" width="12.28515625" style="51" customWidth="1"/>
    <col min="12" max="12" width="9.28515625" style="51" customWidth="1"/>
    <col min="13" max="14" width="9.7109375" style="51" customWidth="1"/>
    <col min="15" max="15" width="9.28515625" style="51" customWidth="1"/>
    <col min="16" max="17" width="9.7109375" style="51" customWidth="1"/>
    <col min="18" max="16384" width="8.85546875" style="51"/>
  </cols>
  <sheetData>
    <row r="1" spans="1:17" customFormat="1" x14ac:dyDescent="0.25">
      <c r="A1" s="2761" t="s">
        <v>915</v>
      </c>
      <c r="B1" s="2761"/>
      <c r="C1" s="2761"/>
      <c r="D1" s="2761"/>
      <c r="E1" s="2761"/>
      <c r="F1" s="2761"/>
      <c r="G1" s="2761"/>
      <c r="H1" s="2761"/>
      <c r="I1" s="2761"/>
      <c r="J1" s="2761"/>
      <c r="K1" s="1793"/>
      <c r="L1" s="1793"/>
      <c r="M1" s="2762" t="s">
        <v>916</v>
      </c>
      <c r="N1" s="2763" t="s">
        <v>917</v>
      </c>
      <c r="O1" s="1793"/>
    </row>
    <row r="2" spans="1:17" customFormat="1" ht="19.5" thickBot="1" x14ac:dyDescent="0.35">
      <c r="A2" s="2764">
        <v>1</v>
      </c>
      <c r="B2" s="225" t="str">
        <f>'DATA INPUT'!B11</f>
        <v>Virag Mishra</v>
      </c>
      <c r="L2" s="226" t="s">
        <v>918</v>
      </c>
      <c r="M2" s="226"/>
      <c r="N2" s="226"/>
      <c r="O2" s="226"/>
      <c r="P2" s="226"/>
      <c r="Q2" s="226"/>
    </row>
    <row r="3" spans="1:17" ht="45" x14ac:dyDescent="0.25">
      <c r="A3" s="2333" t="s">
        <v>919</v>
      </c>
      <c r="B3" s="781" t="s">
        <v>920</v>
      </c>
      <c r="C3" s="2758" t="s">
        <v>921</v>
      </c>
      <c r="D3" s="2758" t="s">
        <v>922</v>
      </c>
      <c r="E3" s="2758" t="s">
        <v>923</v>
      </c>
      <c r="F3" s="2758" t="s">
        <v>924</v>
      </c>
      <c r="G3" s="2758" t="s">
        <v>252</v>
      </c>
      <c r="H3" s="2765" t="s">
        <v>925</v>
      </c>
      <c r="I3" s="2765" t="s">
        <v>78</v>
      </c>
      <c r="J3" s="2766" t="s">
        <v>926</v>
      </c>
      <c r="K3" s="1756"/>
      <c r="L3" s="516" t="s">
        <v>106</v>
      </c>
      <c r="M3" s="516" t="s">
        <v>0</v>
      </c>
      <c r="N3" s="516" t="s">
        <v>1</v>
      </c>
      <c r="O3" s="516" t="s">
        <v>2</v>
      </c>
      <c r="P3" s="516" t="s">
        <v>16</v>
      </c>
      <c r="Q3" s="516" t="s">
        <v>105</v>
      </c>
    </row>
    <row r="4" spans="1:17" x14ac:dyDescent="0.25">
      <c r="A4" s="2767">
        <v>1</v>
      </c>
      <c r="B4" s="2768">
        <f ca="1">_xlfn.IFS(('Calc - SENIOR PERS'!$F$6&lt;10),0,('Calc - SENIOR PERS'!$F$6&gt;10),('Calc - SENIOR PERS'!J11))</f>
        <v>87558.24</v>
      </c>
      <c r="C4" s="2769">
        <f ca="1">_xlfn.IFS(('Calc - SENIOR PERS'!$F$6&gt;10),0,('Calc - SENIOR PERS'!$F$6&lt;10),('Calc - SENIOR PERS'!J11))</f>
        <v>0</v>
      </c>
      <c r="D4" s="2769">
        <f ca="1">'Calc - SENIOR PERS'!I11</f>
        <v>0</v>
      </c>
      <c r="E4" s="2770">
        <f ca="1">_xlfn.IFS(('Calc - SENIOR PERS'!$F$6&lt;10),0,('Calc - SENIOR PERS'!$F$6&gt;10),('Calc - SENIOR PERS'!D11*'Calc - SENIOR PERS'!$F$7))</f>
        <v>2.2999999999999998</v>
      </c>
      <c r="F4" s="2770">
        <f ca="1">_xlfn.IFS(('Calc - SENIOR PERS'!$F$6&gt;10),0,('Calc - SENIOR PERS'!$F$6&lt;10),('Calc - SENIOR PERS'!D11*'Calc - SENIOR PERS'!$F$7))</f>
        <v>0</v>
      </c>
      <c r="G4" s="2770">
        <f ca="1">_xlfn.IFS(('Calc - SENIOR PERS'!$F$6&gt;10),0,('Calc - SENIOR PERS'!$F$6&lt;10),('Calc - SENIOR PERS'!C11*'Calc - SENIOR PERS'!$F$7))</f>
        <v>0</v>
      </c>
      <c r="H4" s="2771">
        <f ca="1">ROUND(SUM('Calc - SENIOR PERS'!N11:O11),0)</f>
        <v>16782</v>
      </c>
      <c r="I4" s="2771">
        <f ca="1">ROUND(SUM('Calc - SENIOR PERS'!Q11,'Calc - SENIOR PERS'!S11),0)</f>
        <v>8508</v>
      </c>
      <c r="J4" s="2772">
        <f t="shared" ref="J4:J9" ca="1" si="0">SUM(H4:I4)</f>
        <v>25290</v>
      </c>
      <c r="L4" s="2769">
        <f ca="1">SUM($J4,$J13,$J22,$J31,$J40,$J49,$J58,$J67,$J76,$J85,$J94,$J103,$J112,$J121)</f>
        <v>25290</v>
      </c>
      <c r="M4" s="2769">
        <f ca="1">SUM($J5,$J14,$J23,$J32,$J41,$J50,$J59,$J68,$J77,$J86,$J95,$J104,$J113,$J122)</f>
        <v>0</v>
      </c>
      <c r="N4" s="2769">
        <f ca="1">SUM($J6,$J15,$J24,$J33,$J42,$J51,$J60,$J67,$J78,$J87,$J96,$J105,$J114,$J123)</f>
        <v>0</v>
      </c>
      <c r="O4" s="2769">
        <f ca="1">SUM($J7,$J16,$J25,$J34,$J43,$J52,$J61,$J68,$J79,$J88,$J97,$J106,$J115,$J124)</f>
        <v>0</v>
      </c>
      <c r="P4" s="2769">
        <f ca="1">SUM($J8,$J17,$J26,$J35,$J44,$J53,$J62,$J69,$J80,$J89,$J98,$J107,$J116,$J125)</f>
        <v>0</v>
      </c>
      <c r="Q4" s="2769">
        <f ca="1">SUM($J9,$J18,$J27,$J36,$J45,$J54,$J63,$J70,$J81,$J90,$J99,$J108,$J117,$J126)</f>
        <v>0</v>
      </c>
    </row>
    <row r="5" spans="1:17" x14ac:dyDescent="0.25">
      <c r="A5" s="2767">
        <v>2</v>
      </c>
      <c r="B5" s="2768">
        <f ca="1">_xlfn.IFS(('Calc - SENIOR PERS'!$F$6&lt;10),0,('Calc - SENIOR PERS'!$F$6&gt;10),('Calc - SENIOR PERS'!J12))</f>
        <v>90184.987200000003</v>
      </c>
      <c r="C5" s="2769">
        <f ca="1">_xlfn.IFS(('Calc - SENIOR PERS'!$F$6&gt;10),0,('Calc - SENIOR PERS'!$F$6&lt;10),('Calc - SENIOR PERS'!J12))</f>
        <v>0</v>
      </c>
      <c r="D5" s="2769">
        <f ca="1">'Calc - SENIOR PERS'!I12</f>
        <v>0</v>
      </c>
      <c r="E5" s="2770">
        <f ca="1">_xlfn.IFS(('Calc - SENIOR PERS'!$F$6&lt;10),0,('Calc - SENIOR PERS'!$F$6&gt;10),('Calc - SENIOR PERS'!D12*'Calc - SENIOR PERS'!$F$7))</f>
        <v>0</v>
      </c>
      <c r="F5" s="2770">
        <f ca="1">_xlfn.IFS(('Calc - SENIOR PERS'!$F$6&gt;10),0,('Calc - SENIOR PERS'!$F$6&lt;10),('Calc - SENIOR PERS'!D12*'Calc - SENIOR PERS'!$F$7))</f>
        <v>0</v>
      </c>
      <c r="G5" s="2770">
        <f ca="1">_xlfn.IFS(('Calc - SENIOR PERS'!$F$6&gt;10),0,('Calc - SENIOR PERS'!$F$6&lt;10),('Calc - SENIOR PERS'!C12*'Calc - SENIOR PERS'!$F$7))</f>
        <v>0</v>
      </c>
      <c r="H5" s="2771">
        <f ca="1">ROUND(SUM('Calc - SENIOR PERS'!N12:O12),0)</f>
        <v>0</v>
      </c>
      <c r="I5" s="2771">
        <f ca="1">ROUND(SUM('Calc - SENIOR PERS'!Q12,'Calc - SENIOR PERS'!S12),0)</f>
        <v>0</v>
      </c>
      <c r="J5" s="2772">
        <f t="shared" ca="1" si="0"/>
        <v>0</v>
      </c>
      <c r="P5" s="2773" t="s">
        <v>170</v>
      </c>
      <c r="Q5" s="2774">
        <f ca="1">SUM(L4:Q4)</f>
        <v>25290</v>
      </c>
    </row>
    <row r="6" spans="1:17" x14ac:dyDescent="0.25">
      <c r="A6" s="2767">
        <v>3</v>
      </c>
      <c r="B6" s="2768">
        <f ca="1">_xlfn.IFS(('Calc - SENIOR PERS'!$F$6&lt;10),0,('Calc - SENIOR PERS'!$F$6&gt;10),('Calc - SENIOR PERS'!J13))</f>
        <v>92890.536816000007</v>
      </c>
      <c r="C6" s="2769">
        <f ca="1">_xlfn.IFS(('Calc - SENIOR PERS'!$F$6&gt;10),0,('Calc - SENIOR PERS'!$F$6&lt;10),('Calc - SENIOR PERS'!J13))</f>
        <v>0</v>
      </c>
      <c r="D6" s="2769">
        <f ca="1">'Calc - SENIOR PERS'!I13</f>
        <v>0</v>
      </c>
      <c r="E6" s="2770">
        <f ca="1">_xlfn.IFS(('Calc - SENIOR PERS'!$F$6&lt;10),0,('Calc - SENIOR PERS'!$F$6&gt;10),('Calc - SENIOR PERS'!D13*'Calc - SENIOR PERS'!$F$7))</f>
        <v>0</v>
      </c>
      <c r="F6" s="2770">
        <f ca="1">_xlfn.IFS(('Calc - SENIOR PERS'!$F$6&gt;10),0,('Calc - SENIOR PERS'!$F$6&lt;10),('Calc - SENIOR PERS'!D13*'Calc - SENIOR PERS'!$F$7))</f>
        <v>0</v>
      </c>
      <c r="G6" s="2770">
        <f ca="1">_xlfn.IFS(('Calc - SENIOR PERS'!$F$6&gt;10),0,('Calc - SENIOR PERS'!$F$6&lt;10),('Calc - SENIOR PERS'!C13*'Calc - SENIOR PERS'!$F$7))</f>
        <v>0</v>
      </c>
      <c r="H6" s="2771">
        <f ca="1">ROUND(SUM('Calc - SENIOR PERS'!N13:O13),0)</f>
        <v>0</v>
      </c>
      <c r="I6" s="2771">
        <f ca="1">ROUND(SUM('Calc - SENIOR PERS'!Q13,'Calc - SENIOR PERS'!S13),0)</f>
        <v>0</v>
      </c>
      <c r="J6" s="2772">
        <f t="shared" ca="1" si="0"/>
        <v>0</v>
      </c>
    </row>
    <row r="7" spans="1:17" x14ac:dyDescent="0.25">
      <c r="A7" s="2767">
        <v>4</v>
      </c>
      <c r="B7" s="2768">
        <f ca="1">_xlfn.IFS(('Calc - SENIOR PERS'!$F$6&lt;10),0,('Calc - SENIOR PERS'!$F$6&gt;10),('Calc - SENIOR PERS'!J14))</f>
        <v>95677.252920480008</v>
      </c>
      <c r="C7" s="2769">
        <f ca="1">_xlfn.IFS(('Calc - SENIOR PERS'!$F$6&gt;10),0,('Calc - SENIOR PERS'!$F$6&lt;10),('Calc - SENIOR PERS'!J14))</f>
        <v>0</v>
      </c>
      <c r="D7" s="2769">
        <f ca="1">'Calc - SENIOR PERS'!I14</f>
        <v>0</v>
      </c>
      <c r="E7" s="2770">
        <f ca="1">_xlfn.IFS(('Calc - SENIOR PERS'!$F$6&lt;10),0,('Calc - SENIOR PERS'!$F$6&gt;10),('Calc - SENIOR PERS'!D14*'Calc - SENIOR PERS'!$F$7))</f>
        <v>0</v>
      </c>
      <c r="F7" s="2770">
        <f ca="1">_xlfn.IFS(('Calc - SENIOR PERS'!$F$6&gt;10),0,('Calc - SENIOR PERS'!$F$6&lt;10),('Calc - SENIOR PERS'!D14*'Calc - SENIOR PERS'!$F$7))</f>
        <v>0</v>
      </c>
      <c r="G7" s="2770">
        <f ca="1">_xlfn.IFS(('Calc - SENIOR PERS'!$F$6&gt;10),0,('Calc - SENIOR PERS'!$F$6&lt;10),('Calc - SENIOR PERS'!C14*'Calc - SENIOR PERS'!$F$7))</f>
        <v>0</v>
      </c>
      <c r="H7" s="2771">
        <f ca="1">ROUND(SUM('Calc - SENIOR PERS'!N14:O14),0)</f>
        <v>0</v>
      </c>
      <c r="I7" s="2771">
        <f ca="1">ROUND(SUM('Calc - SENIOR PERS'!Q14,'Calc - SENIOR PERS'!S14),0)</f>
        <v>0</v>
      </c>
      <c r="J7" s="2772">
        <f t="shared" ca="1" si="0"/>
        <v>0</v>
      </c>
    </row>
    <row r="8" spans="1:17" x14ac:dyDescent="0.25">
      <c r="A8" s="2767">
        <v>5</v>
      </c>
      <c r="B8" s="2768">
        <f ca="1">_xlfn.IFS(('Calc - SENIOR PERS'!$F$6&lt;10),0,('Calc - SENIOR PERS'!$F$6&gt;10),('Calc - SENIOR PERS'!J15))</f>
        <v>98547.570508094403</v>
      </c>
      <c r="C8" s="2769">
        <f ca="1">_xlfn.IFS(('Calc - SENIOR PERS'!$F$6&gt;10),0,('Calc - SENIOR PERS'!$F$6&lt;10),('Calc - SENIOR PERS'!J15))</f>
        <v>0</v>
      </c>
      <c r="D8" s="2769">
        <f ca="1">'Calc - SENIOR PERS'!I15</f>
        <v>0</v>
      </c>
      <c r="E8" s="2770">
        <f ca="1">_xlfn.IFS(('Calc - SENIOR PERS'!$F$6&lt;10),0,('Calc - SENIOR PERS'!$F$6&gt;10),('Calc - SENIOR PERS'!D15*'Calc - SENIOR PERS'!$F$7))</f>
        <v>0</v>
      </c>
      <c r="F8" s="2770">
        <f ca="1">_xlfn.IFS(('Calc - SENIOR PERS'!$F$6&gt;10),0,('Calc - SENIOR PERS'!$F$6&lt;10),('Calc - SENIOR PERS'!D15*'Calc - SENIOR PERS'!$F$7))</f>
        <v>0</v>
      </c>
      <c r="G8" s="2770">
        <f ca="1">_xlfn.IFS(('Calc - SENIOR PERS'!$F$6&gt;10),0,('Calc - SENIOR PERS'!$F$6&lt;10),('Calc - SENIOR PERS'!C15*'Calc - SENIOR PERS'!$F$7))</f>
        <v>0</v>
      </c>
      <c r="H8" s="2771">
        <f ca="1">ROUND(SUM('Calc - SENIOR PERS'!N15:O15),0)</f>
        <v>0</v>
      </c>
      <c r="I8" s="2771">
        <f ca="1">ROUND(SUM('Calc - SENIOR PERS'!Q15,'Calc - SENIOR PERS'!S15),0)</f>
        <v>0</v>
      </c>
      <c r="J8" s="2772">
        <f t="shared" ca="1" si="0"/>
        <v>0</v>
      </c>
    </row>
    <row r="9" spans="1:17" ht="15.75" thickBot="1" x14ac:dyDescent="0.3">
      <c r="A9" s="2775">
        <v>6</v>
      </c>
      <c r="B9" s="2776">
        <f ca="1">_xlfn.IFS(('Calc - SENIOR PERS'!$F$6&lt;10),0,('Calc - SENIOR PERS'!$F$6&gt;10),('Calc - SENIOR PERS'!J16))</f>
        <v>101503.99762333723</v>
      </c>
      <c r="C9" s="2777">
        <f ca="1">_xlfn.IFS(('Calc - SENIOR PERS'!$F$6&gt;10),0,('Calc - SENIOR PERS'!$F$6&lt;10),('Calc - SENIOR PERS'!J16))</f>
        <v>0</v>
      </c>
      <c r="D9" s="2777">
        <f ca="1">'Calc - SENIOR PERS'!I16</f>
        <v>0</v>
      </c>
      <c r="E9" s="2778">
        <f ca="1">_xlfn.IFS(('Calc - SENIOR PERS'!$F$6&lt;10),0,('Calc - SENIOR PERS'!$F$6&gt;10),('Calc - SENIOR PERS'!D16*'Calc - SENIOR PERS'!$F$7))</f>
        <v>0</v>
      </c>
      <c r="F9" s="2778">
        <f ca="1">_xlfn.IFS(('Calc - SENIOR PERS'!$F$6&gt;10),0,('Calc - SENIOR PERS'!$F$6&lt;10),('Calc - SENIOR PERS'!D16*'Calc - SENIOR PERS'!$F$7))</f>
        <v>0</v>
      </c>
      <c r="G9" s="2778">
        <f ca="1">_xlfn.IFS(('Calc - SENIOR PERS'!$F$6&gt;10),0,('Calc - SENIOR PERS'!$F$6&lt;10),('Calc - SENIOR PERS'!C16*'Calc - SENIOR PERS'!$F$7))</f>
        <v>0</v>
      </c>
      <c r="H9" s="2779">
        <f ca="1">ROUND(SUM('Calc - SENIOR PERS'!N16:O16),0)</f>
        <v>0</v>
      </c>
      <c r="I9" s="2779">
        <f ca="1">ROUND(SUM('Calc - SENIOR PERS'!Q16,'Calc - SENIOR PERS'!S16),0)</f>
        <v>0</v>
      </c>
      <c r="J9" s="2780">
        <f t="shared" ca="1" si="0"/>
        <v>0</v>
      </c>
    </row>
    <row r="10" spans="1:17" x14ac:dyDescent="0.25">
      <c r="A10" s="1869"/>
      <c r="B10" s="2781"/>
      <c r="C10" s="2782"/>
      <c r="D10" s="2782"/>
      <c r="E10" s="2783"/>
      <c r="F10" s="2783"/>
      <c r="G10" s="2783"/>
      <c r="H10" s="2782"/>
      <c r="I10" s="2782"/>
      <c r="J10" s="2782"/>
    </row>
    <row r="11" spans="1:17" ht="19.5" thickBot="1" x14ac:dyDescent="0.35">
      <c r="A11" s="2784">
        <v>2</v>
      </c>
      <c r="B11" s="225">
        <f>'DATA INPUT'!B12</f>
        <v>0</v>
      </c>
    </row>
    <row r="12" spans="1:17" ht="45" x14ac:dyDescent="0.25">
      <c r="A12" s="2333" t="s">
        <v>919</v>
      </c>
      <c r="B12" s="781" t="s">
        <v>920</v>
      </c>
      <c r="C12" s="2758" t="s">
        <v>921</v>
      </c>
      <c r="D12" s="2758" t="s">
        <v>922</v>
      </c>
      <c r="E12" s="2758" t="s">
        <v>923</v>
      </c>
      <c r="F12" s="2758" t="s">
        <v>924</v>
      </c>
      <c r="G12" s="2758" t="s">
        <v>252</v>
      </c>
      <c r="H12" s="2765" t="s">
        <v>925</v>
      </c>
      <c r="I12" s="2765" t="s">
        <v>78</v>
      </c>
      <c r="J12" s="2766" t="s">
        <v>926</v>
      </c>
    </row>
    <row r="13" spans="1:17" x14ac:dyDescent="0.25">
      <c r="A13" s="2767">
        <v>1</v>
      </c>
      <c r="B13" s="2768">
        <f ca="1">_xlfn.IFS(('Calc - SENIOR PERS'!$F$20&lt;10),0,('Calc - SENIOR PERS'!$F$20&gt;10),('Calc - SENIOR PERS'!J25))</f>
        <v>0</v>
      </c>
      <c r="C13" s="2769">
        <f ca="1">_xlfn.IFS(('Calc - SENIOR PERS'!$F$20&gt;10),0,('Calc - SENIOR PERS'!$F$20&lt;10),('Calc - SENIOR PERS'!J25))</f>
        <v>0</v>
      </c>
      <c r="D13" s="2769">
        <f ca="1">'Calc - SENIOR PERS'!I25</f>
        <v>0</v>
      </c>
      <c r="E13" s="2770">
        <f ca="1">_xlfn.IFS(('Calc - SENIOR PERS'!$F$20&lt;10),0,('Calc - SENIOR PERS'!$F$20&gt;10),('Calc - SENIOR PERS'!D25*'Calc - SENIOR PERS'!$F$21))</f>
        <v>0</v>
      </c>
      <c r="F13" s="2770">
        <f ca="1">_xlfn.IFS(('Calc - SENIOR PERS'!$F$20&gt;10),0,('Calc - SENIOR PERS'!$F$20&lt;10),('Calc - SENIOR PERS'!D25*'Calc - SENIOR PERS'!$F$21))</f>
        <v>0</v>
      </c>
      <c r="G13" s="2770">
        <f ca="1">_xlfn.IFS(('Calc - SENIOR PERS'!$F$20&gt;10),0,('Calc - SENIOR PERS'!$F$20&lt;10),('Calc - SENIOR PERS'!C25*'Calc - SENIOR PERS'!$F$21))</f>
        <v>0</v>
      </c>
      <c r="H13" s="2771">
        <f ca="1">ROUND(SUM('Calc - SENIOR PERS'!N25:O25),0)</f>
        <v>0</v>
      </c>
      <c r="I13" s="2771">
        <f ca="1">ROUND(SUM('Calc - SENIOR PERS'!Q25,'Calc - SENIOR PERS'!S25),0)</f>
        <v>0</v>
      </c>
      <c r="J13" s="2772">
        <f t="shared" ref="J13:J18" ca="1" si="1">SUM(H13:I13)</f>
        <v>0</v>
      </c>
    </row>
    <row r="14" spans="1:17" x14ac:dyDescent="0.25">
      <c r="A14" s="2767">
        <v>2</v>
      </c>
      <c r="B14" s="2768">
        <f ca="1">_xlfn.IFS(('Calc - SENIOR PERS'!$F$20&lt;10),0,('Calc - SENIOR PERS'!$F$20&gt;10),('Calc - SENIOR PERS'!J26))</f>
        <v>0</v>
      </c>
      <c r="C14" s="2769">
        <f ca="1">_xlfn.IFS(('Calc - SENIOR PERS'!$F$20&gt;10),0,('Calc - SENIOR PERS'!$F$20&lt;10),('Calc - SENIOR PERS'!J26))</f>
        <v>0</v>
      </c>
      <c r="D14" s="2769">
        <f ca="1">'Calc - SENIOR PERS'!I26</f>
        <v>0</v>
      </c>
      <c r="E14" s="2770">
        <f ca="1">_xlfn.IFS(('Calc - SENIOR PERS'!$F$20&lt;10),0,('Calc - SENIOR PERS'!$F$20&gt;10),('Calc - SENIOR PERS'!D26*'Calc - SENIOR PERS'!$F$21))</f>
        <v>0</v>
      </c>
      <c r="F14" s="2770">
        <f ca="1">_xlfn.IFS(('Calc - SENIOR PERS'!$F$20&gt;10),0,('Calc - SENIOR PERS'!$F$20&lt;10),('Calc - SENIOR PERS'!D26*'Calc - SENIOR PERS'!$F$21))</f>
        <v>0</v>
      </c>
      <c r="G14" s="2770">
        <f ca="1">_xlfn.IFS(('Calc - SENIOR PERS'!$F$20&gt;10),0,('Calc - SENIOR PERS'!$F$20&lt;10),('Calc - SENIOR PERS'!C26*'Calc - SENIOR PERS'!$F$21))</f>
        <v>0</v>
      </c>
      <c r="H14" s="2771">
        <f ca="1">ROUND(SUM('Calc - SENIOR PERS'!N26:O26),0)</f>
        <v>0</v>
      </c>
      <c r="I14" s="2771">
        <f ca="1">ROUND(SUM('Calc - SENIOR PERS'!Q26,'Calc - SENIOR PERS'!S26),0)</f>
        <v>0</v>
      </c>
      <c r="J14" s="2772">
        <f t="shared" ca="1" si="1"/>
        <v>0</v>
      </c>
    </row>
    <row r="15" spans="1:17" x14ac:dyDescent="0.25">
      <c r="A15" s="2767">
        <v>3</v>
      </c>
      <c r="B15" s="2768">
        <f ca="1">_xlfn.IFS(('Calc - SENIOR PERS'!$F$20&lt;10),0,('Calc - SENIOR PERS'!$F$20&gt;10),('Calc - SENIOR PERS'!J27))</f>
        <v>0</v>
      </c>
      <c r="C15" s="2769">
        <f ca="1">_xlfn.IFS(('Calc - SENIOR PERS'!$F$20&gt;10),0,('Calc - SENIOR PERS'!$F$20&lt;10),('Calc - SENIOR PERS'!J27))</f>
        <v>0</v>
      </c>
      <c r="D15" s="2769">
        <f ca="1">'Calc - SENIOR PERS'!I27</f>
        <v>0</v>
      </c>
      <c r="E15" s="2770">
        <f ca="1">_xlfn.IFS(('Calc - SENIOR PERS'!$F$20&lt;10),0,('Calc - SENIOR PERS'!$F$20&gt;10),('Calc - SENIOR PERS'!D27*'Calc - SENIOR PERS'!$F$21))</f>
        <v>0</v>
      </c>
      <c r="F15" s="2770">
        <f ca="1">_xlfn.IFS(('Calc - SENIOR PERS'!$F$20&gt;10),0,('Calc - SENIOR PERS'!$F$20&lt;10),('Calc - SENIOR PERS'!D27*'Calc - SENIOR PERS'!$F$21))</f>
        <v>0</v>
      </c>
      <c r="G15" s="2770">
        <f ca="1">_xlfn.IFS(('Calc - SENIOR PERS'!$F$20&gt;10),0,('Calc - SENIOR PERS'!$F$20&lt;10),('Calc - SENIOR PERS'!C27*'Calc - SENIOR PERS'!$F$21))</f>
        <v>0</v>
      </c>
      <c r="H15" s="2771">
        <f ca="1">ROUND(SUM('Calc - SENIOR PERS'!N27:O27),0)</f>
        <v>0</v>
      </c>
      <c r="I15" s="2771">
        <f ca="1">ROUND(SUM('Calc - SENIOR PERS'!Q27,'Calc - SENIOR PERS'!S27),0)</f>
        <v>0</v>
      </c>
      <c r="J15" s="2772">
        <f t="shared" ca="1" si="1"/>
        <v>0</v>
      </c>
    </row>
    <row r="16" spans="1:17" x14ac:dyDescent="0.25">
      <c r="A16" s="2767">
        <v>4</v>
      </c>
      <c r="B16" s="2768">
        <f ca="1">_xlfn.IFS(('Calc - SENIOR PERS'!$F$20&lt;10),0,('Calc - SENIOR PERS'!$F$20&gt;10),('Calc - SENIOR PERS'!J28))</f>
        <v>0</v>
      </c>
      <c r="C16" s="2769">
        <f ca="1">_xlfn.IFS(('Calc - SENIOR PERS'!$F$20&gt;10),0,('Calc - SENIOR PERS'!$F$20&lt;10),('Calc - SENIOR PERS'!J28))</f>
        <v>0</v>
      </c>
      <c r="D16" s="2769">
        <f ca="1">'Calc - SENIOR PERS'!I28</f>
        <v>0</v>
      </c>
      <c r="E16" s="2770">
        <f ca="1">_xlfn.IFS(('Calc - SENIOR PERS'!$F$20&lt;10),0,('Calc - SENIOR PERS'!$F$20&gt;10),('Calc - SENIOR PERS'!D28*'Calc - SENIOR PERS'!$F$21))</f>
        <v>0</v>
      </c>
      <c r="F16" s="2770">
        <f ca="1">_xlfn.IFS(('Calc - SENIOR PERS'!$F$20&gt;10),0,('Calc - SENIOR PERS'!$F$20&lt;10),('Calc - SENIOR PERS'!D28*'Calc - SENIOR PERS'!$F$21))</f>
        <v>0</v>
      </c>
      <c r="G16" s="2770">
        <f ca="1">_xlfn.IFS(('Calc - SENIOR PERS'!$F$20&gt;10),0,('Calc - SENIOR PERS'!$F$20&lt;10),('Calc - SENIOR PERS'!C28*'Calc - SENIOR PERS'!$F$21))</f>
        <v>0</v>
      </c>
      <c r="H16" s="2771">
        <f ca="1">ROUND(SUM('Calc - SENIOR PERS'!N28:O28),0)</f>
        <v>0</v>
      </c>
      <c r="I16" s="2771">
        <f ca="1">ROUND(SUM('Calc - SENIOR PERS'!Q28,'Calc - SENIOR PERS'!S28),0)</f>
        <v>0</v>
      </c>
      <c r="J16" s="2772">
        <f t="shared" ca="1" si="1"/>
        <v>0</v>
      </c>
    </row>
    <row r="17" spans="1:10" x14ac:dyDescent="0.25">
      <c r="A17" s="2767">
        <v>5</v>
      </c>
      <c r="B17" s="2768">
        <f ca="1">_xlfn.IFS(('Calc - SENIOR PERS'!$F$20&lt;10),0,('Calc - SENIOR PERS'!$F$20&gt;10),('Calc - SENIOR PERS'!J29))</f>
        <v>0</v>
      </c>
      <c r="C17" s="2769">
        <f ca="1">_xlfn.IFS(('Calc - SENIOR PERS'!$F$20&gt;10),0,('Calc - SENIOR PERS'!$F$20&lt;10),('Calc - SENIOR PERS'!J29))</f>
        <v>0</v>
      </c>
      <c r="D17" s="2769">
        <f ca="1">'Calc - SENIOR PERS'!I29</f>
        <v>0</v>
      </c>
      <c r="E17" s="2770">
        <f ca="1">_xlfn.IFS(('Calc - SENIOR PERS'!$F$20&lt;10),0,('Calc - SENIOR PERS'!$F$20&gt;10),('Calc - SENIOR PERS'!D29*'Calc - SENIOR PERS'!$F$21))</f>
        <v>0</v>
      </c>
      <c r="F17" s="2770">
        <f ca="1">_xlfn.IFS(('Calc - SENIOR PERS'!$F$20&gt;10),0,('Calc - SENIOR PERS'!$F$20&lt;10),('Calc - SENIOR PERS'!D29*'Calc - SENIOR PERS'!$F$21))</f>
        <v>0</v>
      </c>
      <c r="G17" s="2770">
        <f ca="1">_xlfn.IFS(('Calc - SENIOR PERS'!$F$20&gt;10),0,('Calc - SENIOR PERS'!$F$20&lt;10),('Calc - SENIOR PERS'!C29*'Calc - SENIOR PERS'!$F$21))</f>
        <v>0</v>
      </c>
      <c r="H17" s="2771">
        <f ca="1">ROUND(SUM('Calc - SENIOR PERS'!N29:O29),0)</f>
        <v>0</v>
      </c>
      <c r="I17" s="2771">
        <f ca="1">ROUND(SUM('Calc - SENIOR PERS'!Q29,'Calc - SENIOR PERS'!S29),0)</f>
        <v>0</v>
      </c>
      <c r="J17" s="2772">
        <f t="shared" ca="1" si="1"/>
        <v>0</v>
      </c>
    </row>
    <row r="18" spans="1:10" ht="15.75" thickBot="1" x14ac:dyDescent="0.3">
      <c r="A18" s="2775">
        <v>6</v>
      </c>
      <c r="B18" s="2776">
        <f ca="1">_xlfn.IFS(('Calc - SENIOR PERS'!$F$20&lt;10),0,('Calc - SENIOR PERS'!$F$20&gt;10),('Calc - SENIOR PERS'!J30))</f>
        <v>0</v>
      </c>
      <c r="C18" s="2777">
        <f ca="1">_xlfn.IFS(('Calc - SENIOR PERS'!$F$20&gt;10),0,('Calc - SENIOR PERS'!$F$20&lt;10),('Calc - SENIOR PERS'!J30))</f>
        <v>0</v>
      </c>
      <c r="D18" s="2777">
        <f ca="1">'Calc - SENIOR PERS'!I30</f>
        <v>0</v>
      </c>
      <c r="E18" s="2778">
        <f ca="1">_xlfn.IFS(('Calc - SENIOR PERS'!$F$20&lt;10),0,('Calc - SENIOR PERS'!$F$20&gt;10),('Calc - SENIOR PERS'!D30*'Calc - SENIOR PERS'!$F$21))</f>
        <v>0</v>
      </c>
      <c r="F18" s="2778">
        <f ca="1">_xlfn.IFS(('Calc - SENIOR PERS'!$F$20&gt;10),0,('Calc - SENIOR PERS'!$F$20&lt;10),('Calc - SENIOR PERS'!D30*'Calc - SENIOR PERS'!$F$21))</f>
        <v>0</v>
      </c>
      <c r="G18" s="2778">
        <f ca="1">_xlfn.IFS(('Calc - SENIOR PERS'!$F$20&gt;10),0,('Calc - SENIOR PERS'!$F$20&lt;10),('Calc - SENIOR PERS'!C30*'Calc - SENIOR PERS'!$F$21))</f>
        <v>0</v>
      </c>
      <c r="H18" s="2779">
        <f ca="1">ROUND(SUM('Calc - SENIOR PERS'!N30:O30),0)</f>
        <v>0</v>
      </c>
      <c r="I18" s="2779">
        <f ca="1">ROUND(SUM('Calc - SENIOR PERS'!Q30,'Calc - SENIOR PERS'!S30),0)</f>
        <v>0</v>
      </c>
      <c r="J18" s="2780">
        <f t="shared" ca="1" si="1"/>
        <v>0</v>
      </c>
    </row>
    <row r="20" spans="1:10" ht="19.5" thickBot="1" x14ac:dyDescent="0.35">
      <c r="A20" s="2784">
        <v>3</v>
      </c>
      <c r="B20" s="225">
        <f>'DATA INPUT'!B13</f>
        <v>0</v>
      </c>
    </row>
    <row r="21" spans="1:10" ht="45.75" thickBot="1" x14ac:dyDescent="0.3">
      <c r="A21" s="2757" t="s">
        <v>919</v>
      </c>
      <c r="B21" s="2785" t="s">
        <v>920</v>
      </c>
      <c r="C21" s="2756" t="s">
        <v>921</v>
      </c>
      <c r="D21" s="2756" t="s">
        <v>922</v>
      </c>
      <c r="E21" s="2756" t="s">
        <v>923</v>
      </c>
      <c r="F21" s="2756" t="s">
        <v>924</v>
      </c>
      <c r="G21" s="2756" t="s">
        <v>252</v>
      </c>
      <c r="H21" s="2786" t="s">
        <v>925</v>
      </c>
      <c r="I21" s="2786" t="s">
        <v>78</v>
      </c>
      <c r="J21" s="2760" t="s">
        <v>926</v>
      </c>
    </row>
    <row r="22" spans="1:10" x14ac:dyDescent="0.25">
      <c r="A22" s="2787">
        <v>1</v>
      </c>
      <c r="B22" s="2788">
        <f ca="1">_xlfn.IFS(('Calc - SENIOR PERS'!$F$34&lt;10),0,('Calc - SENIOR PERS'!$F$34&gt;10),('Calc - SENIOR PERS'!J39))</f>
        <v>0</v>
      </c>
      <c r="C22" s="2789">
        <f ca="1">_xlfn.IFS(('Calc - SENIOR PERS'!$F$34&gt;10),0,('Calc - SENIOR PERS'!$F$34&lt;10),('Calc - SENIOR PERS'!J39))</f>
        <v>0</v>
      </c>
      <c r="D22" s="2789">
        <f ca="1">'Calc - SENIOR PERS'!I39</f>
        <v>0</v>
      </c>
      <c r="E22" s="2790">
        <f ca="1">_xlfn.IFS(('Calc - SENIOR PERS'!$F$34&lt;10),0,('Calc - SENIOR PERS'!$F$34&gt;10),('Calc - SENIOR PERS'!D39*'Calc - SENIOR PERS'!$F$35))</f>
        <v>0</v>
      </c>
      <c r="F22" s="2790">
        <f ca="1">_xlfn.IFS(('Calc - SENIOR PERS'!$F$34&gt;10),0,('Calc - SENIOR PERS'!$F$34&lt;10),('Calc - SENIOR PERS'!D39*'Calc - SENIOR PERS'!$F$35))</f>
        <v>0</v>
      </c>
      <c r="G22" s="2790">
        <f ca="1">_xlfn.IFS(('Calc - SENIOR PERS'!$F$34&gt;10),0,('Calc - SENIOR PERS'!$F$34&lt;10),('Calc - SENIOR PERS'!C39*'Calc - SENIOR PERS'!$F$35))</f>
        <v>0</v>
      </c>
      <c r="H22" s="2791">
        <f ca="1">ROUND(SUM('Calc - SENIOR PERS'!N39:O39),0)</f>
        <v>0</v>
      </c>
      <c r="I22" s="2791">
        <f ca="1">ROUND(SUM('Calc - SENIOR PERS'!Q39,'Calc - SENIOR PERS'!S39),0)</f>
        <v>0</v>
      </c>
      <c r="J22" s="2792">
        <f t="shared" ref="J22:J27" ca="1" si="2">SUM(H22:I22)</f>
        <v>0</v>
      </c>
    </row>
    <row r="23" spans="1:10" x14ac:dyDescent="0.25">
      <c r="A23" s="2767">
        <v>2</v>
      </c>
      <c r="B23" s="2768">
        <f ca="1">_xlfn.IFS(('Calc - SENIOR PERS'!$F$34&lt;10),0,('Calc - SENIOR PERS'!$F$34&gt;10),('Calc - SENIOR PERS'!J40))</f>
        <v>0</v>
      </c>
      <c r="C23" s="2769">
        <f ca="1">_xlfn.IFS(('Calc - SENIOR PERS'!$F$34&gt;10),0,('Calc - SENIOR PERS'!$F$34&lt;10),('Calc - SENIOR PERS'!J40))</f>
        <v>0</v>
      </c>
      <c r="D23" s="2769">
        <f ca="1">'Calc - SENIOR PERS'!I40</f>
        <v>0</v>
      </c>
      <c r="E23" s="2770">
        <f ca="1">_xlfn.IFS(('Calc - SENIOR PERS'!$F$34&lt;10),0,('Calc - SENIOR PERS'!$F$34&gt;10),('Calc - SENIOR PERS'!D40*'Calc - SENIOR PERS'!$F$35))</f>
        <v>0</v>
      </c>
      <c r="F23" s="2770">
        <f ca="1">_xlfn.IFS(('Calc - SENIOR PERS'!$F$34&gt;10),0,('Calc - SENIOR PERS'!$F$34&lt;10),('Calc - SENIOR PERS'!D40*'Calc - SENIOR PERS'!$F$35))</f>
        <v>0</v>
      </c>
      <c r="G23" s="2770">
        <f ca="1">_xlfn.IFS(('Calc - SENIOR PERS'!$F$34&gt;10),0,('Calc - SENIOR PERS'!$F$34&lt;10),('Calc - SENIOR PERS'!C40*'Calc - SENIOR PERS'!$F$35))</f>
        <v>0</v>
      </c>
      <c r="H23" s="2771">
        <f ca="1">ROUND(SUM('Calc - SENIOR PERS'!N40:O40),0)</f>
        <v>0</v>
      </c>
      <c r="I23" s="2771">
        <f ca="1">ROUND(SUM('Calc - SENIOR PERS'!Q40,'Calc - SENIOR PERS'!S40),0)</f>
        <v>0</v>
      </c>
      <c r="J23" s="2772">
        <f t="shared" ca="1" si="2"/>
        <v>0</v>
      </c>
    </row>
    <row r="24" spans="1:10" x14ac:dyDescent="0.25">
      <c r="A24" s="2767">
        <v>3</v>
      </c>
      <c r="B24" s="2768">
        <f ca="1">_xlfn.IFS(('Calc - SENIOR PERS'!$F$34&lt;10),0,('Calc - SENIOR PERS'!$F$34&gt;10),('Calc - SENIOR PERS'!J41))</f>
        <v>0</v>
      </c>
      <c r="C24" s="2769">
        <f ca="1">_xlfn.IFS(('Calc - SENIOR PERS'!$F$34&gt;10),0,('Calc - SENIOR PERS'!$F$34&lt;10),('Calc - SENIOR PERS'!J41))</f>
        <v>0</v>
      </c>
      <c r="D24" s="2769">
        <f ca="1">'Calc - SENIOR PERS'!I41</f>
        <v>0</v>
      </c>
      <c r="E24" s="2770">
        <f ca="1">_xlfn.IFS(('Calc - SENIOR PERS'!$F$34&lt;10),0,('Calc - SENIOR PERS'!$F$34&gt;10),('Calc - SENIOR PERS'!D41*'Calc - SENIOR PERS'!$F$35))</f>
        <v>0</v>
      </c>
      <c r="F24" s="2770">
        <f ca="1">_xlfn.IFS(('Calc - SENIOR PERS'!$F$34&gt;10),0,('Calc - SENIOR PERS'!$F$34&lt;10),('Calc - SENIOR PERS'!D41*'Calc - SENIOR PERS'!$F$35))</f>
        <v>0</v>
      </c>
      <c r="G24" s="2770">
        <f ca="1">_xlfn.IFS(('Calc - SENIOR PERS'!$F$34&gt;10),0,('Calc - SENIOR PERS'!$F$34&lt;10),('Calc - SENIOR PERS'!C41*'Calc - SENIOR PERS'!$F$35))</f>
        <v>0</v>
      </c>
      <c r="H24" s="2771">
        <f ca="1">ROUND(SUM('Calc - SENIOR PERS'!N41:O41),0)</f>
        <v>0</v>
      </c>
      <c r="I24" s="2771">
        <f ca="1">ROUND(SUM('Calc - SENIOR PERS'!Q41,'Calc - SENIOR PERS'!S41),0)</f>
        <v>0</v>
      </c>
      <c r="J24" s="2772">
        <f t="shared" ca="1" si="2"/>
        <v>0</v>
      </c>
    </row>
    <row r="25" spans="1:10" x14ac:dyDescent="0.25">
      <c r="A25" s="2767">
        <v>4</v>
      </c>
      <c r="B25" s="2768">
        <f ca="1">_xlfn.IFS(('Calc - SENIOR PERS'!$F$34&lt;10),0,('Calc - SENIOR PERS'!$F$34&gt;10),('Calc - SENIOR PERS'!J42))</f>
        <v>0</v>
      </c>
      <c r="C25" s="2769">
        <f ca="1">_xlfn.IFS(('Calc - SENIOR PERS'!$F$34&gt;10),0,('Calc - SENIOR PERS'!$F$34&lt;10),('Calc - SENIOR PERS'!J42))</f>
        <v>0</v>
      </c>
      <c r="D25" s="2769">
        <f ca="1">'Calc - SENIOR PERS'!I42</f>
        <v>0</v>
      </c>
      <c r="E25" s="2770">
        <f ca="1">_xlfn.IFS(('Calc - SENIOR PERS'!$F$34&lt;10),0,('Calc - SENIOR PERS'!$F$34&gt;10),('Calc - SENIOR PERS'!D42*'Calc - SENIOR PERS'!$F$35))</f>
        <v>0</v>
      </c>
      <c r="F25" s="2770">
        <f ca="1">_xlfn.IFS(('Calc - SENIOR PERS'!$F$34&gt;10),0,('Calc - SENIOR PERS'!$F$34&lt;10),('Calc - SENIOR PERS'!D42*'Calc - SENIOR PERS'!$F$35))</f>
        <v>0</v>
      </c>
      <c r="G25" s="2770">
        <f ca="1">_xlfn.IFS(('Calc - SENIOR PERS'!$F$34&gt;10),0,('Calc - SENIOR PERS'!$F$34&lt;10),('Calc - SENIOR PERS'!C42*'Calc - SENIOR PERS'!$F$35))</f>
        <v>0</v>
      </c>
      <c r="H25" s="2771">
        <f ca="1">ROUND(SUM('Calc - SENIOR PERS'!N42:O42),0)</f>
        <v>0</v>
      </c>
      <c r="I25" s="2771">
        <f ca="1">ROUND(SUM('Calc - SENIOR PERS'!Q42,'Calc - SENIOR PERS'!S42),0)</f>
        <v>0</v>
      </c>
      <c r="J25" s="2772">
        <f t="shared" ca="1" si="2"/>
        <v>0</v>
      </c>
    </row>
    <row r="26" spans="1:10" x14ac:dyDescent="0.25">
      <c r="A26" s="2767">
        <v>5</v>
      </c>
      <c r="B26" s="2768">
        <f ca="1">_xlfn.IFS(('Calc - SENIOR PERS'!$F$34&lt;10),0,('Calc - SENIOR PERS'!$F$34&gt;10),('Calc - SENIOR PERS'!J43))</f>
        <v>0</v>
      </c>
      <c r="C26" s="2769">
        <f ca="1">_xlfn.IFS(('Calc - SENIOR PERS'!$F$34&gt;10),0,('Calc - SENIOR PERS'!$F$34&lt;10),('Calc - SENIOR PERS'!J43))</f>
        <v>0</v>
      </c>
      <c r="D26" s="2769">
        <f ca="1">'Calc - SENIOR PERS'!I43</f>
        <v>0</v>
      </c>
      <c r="E26" s="2770">
        <f ca="1">_xlfn.IFS(('Calc - SENIOR PERS'!$F$34&lt;10),0,('Calc - SENIOR PERS'!$F$34&gt;10),('Calc - SENIOR PERS'!D43*'Calc - SENIOR PERS'!$F$35))</f>
        <v>0</v>
      </c>
      <c r="F26" s="2770">
        <f ca="1">_xlfn.IFS(('Calc - SENIOR PERS'!$F$34&gt;10),0,('Calc - SENIOR PERS'!$F$34&lt;10),('Calc - SENIOR PERS'!D43*'Calc - SENIOR PERS'!$F$35))</f>
        <v>0</v>
      </c>
      <c r="G26" s="2770">
        <f ca="1">_xlfn.IFS(('Calc - SENIOR PERS'!$F$34&gt;10),0,('Calc - SENIOR PERS'!$F$34&lt;10),('Calc - SENIOR PERS'!C43*'Calc - SENIOR PERS'!$F$35))</f>
        <v>0</v>
      </c>
      <c r="H26" s="2771">
        <f ca="1">ROUND(SUM('Calc - SENIOR PERS'!N43:O43),0)</f>
        <v>0</v>
      </c>
      <c r="I26" s="2771">
        <f ca="1">ROUND(SUM('Calc - SENIOR PERS'!Q43,'Calc - SENIOR PERS'!S43),0)</f>
        <v>0</v>
      </c>
      <c r="J26" s="2772">
        <f t="shared" ca="1" si="2"/>
        <v>0</v>
      </c>
    </row>
    <row r="27" spans="1:10" ht="15.75" thickBot="1" x14ac:dyDescent="0.3">
      <c r="A27" s="2775">
        <v>6</v>
      </c>
      <c r="B27" s="2776">
        <f ca="1">_xlfn.IFS(('Calc - SENIOR PERS'!$F$34&lt;10),0,('Calc - SENIOR PERS'!$F$34&gt;10),('Calc - SENIOR PERS'!J44))</f>
        <v>0</v>
      </c>
      <c r="C27" s="2777">
        <f ca="1">_xlfn.IFS(('Calc - SENIOR PERS'!$F$34&gt;10),0,('Calc - SENIOR PERS'!$F$34&lt;10),('Calc - SENIOR PERS'!J44))</f>
        <v>0</v>
      </c>
      <c r="D27" s="2777">
        <f ca="1">'Calc - SENIOR PERS'!I44</f>
        <v>0</v>
      </c>
      <c r="E27" s="2778">
        <f ca="1">_xlfn.IFS(('Calc - SENIOR PERS'!$F$34&lt;10),0,('Calc - SENIOR PERS'!$F$34&gt;10),('Calc - SENIOR PERS'!D44*'Calc - SENIOR PERS'!$F$35))</f>
        <v>0</v>
      </c>
      <c r="F27" s="2778">
        <f ca="1">_xlfn.IFS(('Calc - SENIOR PERS'!$F$34&gt;10),0,('Calc - SENIOR PERS'!$F$34&lt;10),('Calc - SENIOR PERS'!D44*'Calc - SENIOR PERS'!$F$35))</f>
        <v>0</v>
      </c>
      <c r="G27" s="2778">
        <f ca="1">_xlfn.IFS(('Calc - SENIOR PERS'!$F$34&gt;10),0,('Calc - SENIOR PERS'!$F$34&lt;10),('Calc - SENIOR PERS'!C44*'Calc - SENIOR PERS'!$F$35))</f>
        <v>0</v>
      </c>
      <c r="H27" s="2779">
        <f ca="1">ROUND(SUM('Calc - SENIOR PERS'!N44:O44),0)</f>
        <v>0</v>
      </c>
      <c r="I27" s="2779">
        <f ca="1">ROUND(SUM('Calc - SENIOR PERS'!Q44,'Calc - SENIOR PERS'!S44),0)</f>
        <v>0</v>
      </c>
      <c r="J27" s="2780">
        <f t="shared" ca="1" si="2"/>
        <v>0</v>
      </c>
    </row>
    <row r="29" spans="1:10" ht="19.5" thickBot="1" x14ac:dyDescent="0.35">
      <c r="A29" s="2784">
        <v>4</v>
      </c>
      <c r="B29" s="225">
        <f>'DATA INPUT'!B14</f>
        <v>0</v>
      </c>
    </row>
    <row r="30" spans="1:10" ht="45.75" thickBot="1" x14ac:dyDescent="0.3">
      <c r="A30" s="2757" t="s">
        <v>919</v>
      </c>
      <c r="B30" s="2785" t="s">
        <v>920</v>
      </c>
      <c r="C30" s="2756" t="s">
        <v>921</v>
      </c>
      <c r="D30" s="2756" t="s">
        <v>922</v>
      </c>
      <c r="E30" s="2756" t="s">
        <v>923</v>
      </c>
      <c r="F30" s="2756" t="s">
        <v>924</v>
      </c>
      <c r="G30" s="2756" t="s">
        <v>252</v>
      </c>
      <c r="H30" s="2786" t="s">
        <v>925</v>
      </c>
      <c r="I30" s="2786" t="s">
        <v>78</v>
      </c>
      <c r="J30" s="2760" t="s">
        <v>926</v>
      </c>
    </row>
    <row r="31" spans="1:10" x14ac:dyDescent="0.25">
      <c r="A31" s="2787">
        <v>1</v>
      </c>
      <c r="B31" s="2788">
        <f ca="1">_xlfn.IFS(('Calc - SENIOR PERS'!$F$48&lt;10),0,('Calc - SENIOR PERS'!$F$48&gt;10),('Calc - SENIOR PERS'!J53))</f>
        <v>0</v>
      </c>
      <c r="C31" s="2789">
        <f ca="1">_xlfn.IFS(('Calc - SENIOR PERS'!$F$48&gt;10),0,('Calc - SENIOR PERS'!$F$48&lt;10),('Calc - SENIOR PERS'!J53))</f>
        <v>0</v>
      </c>
      <c r="D31" s="2789">
        <f ca="1">'Calc - SENIOR PERS'!I53</f>
        <v>0</v>
      </c>
      <c r="E31" s="2790">
        <f ca="1">_xlfn.IFS(('Calc - SENIOR PERS'!$F$48&lt;10),0,('Calc - SENIOR PERS'!$F$48&gt;10),('Calc - SENIOR PERS'!D53*'Calc - SENIOR PERS'!$F$49))</f>
        <v>0</v>
      </c>
      <c r="F31" s="2790">
        <f ca="1">_xlfn.IFS(('Calc - SENIOR PERS'!$F$48&gt;10),0,('Calc - SENIOR PERS'!$F$48&lt;10),('Calc - SENIOR PERS'!D53*'Calc - SENIOR PERS'!$F$49))</f>
        <v>0</v>
      </c>
      <c r="G31" s="2790">
        <f ca="1">_xlfn.IFS(('Calc - SENIOR PERS'!$F$48&gt;10),0,('Calc - SENIOR PERS'!$F$48&lt;10),('Calc - SENIOR PERS'!C53*'Calc - SENIOR PERS'!$F$49))</f>
        <v>0</v>
      </c>
      <c r="H31" s="2791">
        <f ca="1">ROUND(SUM('Calc - SENIOR PERS'!N53:O53),0)</f>
        <v>0</v>
      </c>
      <c r="I31" s="2791">
        <f ca="1">ROUND(SUM('Calc - SENIOR PERS'!Q53,'Calc - SENIOR PERS'!S53),0)</f>
        <v>0</v>
      </c>
      <c r="J31" s="2792">
        <f t="shared" ref="J31:J36" ca="1" si="3">SUM(H31:I31)</f>
        <v>0</v>
      </c>
    </row>
    <row r="32" spans="1:10" x14ac:dyDescent="0.25">
      <c r="A32" s="2767">
        <v>2</v>
      </c>
      <c r="B32" s="2768">
        <f ca="1">_xlfn.IFS(('Calc - SENIOR PERS'!$F$48&lt;10),0,('Calc - SENIOR PERS'!$F$48&gt;10),('Calc - SENIOR PERS'!J54))</f>
        <v>0</v>
      </c>
      <c r="C32" s="2769">
        <f ca="1">_xlfn.IFS(('Calc - SENIOR PERS'!$F$48&gt;10),0,('Calc - SENIOR PERS'!$F$48&lt;10),('Calc - SENIOR PERS'!J54))</f>
        <v>0</v>
      </c>
      <c r="D32" s="2769">
        <f ca="1">'Calc - SENIOR PERS'!I54</f>
        <v>0</v>
      </c>
      <c r="E32" s="2770">
        <f ca="1">_xlfn.IFS(('Calc - SENIOR PERS'!$F$48&lt;10),0,('Calc - SENIOR PERS'!$F$48&gt;10),('Calc - SENIOR PERS'!D54*'Calc - SENIOR PERS'!$F$49))</f>
        <v>0</v>
      </c>
      <c r="F32" s="2770">
        <f ca="1">_xlfn.IFS(('Calc - SENIOR PERS'!$F$48&gt;10),0,('Calc - SENIOR PERS'!$F$48&lt;10),('Calc - SENIOR PERS'!D54*'Calc - SENIOR PERS'!$F$49))</f>
        <v>0</v>
      </c>
      <c r="G32" s="2770">
        <f ca="1">_xlfn.IFS(('Calc - SENIOR PERS'!$F$48&gt;10),0,('Calc - SENIOR PERS'!$F$48&lt;10),('Calc - SENIOR PERS'!C54*'Calc - SENIOR PERS'!$F$49))</f>
        <v>0</v>
      </c>
      <c r="H32" s="2771">
        <f ca="1">ROUND(SUM('Calc - SENIOR PERS'!N54:O54),0)</f>
        <v>0</v>
      </c>
      <c r="I32" s="2771">
        <f ca="1">ROUND(SUM('Calc - SENIOR PERS'!Q54,'Calc - SENIOR PERS'!S54),0)</f>
        <v>0</v>
      </c>
      <c r="J32" s="2772">
        <f t="shared" ca="1" si="3"/>
        <v>0</v>
      </c>
    </row>
    <row r="33" spans="1:10" x14ac:dyDescent="0.25">
      <c r="A33" s="2767">
        <v>3</v>
      </c>
      <c r="B33" s="2768">
        <f ca="1">_xlfn.IFS(('Calc - SENIOR PERS'!$F$48&lt;10),0,('Calc - SENIOR PERS'!$F$48&gt;10),('Calc - SENIOR PERS'!J55))</f>
        <v>0</v>
      </c>
      <c r="C33" s="2769">
        <f ca="1">_xlfn.IFS(('Calc - SENIOR PERS'!$F$48&gt;10),0,('Calc - SENIOR PERS'!$F$48&lt;10),('Calc - SENIOR PERS'!J55))</f>
        <v>0</v>
      </c>
      <c r="D33" s="2769">
        <f ca="1">'Calc - SENIOR PERS'!I55</f>
        <v>0</v>
      </c>
      <c r="E33" s="2770">
        <f ca="1">_xlfn.IFS(('Calc - SENIOR PERS'!$F$48&lt;10),0,('Calc - SENIOR PERS'!$F$48&gt;10),('Calc - SENIOR PERS'!D55*'Calc - SENIOR PERS'!$F$49))</f>
        <v>0</v>
      </c>
      <c r="F33" s="2770">
        <f ca="1">_xlfn.IFS(('Calc - SENIOR PERS'!$F$48&gt;10),0,('Calc - SENIOR PERS'!$F$48&lt;10),('Calc - SENIOR PERS'!D55*'Calc - SENIOR PERS'!$F$49))</f>
        <v>0</v>
      </c>
      <c r="G33" s="2770">
        <f ca="1">_xlfn.IFS(('Calc - SENIOR PERS'!$F$48&gt;10),0,('Calc - SENIOR PERS'!$F$48&lt;10),('Calc - SENIOR PERS'!C55*'Calc - SENIOR PERS'!$F$49))</f>
        <v>0</v>
      </c>
      <c r="H33" s="2771">
        <f ca="1">ROUND(SUM('Calc - SENIOR PERS'!N55:O55),0)</f>
        <v>0</v>
      </c>
      <c r="I33" s="2771">
        <f ca="1">ROUND(SUM('Calc - SENIOR PERS'!Q55,'Calc - SENIOR PERS'!S55),0)</f>
        <v>0</v>
      </c>
      <c r="J33" s="2772">
        <f t="shared" ca="1" si="3"/>
        <v>0</v>
      </c>
    </row>
    <row r="34" spans="1:10" x14ac:dyDescent="0.25">
      <c r="A34" s="2767">
        <v>4</v>
      </c>
      <c r="B34" s="2768">
        <f ca="1">_xlfn.IFS(('Calc - SENIOR PERS'!$F$48&lt;10),0,('Calc - SENIOR PERS'!$F$48&gt;10),('Calc - SENIOR PERS'!J56))</f>
        <v>0</v>
      </c>
      <c r="C34" s="2769">
        <f ca="1">_xlfn.IFS(('Calc - SENIOR PERS'!$F$48&gt;10),0,('Calc - SENIOR PERS'!$F$48&lt;10),('Calc - SENIOR PERS'!J56))</f>
        <v>0</v>
      </c>
      <c r="D34" s="2769">
        <f ca="1">'Calc - SENIOR PERS'!I56</f>
        <v>0</v>
      </c>
      <c r="E34" s="2770">
        <f ca="1">_xlfn.IFS(('Calc - SENIOR PERS'!$F$48&lt;10),0,('Calc - SENIOR PERS'!$F$48&gt;10),('Calc - SENIOR PERS'!D56*'Calc - SENIOR PERS'!$F$49))</f>
        <v>0</v>
      </c>
      <c r="F34" s="2770">
        <f ca="1">_xlfn.IFS(('Calc - SENIOR PERS'!$F$48&gt;10),0,('Calc - SENIOR PERS'!$F$48&lt;10),('Calc - SENIOR PERS'!D56*'Calc - SENIOR PERS'!$F$49))</f>
        <v>0</v>
      </c>
      <c r="G34" s="2770">
        <f ca="1">_xlfn.IFS(('Calc - SENIOR PERS'!$F$48&gt;10),0,('Calc - SENIOR PERS'!$F$48&lt;10),('Calc - SENIOR PERS'!C56*'Calc - SENIOR PERS'!$F$49))</f>
        <v>0</v>
      </c>
      <c r="H34" s="2771">
        <f ca="1">ROUND(SUM('Calc - SENIOR PERS'!N56:O56),0)</f>
        <v>0</v>
      </c>
      <c r="I34" s="2771">
        <f ca="1">ROUND(SUM('Calc - SENIOR PERS'!Q56,'Calc - SENIOR PERS'!S56),0)</f>
        <v>0</v>
      </c>
      <c r="J34" s="2772">
        <f t="shared" ca="1" si="3"/>
        <v>0</v>
      </c>
    </row>
    <row r="35" spans="1:10" x14ac:dyDescent="0.25">
      <c r="A35" s="2767">
        <v>5</v>
      </c>
      <c r="B35" s="2768">
        <f ca="1">_xlfn.IFS(('Calc - SENIOR PERS'!$F$48&lt;10),0,('Calc - SENIOR PERS'!$F$48&gt;10),('Calc - SENIOR PERS'!J57))</f>
        <v>0</v>
      </c>
      <c r="C35" s="2769">
        <f ca="1">_xlfn.IFS(('Calc - SENIOR PERS'!$F$48&gt;10),0,('Calc - SENIOR PERS'!$F$48&lt;10),('Calc - SENIOR PERS'!J57))</f>
        <v>0</v>
      </c>
      <c r="D35" s="2769">
        <f ca="1">'Calc - SENIOR PERS'!I57</f>
        <v>0</v>
      </c>
      <c r="E35" s="2770">
        <f ca="1">_xlfn.IFS(('Calc - SENIOR PERS'!$F$48&lt;10),0,('Calc - SENIOR PERS'!$F$48&gt;10),('Calc - SENIOR PERS'!D57*'Calc - SENIOR PERS'!$F$49))</f>
        <v>0</v>
      </c>
      <c r="F35" s="2770">
        <f ca="1">_xlfn.IFS(('Calc - SENIOR PERS'!$F$48&gt;10),0,('Calc - SENIOR PERS'!$F$48&lt;10),('Calc - SENIOR PERS'!D57*'Calc - SENIOR PERS'!$F$49))</f>
        <v>0</v>
      </c>
      <c r="G35" s="2770">
        <f ca="1">_xlfn.IFS(('Calc - SENIOR PERS'!$F$48&gt;10),0,('Calc - SENIOR PERS'!$F$48&lt;10),('Calc - SENIOR PERS'!C57*'Calc - SENIOR PERS'!$F$49))</f>
        <v>0</v>
      </c>
      <c r="H35" s="2771">
        <f ca="1">ROUND(SUM('Calc - SENIOR PERS'!N57:O57),0)</f>
        <v>0</v>
      </c>
      <c r="I35" s="2771">
        <f ca="1">ROUND(SUM('Calc - SENIOR PERS'!Q57,'Calc - SENIOR PERS'!S57),0)</f>
        <v>0</v>
      </c>
      <c r="J35" s="2772">
        <f t="shared" ca="1" si="3"/>
        <v>0</v>
      </c>
    </row>
    <row r="36" spans="1:10" ht="15.75" thickBot="1" x14ac:dyDescent="0.3">
      <c r="A36" s="2775">
        <v>6</v>
      </c>
      <c r="B36" s="2776">
        <f ca="1">_xlfn.IFS(('Calc - SENIOR PERS'!$F$48&lt;10),0,('Calc - SENIOR PERS'!$F$48&gt;10),('Calc - SENIOR PERS'!J58))</f>
        <v>0</v>
      </c>
      <c r="C36" s="2777">
        <f ca="1">_xlfn.IFS(('Calc - SENIOR PERS'!$F$48&gt;10),0,('Calc - SENIOR PERS'!$F$48&lt;10),('Calc - SENIOR PERS'!J58))</f>
        <v>0</v>
      </c>
      <c r="D36" s="2777">
        <f ca="1">'Calc - SENIOR PERS'!I58</f>
        <v>0</v>
      </c>
      <c r="E36" s="2778">
        <f ca="1">_xlfn.IFS(('Calc - SENIOR PERS'!$F$48&lt;10),0,('Calc - SENIOR PERS'!$F$48&gt;10),('Calc - SENIOR PERS'!D58*'Calc - SENIOR PERS'!$F$49))</f>
        <v>0</v>
      </c>
      <c r="F36" s="2778">
        <f ca="1">_xlfn.IFS(('Calc - SENIOR PERS'!$F$48&gt;10),0,('Calc - SENIOR PERS'!$F$48&lt;10),('Calc - SENIOR PERS'!D58*'Calc - SENIOR PERS'!$F$49))</f>
        <v>0</v>
      </c>
      <c r="G36" s="2778">
        <f ca="1">_xlfn.IFS(('Calc - SENIOR PERS'!$F$48&gt;10),0,('Calc - SENIOR PERS'!$F$48&lt;10),('Calc - SENIOR PERS'!C58*'Calc - SENIOR PERS'!$F$49))</f>
        <v>0</v>
      </c>
      <c r="H36" s="2779">
        <f ca="1">ROUND(SUM('Calc - SENIOR PERS'!N58:O58),0)</f>
        <v>0</v>
      </c>
      <c r="I36" s="2779">
        <f ca="1">ROUND(SUM('Calc - SENIOR PERS'!Q58,'Calc - SENIOR PERS'!S58),0)</f>
        <v>0</v>
      </c>
      <c r="J36" s="2780">
        <f t="shared" ca="1" si="3"/>
        <v>0</v>
      </c>
    </row>
    <row r="38" spans="1:10" ht="19.5" thickBot="1" x14ac:dyDescent="0.35">
      <c r="A38" s="2784">
        <v>5</v>
      </c>
      <c r="B38" s="225">
        <f>'DATA INPUT'!B15</f>
        <v>0</v>
      </c>
    </row>
    <row r="39" spans="1:10" ht="45.75" thickBot="1" x14ac:dyDescent="0.3">
      <c r="A39" s="2757" t="s">
        <v>919</v>
      </c>
      <c r="B39" s="2785" t="s">
        <v>920</v>
      </c>
      <c r="C39" s="2756" t="s">
        <v>921</v>
      </c>
      <c r="D39" s="2756" t="s">
        <v>922</v>
      </c>
      <c r="E39" s="2756" t="s">
        <v>923</v>
      </c>
      <c r="F39" s="2756" t="s">
        <v>924</v>
      </c>
      <c r="G39" s="2756" t="s">
        <v>252</v>
      </c>
      <c r="H39" s="2786" t="s">
        <v>925</v>
      </c>
      <c r="I39" s="2786" t="s">
        <v>78</v>
      </c>
      <c r="J39" s="2760" t="s">
        <v>926</v>
      </c>
    </row>
    <row r="40" spans="1:10" x14ac:dyDescent="0.25">
      <c r="A40" s="2787">
        <v>1</v>
      </c>
      <c r="B40" s="2788">
        <f ca="1">_xlfn.IFS(('Calc - SENIOR PERS'!$F$62&lt;10),0,('Calc - SENIOR PERS'!$F$62&gt;10),('Calc - SENIOR PERS'!J67))</f>
        <v>0</v>
      </c>
      <c r="C40" s="2789">
        <f ca="1">_xlfn.IFS(('Calc - SENIOR PERS'!$F$62&gt;10),0,('Calc - SENIOR PERS'!$F$62&lt;10),('Calc - SENIOR PERS'!J67))</f>
        <v>0</v>
      </c>
      <c r="D40" s="2789">
        <f ca="1">'Calc - SENIOR PERS'!I67</f>
        <v>0</v>
      </c>
      <c r="E40" s="2790">
        <f ca="1">_xlfn.IFS(('Calc - SENIOR PERS'!$F$62&lt;10),0,('Calc - SENIOR PERS'!$F$62&gt;10),('Calc - SENIOR PERS'!D67*'Calc - SENIOR PERS'!$F$63))</f>
        <v>0</v>
      </c>
      <c r="F40" s="2790">
        <f ca="1">_xlfn.IFS(('Calc - SENIOR PERS'!$F$62&gt;10),0,('Calc - SENIOR PERS'!$F$62&lt;10),('Calc - SENIOR PERS'!D67*'Calc - SENIOR PERS'!$F$63))</f>
        <v>0</v>
      </c>
      <c r="G40" s="2790">
        <f ca="1">_xlfn.IFS(('Calc - SENIOR PERS'!$F$62&gt;10),0,('Calc - SENIOR PERS'!$F$62&lt;10),('Calc - SENIOR PERS'!C67*'Calc - SENIOR PERS'!$F$63))</f>
        <v>0</v>
      </c>
      <c r="H40" s="2791">
        <f ca="1">ROUND(SUM('Calc - SENIOR PERS'!N67:O67),0)</f>
        <v>0</v>
      </c>
      <c r="I40" s="2791">
        <f ca="1">ROUND(SUM('Calc - SENIOR PERS'!Q67,'Calc - SENIOR PERS'!S67),0)</f>
        <v>0</v>
      </c>
      <c r="J40" s="2792">
        <f t="shared" ref="J40:J45" ca="1" si="4">SUM(H40:I40)</f>
        <v>0</v>
      </c>
    </row>
    <row r="41" spans="1:10" x14ac:dyDescent="0.25">
      <c r="A41" s="2767">
        <v>2</v>
      </c>
      <c r="B41" s="2768">
        <f ca="1">_xlfn.IFS(('Calc - SENIOR PERS'!$F$62&lt;10),0,('Calc - SENIOR PERS'!$F$62&gt;10),('Calc - SENIOR PERS'!J68))</f>
        <v>0</v>
      </c>
      <c r="C41" s="2769">
        <f ca="1">_xlfn.IFS(('Calc - SENIOR PERS'!$F$62&gt;10),0,('Calc - SENIOR PERS'!$F$62&lt;10),('Calc - SENIOR PERS'!J68))</f>
        <v>0</v>
      </c>
      <c r="D41" s="2769">
        <f ca="1">'Calc - SENIOR PERS'!I68</f>
        <v>0</v>
      </c>
      <c r="E41" s="2770">
        <f ca="1">_xlfn.IFS(('Calc - SENIOR PERS'!$F$62&lt;10),0,('Calc - SENIOR PERS'!$F$62&gt;10),('Calc - SENIOR PERS'!D68*'Calc - SENIOR PERS'!$F$63))</f>
        <v>0</v>
      </c>
      <c r="F41" s="2770">
        <f ca="1">_xlfn.IFS(('Calc - SENIOR PERS'!$F$62&gt;10),0,('Calc - SENIOR PERS'!$F$62&lt;10),('Calc - SENIOR PERS'!D68*'Calc - SENIOR PERS'!$F$63))</f>
        <v>0</v>
      </c>
      <c r="G41" s="2770">
        <f ca="1">_xlfn.IFS(('Calc - SENIOR PERS'!$F$62&gt;10),0,('Calc - SENIOR PERS'!$F$62&lt;10),('Calc - SENIOR PERS'!C68*'Calc - SENIOR PERS'!$F$63))</f>
        <v>0</v>
      </c>
      <c r="H41" s="2771">
        <f ca="1">ROUND(SUM('Calc - SENIOR PERS'!N68:O68),0)</f>
        <v>0</v>
      </c>
      <c r="I41" s="2771">
        <f ca="1">ROUND(SUM('Calc - SENIOR PERS'!Q68,'Calc - SENIOR PERS'!S68),0)</f>
        <v>0</v>
      </c>
      <c r="J41" s="2772">
        <f t="shared" ca="1" si="4"/>
        <v>0</v>
      </c>
    </row>
    <row r="42" spans="1:10" x14ac:dyDescent="0.25">
      <c r="A42" s="2767">
        <v>3</v>
      </c>
      <c r="B42" s="2768">
        <f ca="1">_xlfn.IFS(('Calc - SENIOR PERS'!$F$62&lt;10),0,('Calc - SENIOR PERS'!$F$62&gt;10),('Calc - SENIOR PERS'!J69))</f>
        <v>0</v>
      </c>
      <c r="C42" s="2769">
        <f ca="1">_xlfn.IFS(('Calc - SENIOR PERS'!$F$62&gt;10),0,('Calc - SENIOR PERS'!$F$62&lt;10),('Calc - SENIOR PERS'!J69))</f>
        <v>0</v>
      </c>
      <c r="D42" s="2769">
        <f ca="1">'Calc - SENIOR PERS'!I69</f>
        <v>0</v>
      </c>
      <c r="E42" s="2770">
        <f ca="1">_xlfn.IFS(('Calc - SENIOR PERS'!$F$62&lt;10),0,('Calc - SENIOR PERS'!$F$62&gt;10),('Calc - SENIOR PERS'!D69*'Calc - SENIOR PERS'!$F$63))</f>
        <v>0</v>
      </c>
      <c r="F42" s="2770">
        <f ca="1">_xlfn.IFS(('Calc - SENIOR PERS'!$F$62&gt;10),0,('Calc - SENIOR PERS'!$F$62&lt;10),('Calc - SENIOR PERS'!D69*'Calc - SENIOR PERS'!$F$63))</f>
        <v>0</v>
      </c>
      <c r="G42" s="2770">
        <f ca="1">_xlfn.IFS(('Calc - SENIOR PERS'!$F$62&gt;10),0,('Calc - SENIOR PERS'!$F$62&lt;10),('Calc - SENIOR PERS'!C69*'Calc - SENIOR PERS'!$F$63))</f>
        <v>0</v>
      </c>
      <c r="H42" s="2771">
        <f ca="1">ROUND(SUM('Calc - SENIOR PERS'!N69:O69),0)</f>
        <v>0</v>
      </c>
      <c r="I42" s="2771">
        <f ca="1">ROUND(SUM('Calc - SENIOR PERS'!Q69,'Calc - SENIOR PERS'!S69),0)</f>
        <v>0</v>
      </c>
      <c r="J42" s="2772">
        <f t="shared" ca="1" si="4"/>
        <v>0</v>
      </c>
    </row>
    <row r="43" spans="1:10" x14ac:dyDescent="0.25">
      <c r="A43" s="2767">
        <v>4</v>
      </c>
      <c r="B43" s="2768">
        <f ca="1">_xlfn.IFS(('Calc - SENIOR PERS'!$F$62&lt;10),0,('Calc - SENIOR PERS'!$F$62&gt;10),('Calc - SENIOR PERS'!J70))</f>
        <v>0</v>
      </c>
      <c r="C43" s="2769">
        <f ca="1">_xlfn.IFS(('Calc - SENIOR PERS'!$F$62&gt;10),0,('Calc - SENIOR PERS'!$F$62&lt;10),('Calc - SENIOR PERS'!J70))</f>
        <v>0</v>
      </c>
      <c r="D43" s="2769">
        <f ca="1">'Calc - SENIOR PERS'!I70</f>
        <v>0</v>
      </c>
      <c r="E43" s="2770">
        <f ca="1">_xlfn.IFS(('Calc - SENIOR PERS'!$F$62&lt;10),0,('Calc - SENIOR PERS'!$F$62&gt;10),('Calc - SENIOR PERS'!D70*'Calc - SENIOR PERS'!$F$63))</f>
        <v>0</v>
      </c>
      <c r="F43" s="2770">
        <f ca="1">_xlfn.IFS(('Calc - SENIOR PERS'!$F$62&gt;10),0,('Calc - SENIOR PERS'!$F$62&lt;10),('Calc - SENIOR PERS'!D70*'Calc - SENIOR PERS'!$F$63))</f>
        <v>0</v>
      </c>
      <c r="G43" s="2770">
        <f ca="1">_xlfn.IFS(('Calc - SENIOR PERS'!$F$62&gt;10),0,('Calc - SENIOR PERS'!$F$62&lt;10),('Calc - SENIOR PERS'!C70*'Calc - SENIOR PERS'!$F$63))</f>
        <v>0</v>
      </c>
      <c r="H43" s="2771">
        <f ca="1">ROUND(SUM('Calc - SENIOR PERS'!N70:O70),0)</f>
        <v>0</v>
      </c>
      <c r="I43" s="2771">
        <f ca="1">ROUND(SUM('Calc - SENIOR PERS'!Q70,'Calc - SENIOR PERS'!S70),0)</f>
        <v>0</v>
      </c>
      <c r="J43" s="2772">
        <f t="shared" ca="1" si="4"/>
        <v>0</v>
      </c>
    </row>
    <row r="44" spans="1:10" x14ac:dyDescent="0.25">
      <c r="A44" s="2767">
        <v>5</v>
      </c>
      <c r="B44" s="2768">
        <f ca="1">_xlfn.IFS(('Calc - SENIOR PERS'!$F$62&lt;10),0,('Calc - SENIOR PERS'!$F$62&gt;10),('Calc - SENIOR PERS'!J71))</f>
        <v>0</v>
      </c>
      <c r="C44" s="2769">
        <f ca="1">_xlfn.IFS(('Calc - SENIOR PERS'!$F$62&gt;10),0,('Calc - SENIOR PERS'!$F$62&lt;10),('Calc - SENIOR PERS'!J71))</f>
        <v>0</v>
      </c>
      <c r="D44" s="2769">
        <f ca="1">'Calc - SENIOR PERS'!I71</f>
        <v>0</v>
      </c>
      <c r="E44" s="2770">
        <f ca="1">_xlfn.IFS(('Calc - SENIOR PERS'!$F$62&lt;10),0,('Calc - SENIOR PERS'!$F$62&gt;10),('Calc - SENIOR PERS'!D71*'Calc - SENIOR PERS'!$F$63))</f>
        <v>0</v>
      </c>
      <c r="F44" s="2770">
        <f ca="1">_xlfn.IFS(('Calc - SENIOR PERS'!$F$62&gt;10),0,('Calc - SENIOR PERS'!$F$62&lt;10),('Calc - SENIOR PERS'!D71*'Calc - SENIOR PERS'!$F$63))</f>
        <v>0</v>
      </c>
      <c r="G44" s="2770">
        <f ca="1">_xlfn.IFS(('Calc - SENIOR PERS'!$F$62&gt;10),0,('Calc - SENIOR PERS'!$F$62&lt;10),('Calc - SENIOR PERS'!C71*'Calc - SENIOR PERS'!$F$63))</f>
        <v>0</v>
      </c>
      <c r="H44" s="2771">
        <f ca="1">ROUND(SUM('Calc - SENIOR PERS'!N71:O71),0)</f>
        <v>0</v>
      </c>
      <c r="I44" s="2771">
        <f ca="1">ROUND(SUM('Calc - SENIOR PERS'!Q71,'Calc - SENIOR PERS'!S71),0)</f>
        <v>0</v>
      </c>
      <c r="J44" s="2772">
        <f t="shared" ca="1" si="4"/>
        <v>0</v>
      </c>
    </row>
    <row r="45" spans="1:10" ht="15.75" thickBot="1" x14ac:dyDescent="0.3">
      <c r="A45" s="2775">
        <v>6</v>
      </c>
      <c r="B45" s="2776">
        <f ca="1">_xlfn.IFS(('Calc - SENIOR PERS'!$F$62&lt;10),0,('Calc - SENIOR PERS'!$F$62&gt;10),('Calc - SENIOR PERS'!J72))</f>
        <v>0</v>
      </c>
      <c r="C45" s="2777">
        <f ca="1">_xlfn.IFS(('Calc - SENIOR PERS'!$F$62&gt;10),0,('Calc - SENIOR PERS'!$F$62&lt;10),('Calc - SENIOR PERS'!J72))</f>
        <v>0</v>
      </c>
      <c r="D45" s="2777">
        <f ca="1">'Calc - SENIOR PERS'!I72</f>
        <v>0</v>
      </c>
      <c r="E45" s="2778">
        <f ca="1">_xlfn.IFS(('Calc - SENIOR PERS'!$F$62&lt;10),0,('Calc - SENIOR PERS'!$F$62&gt;10),('Calc - SENIOR PERS'!D72*'Calc - SENIOR PERS'!$F$63))</f>
        <v>0</v>
      </c>
      <c r="F45" s="2778">
        <f ca="1">_xlfn.IFS(('Calc - SENIOR PERS'!$F$62&gt;10),0,('Calc - SENIOR PERS'!$F$62&lt;10),('Calc - SENIOR PERS'!D72*'Calc - SENIOR PERS'!$F$63))</f>
        <v>0</v>
      </c>
      <c r="G45" s="2778">
        <f ca="1">_xlfn.IFS(('Calc - SENIOR PERS'!$F$62&gt;10),0,('Calc - SENIOR PERS'!$F$62&lt;10),('Calc - SENIOR PERS'!C72*'Calc - SENIOR PERS'!$F$63))</f>
        <v>0</v>
      </c>
      <c r="H45" s="2779">
        <f ca="1">ROUND(SUM('Calc - SENIOR PERS'!N72:O72),0)</f>
        <v>0</v>
      </c>
      <c r="I45" s="2779">
        <f ca="1">ROUND(SUM('Calc - SENIOR PERS'!Q72,'Calc - SENIOR PERS'!S72),0)</f>
        <v>0</v>
      </c>
      <c r="J45" s="2780">
        <f t="shared" ca="1" si="4"/>
        <v>0</v>
      </c>
    </row>
    <row r="47" spans="1:10" ht="19.5" thickBot="1" x14ac:dyDescent="0.35">
      <c r="A47" s="2784">
        <v>6</v>
      </c>
      <c r="B47" s="225">
        <f>'DATA INPUT'!B16</f>
        <v>0</v>
      </c>
    </row>
    <row r="48" spans="1:10" ht="45.75" thickBot="1" x14ac:dyDescent="0.3">
      <c r="A48" s="2757" t="s">
        <v>919</v>
      </c>
      <c r="B48" s="2785" t="s">
        <v>920</v>
      </c>
      <c r="C48" s="2756" t="s">
        <v>921</v>
      </c>
      <c r="D48" s="2756" t="s">
        <v>922</v>
      </c>
      <c r="E48" s="2756" t="s">
        <v>923</v>
      </c>
      <c r="F48" s="2756" t="s">
        <v>924</v>
      </c>
      <c r="G48" s="2756" t="s">
        <v>252</v>
      </c>
      <c r="H48" s="2786" t="s">
        <v>925</v>
      </c>
      <c r="I48" s="2786" t="s">
        <v>78</v>
      </c>
      <c r="J48" s="2760" t="s">
        <v>926</v>
      </c>
    </row>
    <row r="49" spans="1:10" x14ac:dyDescent="0.25">
      <c r="A49" s="2787">
        <v>1</v>
      </c>
      <c r="B49" s="2788">
        <f ca="1">_xlfn.IFS(('Calc - SENIOR PERS'!$F$76&lt;10),0,('Calc - SENIOR PERS'!$F$76&gt;10),('Calc - SENIOR PERS'!J81))</f>
        <v>0</v>
      </c>
      <c r="C49" s="2789">
        <f ca="1">_xlfn.IFS(('Calc - SENIOR PERS'!$F$76&gt;10),0,('Calc - SENIOR PERS'!$F$76&lt;10),('Calc - SENIOR PERS'!J81))</f>
        <v>0</v>
      </c>
      <c r="D49" s="2789">
        <f ca="1">'Calc - SENIOR PERS'!I81</f>
        <v>0</v>
      </c>
      <c r="E49" s="2790">
        <f ca="1">_xlfn.IFS(('Calc - SENIOR PERS'!$F$76&lt;10),0,('Calc - SENIOR PERS'!$F$76&gt;10),('Calc - SENIOR PERS'!D81*'Calc - SENIOR PERS'!$F$77))</f>
        <v>0</v>
      </c>
      <c r="F49" s="2790">
        <f ca="1">_xlfn.IFS(('Calc - SENIOR PERS'!$F$76&gt;10),0,('Calc - SENIOR PERS'!$F$76&lt;10),('Calc - SENIOR PERS'!D81*'Calc - SENIOR PERS'!$F$77))</f>
        <v>0</v>
      </c>
      <c r="G49" s="2790">
        <f ca="1">_xlfn.IFS(('Calc - SENIOR PERS'!$F$76&gt;10),0,('Calc - SENIOR PERS'!$F$76&lt;10),('Calc - SENIOR PERS'!C81*'Calc - SENIOR PERS'!$F$77))</f>
        <v>0</v>
      </c>
      <c r="H49" s="2791">
        <f ca="1">ROUND(SUM('Calc - SENIOR PERS'!N81:O81),0)</f>
        <v>0</v>
      </c>
      <c r="I49" s="2791">
        <f ca="1">ROUND(SUM('Calc - SENIOR PERS'!Q81,'Calc - SENIOR PERS'!S81),0)</f>
        <v>0</v>
      </c>
      <c r="J49" s="2792">
        <f t="shared" ref="J49:J54" ca="1" si="5">SUM(H49:I49)</f>
        <v>0</v>
      </c>
    </row>
    <row r="50" spans="1:10" x14ac:dyDescent="0.25">
      <c r="A50" s="2767">
        <v>2</v>
      </c>
      <c r="B50" s="2768">
        <f ca="1">_xlfn.IFS(('Calc - SENIOR PERS'!$F$76&lt;10),0,('Calc - SENIOR PERS'!$F$76&gt;10),('Calc - SENIOR PERS'!J82))</f>
        <v>0</v>
      </c>
      <c r="C50" s="2769">
        <f ca="1">_xlfn.IFS(('Calc - SENIOR PERS'!$F$76&gt;10),0,('Calc - SENIOR PERS'!$F$76&lt;10),('Calc - SENIOR PERS'!J82))</f>
        <v>0</v>
      </c>
      <c r="D50" s="2769">
        <f ca="1">'Calc - SENIOR PERS'!I82</f>
        <v>0</v>
      </c>
      <c r="E50" s="2770">
        <f ca="1">_xlfn.IFS(('Calc - SENIOR PERS'!$F$76&lt;10),0,('Calc - SENIOR PERS'!$F$76&gt;10),('Calc - SENIOR PERS'!D82*'Calc - SENIOR PERS'!$F$77))</f>
        <v>0</v>
      </c>
      <c r="F50" s="2770">
        <f ca="1">_xlfn.IFS(('Calc - SENIOR PERS'!$F$76&gt;10),0,('Calc - SENIOR PERS'!$F$76&lt;10),('Calc - SENIOR PERS'!D82*'Calc - SENIOR PERS'!$F$77))</f>
        <v>0</v>
      </c>
      <c r="G50" s="2770">
        <f ca="1">_xlfn.IFS(('Calc - SENIOR PERS'!$F$76&gt;10),0,('Calc - SENIOR PERS'!$F$76&lt;10),('Calc - SENIOR PERS'!C82*'Calc - SENIOR PERS'!$F$77))</f>
        <v>0</v>
      </c>
      <c r="H50" s="2771">
        <f ca="1">ROUND(SUM('Calc - SENIOR PERS'!N82:O82),0)</f>
        <v>0</v>
      </c>
      <c r="I50" s="2771">
        <f ca="1">ROUND(SUM('Calc - SENIOR PERS'!Q82,'Calc - SENIOR PERS'!S82),0)</f>
        <v>0</v>
      </c>
      <c r="J50" s="2772">
        <f t="shared" ca="1" si="5"/>
        <v>0</v>
      </c>
    </row>
    <row r="51" spans="1:10" x14ac:dyDescent="0.25">
      <c r="A51" s="2767">
        <v>3</v>
      </c>
      <c r="B51" s="2768">
        <f ca="1">_xlfn.IFS(('Calc - SENIOR PERS'!$F$76&lt;10),0,('Calc - SENIOR PERS'!$F$76&gt;10),('Calc - SENIOR PERS'!J83))</f>
        <v>0</v>
      </c>
      <c r="C51" s="2769">
        <f ca="1">_xlfn.IFS(('Calc - SENIOR PERS'!$F$76&gt;10),0,('Calc - SENIOR PERS'!$F$76&lt;10),('Calc - SENIOR PERS'!J83))</f>
        <v>0</v>
      </c>
      <c r="D51" s="2769">
        <f ca="1">'Calc - SENIOR PERS'!I83</f>
        <v>0</v>
      </c>
      <c r="E51" s="2770">
        <f ca="1">_xlfn.IFS(('Calc - SENIOR PERS'!$F$76&lt;10),0,('Calc - SENIOR PERS'!$F$76&gt;10),('Calc - SENIOR PERS'!D83*'Calc - SENIOR PERS'!$F$77))</f>
        <v>0</v>
      </c>
      <c r="F51" s="2770">
        <f ca="1">_xlfn.IFS(('Calc - SENIOR PERS'!$F$76&gt;10),0,('Calc - SENIOR PERS'!$F$76&lt;10),('Calc - SENIOR PERS'!D83*'Calc - SENIOR PERS'!$F$77))</f>
        <v>0</v>
      </c>
      <c r="G51" s="2770">
        <f ca="1">_xlfn.IFS(('Calc - SENIOR PERS'!$F$76&gt;10),0,('Calc - SENIOR PERS'!$F$76&lt;10),('Calc - SENIOR PERS'!C83*'Calc - SENIOR PERS'!$F$77))</f>
        <v>0</v>
      </c>
      <c r="H51" s="2771">
        <f ca="1">ROUND(SUM('Calc - SENIOR PERS'!N83:O83),0)</f>
        <v>0</v>
      </c>
      <c r="I51" s="2771">
        <f ca="1">ROUND(SUM('Calc - SENIOR PERS'!Q83,'Calc - SENIOR PERS'!S83),0)</f>
        <v>0</v>
      </c>
      <c r="J51" s="2772">
        <f t="shared" ca="1" si="5"/>
        <v>0</v>
      </c>
    </row>
    <row r="52" spans="1:10" x14ac:dyDescent="0.25">
      <c r="A52" s="2767">
        <v>4</v>
      </c>
      <c r="B52" s="2768">
        <f ca="1">_xlfn.IFS(('Calc - SENIOR PERS'!$F$76&lt;10),0,('Calc - SENIOR PERS'!$F$76&gt;10),('Calc - SENIOR PERS'!J84))</f>
        <v>0</v>
      </c>
      <c r="C52" s="2769">
        <f ca="1">_xlfn.IFS(('Calc - SENIOR PERS'!$F$76&gt;10),0,('Calc - SENIOR PERS'!$F$76&lt;10),('Calc - SENIOR PERS'!J84))</f>
        <v>0</v>
      </c>
      <c r="D52" s="2769">
        <f ca="1">'Calc - SENIOR PERS'!I84</f>
        <v>0</v>
      </c>
      <c r="E52" s="2770">
        <f ca="1">_xlfn.IFS(('Calc - SENIOR PERS'!$F$76&lt;10),0,('Calc - SENIOR PERS'!$F$76&gt;10),('Calc - SENIOR PERS'!D84*'Calc - SENIOR PERS'!$F$77))</f>
        <v>0</v>
      </c>
      <c r="F52" s="2770">
        <f ca="1">_xlfn.IFS(('Calc - SENIOR PERS'!$F$76&gt;10),0,('Calc - SENIOR PERS'!$F$76&lt;10),('Calc - SENIOR PERS'!D84*'Calc - SENIOR PERS'!$F$77))</f>
        <v>0</v>
      </c>
      <c r="G52" s="2770">
        <f ca="1">_xlfn.IFS(('Calc - SENIOR PERS'!$F$76&gt;10),0,('Calc - SENIOR PERS'!$F$76&lt;10),('Calc - SENIOR PERS'!C84*'Calc - SENIOR PERS'!$F$77))</f>
        <v>0</v>
      </c>
      <c r="H52" s="2771">
        <f ca="1">ROUND(SUM('Calc - SENIOR PERS'!N84:O84),0)</f>
        <v>0</v>
      </c>
      <c r="I52" s="2771">
        <f ca="1">ROUND(SUM('Calc - SENIOR PERS'!Q84,'Calc - SENIOR PERS'!S84),0)</f>
        <v>0</v>
      </c>
      <c r="J52" s="2772">
        <f t="shared" ca="1" si="5"/>
        <v>0</v>
      </c>
    </row>
    <row r="53" spans="1:10" x14ac:dyDescent="0.25">
      <c r="A53" s="2767">
        <v>5</v>
      </c>
      <c r="B53" s="2768">
        <f ca="1">_xlfn.IFS(('Calc - SENIOR PERS'!$F$76&lt;10),0,('Calc - SENIOR PERS'!$F$76&gt;10),('Calc - SENIOR PERS'!J85))</f>
        <v>0</v>
      </c>
      <c r="C53" s="2769">
        <f ca="1">_xlfn.IFS(('Calc - SENIOR PERS'!$F$76&gt;10),0,('Calc - SENIOR PERS'!$F$76&lt;10),('Calc - SENIOR PERS'!J85))</f>
        <v>0</v>
      </c>
      <c r="D53" s="2769">
        <f ca="1">'Calc - SENIOR PERS'!I85</f>
        <v>0</v>
      </c>
      <c r="E53" s="2770">
        <f ca="1">_xlfn.IFS(('Calc - SENIOR PERS'!$F$76&lt;10),0,('Calc - SENIOR PERS'!$F$76&gt;10),('Calc - SENIOR PERS'!D85*'Calc - SENIOR PERS'!$F$77))</f>
        <v>0</v>
      </c>
      <c r="F53" s="2770">
        <f ca="1">_xlfn.IFS(('Calc - SENIOR PERS'!$F$76&gt;10),0,('Calc - SENIOR PERS'!$F$76&lt;10),('Calc - SENIOR PERS'!D85*'Calc - SENIOR PERS'!$F$77))</f>
        <v>0</v>
      </c>
      <c r="G53" s="2770">
        <f ca="1">_xlfn.IFS(('Calc - SENIOR PERS'!$F$76&gt;10),0,('Calc - SENIOR PERS'!$F$76&lt;10),('Calc - SENIOR PERS'!C85*'Calc - SENIOR PERS'!$F$77))</f>
        <v>0</v>
      </c>
      <c r="H53" s="2771">
        <f ca="1">ROUND(SUM('Calc - SENIOR PERS'!N85:O85),0)</f>
        <v>0</v>
      </c>
      <c r="I53" s="2771">
        <f ca="1">ROUND(SUM('Calc - SENIOR PERS'!Q85,'Calc - SENIOR PERS'!S85),0)</f>
        <v>0</v>
      </c>
      <c r="J53" s="2772">
        <f t="shared" ca="1" si="5"/>
        <v>0</v>
      </c>
    </row>
    <row r="54" spans="1:10" ht="15.75" thickBot="1" x14ac:dyDescent="0.3">
      <c r="A54" s="2775">
        <v>6</v>
      </c>
      <c r="B54" s="2776">
        <f ca="1">_xlfn.IFS(('Calc - SENIOR PERS'!$F$76&lt;10),0,('Calc - SENIOR PERS'!$F$76&gt;10),('Calc - SENIOR PERS'!J86))</f>
        <v>0</v>
      </c>
      <c r="C54" s="2777">
        <f ca="1">_xlfn.IFS(('Calc - SENIOR PERS'!$F$76&gt;10),0,('Calc - SENIOR PERS'!$F$76&lt;10),('Calc - SENIOR PERS'!J86))</f>
        <v>0</v>
      </c>
      <c r="D54" s="2777">
        <f ca="1">'Calc - SENIOR PERS'!I86</f>
        <v>0</v>
      </c>
      <c r="E54" s="2778">
        <f ca="1">_xlfn.IFS(('Calc - SENIOR PERS'!$F$76&lt;10),0,('Calc - SENIOR PERS'!$F$76&gt;10),('Calc - SENIOR PERS'!D86*'Calc - SENIOR PERS'!$F$77))</f>
        <v>0</v>
      </c>
      <c r="F54" s="2778">
        <f ca="1">_xlfn.IFS(('Calc - SENIOR PERS'!$F$76&gt;10),0,('Calc - SENIOR PERS'!$F$76&lt;10),('Calc - SENIOR PERS'!D86*'Calc - SENIOR PERS'!$F$77))</f>
        <v>0</v>
      </c>
      <c r="G54" s="2778">
        <f ca="1">_xlfn.IFS(('Calc - SENIOR PERS'!$F$76&gt;10),0,('Calc - SENIOR PERS'!$F$76&lt;10),('Calc - SENIOR PERS'!C86*'Calc - SENIOR PERS'!$F$77))</f>
        <v>0</v>
      </c>
      <c r="H54" s="2779">
        <f ca="1">ROUND(SUM('Calc - SENIOR PERS'!N86:O86),0)</f>
        <v>0</v>
      </c>
      <c r="I54" s="2779">
        <f ca="1">ROUND(SUM('Calc - SENIOR PERS'!Q86,'Calc - SENIOR PERS'!S86),0)</f>
        <v>0</v>
      </c>
      <c r="J54" s="2780">
        <f t="shared" ca="1" si="5"/>
        <v>0</v>
      </c>
    </row>
    <row r="56" spans="1:10" ht="19.5" thickBot="1" x14ac:dyDescent="0.35">
      <c r="A56" s="2784">
        <v>7</v>
      </c>
      <c r="B56" s="225">
        <f>'DATA INPUT'!B17</f>
        <v>0</v>
      </c>
    </row>
    <row r="57" spans="1:10" ht="45" x14ac:dyDescent="0.25">
      <c r="A57" s="2333" t="s">
        <v>919</v>
      </c>
      <c r="B57" s="781" t="s">
        <v>920</v>
      </c>
      <c r="C57" s="2758" t="s">
        <v>921</v>
      </c>
      <c r="D57" s="2758" t="s">
        <v>922</v>
      </c>
      <c r="E57" s="2758" t="s">
        <v>923</v>
      </c>
      <c r="F57" s="2758" t="s">
        <v>924</v>
      </c>
      <c r="G57" s="2758" t="s">
        <v>252</v>
      </c>
      <c r="H57" s="2765" t="s">
        <v>925</v>
      </c>
      <c r="I57" s="2765" t="s">
        <v>78</v>
      </c>
      <c r="J57" s="2766" t="s">
        <v>926</v>
      </c>
    </row>
    <row r="58" spans="1:10" x14ac:dyDescent="0.25">
      <c r="A58" s="2767">
        <v>1</v>
      </c>
      <c r="B58" s="2768">
        <f ca="1">_xlfn.IFS(('Calc - SENIOR PERS'!$F$90&lt;10),0,('Calc - SENIOR PERS'!$F$90&gt;10),('Calc - SENIOR PERS'!J95))</f>
        <v>0</v>
      </c>
      <c r="C58" s="2769">
        <f ca="1">_xlfn.IFS(('Calc - SENIOR PERS'!$F$90&gt;10),0,('Calc - SENIOR PERS'!$F$90&lt;10),('Calc - SENIOR PERS'!J95))</f>
        <v>0</v>
      </c>
      <c r="D58" s="2769">
        <f ca="1">'Calc - SENIOR PERS'!I95</f>
        <v>0</v>
      </c>
      <c r="E58" s="2770">
        <f ca="1">_xlfn.IFS(('Calc - SENIOR PERS'!$F$90&lt;10),0,('Calc - SENIOR PERS'!$F$90&gt;10),('Calc - SENIOR PERS'!D95*'Calc - SENIOR PERS'!$F$91))</f>
        <v>0</v>
      </c>
      <c r="F58" s="2770">
        <f ca="1">_xlfn.IFS(('Calc - SENIOR PERS'!$F$90&gt;10),0,('Calc - SENIOR PERS'!$F$90&lt;10),('Calc - SENIOR PERS'!D95*'Calc - SENIOR PERS'!$F$91))</f>
        <v>0</v>
      </c>
      <c r="G58" s="2770">
        <f ca="1">_xlfn.IFS(('Calc - SENIOR PERS'!$F$90&gt;10),0,('Calc - SENIOR PERS'!$F$90&lt;10),('Calc - SENIOR PERS'!C95*'Calc - SENIOR PERS'!$F$91))</f>
        <v>0</v>
      </c>
      <c r="H58" s="2771">
        <f ca="1">ROUND(SUM('Calc - SENIOR PERS'!N95:O95),0)</f>
        <v>0</v>
      </c>
      <c r="I58" s="2771">
        <f ca="1">ROUND(SUM('Calc - SENIOR PERS'!Q95,'Calc - SENIOR PERS'!S95),0)</f>
        <v>0</v>
      </c>
      <c r="J58" s="2772">
        <f t="shared" ref="J58:J63" ca="1" si="6">SUM(H58:I58)</f>
        <v>0</v>
      </c>
    </row>
    <row r="59" spans="1:10" x14ac:dyDescent="0.25">
      <c r="A59" s="2767">
        <v>2</v>
      </c>
      <c r="B59" s="2768">
        <f ca="1">_xlfn.IFS(('Calc - SENIOR PERS'!$F$90&lt;10),0,('Calc - SENIOR PERS'!$F$90&gt;10),('Calc - SENIOR PERS'!J96))</f>
        <v>0</v>
      </c>
      <c r="C59" s="2769">
        <f ca="1">_xlfn.IFS(('Calc - SENIOR PERS'!$F$90&gt;10),0,('Calc - SENIOR PERS'!$F$90&lt;10),('Calc - SENIOR PERS'!J96))</f>
        <v>0</v>
      </c>
      <c r="D59" s="2769">
        <f ca="1">'Calc - SENIOR PERS'!I96</f>
        <v>0</v>
      </c>
      <c r="E59" s="2770">
        <f ca="1">_xlfn.IFS(('Calc - SENIOR PERS'!$F$90&lt;10),0,('Calc - SENIOR PERS'!$F$90&gt;10),('Calc - SENIOR PERS'!D96*'Calc - SENIOR PERS'!$F$91))</f>
        <v>0</v>
      </c>
      <c r="F59" s="2770">
        <f ca="1">_xlfn.IFS(('Calc - SENIOR PERS'!$F$90&gt;10),0,('Calc - SENIOR PERS'!$F$90&lt;10),('Calc - SENIOR PERS'!D96*'Calc - SENIOR PERS'!$F$91))</f>
        <v>0</v>
      </c>
      <c r="G59" s="2770">
        <f ca="1">_xlfn.IFS(('Calc - SENIOR PERS'!$F$90&gt;10),0,('Calc - SENIOR PERS'!$F$90&lt;10),('Calc - SENIOR PERS'!C96*'Calc - SENIOR PERS'!$F$91))</f>
        <v>0</v>
      </c>
      <c r="H59" s="2771">
        <f ca="1">ROUND(SUM('Calc - SENIOR PERS'!N96:O96),0)</f>
        <v>0</v>
      </c>
      <c r="I59" s="2771">
        <f ca="1">ROUND(SUM('Calc - SENIOR PERS'!Q96,'Calc - SENIOR PERS'!S96),0)</f>
        <v>0</v>
      </c>
      <c r="J59" s="2772">
        <f t="shared" ca="1" si="6"/>
        <v>0</v>
      </c>
    </row>
    <row r="60" spans="1:10" x14ac:dyDescent="0.25">
      <c r="A60" s="2767">
        <v>3</v>
      </c>
      <c r="B60" s="2768">
        <f ca="1">_xlfn.IFS(('Calc - SENIOR PERS'!$F$90&lt;10),0,('Calc - SENIOR PERS'!$F$90&gt;10),('Calc - SENIOR PERS'!J97))</f>
        <v>0</v>
      </c>
      <c r="C60" s="2769">
        <f ca="1">_xlfn.IFS(('Calc - SENIOR PERS'!$F$90&gt;10),0,('Calc - SENIOR PERS'!$F$90&lt;10),('Calc - SENIOR PERS'!J97))</f>
        <v>0</v>
      </c>
      <c r="D60" s="2769">
        <f ca="1">'Calc - SENIOR PERS'!I97</f>
        <v>0</v>
      </c>
      <c r="E60" s="2770">
        <f ca="1">_xlfn.IFS(('Calc - SENIOR PERS'!$F$90&lt;10),0,('Calc - SENIOR PERS'!$F$90&gt;10),('Calc - SENIOR PERS'!D97*'Calc - SENIOR PERS'!$F$91))</f>
        <v>0</v>
      </c>
      <c r="F60" s="2770">
        <f ca="1">_xlfn.IFS(('Calc - SENIOR PERS'!$F$90&gt;10),0,('Calc - SENIOR PERS'!$F$90&lt;10),('Calc - SENIOR PERS'!D97*'Calc - SENIOR PERS'!$F$91))</f>
        <v>0</v>
      </c>
      <c r="G60" s="2770">
        <f ca="1">_xlfn.IFS(('Calc - SENIOR PERS'!$F$90&gt;10),0,('Calc - SENIOR PERS'!$F$90&lt;10),('Calc - SENIOR PERS'!C97*'Calc - SENIOR PERS'!$F$91))</f>
        <v>0</v>
      </c>
      <c r="H60" s="2771">
        <f ca="1">ROUND(SUM('Calc - SENIOR PERS'!N97:O97),0)</f>
        <v>0</v>
      </c>
      <c r="I60" s="2771">
        <f ca="1">ROUND(SUM('Calc - SENIOR PERS'!Q97,'Calc - SENIOR PERS'!S97),0)</f>
        <v>0</v>
      </c>
      <c r="J60" s="2772">
        <f t="shared" ca="1" si="6"/>
        <v>0</v>
      </c>
    </row>
    <row r="61" spans="1:10" x14ac:dyDescent="0.25">
      <c r="A61" s="2767">
        <v>4</v>
      </c>
      <c r="B61" s="2768">
        <f ca="1">_xlfn.IFS(('Calc - SENIOR PERS'!$F$90&lt;10),0,('Calc - SENIOR PERS'!$F$90&gt;10),('Calc - SENIOR PERS'!J98))</f>
        <v>0</v>
      </c>
      <c r="C61" s="2769">
        <f ca="1">_xlfn.IFS(('Calc - SENIOR PERS'!$F$90&gt;10),0,('Calc - SENIOR PERS'!$F$90&lt;10),('Calc - SENIOR PERS'!J98))</f>
        <v>0</v>
      </c>
      <c r="D61" s="2769">
        <f ca="1">'Calc - SENIOR PERS'!I98</f>
        <v>0</v>
      </c>
      <c r="E61" s="2770">
        <f ca="1">_xlfn.IFS(('Calc - SENIOR PERS'!$F$90&lt;10),0,('Calc - SENIOR PERS'!$F$90&gt;10),('Calc - SENIOR PERS'!D98*'Calc - SENIOR PERS'!$F$91))</f>
        <v>0</v>
      </c>
      <c r="F61" s="2770">
        <f ca="1">_xlfn.IFS(('Calc - SENIOR PERS'!$F$90&gt;10),0,('Calc - SENIOR PERS'!$F$90&lt;10),('Calc - SENIOR PERS'!D98*'Calc - SENIOR PERS'!$F$91))</f>
        <v>0</v>
      </c>
      <c r="G61" s="2770">
        <f ca="1">_xlfn.IFS(('Calc - SENIOR PERS'!$F$90&gt;10),0,('Calc - SENIOR PERS'!$F$90&lt;10),('Calc - SENIOR PERS'!C98*'Calc - SENIOR PERS'!$F$91))</f>
        <v>0</v>
      </c>
      <c r="H61" s="2771">
        <f ca="1">ROUND(SUM('Calc - SENIOR PERS'!N98:O98),0)</f>
        <v>0</v>
      </c>
      <c r="I61" s="2771">
        <f ca="1">ROUND(SUM('Calc - SENIOR PERS'!Q98,'Calc - SENIOR PERS'!S98),0)</f>
        <v>0</v>
      </c>
      <c r="J61" s="2772">
        <f t="shared" ca="1" si="6"/>
        <v>0</v>
      </c>
    </row>
    <row r="62" spans="1:10" x14ac:dyDescent="0.25">
      <c r="A62" s="2767">
        <v>5</v>
      </c>
      <c r="B62" s="2768">
        <f ca="1">_xlfn.IFS(('Calc - SENIOR PERS'!$F$90&lt;10),0,('Calc - SENIOR PERS'!$F$90&gt;10),('Calc - SENIOR PERS'!J99))</f>
        <v>0</v>
      </c>
      <c r="C62" s="2769">
        <f ca="1">_xlfn.IFS(('Calc - SENIOR PERS'!$F$90&gt;10),0,('Calc - SENIOR PERS'!$F$90&lt;10),('Calc - SENIOR PERS'!J99))</f>
        <v>0</v>
      </c>
      <c r="D62" s="2769">
        <f ca="1">'Calc - SENIOR PERS'!I99</f>
        <v>0</v>
      </c>
      <c r="E62" s="2770">
        <f ca="1">_xlfn.IFS(('Calc - SENIOR PERS'!$F$90&lt;10),0,('Calc - SENIOR PERS'!$F$90&gt;10),('Calc - SENIOR PERS'!D99*'Calc - SENIOR PERS'!$F$91))</f>
        <v>0</v>
      </c>
      <c r="F62" s="2770">
        <f ca="1">_xlfn.IFS(('Calc - SENIOR PERS'!$F$90&gt;10),0,('Calc - SENIOR PERS'!$F$90&lt;10),('Calc - SENIOR PERS'!D99*'Calc - SENIOR PERS'!$F$91))</f>
        <v>0</v>
      </c>
      <c r="G62" s="2770">
        <f ca="1">_xlfn.IFS(('Calc - SENIOR PERS'!$F$90&gt;10),0,('Calc - SENIOR PERS'!$F$90&lt;10),('Calc - SENIOR PERS'!C99*'Calc - SENIOR PERS'!$F$91))</f>
        <v>0</v>
      </c>
      <c r="H62" s="2771">
        <f ca="1">ROUND(SUM('Calc - SENIOR PERS'!N99:O99),0)</f>
        <v>0</v>
      </c>
      <c r="I62" s="2771">
        <f ca="1">ROUND(SUM('Calc - SENIOR PERS'!Q99,'Calc - SENIOR PERS'!S99),0)</f>
        <v>0</v>
      </c>
      <c r="J62" s="2772">
        <f t="shared" ca="1" si="6"/>
        <v>0</v>
      </c>
    </row>
    <row r="63" spans="1:10" ht="15.75" thickBot="1" x14ac:dyDescent="0.3">
      <c r="A63" s="2775">
        <v>6</v>
      </c>
      <c r="B63" s="2776">
        <f ca="1">_xlfn.IFS(('Calc - SENIOR PERS'!$F$90&lt;10),0,('Calc - SENIOR PERS'!$F$90&gt;10),('Calc - SENIOR PERS'!J100))</f>
        <v>0</v>
      </c>
      <c r="C63" s="2777">
        <f ca="1">_xlfn.IFS(('Calc - SENIOR PERS'!$F$90&gt;10),0,('Calc - SENIOR PERS'!$F$90&lt;10),('Calc - SENIOR PERS'!J100))</f>
        <v>0</v>
      </c>
      <c r="D63" s="2777">
        <f ca="1">'Calc - SENIOR PERS'!I100</f>
        <v>0</v>
      </c>
      <c r="E63" s="2778">
        <f ca="1">_xlfn.IFS(('Calc - SENIOR PERS'!$F$90&lt;10),0,('Calc - SENIOR PERS'!$F$90&gt;10),('Calc - SENIOR PERS'!D100*'Calc - SENIOR PERS'!$F$91))</f>
        <v>0</v>
      </c>
      <c r="F63" s="2778">
        <f ca="1">_xlfn.IFS(('Calc - SENIOR PERS'!$F$90&gt;10),0,('Calc - SENIOR PERS'!$F$90&lt;10),('Calc - SENIOR PERS'!D100*'Calc - SENIOR PERS'!$F$91))</f>
        <v>0</v>
      </c>
      <c r="G63" s="2778">
        <f ca="1">_xlfn.IFS(('Calc - SENIOR PERS'!$F$90&gt;10),0,('Calc - SENIOR PERS'!$F$90&lt;10),('Calc - SENIOR PERS'!C100*'Calc - SENIOR PERS'!$F$91))</f>
        <v>0</v>
      </c>
      <c r="H63" s="2779">
        <f ca="1">ROUND(SUM('Calc - SENIOR PERS'!N100:O100),0)</f>
        <v>0</v>
      </c>
      <c r="I63" s="2779">
        <f ca="1">ROUND(SUM('Calc - SENIOR PERS'!Q100,'Calc - SENIOR PERS'!S100),0)</f>
        <v>0</v>
      </c>
      <c r="J63" s="2780">
        <f t="shared" ca="1" si="6"/>
        <v>0</v>
      </c>
    </row>
    <row r="65" spans="1:10" ht="19.5" thickBot="1" x14ac:dyDescent="0.35">
      <c r="A65" s="2784">
        <v>8</v>
      </c>
      <c r="B65" s="225">
        <f>'DATA INPUT'!B18</f>
        <v>0</v>
      </c>
    </row>
    <row r="66" spans="1:10" ht="45" x14ac:dyDescent="0.25">
      <c r="A66" s="2333" t="s">
        <v>919</v>
      </c>
      <c r="B66" s="781" t="s">
        <v>920</v>
      </c>
      <c r="C66" s="2758" t="s">
        <v>921</v>
      </c>
      <c r="D66" s="2758" t="s">
        <v>922</v>
      </c>
      <c r="E66" s="2758" t="s">
        <v>923</v>
      </c>
      <c r="F66" s="2758" t="s">
        <v>924</v>
      </c>
      <c r="G66" s="2758" t="s">
        <v>252</v>
      </c>
      <c r="H66" s="2765" t="s">
        <v>925</v>
      </c>
      <c r="I66" s="2765" t="s">
        <v>78</v>
      </c>
      <c r="J66" s="2766" t="s">
        <v>926</v>
      </c>
    </row>
    <row r="67" spans="1:10" x14ac:dyDescent="0.25">
      <c r="A67" s="2767">
        <v>1</v>
      </c>
      <c r="B67" s="2768">
        <f ca="1">_xlfn.IFS(('Calc - SENIOR PERS'!$F$104&lt;10),0,('Calc - SENIOR PERS'!$F$104&gt;10),('Calc - SENIOR PERS'!J109))</f>
        <v>0</v>
      </c>
      <c r="C67" s="2769">
        <f ca="1">_xlfn.IFS(('Calc - SENIOR PERS'!$F$104&gt;10),0,('Calc - SENIOR PERS'!$F$104&lt;10),('Calc - SENIOR PERS'!J109))</f>
        <v>0</v>
      </c>
      <c r="D67" s="2769">
        <f ca="1">'Calc - SENIOR PERS'!I109</f>
        <v>0</v>
      </c>
      <c r="E67" s="2770">
        <f ca="1">_xlfn.IFS(('Calc - SENIOR PERS'!$F$104&lt;10),0,('Calc - SENIOR PERS'!$F$104&gt;10),('Calc - SENIOR PERS'!D109*'Calc - SENIOR PERS'!$F$105))</f>
        <v>0</v>
      </c>
      <c r="F67" s="2770">
        <f ca="1">_xlfn.IFS(('Calc - SENIOR PERS'!$F$104&gt;10),0,('Calc - SENIOR PERS'!$F$104&lt;10),('Calc - SENIOR PERS'!D109*'Calc - SENIOR PERS'!$F$105))</f>
        <v>0</v>
      </c>
      <c r="G67" s="2770">
        <f ca="1">_xlfn.IFS(('Calc - SENIOR PERS'!$F$104&gt;10),0,('Calc - SENIOR PERS'!$F$104&lt;10),('Calc - SENIOR PERS'!C109*'Calc - SENIOR PERS'!$F$105))</f>
        <v>0</v>
      </c>
      <c r="H67" s="2771">
        <f ca="1">ROUND(SUM('Calc - SENIOR PERS'!N109:O109),0)</f>
        <v>0</v>
      </c>
      <c r="I67" s="2771">
        <f ca="1">ROUND(SUM('Calc - SENIOR PERS'!Q109,'Calc - SENIOR PERS'!S109),0)</f>
        <v>0</v>
      </c>
      <c r="J67" s="2772">
        <f t="shared" ref="J67:J72" ca="1" si="7">SUM(H67:I67)</f>
        <v>0</v>
      </c>
    </row>
    <row r="68" spans="1:10" x14ac:dyDescent="0.25">
      <c r="A68" s="2767">
        <v>2</v>
      </c>
      <c r="B68" s="2768">
        <f ca="1">_xlfn.IFS(('Calc - SENIOR PERS'!$F$104&lt;10),0,('Calc - SENIOR PERS'!$F$104&gt;10),('Calc - SENIOR PERS'!J110))</f>
        <v>0</v>
      </c>
      <c r="C68" s="2769">
        <f ca="1">_xlfn.IFS(('Calc - SENIOR PERS'!$F$104&gt;10),0,('Calc - SENIOR PERS'!$F$104&lt;10),('Calc - SENIOR PERS'!J110))</f>
        <v>0</v>
      </c>
      <c r="D68" s="2769">
        <f ca="1">'Calc - SENIOR PERS'!I110</f>
        <v>0</v>
      </c>
      <c r="E68" s="2770">
        <f ca="1">_xlfn.IFS(('Calc - SENIOR PERS'!$F$104&lt;10),0,('Calc - SENIOR PERS'!$F$104&gt;10),('Calc - SENIOR PERS'!D110*'Calc - SENIOR PERS'!$F$105))</f>
        <v>0</v>
      </c>
      <c r="F68" s="2770">
        <f ca="1">_xlfn.IFS(('Calc - SENIOR PERS'!$F$104&gt;10),0,('Calc - SENIOR PERS'!$F$104&lt;10),('Calc - SENIOR PERS'!D110*'Calc - SENIOR PERS'!$F$105))</f>
        <v>0</v>
      </c>
      <c r="G68" s="2770">
        <f ca="1">_xlfn.IFS(('Calc - SENIOR PERS'!$F$104&gt;10),0,('Calc - SENIOR PERS'!$F$104&lt;10),('Calc - SENIOR PERS'!C110*'Calc - SENIOR PERS'!$F$105))</f>
        <v>0</v>
      </c>
      <c r="H68" s="2771">
        <f ca="1">ROUND(SUM('Calc - SENIOR PERS'!N110:O110),0)</f>
        <v>0</v>
      </c>
      <c r="I68" s="2771">
        <f ca="1">ROUND(SUM('Calc - SENIOR PERS'!Q110,'Calc - SENIOR PERS'!S110),0)</f>
        <v>0</v>
      </c>
      <c r="J68" s="2772">
        <f t="shared" ca="1" si="7"/>
        <v>0</v>
      </c>
    </row>
    <row r="69" spans="1:10" x14ac:dyDescent="0.25">
      <c r="A69" s="2767">
        <v>3</v>
      </c>
      <c r="B69" s="2768">
        <f ca="1">_xlfn.IFS(('Calc - SENIOR PERS'!$F$104&lt;10),0,('Calc - SENIOR PERS'!$F$104&gt;10),('Calc - SENIOR PERS'!J111))</f>
        <v>0</v>
      </c>
      <c r="C69" s="2769">
        <f ca="1">_xlfn.IFS(('Calc - SENIOR PERS'!$F$104&gt;10),0,('Calc - SENIOR PERS'!$F$104&lt;10),('Calc - SENIOR PERS'!J111))</f>
        <v>0</v>
      </c>
      <c r="D69" s="2769">
        <f ca="1">'Calc - SENIOR PERS'!I111</f>
        <v>0</v>
      </c>
      <c r="E69" s="2770">
        <f ca="1">_xlfn.IFS(('Calc - SENIOR PERS'!$F$104&lt;10),0,('Calc - SENIOR PERS'!$F$104&gt;10),('Calc - SENIOR PERS'!D111*'Calc - SENIOR PERS'!$F$105))</f>
        <v>0</v>
      </c>
      <c r="F69" s="2770">
        <f ca="1">_xlfn.IFS(('Calc - SENIOR PERS'!$F$104&gt;10),0,('Calc - SENIOR PERS'!$F$104&lt;10),('Calc - SENIOR PERS'!D111*'Calc - SENIOR PERS'!$F$105))</f>
        <v>0</v>
      </c>
      <c r="G69" s="2770">
        <f ca="1">_xlfn.IFS(('Calc - SENIOR PERS'!$F$104&gt;10),0,('Calc - SENIOR PERS'!$F$104&lt;10),('Calc - SENIOR PERS'!C111*'Calc - SENIOR PERS'!$F$105))</f>
        <v>0</v>
      </c>
      <c r="H69" s="2771">
        <f ca="1">ROUND(SUM('Calc - SENIOR PERS'!N111:O111),0)</f>
        <v>0</v>
      </c>
      <c r="I69" s="2771">
        <f ca="1">ROUND(SUM('Calc - SENIOR PERS'!Q111,'Calc - SENIOR PERS'!S111),0)</f>
        <v>0</v>
      </c>
      <c r="J69" s="2772">
        <f t="shared" ca="1" si="7"/>
        <v>0</v>
      </c>
    </row>
    <row r="70" spans="1:10" x14ac:dyDescent="0.25">
      <c r="A70" s="2767">
        <v>4</v>
      </c>
      <c r="B70" s="2768">
        <f ca="1">_xlfn.IFS(('Calc - SENIOR PERS'!$F$104&lt;10),0,('Calc - SENIOR PERS'!$F$104&gt;10),('Calc - SENIOR PERS'!J112))</f>
        <v>0</v>
      </c>
      <c r="C70" s="2769">
        <f ca="1">_xlfn.IFS(('Calc - SENIOR PERS'!$F$104&gt;10),0,('Calc - SENIOR PERS'!$F$104&lt;10),('Calc - SENIOR PERS'!J112))</f>
        <v>0</v>
      </c>
      <c r="D70" s="2769">
        <f ca="1">'Calc - SENIOR PERS'!I112</f>
        <v>0</v>
      </c>
      <c r="E70" s="2770">
        <f ca="1">_xlfn.IFS(('Calc - SENIOR PERS'!$F$104&lt;10),0,('Calc - SENIOR PERS'!$F$104&gt;10),('Calc - SENIOR PERS'!D112*'Calc - SENIOR PERS'!$F$105))</f>
        <v>0</v>
      </c>
      <c r="F70" s="2770">
        <f ca="1">_xlfn.IFS(('Calc - SENIOR PERS'!$F$104&gt;10),0,('Calc - SENIOR PERS'!$F$104&lt;10),('Calc - SENIOR PERS'!D112*'Calc - SENIOR PERS'!$F$105))</f>
        <v>0</v>
      </c>
      <c r="G70" s="2770">
        <f ca="1">_xlfn.IFS(('Calc - SENIOR PERS'!$F$104&gt;10),0,('Calc - SENIOR PERS'!$F$104&lt;10),('Calc - SENIOR PERS'!C112*'Calc - SENIOR PERS'!$F$105))</f>
        <v>0</v>
      </c>
      <c r="H70" s="2771">
        <f ca="1">ROUND(SUM('Calc - SENIOR PERS'!N112:O112),0)</f>
        <v>0</v>
      </c>
      <c r="I70" s="2771">
        <f ca="1">ROUND(SUM('Calc - SENIOR PERS'!Q112,'Calc - SENIOR PERS'!S112),0)</f>
        <v>0</v>
      </c>
      <c r="J70" s="2772">
        <f t="shared" ca="1" si="7"/>
        <v>0</v>
      </c>
    </row>
    <row r="71" spans="1:10" x14ac:dyDescent="0.25">
      <c r="A71" s="2767">
        <v>5</v>
      </c>
      <c r="B71" s="2768">
        <f ca="1">_xlfn.IFS(('Calc - SENIOR PERS'!$F$104&lt;10),0,('Calc - SENIOR PERS'!$F$104&gt;10),('Calc - SENIOR PERS'!J113))</f>
        <v>0</v>
      </c>
      <c r="C71" s="2769">
        <f ca="1">_xlfn.IFS(('Calc - SENIOR PERS'!$F$104&gt;10),0,('Calc - SENIOR PERS'!$F$104&lt;10),('Calc - SENIOR PERS'!J113))</f>
        <v>0</v>
      </c>
      <c r="D71" s="2769">
        <f ca="1">'Calc - SENIOR PERS'!I113</f>
        <v>0</v>
      </c>
      <c r="E71" s="2770">
        <f ca="1">_xlfn.IFS(('Calc - SENIOR PERS'!$F$104&lt;10),0,('Calc - SENIOR PERS'!$F$104&gt;10),('Calc - SENIOR PERS'!D113*'Calc - SENIOR PERS'!$F$105))</f>
        <v>0</v>
      </c>
      <c r="F71" s="2770">
        <f ca="1">_xlfn.IFS(('Calc - SENIOR PERS'!$F$104&gt;10),0,('Calc - SENIOR PERS'!$F$104&lt;10),('Calc - SENIOR PERS'!D113*'Calc - SENIOR PERS'!$F$105))</f>
        <v>0</v>
      </c>
      <c r="G71" s="2770">
        <f ca="1">_xlfn.IFS(('Calc - SENIOR PERS'!$F$104&gt;10),0,('Calc - SENIOR PERS'!$F$104&lt;10),('Calc - SENIOR PERS'!C113*'Calc - SENIOR PERS'!$F$105))</f>
        <v>0</v>
      </c>
      <c r="H71" s="2771">
        <f ca="1">ROUND(SUM('Calc - SENIOR PERS'!N113:O113),0)</f>
        <v>0</v>
      </c>
      <c r="I71" s="2771">
        <f ca="1">ROUND(SUM('Calc - SENIOR PERS'!Q113,'Calc - SENIOR PERS'!S113),0)</f>
        <v>0</v>
      </c>
      <c r="J71" s="2772">
        <f t="shared" ca="1" si="7"/>
        <v>0</v>
      </c>
    </row>
    <row r="72" spans="1:10" ht="15.75" thickBot="1" x14ac:dyDescent="0.3">
      <c r="A72" s="2775">
        <v>6</v>
      </c>
      <c r="B72" s="2776">
        <f ca="1">_xlfn.IFS(('Calc - SENIOR PERS'!$F$104&lt;10),0,('Calc - SENIOR PERS'!$F$104&gt;10),('Calc - SENIOR PERS'!J114))</f>
        <v>0</v>
      </c>
      <c r="C72" s="2777">
        <f ca="1">_xlfn.IFS(('Calc - SENIOR PERS'!$F$104&gt;10),0,('Calc - SENIOR PERS'!$F$104&lt;10),('Calc - SENIOR PERS'!J114))</f>
        <v>0</v>
      </c>
      <c r="D72" s="2777">
        <f ca="1">'Calc - SENIOR PERS'!I114</f>
        <v>0</v>
      </c>
      <c r="E72" s="2778">
        <f ca="1">_xlfn.IFS(('Calc - SENIOR PERS'!$F$104&lt;10),0,('Calc - SENIOR PERS'!$F$104&gt;10),('Calc - SENIOR PERS'!D114*'Calc - SENIOR PERS'!$F$105))</f>
        <v>0</v>
      </c>
      <c r="F72" s="2778">
        <f ca="1">_xlfn.IFS(('Calc - SENIOR PERS'!$F$104&gt;10),0,('Calc - SENIOR PERS'!$F$104&lt;10),('Calc - SENIOR PERS'!D114*'Calc - SENIOR PERS'!$F$105))</f>
        <v>0</v>
      </c>
      <c r="G72" s="2778">
        <f ca="1">_xlfn.IFS(('Calc - SENIOR PERS'!$F$104&gt;10),0,('Calc - SENIOR PERS'!$F$104&lt;10),('Calc - SENIOR PERS'!C114*'Calc - SENIOR PERS'!$F$105))</f>
        <v>0</v>
      </c>
      <c r="H72" s="2779">
        <f ca="1">ROUND(SUM('Calc - SENIOR PERS'!N114:O114),0)</f>
        <v>0</v>
      </c>
      <c r="I72" s="2779">
        <f ca="1">ROUND(SUM('Calc - SENIOR PERS'!Q114,'Calc - SENIOR PERS'!S114),0)</f>
        <v>0</v>
      </c>
      <c r="J72" s="2780">
        <f t="shared" ca="1" si="7"/>
        <v>0</v>
      </c>
    </row>
    <row r="74" spans="1:10" ht="19.5" thickBot="1" x14ac:dyDescent="0.35">
      <c r="A74" s="2784">
        <v>9</v>
      </c>
      <c r="B74" s="225">
        <f>'DATA INPUT'!B19</f>
        <v>0</v>
      </c>
    </row>
    <row r="75" spans="1:10" ht="45" x14ac:dyDescent="0.25">
      <c r="A75" s="2333" t="s">
        <v>919</v>
      </c>
      <c r="B75" s="781" t="s">
        <v>920</v>
      </c>
      <c r="C75" s="2758" t="s">
        <v>921</v>
      </c>
      <c r="D75" s="2758" t="s">
        <v>922</v>
      </c>
      <c r="E75" s="2758" t="s">
        <v>923</v>
      </c>
      <c r="F75" s="2758" t="s">
        <v>924</v>
      </c>
      <c r="G75" s="2758" t="s">
        <v>252</v>
      </c>
      <c r="H75" s="2765" t="s">
        <v>925</v>
      </c>
      <c r="I75" s="2765" t="s">
        <v>78</v>
      </c>
      <c r="J75" s="2766" t="s">
        <v>926</v>
      </c>
    </row>
    <row r="76" spans="1:10" x14ac:dyDescent="0.25">
      <c r="A76" s="2767">
        <v>1</v>
      </c>
      <c r="B76" s="2768">
        <f ca="1">_xlfn.IFS(('Calc - SENIOR PERS'!$F$118&lt;10),0,('Calc - SENIOR PERS'!$F$118&gt;10),('Calc - SENIOR PERS'!J123))</f>
        <v>0</v>
      </c>
      <c r="C76" s="2769">
        <f ca="1">_xlfn.IFS(('Calc - SENIOR PERS'!$F$118&gt;10),0,('Calc - SENIOR PERS'!$F$118&lt;10),('Calc - SENIOR PERS'!J123))</f>
        <v>0</v>
      </c>
      <c r="D76" s="2769">
        <f ca="1">'Calc - SENIOR PERS'!I123</f>
        <v>0</v>
      </c>
      <c r="E76" s="2770">
        <f ca="1">_xlfn.IFS(('Calc - SENIOR PERS'!$F$118&lt;10),0,('Calc - SENIOR PERS'!$F$118&gt;10),('Calc - SENIOR PERS'!D123*'Calc - SENIOR PERS'!$F$119))</f>
        <v>0</v>
      </c>
      <c r="F76" s="2770">
        <f ca="1">_xlfn.IFS(('Calc - SENIOR PERS'!$F$118&gt;10),0,('Calc - SENIOR PERS'!$F$118&lt;10),('Calc - SENIOR PERS'!D123*'Calc - SENIOR PERS'!$F$119))</f>
        <v>0</v>
      </c>
      <c r="G76" s="2770">
        <f ca="1">_xlfn.IFS(('Calc - SENIOR PERS'!$F$119&gt;10),0,('Calc - SENIOR PERS'!$F$119&lt;10),('Calc - SENIOR PERS'!C123*'Calc - SENIOR PERS'!$F$119))</f>
        <v>0</v>
      </c>
      <c r="H76" s="2771">
        <f ca="1">ROUND(SUM('Calc - SENIOR PERS'!N123:O123),0)</f>
        <v>0</v>
      </c>
      <c r="I76" s="2771">
        <f ca="1">ROUND(SUM('Calc - SENIOR PERS'!Q123,'Calc - SENIOR PERS'!S123),0)</f>
        <v>0</v>
      </c>
      <c r="J76" s="2772">
        <f t="shared" ref="J76:J81" ca="1" si="8">SUM(H76:I76)</f>
        <v>0</v>
      </c>
    </row>
    <row r="77" spans="1:10" x14ac:dyDescent="0.25">
      <c r="A77" s="2767">
        <v>2</v>
      </c>
      <c r="B77" s="2768">
        <f ca="1">_xlfn.IFS(('Calc - SENIOR PERS'!$F$118&lt;10),0,('Calc - SENIOR PERS'!$F$118&gt;10),('Calc - SENIOR PERS'!J124))</f>
        <v>0</v>
      </c>
      <c r="C77" s="2769">
        <f ca="1">_xlfn.IFS(('Calc - SENIOR PERS'!$F$118&gt;10),0,('Calc - SENIOR PERS'!$F$118&lt;10),('Calc - SENIOR PERS'!J124))</f>
        <v>0</v>
      </c>
      <c r="D77" s="2769">
        <f ca="1">'Calc - SENIOR PERS'!I124</f>
        <v>0</v>
      </c>
      <c r="E77" s="2770">
        <f ca="1">_xlfn.IFS(('Calc - SENIOR PERS'!$F$118&lt;10),0,('Calc - SENIOR PERS'!$F$118&gt;10),('Calc - SENIOR PERS'!D124*'Calc - SENIOR PERS'!$F$119))</f>
        <v>0</v>
      </c>
      <c r="F77" s="2770">
        <f ca="1">_xlfn.IFS(('Calc - SENIOR PERS'!$F$118&gt;10),0,('Calc - SENIOR PERS'!$F$118&lt;10),('Calc - SENIOR PERS'!D124*'Calc - SENIOR PERS'!$F$119))</f>
        <v>0</v>
      </c>
      <c r="G77" s="2770">
        <f ca="1">_xlfn.IFS(('Calc - SENIOR PERS'!$F$119&gt;10),0,('Calc - SENIOR PERS'!$F$119&lt;10),('Calc - SENIOR PERS'!C124*'Calc - SENIOR PERS'!$F$119))</f>
        <v>0</v>
      </c>
      <c r="H77" s="2771">
        <f ca="1">ROUND(SUM('Calc - SENIOR PERS'!N124:O124),0)</f>
        <v>0</v>
      </c>
      <c r="I77" s="2771">
        <f ca="1">ROUND(SUM('Calc - SENIOR PERS'!Q124,'Calc - SENIOR PERS'!S124),0)</f>
        <v>0</v>
      </c>
      <c r="J77" s="2772">
        <f t="shared" ca="1" si="8"/>
        <v>0</v>
      </c>
    </row>
    <row r="78" spans="1:10" x14ac:dyDescent="0.25">
      <c r="A78" s="2767">
        <v>3</v>
      </c>
      <c r="B78" s="2768">
        <f ca="1">_xlfn.IFS(('Calc - SENIOR PERS'!$F$118&lt;10),0,('Calc - SENIOR PERS'!$F$118&gt;10),('Calc - SENIOR PERS'!J125))</f>
        <v>0</v>
      </c>
      <c r="C78" s="2769">
        <f ca="1">_xlfn.IFS(('Calc - SENIOR PERS'!$F$118&gt;10),0,('Calc - SENIOR PERS'!$F$118&lt;10),('Calc - SENIOR PERS'!J125))</f>
        <v>0</v>
      </c>
      <c r="D78" s="2769">
        <f ca="1">'Calc - SENIOR PERS'!I125</f>
        <v>0</v>
      </c>
      <c r="E78" s="2770">
        <f ca="1">_xlfn.IFS(('Calc - SENIOR PERS'!$F$118&lt;10),0,('Calc - SENIOR PERS'!$F$118&gt;10),('Calc - SENIOR PERS'!D125*'Calc - SENIOR PERS'!$F$119))</f>
        <v>0</v>
      </c>
      <c r="F78" s="2770">
        <f ca="1">_xlfn.IFS(('Calc - SENIOR PERS'!$F$118&gt;10),0,('Calc - SENIOR PERS'!$F$118&lt;10),('Calc - SENIOR PERS'!D125*'Calc - SENIOR PERS'!$F$119))</f>
        <v>0</v>
      </c>
      <c r="G78" s="2770">
        <f ca="1">_xlfn.IFS(('Calc - SENIOR PERS'!$F$119&gt;10),0,('Calc - SENIOR PERS'!$F$119&lt;10),('Calc - SENIOR PERS'!C125*'Calc - SENIOR PERS'!$F$119))</f>
        <v>0</v>
      </c>
      <c r="H78" s="2771">
        <f ca="1">ROUND(SUM('Calc - SENIOR PERS'!N125:O125),0)</f>
        <v>0</v>
      </c>
      <c r="I78" s="2771">
        <f ca="1">ROUND(SUM('Calc - SENIOR PERS'!Q125,'Calc - SENIOR PERS'!S125),0)</f>
        <v>0</v>
      </c>
      <c r="J78" s="2772">
        <f t="shared" ca="1" si="8"/>
        <v>0</v>
      </c>
    </row>
    <row r="79" spans="1:10" x14ac:dyDescent="0.25">
      <c r="A79" s="2767">
        <v>4</v>
      </c>
      <c r="B79" s="2768">
        <f ca="1">_xlfn.IFS(('Calc - SENIOR PERS'!$F$118&lt;10),0,('Calc - SENIOR PERS'!$F$118&gt;10),('Calc - SENIOR PERS'!J126))</f>
        <v>0</v>
      </c>
      <c r="C79" s="2769">
        <f ca="1">_xlfn.IFS(('Calc - SENIOR PERS'!$F$118&gt;10),0,('Calc - SENIOR PERS'!$F$118&lt;10),('Calc - SENIOR PERS'!J126))</f>
        <v>0</v>
      </c>
      <c r="D79" s="2769">
        <f ca="1">'Calc - SENIOR PERS'!I126</f>
        <v>0</v>
      </c>
      <c r="E79" s="2770">
        <f ca="1">_xlfn.IFS(('Calc - SENIOR PERS'!$F$118&lt;10),0,('Calc - SENIOR PERS'!$F$118&gt;10),('Calc - SENIOR PERS'!D126*'Calc - SENIOR PERS'!$F$119))</f>
        <v>0</v>
      </c>
      <c r="F79" s="2770">
        <f ca="1">_xlfn.IFS(('Calc - SENIOR PERS'!$F$118&gt;10),0,('Calc - SENIOR PERS'!$F$118&lt;10),('Calc - SENIOR PERS'!D126*'Calc - SENIOR PERS'!$F$119))</f>
        <v>0</v>
      </c>
      <c r="G79" s="2770">
        <f ca="1">_xlfn.IFS(('Calc - SENIOR PERS'!$F$119&gt;10),0,('Calc - SENIOR PERS'!$F$119&lt;10),('Calc - SENIOR PERS'!C126*'Calc - SENIOR PERS'!$F$119))</f>
        <v>0</v>
      </c>
      <c r="H79" s="2771">
        <f ca="1">ROUND(SUM('Calc - SENIOR PERS'!N126:O126),0)</f>
        <v>0</v>
      </c>
      <c r="I79" s="2771">
        <f ca="1">ROUND(SUM('Calc - SENIOR PERS'!Q126,'Calc - SENIOR PERS'!S126),0)</f>
        <v>0</v>
      </c>
      <c r="J79" s="2772">
        <f t="shared" ca="1" si="8"/>
        <v>0</v>
      </c>
    </row>
    <row r="80" spans="1:10" x14ac:dyDescent="0.25">
      <c r="A80" s="2767">
        <v>5</v>
      </c>
      <c r="B80" s="2768">
        <f ca="1">_xlfn.IFS(('Calc - SENIOR PERS'!$F$118&lt;10),0,('Calc - SENIOR PERS'!$F$118&gt;10),('Calc - SENIOR PERS'!J127))</f>
        <v>0</v>
      </c>
      <c r="C80" s="2769">
        <f ca="1">_xlfn.IFS(('Calc - SENIOR PERS'!$F$118&gt;10),0,('Calc - SENIOR PERS'!$F$118&lt;10),('Calc - SENIOR PERS'!J127))</f>
        <v>0</v>
      </c>
      <c r="D80" s="2769">
        <f ca="1">'Calc - SENIOR PERS'!I127</f>
        <v>0</v>
      </c>
      <c r="E80" s="2770">
        <f ca="1">_xlfn.IFS(('Calc - SENIOR PERS'!$F$118&lt;10),0,('Calc - SENIOR PERS'!$F$118&gt;10),('Calc - SENIOR PERS'!D127*'Calc - SENIOR PERS'!$F$119))</f>
        <v>0</v>
      </c>
      <c r="F80" s="2770">
        <f ca="1">_xlfn.IFS(('Calc - SENIOR PERS'!$F$118&gt;10),0,('Calc - SENIOR PERS'!$F$118&lt;10),('Calc - SENIOR PERS'!D127*'Calc - SENIOR PERS'!$F$119))</f>
        <v>0</v>
      </c>
      <c r="G80" s="2770">
        <f ca="1">_xlfn.IFS(('Calc - SENIOR PERS'!$F$119&gt;10),0,('Calc - SENIOR PERS'!$F$119&lt;10),('Calc - SENIOR PERS'!C127*'Calc - SENIOR PERS'!$F$119))</f>
        <v>0</v>
      </c>
      <c r="H80" s="2771">
        <f ca="1">ROUND(SUM('Calc - SENIOR PERS'!N127:O127),0)</f>
        <v>0</v>
      </c>
      <c r="I80" s="2771">
        <f ca="1">ROUND(SUM('Calc - SENIOR PERS'!Q127,'Calc - SENIOR PERS'!S127),0)</f>
        <v>0</v>
      </c>
      <c r="J80" s="2772">
        <f t="shared" ca="1" si="8"/>
        <v>0</v>
      </c>
    </row>
    <row r="81" spans="1:10" ht="15.75" thickBot="1" x14ac:dyDescent="0.3">
      <c r="A81" s="2775">
        <v>6</v>
      </c>
      <c r="B81" s="2776">
        <f ca="1">_xlfn.IFS(('Calc - SENIOR PERS'!$F$118&lt;10),0,('Calc - SENIOR PERS'!$F$118&gt;10),('Calc - SENIOR PERS'!J128))</f>
        <v>0</v>
      </c>
      <c r="C81" s="2777">
        <f ca="1">_xlfn.IFS(('Calc - SENIOR PERS'!$F$118&gt;10),0,('Calc - SENIOR PERS'!$F$118&lt;10),('Calc - SENIOR PERS'!J128))</f>
        <v>0</v>
      </c>
      <c r="D81" s="2777">
        <f ca="1">'Calc - SENIOR PERS'!I128</f>
        <v>0</v>
      </c>
      <c r="E81" s="2778">
        <f ca="1">_xlfn.IFS(('Calc - SENIOR PERS'!$F$118&lt;10),0,('Calc - SENIOR PERS'!$F$118&gt;10),('Calc - SENIOR PERS'!D128*'Calc - SENIOR PERS'!$F$119))</f>
        <v>0</v>
      </c>
      <c r="F81" s="2778">
        <f ca="1">_xlfn.IFS(('Calc - SENIOR PERS'!$F$118&gt;10),0,('Calc - SENIOR PERS'!$F$118&lt;10),('Calc - SENIOR PERS'!D128*'Calc - SENIOR PERS'!$F$119))</f>
        <v>0</v>
      </c>
      <c r="G81" s="2778">
        <f ca="1">_xlfn.IFS(('Calc - SENIOR PERS'!$F$119&gt;10),0,('Calc - SENIOR PERS'!$F$119&lt;10),('Calc - SENIOR PERS'!C128*'Calc - SENIOR PERS'!$F$119))</f>
        <v>0</v>
      </c>
      <c r="H81" s="2779">
        <f ca="1">ROUND(SUM('Calc - SENIOR PERS'!N128:O128),0)</f>
        <v>0</v>
      </c>
      <c r="I81" s="2779">
        <f ca="1">ROUND(SUM('Calc - SENIOR PERS'!Q128,'Calc - SENIOR PERS'!S128),0)</f>
        <v>0</v>
      </c>
      <c r="J81" s="2780">
        <f t="shared" ca="1" si="8"/>
        <v>0</v>
      </c>
    </row>
    <row r="83" spans="1:10" ht="19.5" thickBot="1" x14ac:dyDescent="0.35">
      <c r="A83" s="2784">
        <v>10</v>
      </c>
      <c r="B83" s="225">
        <f>'DATA INPUT'!B20</f>
        <v>0</v>
      </c>
    </row>
    <row r="84" spans="1:10" ht="45" x14ac:dyDescent="0.25">
      <c r="A84" s="2333" t="s">
        <v>919</v>
      </c>
      <c r="B84" s="781" t="s">
        <v>920</v>
      </c>
      <c r="C84" s="2758" t="s">
        <v>921</v>
      </c>
      <c r="D84" s="2758" t="s">
        <v>922</v>
      </c>
      <c r="E84" s="2758" t="s">
        <v>923</v>
      </c>
      <c r="F84" s="2758" t="s">
        <v>924</v>
      </c>
      <c r="G84" s="2758" t="s">
        <v>252</v>
      </c>
      <c r="H84" s="2765" t="s">
        <v>925</v>
      </c>
      <c r="I84" s="2765" t="s">
        <v>78</v>
      </c>
      <c r="J84" s="2766" t="s">
        <v>926</v>
      </c>
    </row>
    <row r="85" spans="1:10" x14ac:dyDescent="0.25">
      <c r="A85" s="2767">
        <v>1</v>
      </c>
      <c r="B85" s="2768">
        <f ca="1">_xlfn.IFS(('Calc - SENIOR PERS'!$F$132&lt;10),0,('Calc - SENIOR PERS'!$F$132&gt;10),('Calc - SENIOR PERS'!J137))</f>
        <v>0</v>
      </c>
      <c r="C85" s="2769">
        <f ca="1">_xlfn.IFS(('Calc - SENIOR PERS'!$F$132&gt;10),0,('Calc - SENIOR PERS'!$F$132&lt;10),('Calc - SENIOR PERS'!J137))</f>
        <v>0</v>
      </c>
      <c r="D85" s="2769">
        <f ca="1">'Calc - SENIOR PERS'!I137</f>
        <v>0</v>
      </c>
      <c r="E85" s="2770">
        <f ca="1">_xlfn.IFS(('Calc - SENIOR PERS'!$F$132&lt;10),0,('Calc - SENIOR PERS'!$F$132&gt;10),('Calc - SENIOR PERS'!D137*'Calc - SENIOR PERS'!$F$133))</f>
        <v>0</v>
      </c>
      <c r="F85" s="2770">
        <f ca="1">_xlfn.IFS(('Calc - SENIOR PERS'!$F$132&gt;10),0,('Calc - SENIOR PERS'!$F$132&lt;10),('Calc - SENIOR PERS'!D137*'Calc - SENIOR PERS'!$F$133))</f>
        <v>0</v>
      </c>
      <c r="G85" s="2770">
        <f ca="1">_xlfn.IFS(('Calc - SENIOR PERS'!$F$132&gt;10),0,('Calc - SENIOR PERS'!$F$132&lt;10),('Calc - SENIOR PERS'!C137*'Calc - SENIOR PERS'!$F$133))</f>
        <v>0</v>
      </c>
      <c r="H85" s="2771">
        <f ca="1">ROUND(SUM('Calc - SENIOR PERS'!N137:O137),0)</f>
        <v>0</v>
      </c>
      <c r="I85" s="2771">
        <f ca="1">ROUND(SUM('Calc - SENIOR PERS'!Q137,'Calc - SENIOR PERS'!S137),0)</f>
        <v>0</v>
      </c>
      <c r="J85" s="2772">
        <f t="shared" ref="J85:J90" ca="1" si="9">SUM(H85:I85)</f>
        <v>0</v>
      </c>
    </row>
    <row r="86" spans="1:10" x14ac:dyDescent="0.25">
      <c r="A86" s="2767">
        <v>2</v>
      </c>
      <c r="B86" s="2768">
        <f ca="1">_xlfn.IFS(('Calc - SENIOR PERS'!$F$132&lt;10),0,('Calc - SENIOR PERS'!$F$132&gt;10),('Calc - SENIOR PERS'!J138))</f>
        <v>0</v>
      </c>
      <c r="C86" s="2769">
        <f ca="1">_xlfn.IFS(('Calc - SENIOR PERS'!$F$132&gt;10),0,('Calc - SENIOR PERS'!$F$132&lt;10),('Calc - SENIOR PERS'!J138))</f>
        <v>0</v>
      </c>
      <c r="D86" s="2769">
        <f ca="1">'Calc - SENIOR PERS'!I138</f>
        <v>0</v>
      </c>
      <c r="E86" s="2770">
        <f ca="1">_xlfn.IFS(('Calc - SENIOR PERS'!$F$132&lt;10),0,('Calc - SENIOR PERS'!$F$132&gt;10),('Calc - SENIOR PERS'!D138*'Calc - SENIOR PERS'!$F$133))</f>
        <v>0</v>
      </c>
      <c r="F86" s="2770">
        <f ca="1">_xlfn.IFS(('Calc - SENIOR PERS'!$F$132&gt;10),0,('Calc - SENIOR PERS'!$F$132&lt;10),('Calc - SENIOR PERS'!D138*'Calc - SENIOR PERS'!$F$133))</f>
        <v>0</v>
      </c>
      <c r="G86" s="2770">
        <f ca="1">_xlfn.IFS(('Calc - SENIOR PERS'!$F$132&gt;10),0,('Calc - SENIOR PERS'!$F$132&lt;10),('Calc - SENIOR PERS'!C138*'Calc - SENIOR PERS'!$F$133))</f>
        <v>0</v>
      </c>
      <c r="H86" s="2771">
        <f ca="1">ROUND(SUM('Calc - SENIOR PERS'!N138:O138),0)</f>
        <v>0</v>
      </c>
      <c r="I86" s="2771">
        <f ca="1">ROUND(SUM('Calc - SENIOR PERS'!Q138,'Calc - SENIOR PERS'!S138),0)</f>
        <v>0</v>
      </c>
      <c r="J86" s="2772">
        <f t="shared" ca="1" si="9"/>
        <v>0</v>
      </c>
    </row>
    <row r="87" spans="1:10" x14ac:dyDescent="0.25">
      <c r="A87" s="2767">
        <v>3</v>
      </c>
      <c r="B87" s="2768">
        <f ca="1">_xlfn.IFS(('Calc - SENIOR PERS'!$F$132&lt;10),0,('Calc - SENIOR PERS'!$F$132&gt;10),('Calc - SENIOR PERS'!J139))</f>
        <v>0</v>
      </c>
      <c r="C87" s="2769">
        <f ca="1">_xlfn.IFS(('Calc - SENIOR PERS'!$F$132&gt;10),0,('Calc - SENIOR PERS'!$F$132&lt;10),('Calc - SENIOR PERS'!J139))</f>
        <v>0</v>
      </c>
      <c r="D87" s="2769">
        <f ca="1">'Calc - SENIOR PERS'!I139</f>
        <v>0</v>
      </c>
      <c r="E87" s="2770">
        <f ca="1">_xlfn.IFS(('Calc - SENIOR PERS'!$F$132&lt;10),0,('Calc - SENIOR PERS'!$F$132&gt;10),('Calc - SENIOR PERS'!D139*'Calc - SENIOR PERS'!$F$133))</f>
        <v>0</v>
      </c>
      <c r="F87" s="2770">
        <f ca="1">_xlfn.IFS(('Calc - SENIOR PERS'!$F$132&gt;10),0,('Calc - SENIOR PERS'!$F$132&lt;10),('Calc - SENIOR PERS'!D139*'Calc - SENIOR PERS'!$F$133))</f>
        <v>0</v>
      </c>
      <c r="G87" s="2770">
        <f ca="1">_xlfn.IFS(('Calc - SENIOR PERS'!$F$132&gt;10),0,('Calc - SENIOR PERS'!$F$132&lt;10),('Calc - SENIOR PERS'!C139*'Calc - SENIOR PERS'!$F$133))</f>
        <v>0</v>
      </c>
      <c r="H87" s="2771">
        <f ca="1">ROUND(SUM('Calc - SENIOR PERS'!N139:O139),0)</f>
        <v>0</v>
      </c>
      <c r="I87" s="2771">
        <f ca="1">ROUND(SUM('Calc - SENIOR PERS'!Q139,'Calc - SENIOR PERS'!S139),0)</f>
        <v>0</v>
      </c>
      <c r="J87" s="2772">
        <f t="shared" ca="1" si="9"/>
        <v>0</v>
      </c>
    </row>
    <row r="88" spans="1:10" x14ac:dyDescent="0.25">
      <c r="A88" s="2767">
        <v>4</v>
      </c>
      <c r="B88" s="2768">
        <f ca="1">_xlfn.IFS(('Calc - SENIOR PERS'!$F$132&lt;10),0,('Calc - SENIOR PERS'!$F$132&gt;10),('Calc - SENIOR PERS'!J140))</f>
        <v>0</v>
      </c>
      <c r="C88" s="2769">
        <f ca="1">_xlfn.IFS(('Calc - SENIOR PERS'!$F$132&gt;10),0,('Calc - SENIOR PERS'!$F$132&lt;10),('Calc - SENIOR PERS'!J140))</f>
        <v>0</v>
      </c>
      <c r="D88" s="2769">
        <f ca="1">'Calc - SENIOR PERS'!I140</f>
        <v>0</v>
      </c>
      <c r="E88" s="2770">
        <f ca="1">_xlfn.IFS(('Calc - SENIOR PERS'!$F$132&lt;10),0,('Calc - SENIOR PERS'!$F$132&gt;10),('Calc - SENIOR PERS'!D140*'Calc - SENIOR PERS'!$F$133))</f>
        <v>0</v>
      </c>
      <c r="F88" s="2770">
        <f ca="1">_xlfn.IFS(('Calc - SENIOR PERS'!$F$132&gt;10),0,('Calc - SENIOR PERS'!$F$132&lt;10),('Calc - SENIOR PERS'!D140*'Calc - SENIOR PERS'!$F$133))</f>
        <v>0</v>
      </c>
      <c r="G88" s="2770">
        <f ca="1">_xlfn.IFS(('Calc - SENIOR PERS'!$F$132&gt;10),0,('Calc - SENIOR PERS'!$F$132&lt;10),('Calc - SENIOR PERS'!C140*'Calc - SENIOR PERS'!$F$133))</f>
        <v>0</v>
      </c>
      <c r="H88" s="2771">
        <f ca="1">ROUND(SUM('Calc - SENIOR PERS'!N140:O140),0)</f>
        <v>0</v>
      </c>
      <c r="I88" s="2771">
        <f ca="1">ROUND(SUM('Calc - SENIOR PERS'!Q140,'Calc - SENIOR PERS'!S140),0)</f>
        <v>0</v>
      </c>
      <c r="J88" s="2772">
        <f t="shared" ca="1" si="9"/>
        <v>0</v>
      </c>
    </row>
    <row r="89" spans="1:10" x14ac:dyDescent="0.25">
      <c r="A89" s="2767">
        <v>5</v>
      </c>
      <c r="B89" s="2768">
        <f ca="1">_xlfn.IFS(('Calc - SENIOR PERS'!$F$132&lt;10),0,('Calc - SENIOR PERS'!$F$132&gt;10),('Calc - SENIOR PERS'!J141))</f>
        <v>0</v>
      </c>
      <c r="C89" s="2769">
        <f ca="1">_xlfn.IFS(('Calc - SENIOR PERS'!$F$132&gt;10),0,('Calc - SENIOR PERS'!$F$132&lt;10),('Calc - SENIOR PERS'!J141))</f>
        <v>0</v>
      </c>
      <c r="D89" s="2769">
        <f ca="1">'Calc - SENIOR PERS'!I141</f>
        <v>0</v>
      </c>
      <c r="E89" s="2770">
        <f ca="1">_xlfn.IFS(('Calc - SENIOR PERS'!$F$132&lt;10),0,('Calc - SENIOR PERS'!$F$132&gt;10),('Calc - SENIOR PERS'!D141*'Calc - SENIOR PERS'!$F$133))</f>
        <v>0</v>
      </c>
      <c r="F89" s="2770">
        <f ca="1">_xlfn.IFS(('Calc - SENIOR PERS'!$F$132&gt;10),0,('Calc - SENIOR PERS'!$F$132&lt;10),('Calc - SENIOR PERS'!D141*'Calc - SENIOR PERS'!$F$133))</f>
        <v>0</v>
      </c>
      <c r="G89" s="2770">
        <f ca="1">_xlfn.IFS(('Calc - SENIOR PERS'!$F$132&gt;10),0,('Calc - SENIOR PERS'!$F$132&lt;10),('Calc - SENIOR PERS'!C141*'Calc - SENIOR PERS'!$F$133))</f>
        <v>0</v>
      </c>
      <c r="H89" s="2771">
        <f ca="1">ROUND(SUM('Calc - SENIOR PERS'!N141:O141),0)</f>
        <v>0</v>
      </c>
      <c r="I89" s="2771">
        <f ca="1">ROUND(SUM('Calc - SENIOR PERS'!Q141,'Calc - SENIOR PERS'!S141),0)</f>
        <v>0</v>
      </c>
      <c r="J89" s="2772">
        <f t="shared" ca="1" si="9"/>
        <v>0</v>
      </c>
    </row>
    <row r="90" spans="1:10" ht="15.75" thickBot="1" x14ac:dyDescent="0.3">
      <c r="A90" s="2775">
        <v>6</v>
      </c>
      <c r="B90" s="2776">
        <f ca="1">_xlfn.IFS(('Calc - SENIOR PERS'!$F$132&lt;10),0,('Calc - SENIOR PERS'!$F$132&gt;10),('Calc - SENIOR PERS'!J142))</f>
        <v>0</v>
      </c>
      <c r="C90" s="2777">
        <f ca="1">_xlfn.IFS(('Calc - SENIOR PERS'!$F$132&gt;10),0,('Calc - SENIOR PERS'!$F$132&lt;10),('Calc - SENIOR PERS'!J142))</f>
        <v>0</v>
      </c>
      <c r="D90" s="2777">
        <f ca="1">'Calc - SENIOR PERS'!I142</f>
        <v>0</v>
      </c>
      <c r="E90" s="2778">
        <f ca="1">_xlfn.IFS(('Calc - SENIOR PERS'!$F$132&lt;10),0,('Calc - SENIOR PERS'!$F$132&gt;10),('Calc - SENIOR PERS'!D142*'Calc - SENIOR PERS'!$F$133))</f>
        <v>0</v>
      </c>
      <c r="F90" s="2778">
        <f ca="1">_xlfn.IFS(('Calc - SENIOR PERS'!$F$132&gt;10),0,('Calc - SENIOR PERS'!$F$132&lt;10),('Calc - SENIOR PERS'!D142*'Calc - SENIOR PERS'!$F$133))</f>
        <v>0</v>
      </c>
      <c r="G90" s="2778">
        <f ca="1">_xlfn.IFS(('Calc - SENIOR PERS'!$F$132&gt;10),0,('Calc - SENIOR PERS'!$F$132&lt;10),('Calc - SENIOR PERS'!C142*'Calc - SENIOR PERS'!$F$133))</f>
        <v>0</v>
      </c>
      <c r="H90" s="2779">
        <f ca="1">ROUND(SUM('Calc - SENIOR PERS'!N142:O142),0)</f>
        <v>0</v>
      </c>
      <c r="I90" s="2779">
        <f ca="1">ROUND(SUM('Calc - SENIOR PERS'!Q142,'Calc - SENIOR PERS'!S142),0)</f>
        <v>0</v>
      </c>
      <c r="J90" s="2780">
        <f t="shared" ca="1" si="9"/>
        <v>0</v>
      </c>
    </row>
    <row r="92" spans="1:10" ht="19.5" thickBot="1" x14ac:dyDescent="0.35">
      <c r="A92" s="2784">
        <v>11</v>
      </c>
      <c r="B92" s="225">
        <f>'DATA INPUT'!B21</f>
        <v>0</v>
      </c>
    </row>
    <row r="93" spans="1:10" ht="45" x14ac:dyDescent="0.25">
      <c r="A93" s="2333" t="s">
        <v>919</v>
      </c>
      <c r="B93" s="781" t="s">
        <v>920</v>
      </c>
      <c r="C93" s="2758" t="s">
        <v>921</v>
      </c>
      <c r="D93" s="2758" t="s">
        <v>922</v>
      </c>
      <c r="E93" s="2758" t="s">
        <v>923</v>
      </c>
      <c r="F93" s="2758" t="s">
        <v>924</v>
      </c>
      <c r="G93" s="2758" t="s">
        <v>252</v>
      </c>
      <c r="H93" s="2765" t="s">
        <v>925</v>
      </c>
      <c r="I93" s="2765" t="s">
        <v>78</v>
      </c>
      <c r="J93" s="2766" t="s">
        <v>926</v>
      </c>
    </row>
    <row r="94" spans="1:10" x14ac:dyDescent="0.25">
      <c r="A94" s="2767">
        <v>1</v>
      </c>
      <c r="B94" s="2768">
        <f ca="1">_xlfn.IFS(('Calc - SENIOR PERS'!$F$146&lt;10),0,('Calc - SENIOR PERS'!$F$146&gt;10),('Calc - SENIOR PERS'!J151))</f>
        <v>0</v>
      </c>
      <c r="C94" s="2769">
        <f ca="1">_xlfn.IFS(('Calc - SENIOR PERS'!$F$146&gt;10),0,('Calc - SENIOR PERS'!$F$146&lt;10),('Calc - SENIOR PERS'!J151))</f>
        <v>0</v>
      </c>
      <c r="D94" s="2769">
        <f ca="1">'Calc - SENIOR PERS'!I151</f>
        <v>0</v>
      </c>
      <c r="E94" s="2770">
        <f ca="1">_xlfn.IFS(('Calc - SENIOR PERS'!$F$146&lt;10),0,('Calc - SENIOR PERS'!$F$146&gt;10),('Calc - SENIOR PERS'!D151*'Calc - SENIOR PERS'!$F$147))</f>
        <v>0</v>
      </c>
      <c r="F94" s="2770">
        <f ca="1">_xlfn.IFS(('Calc - SENIOR PERS'!$F$146&gt;10),0,('Calc - SENIOR PERS'!$F$146&lt;10),('Calc - SENIOR PERS'!D151*'Calc - SENIOR PERS'!$F$147))</f>
        <v>0</v>
      </c>
      <c r="G94" s="2770">
        <f ca="1">_xlfn.IFS(('Calc - SENIOR PERS'!$F$146&gt;10),0,('Calc - SENIOR PERS'!$F$146&lt;10),('Calc - SENIOR PERS'!C151*'Calc - SENIOR PERS'!$F$147))</f>
        <v>0</v>
      </c>
      <c r="H94" s="2771">
        <f ca="1">ROUND(SUM('Calc - SENIOR PERS'!N151:O151),0)</f>
        <v>0</v>
      </c>
      <c r="I94" s="2771">
        <f ca="1">ROUND(SUM('Calc - SENIOR PERS'!Q151,'Calc - SENIOR PERS'!S151),0)</f>
        <v>0</v>
      </c>
      <c r="J94" s="2772">
        <f t="shared" ref="J94:J99" ca="1" si="10">SUM(H94:I94)</f>
        <v>0</v>
      </c>
    </row>
    <row r="95" spans="1:10" x14ac:dyDescent="0.25">
      <c r="A95" s="2767">
        <v>2</v>
      </c>
      <c r="B95" s="2768">
        <f ca="1">_xlfn.IFS(('Calc - SENIOR PERS'!$F$146&lt;10),0,('Calc - SENIOR PERS'!$F$146&gt;10),('Calc - SENIOR PERS'!J152))</f>
        <v>0</v>
      </c>
      <c r="C95" s="2769">
        <f ca="1">_xlfn.IFS(('Calc - SENIOR PERS'!$F$146&gt;10),0,('Calc - SENIOR PERS'!$F$146&lt;10),('Calc - SENIOR PERS'!J152))</f>
        <v>0</v>
      </c>
      <c r="D95" s="2769">
        <f ca="1">'Calc - SENIOR PERS'!I152</f>
        <v>0</v>
      </c>
      <c r="E95" s="2770">
        <f ca="1">_xlfn.IFS(('Calc - SENIOR PERS'!$F$146&lt;10),0,('Calc - SENIOR PERS'!$F$146&gt;10),('Calc - SENIOR PERS'!D152*'Calc - SENIOR PERS'!$F$147))</f>
        <v>0</v>
      </c>
      <c r="F95" s="2770">
        <f ca="1">_xlfn.IFS(('Calc - SENIOR PERS'!$F$146&gt;10),0,('Calc - SENIOR PERS'!$F$146&lt;10),('Calc - SENIOR PERS'!D152*'Calc - SENIOR PERS'!$F$147))</f>
        <v>0</v>
      </c>
      <c r="G95" s="2770">
        <f ca="1">_xlfn.IFS(('Calc - SENIOR PERS'!$F$146&gt;10),0,('Calc - SENIOR PERS'!$F$146&lt;10),('Calc - SENIOR PERS'!C152*'Calc - SENIOR PERS'!$F$147))</f>
        <v>0</v>
      </c>
      <c r="H95" s="2771">
        <f ca="1">ROUND(SUM('Calc - SENIOR PERS'!N152:O152),0)</f>
        <v>0</v>
      </c>
      <c r="I95" s="2771">
        <f ca="1">ROUND(SUM('Calc - SENIOR PERS'!Q152,'Calc - SENIOR PERS'!S152),0)</f>
        <v>0</v>
      </c>
      <c r="J95" s="2772">
        <f t="shared" ca="1" si="10"/>
        <v>0</v>
      </c>
    </row>
    <row r="96" spans="1:10" x14ac:dyDescent="0.25">
      <c r="A96" s="2767">
        <v>3</v>
      </c>
      <c r="B96" s="2768">
        <f ca="1">_xlfn.IFS(('Calc - SENIOR PERS'!$F$146&lt;10),0,('Calc - SENIOR PERS'!$F$146&gt;10),('Calc - SENIOR PERS'!J153))</f>
        <v>0</v>
      </c>
      <c r="C96" s="2769">
        <f ca="1">_xlfn.IFS(('Calc - SENIOR PERS'!$F$146&gt;10),0,('Calc - SENIOR PERS'!$F$146&lt;10),('Calc - SENIOR PERS'!J153))</f>
        <v>0</v>
      </c>
      <c r="D96" s="2769">
        <f ca="1">'Calc - SENIOR PERS'!I153</f>
        <v>0</v>
      </c>
      <c r="E96" s="2770">
        <f ca="1">_xlfn.IFS(('Calc - SENIOR PERS'!$F$146&lt;10),0,('Calc - SENIOR PERS'!$F$146&gt;10),('Calc - SENIOR PERS'!D153*'Calc - SENIOR PERS'!$F$147))</f>
        <v>0</v>
      </c>
      <c r="F96" s="2770">
        <f ca="1">_xlfn.IFS(('Calc - SENIOR PERS'!$F$146&gt;10),0,('Calc - SENIOR PERS'!$F$146&lt;10),('Calc - SENIOR PERS'!D153*'Calc - SENIOR PERS'!$F$147))</f>
        <v>0</v>
      </c>
      <c r="G96" s="2770">
        <f ca="1">_xlfn.IFS(('Calc - SENIOR PERS'!$F$146&gt;10),0,('Calc - SENIOR PERS'!$F$146&lt;10),('Calc - SENIOR PERS'!C153*'Calc - SENIOR PERS'!$F$147))</f>
        <v>0</v>
      </c>
      <c r="H96" s="2771">
        <f ca="1">ROUND(SUM('Calc - SENIOR PERS'!N153:O153),0)</f>
        <v>0</v>
      </c>
      <c r="I96" s="2771">
        <f ca="1">ROUND(SUM('Calc - SENIOR PERS'!Q153,'Calc - SENIOR PERS'!S153),0)</f>
        <v>0</v>
      </c>
      <c r="J96" s="2772">
        <f t="shared" ca="1" si="10"/>
        <v>0</v>
      </c>
    </row>
    <row r="97" spans="1:10" x14ac:dyDescent="0.25">
      <c r="A97" s="2767">
        <v>4</v>
      </c>
      <c r="B97" s="2768">
        <f ca="1">_xlfn.IFS(('Calc - SENIOR PERS'!$F$146&lt;10),0,('Calc - SENIOR PERS'!$F$146&gt;10),('Calc - SENIOR PERS'!J154))</f>
        <v>0</v>
      </c>
      <c r="C97" s="2769">
        <f ca="1">_xlfn.IFS(('Calc - SENIOR PERS'!$F$146&gt;10),0,('Calc - SENIOR PERS'!$F$146&lt;10),('Calc - SENIOR PERS'!J154))</f>
        <v>0</v>
      </c>
      <c r="D97" s="2769">
        <f ca="1">'Calc - SENIOR PERS'!I154</f>
        <v>0</v>
      </c>
      <c r="E97" s="2770">
        <f ca="1">_xlfn.IFS(('Calc - SENIOR PERS'!$F$146&lt;10),0,('Calc - SENIOR PERS'!$F$146&gt;10),('Calc - SENIOR PERS'!D154*'Calc - SENIOR PERS'!$F$147))</f>
        <v>0</v>
      </c>
      <c r="F97" s="2770">
        <f ca="1">_xlfn.IFS(('Calc - SENIOR PERS'!$F$146&gt;10),0,('Calc - SENIOR PERS'!$F$146&lt;10),('Calc - SENIOR PERS'!D154*'Calc - SENIOR PERS'!$F$147))</f>
        <v>0</v>
      </c>
      <c r="G97" s="2770">
        <f ca="1">_xlfn.IFS(('Calc - SENIOR PERS'!$F$146&gt;10),0,('Calc - SENIOR PERS'!$F$146&lt;10),('Calc - SENIOR PERS'!C154*'Calc - SENIOR PERS'!$F$147))</f>
        <v>0</v>
      </c>
      <c r="H97" s="2771">
        <f ca="1">ROUND(SUM('Calc - SENIOR PERS'!N154:O154),0)</f>
        <v>0</v>
      </c>
      <c r="I97" s="2771">
        <f ca="1">ROUND(SUM('Calc - SENIOR PERS'!Q154,'Calc - SENIOR PERS'!S154),0)</f>
        <v>0</v>
      </c>
      <c r="J97" s="2772">
        <f t="shared" ca="1" si="10"/>
        <v>0</v>
      </c>
    </row>
    <row r="98" spans="1:10" x14ac:dyDescent="0.25">
      <c r="A98" s="2767">
        <v>5</v>
      </c>
      <c r="B98" s="2768">
        <f ca="1">_xlfn.IFS(('Calc - SENIOR PERS'!$F$146&lt;10),0,('Calc - SENIOR PERS'!$F$146&gt;10),('Calc - SENIOR PERS'!J155))</f>
        <v>0</v>
      </c>
      <c r="C98" s="2769">
        <f ca="1">_xlfn.IFS(('Calc - SENIOR PERS'!$F$146&gt;10),0,('Calc - SENIOR PERS'!$F$146&lt;10),('Calc - SENIOR PERS'!J155))</f>
        <v>0</v>
      </c>
      <c r="D98" s="2769">
        <f ca="1">'Calc - SENIOR PERS'!I155</f>
        <v>0</v>
      </c>
      <c r="E98" s="2770">
        <f ca="1">_xlfn.IFS(('Calc - SENIOR PERS'!$F$146&lt;10),0,('Calc - SENIOR PERS'!$F$146&gt;10),('Calc - SENIOR PERS'!D155*'Calc - SENIOR PERS'!$F$147))</f>
        <v>0</v>
      </c>
      <c r="F98" s="2770">
        <f ca="1">_xlfn.IFS(('Calc - SENIOR PERS'!$F$146&gt;10),0,('Calc - SENIOR PERS'!$F$146&lt;10),('Calc - SENIOR PERS'!D155*'Calc - SENIOR PERS'!$F$147))</f>
        <v>0</v>
      </c>
      <c r="G98" s="2770">
        <f ca="1">_xlfn.IFS(('Calc - SENIOR PERS'!$F$146&gt;10),0,('Calc - SENIOR PERS'!$F$146&lt;10),('Calc - SENIOR PERS'!C155*'Calc - SENIOR PERS'!$F$147))</f>
        <v>0</v>
      </c>
      <c r="H98" s="2771">
        <f ca="1">ROUND(SUM('Calc - SENIOR PERS'!N155:O155),0)</f>
        <v>0</v>
      </c>
      <c r="I98" s="2771">
        <f ca="1">ROUND(SUM('Calc - SENIOR PERS'!Q155,'Calc - SENIOR PERS'!S155),0)</f>
        <v>0</v>
      </c>
      <c r="J98" s="2772">
        <f t="shared" ca="1" si="10"/>
        <v>0</v>
      </c>
    </row>
    <row r="99" spans="1:10" ht="15.75" thickBot="1" x14ac:dyDescent="0.3">
      <c r="A99" s="2775">
        <v>6</v>
      </c>
      <c r="B99" s="2776">
        <f ca="1">_xlfn.IFS(('Calc - SENIOR PERS'!$F$146&lt;10),0,('Calc - SENIOR PERS'!$F$146&gt;10),('Calc - SENIOR PERS'!J156))</f>
        <v>0</v>
      </c>
      <c r="C99" s="2777">
        <f ca="1">_xlfn.IFS(('Calc - SENIOR PERS'!$F$146&gt;10),0,('Calc - SENIOR PERS'!$F$146&lt;10),('Calc - SENIOR PERS'!J156))</f>
        <v>0</v>
      </c>
      <c r="D99" s="2777">
        <f ca="1">'Calc - SENIOR PERS'!I156</f>
        <v>0</v>
      </c>
      <c r="E99" s="2778">
        <f ca="1">_xlfn.IFS(('Calc - SENIOR PERS'!$F$146&lt;10),0,('Calc - SENIOR PERS'!$F$146&gt;10),('Calc - SENIOR PERS'!D156*'Calc - SENIOR PERS'!$F$147))</f>
        <v>0</v>
      </c>
      <c r="F99" s="2778">
        <f ca="1">_xlfn.IFS(('Calc - SENIOR PERS'!$F$146&gt;10),0,('Calc - SENIOR PERS'!$F$146&lt;10),('Calc - SENIOR PERS'!D156*'Calc - SENIOR PERS'!$F$147))</f>
        <v>0</v>
      </c>
      <c r="G99" s="2778">
        <f ca="1">_xlfn.IFS(('Calc - SENIOR PERS'!$F$146&gt;10),0,('Calc - SENIOR PERS'!$F$146&lt;10),('Calc - SENIOR PERS'!C156*'Calc - SENIOR PERS'!$F$147))</f>
        <v>0</v>
      </c>
      <c r="H99" s="2779">
        <f ca="1">ROUND(SUM('Calc - SENIOR PERS'!N156:O156),0)</f>
        <v>0</v>
      </c>
      <c r="I99" s="2779">
        <f ca="1">ROUND(SUM('Calc - SENIOR PERS'!Q156,'Calc - SENIOR PERS'!S156),0)</f>
        <v>0</v>
      </c>
      <c r="J99" s="2780">
        <f t="shared" ca="1" si="10"/>
        <v>0</v>
      </c>
    </row>
    <row r="101" spans="1:10" ht="19.5" thickBot="1" x14ac:dyDescent="0.35">
      <c r="A101" s="2784">
        <v>12</v>
      </c>
      <c r="B101" s="225">
        <f>'DATA INPUT'!B22</f>
        <v>0</v>
      </c>
    </row>
    <row r="102" spans="1:10" ht="45" x14ac:dyDescent="0.25">
      <c r="A102" s="2333" t="s">
        <v>919</v>
      </c>
      <c r="B102" s="781" t="s">
        <v>920</v>
      </c>
      <c r="C102" s="2758" t="s">
        <v>921</v>
      </c>
      <c r="D102" s="2758" t="s">
        <v>922</v>
      </c>
      <c r="E102" s="2758" t="s">
        <v>923</v>
      </c>
      <c r="F102" s="2758" t="s">
        <v>924</v>
      </c>
      <c r="G102" s="2758" t="s">
        <v>252</v>
      </c>
      <c r="H102" s="2765" t="s">
        <v>925</v>
      </c>
      <c r="I102" s="2765" t="s">
        <v>78</v>
      </c>
      <c r="J102" s="2766" t="s">
        <v>926</v>
      </c>
    </row>
    <row r="103" spans="1:10" x14ac:dyDescent="0.25">
      <c r="A103" s="2767">
        <v>1</v>
      </c>
      <c r="B103" s="2768">
        <f ca="1">_xlfn.IFS(('Calc - SENIOR PERS'!$F$160&lt;10),0,('Calc - SENIOR PERS'!$F$160&gt;10),('Calc - SENIOR PERS'!J165))</f>
        <v>0</v>
      </c>
      <c r="C103" s="2769">
        <f ca="1">_xlfn.IFS(('Calc - SENIOR PERS'!$F$160&gt;10),0,('Calc - SENIOR PERS'!$F$160&lt;10),('Calc - SENIOR PERS'!J165))</f>
        <v>0</v>
      </c>
      <c r="D103" s="2769">
        <f ca="1">'Calc - SENIOR PERS'!I165</f>
        <v>0</v>
      </c>
      <c r="E103" s="2770">
        <f ca="1">_xlfn.IFS(('Calc - SENIOR PERS'!$F$160&lt;10),0,('Calc - SENIOR PERS'!$F$160&gt;10),('Calc - SENIOR PERS'!D165*'Calc - SENIOR PERS'!$F$161))</f>
        <v>0</v>
      </c>
      <c r="F103" s="2770">
        <f ca="1">_xlfn.IFS(('Calc - SENIOR PERS'!$F$160&gt;10),0,('Calc - SENIOR PERS'!$F$160&lt;10),('Calc - SENIOR PERS'!D165*'Calc - SENIOR PERS'!$F$161))</f>
        <v>0</v>
      </c>
      <c r="G103" s="2770">
        <f ca="1">_xlfn.IFS(('Calc - SENIOR PERS'!$F$160&gt;10),0,('Calc - SENIOR PERS'!$F$160&lt;10),('Calc - SENIOR PERS'!C165*'Calc - SENIOR PERS'!$F$161))</f>
        <v>0</v>
      </c>
      <c r="H103" s="2771">
        <f ca="1">ROUND(SUM('Calc - SENIOR PERS'!N165:O165),0)</f>
        <v>0</v>
      </c>
      <c r="I103" s="2771">
        <f ca="1">ROUND(SUM('Calc - SENIOR PERS'!Q165,'Calc - SENIOR PERS'!S165),0)</f>
        <v>0</v>
      </c>
      <c r="J103" s="2772">
        <f t="shared" ref="J103:J108" ca="1" si="11">SUM(H103:I103)</f>
        <v>0</v>
      </c>
    </row>
    <row r="104" spans="1:10" x14ac:dyDescent="0.25">
      <c r="A104" s="2767">
        <v>2</v>
      </c>
      <c r="B104" s="2768">
        <f ca="1">_xlfn.IFS(('Calc - SENIOR PERS'!$F$160&lt;10),0,('Calc - SENIOR PERS'!$F$160&gt;10),('Calc - SENIOR PERS'!J166))</f>
        <v>0</v>
      </c>
      <c r="C104" s="2769">
        <f ca="1">_xlfn.IFS(('Calc - SENIOR PERS'!$F$160&gt;10),0,('Calc - SENIOR PERS'!$F$160&lt;10),('Calc - SENIOR PERS'!J166))</f>
        <v>0</v>
      </c>
      <c r="D104" s="2769">
        <f ca="1">'Calc - SENIOR PERS'!I166</f>
        <v>0</v>
      </c>
      <c r="E104" s="2770">
        <f ca="1">_xlfn.IFS(('Calc - SENIOR PERS'!$F$160&lt;10),0,('Calc - SENIOR PERS'!$F$160&gt;10),('Calc - SENIOR PERS'!D166*'Calc - SENIOR PERS'!$F$161))</f>
        <v>0</v>
      </c>
      <c r="F104" s="2770">
        <f ca="1">_xlfn.IFS(('Calc - SENIOR PERS'!$F$160&gt;10),0,('Calc - SENIOR PERS'!$F$160&lt;10),('Calc - SENIOR PERS'!D166*'Calc - SENIOR PERS'!$F$161))</f>
        <v>0</v>
      </c>
      <c r="G104" s="2770">
        <f ca="1">_xlfn.IFS(('Calc - SENIOR PERS'!$F$160&gt;10),0,('Calc - SENIOR PERS'!$F$160&lt;10),('Calc - SENIOR PERS'!C166*'Calc - SENIOR PERS'!$F$161))</f>
        <v>0</v>
      </c>
      <c r="H104" s="2771">
        <f ca="1">ROUND(SUM('Calc - SENIOR PERS'!N166:O166),0)</f>
        <v>0</v>
      </c>
      <c r="I104" s="2771">
        <f ca="1">ROUND(SUM('Calc - SENIOR PERS'!Q166,'Calc - SENIOR PERS'!S166),0)</f>
        <v>0</v>
      </c>
      <c r="J104" s="2772">
        <f t="shared" ca="1" si="11"/>
        <v>0</v>
      </c>
    </row>
    <row r="105" spans="1:10" x14ac:dyDescent="0.25">
      <c r="A105" s="2767">
        <v>3</v>
      </c>
      <c r="B105" s="2768">
        <f ca="1">_xlfn.IFS(('Calc - SENIOR PERS'!$F$160&lt;10),0,('Calc - SENIOR PERS'!$F$160&gt;10),('Calc - SENIOR PERS'!J167))</f>
        <v>0</v>
      </c>
      <c r="C105" s="2769">
        <f ca="1">_xlfn.IFS(('Calc - SENIOR PERS'!$F$160&gt;10),0,('Calc - SENIOR PERS'!$F$160&lt;10),('Calc - SENIOR PERS'!J167))</f>
        <v>0</v>
      </c>
      <c r="D105" s="2769">
        <f ca="1">'Calc - SENIOR PERS'!I167</f>
        <v>0</v>
      </c>
      <c r="E105" s="2770">
        <f ca="1">_xlfn.IFS(('Calc - SENIOR PERS'!$F$160&lt;10),0,('Calc - SENIOR PERS'!$F$160&gt;10),('Calc - SENIOR PERS'!D167*'Calc - SENIOR PERS'!$F$161))</f>
        <v>0</v>
      </c>
      <c r="F105" s="2770">
        <f ca="1">_xlfn.IFS(('Calc - SENIOR PERS'!$F$160&gt;10),0,('Calc - SENIOR PERS'!$F$160&lt;10),('Calc - SENIOR PERS'!D167*'Calc - SENIOR PERS'!$F$161))</f>
        <v>0</v>
      </c>
      <c r="G105" s="2770">
        <f ca="1">_xlfn.IFS(('Calc - SENIOR PERS'!$F$160&gt;10),0,('Calc - SENIOR PERS'!$F$160&lt;10),('Calc - SENIOR PERS'!C167*'Calc - SENIOR PERS'!$F$161))</f>
        <v>0</v>
      </c>
      <c r="H105" s="2771">
        <f ca="1">ROUND(SUM('Calc - SENIOR PERS'!N167:O167),0)</f>
        <v>0</v>
      </c>
      <c r="I105" s="2771">
        <f ca="1">ROUND(SUM('Calc - SENIOR PERS'!Q167,'Calc - SENIOR PERS'!S167),0)</f>
        <v>0</v>
      </c>
      <c r="J105" s="2772">
        <f t="shared" ca="1" si="11"/>
        <v>0</v>
      </c>
    </row>
    <row r="106" spans="1:10" x14ac:dyDescent="0.25">
      <c r="A106" s="2767">
        <v>4</v>
      </c>
      <c r="B106" s="2768">
        <f ca="1">_xlfn.IFS(('Calc - SENIOR PERS'!$F$160&lt;10),0,('Calc - SENIOR PERS'!$F$160&gt;10),('Calc - SENIOR PERS'!J168))</f>
        <v>0</v>
      </c>
      <c r="C106" s="2769">
        <f ca="1">_xlfn.IFS(('Calc - SENIOR PERS'!$F$160&gt;10),0,('Calc - SENIOR PERS'!$F$160&lt;10),('Calc - SENIOR PERS'!J168))</f>
        <v>0</v>
      </c>
      <c r="D106" s="2769">
        <f ca="1">'Calc - SENIOR PERS'!I168</f>
        <v>0</v>
      </c>
      <c r="E106" s="2770">
        <f ca="1">_xlfn.IFS(('Calc - SENIOR PERS'!$F$160&lt;10),0,('Calc - SENIOR PERS'!$F$160&gt;10),('Calc - SENIOR PERS'!D168*'Calc - SENIOR PERS'!$F$161))</f>
        <v>0</v>
      </c>
      <c r="F106" s="2770">
        <f ca="1">_xlfn.IFS(('Calc - SENIOR PERS'!$F$160&gt;10),0,('Calc - SENIOR PERS'!$F$160&lt;10),('Calc - SENIOR PERS'!D168*'Calc - SENIOR PERS'!$F$161))</f>
        <v>0</v>
      </c>
      <c r="G106" s="2770">
        <f ca="1">_xlfn.IFS(('Calc - SENIOR PERS'!$F$160&gt;10),0,('Calc - SENIOR PERS'!$F$160&lt;10),('Calc - SENIOR PERS'!C168*'Calc - SENIOR PERS'!$F$161))</f>
        <v>0</v>
      </c>
      <c r="H106" s="2771">
        <f ca="1">ROUND(SUM('Calc - SENIOR PERS'!N168:O168),0)</f>
        <v>0</v>
      </c>
      <c r="I106" s="2771">
        <f ca="1">ROUND(SUM('Calc - SENIOR PERS'!Q168,'Calc - SENIOR PERS'!S168),0)</f>
        <v>0</v>
      </c>
      <c r="J106" s="2772">
        <f t="shared" ca="1" si="11"/>
        <v>0</v>
      </c>
    </row>
    <row r="107" spans="1:10" x14ac:dyDescent="0.25">
      <c r="A107" s="2767">
        <v>5</v>
      </c>
      <c r="B107" s="2768">
        <f ca="1">_xlfn.IFS(('Calc - SENIOR PERS'!$F$160&lt;10),0,('Calc - SENIOR PERS'!$F$160&gt;10),('Calc - SENIOR PERS'!J169))</f>
        <v>0</v>
      </c>
      <c r="C107" s="2769">
        <f ca="1">_xlfn.IFS(('Calc - SENIOR PERS'!$F$160&gt;10),0,('Calc - SENIOR PERS'!$F$160&lt;10),('Calc - SENIOR PERS'!J169))</f>
        <v>0</v>
      </c>
      <c r="D107" s="2769">
        <f ca="1">'Calc - SENIOR PERS'!I169</f>
        <v>0</v>
      </c>
      <c r="E107" s="2770">
        <f ca="1">_xlfn.IFS(('Calc - SENIOR PERS'!$F$160&lt;10),0,('Calc - SENIOR PERS'!$F$160&gt;10),('Calc - SENIOR PERS'!D169*'Calc - SENIOR PERS'!$F$161))</f>
        <v>0</v>
      </c>
      <c r="F107" s="2770">
        <f ca="1">_xlfn.IFS(('Calc - SENIOR PERS'!$F$160&gt;10),0,('Calc - SENIOR PERS'!$F$160&lt;10),('Calc - SENIOR PERS'!D169*'Calc - SENIOR PERS'!$F$161))</f>
        <v>0</v>
      </c>
      <c r="G107" s="2770">
        <f ca="1">_xlfn.IFS(('Calc - SENIOR PERS'!$F$160&gt;10),0,('Calc - SENIOR PERS'!$F$160&lt;10),('Calc - SENIOR PERS'!C169*'Calc - SENIOR PERS'!$F$161))</f>
        <v>0</v>
      </c>
      <c r="H107" s="2771">
        <f ca="1">ROUND(SUM('Calc - SENIOR PERS'!N169:O169),0)</f>
        <v>0</v>
      </c>
      <c r="I107" s="2771">
        <f ca="1">ROUND(SUM('Calc - SENIOR PERS'!Q169,'Calc - SENIOR PERS'!S169),0)</f>
        <v>0</v>
      </c>
      <c r="J107" s="2772">
        <f t="shared" ca="1" si="11"/>
        <v>0</v>
      </c>
    </row>
    <row r="108" spans="1:10" ht="15.75" thickBot="1" x14ac:dyDescent="0.3">
      <c r="A108" s="2775">
        <v>6</v>
      </c>
      <c r="B108" s="2776">
        <f ca="1">_xlfn.IFS(('Calc - SENIOR PERS'!$F$160&lt;10),0,('Calc - SENIOR PERS'!$F$160&gt;10),('Calc - SENIOR PERS'!J170))</f>
        <v>0</v>
      </c>
      <c r="C108" s="2777">
        <f ca="1">_xlfn.IFS(('Calc - SENIOR PERS'!$F$160&gt;10),0,('Calc - SENIOR PERS'!$F$160&lt;10),('Calc - SENIOR PERS'!J170))</f>
        <v>0</v>
      </c>
      <c r="D108" s="2777">
        <f ca="1">'Calc - SENIOR PERS'!I170</f>
        <v>0</v>
      </c>
      <c r="E108" s="2778">
        <f ca="1">_xlfn.IFS(('Calc - SENIOR PERS'!$F$160&lt;10),0,('Calc - SENIOR PERS'!$F$160&gt;10),('Calc - SENIOR PERS'!D170*'Calc - SENIOR PERS'!$F$161))</f>
        <v>0</v>
      </c>
      <c r="F108" s="2778">
        <f ca="1">_xlfn.IFS(('Calc - SENIOR PERS'!$F$160&gt;10),0,('Calc - SENIOR PERS'!$F$160&lt;10),('Calc - SENIOR PERS'!D170*'Calc - SENIOR PERS'!$F$161))</f>
        <v>0</v>
      </c>
      <c r="G108" s="2778">
        <f ca="1">_xlfn.IFS(('Calc - SENIOR PERS'!$F$160&gt;10),0,('Calc - SENIOR PERS'!$F$160&lt;10),('Calc - SENIOR PERS'!C170*'Calc - SENIOR PERS'!$F$161))</f>
        <v>0</v>
      </c>
      <c r="H108" s="2779">
        <f ca="1">ROUND(SUM('Calc - SENIOR PERS'!N170:O170),0)</f>
        <v>0</v>
      </c>
      <c r="I108" s="2779">
        <f ca="1">ROUND(SUM('Calc - SENIOR PERS'!Q170,'Calc - SENIOR PERS'!S170),0)</f>
        <v>0</v>
      </c>
      <c r="J108" s="2780">
        <f t="shared" ca="1" si="11"/>
        <v>0</v>
      </c>
    </row>
    <row r="110" spans="1:10" ht="19.5" thickBot="1" x14ac:dyDescent="0.35">
      <c r="A110" s="2784">
        <v>13</v>
      </c>
      <c r="B110" s="225">
        <f>'DATA INPUT'!B23</f>
        <v>0</v>
      </c>
    </row>
    <row r="111" spans="1:10" ht="45" x14ac:dyDescent="0.25">
      <c r="A111" s="2333" t="s">
        <v>919</v>
      </c>
      <c r="B111" s="781" t="s">
        <v>920</v>
      </c>
      <c r="C111" s="2758" t="s">
        <v>921</v>
      </c>
      <c r="D111" s="2758" t="s">
        <v>922</v>
      </c>
      <c r="E111" s="2758" t="s">
        <v>923</v>
      </c>
      <c r="F111" s="2758" t="s">
        <v>924</v>
      </c>
      <c r="G111" s="2758" t="s">
        <v>252</v>
      </c>
      <c r="H111" s="2765" t="s">
        <v>925</v>
      </c>
      <c r="I111" s="2765" t="s">
        <v>78</v>
      </c>
      <c r="J111" s="2766" t="s">
        <v>926</v>
      </c>
    </row>
    <row r="112" spans="1:10" x14ac:dyDescent="0.25">
      <c r="A112" s="2767">
        <v>1</v>
      </c>
      <c r="B112" s="2768">
        <f ca="1">_xlfn.IFS(('Calc - SENIOR PERS'!$F$174&lt;10),0,('Calc - SENIOR PERS'!$F$174&gt;10),('Calc - SENIOR PERS'!J179))</f>
        <v>0</v>
      </c>
      <c r="C112" s="2769">
        <f ca="1">_xlfn.IFS(('Calc - SENIOR PERS'!$F$174&gt;10),0,('Calc - SENIOR PERS'!$F$174&lt;10),('Calc - SENIOR PERS'!J179))</f>
        <v>0</v>
      </c>
      <c r="D112" s="2769">
        <f ca="1">'Calc - SENIOR PERS'!I179</f>
        <v>0</v>
      </c>
      <c r="E112" s="2770">
        <f ca="1">_xlfn.IFS(('Calc - SENIOR PERS'!$F$174&lt;10),0,('Calc - SENIOR PERS'!$F$174&gt;10),('Calc - SENIOR PERS'!D179*'Calc - SENIOR PERS'!$F$175))</f>
        <v>0</v>
      </c>
      <c r="F112" s="2770">
        <f ca="1">_xlfn.IFS(('Calc - SENIOR PERS'!$F$174&gt;10),0,('Calc - SENIOR PERS'!$F$174&lt;10),('Calc - SENIOR PERS'!D179*'Calc - SENIOR PERS'!$F$175))</f>
        <v>0</v>
      </c>
      <c r="G112" s="2770">
        <f ca="1">_xlfn.IFS(('Calc - SENIOR PERS'!$F$174&gt;10),0,('Calc - SENIOR PERS'!$F$174&lt;10),('Calc - SENIOR PERS'!C179*'Calc - SENIOR PERS'!$F$175))</f>
        <v>0</v>
      </c>
      <c r="H112" s="2771">
        <f ca="1">ROUND(SUM('Calc - SENIOR PERS'!N179:O179),0)</f>
        <v>0</v>
      </c>
      <c r="I112" s="2771">
        <f ca="1">ROUND(SUM('Calc - SENIOR PERS'!Q179,'Calc - SENIOR PERS'!S179),0)</f>
        <v>0</v>
      </c>
      <c r="J112" s="2772">
        <f t="shared" ref="J112:J117" ca="1" si="12">SUM(H112:I112)</f>
        <v>0</v>
      </c>
    </row>
    <row r="113" spans="1:10" x14ac:dyDescent="0.25">
      <c r="A113" s="2767">
        <v>2</v>
      </c>
      <c r="B113" s="2768">
        <f ca="1">_xlfn.IFS(('Calc - SENIOR PERS'!$F$174&lt;10),0,('Calc - SENIOR PERS'!$F$174&gt;10),('Calc - SENIOR PERS'!J180))</f>
        <v>0</v>
      </c>
      <c r="C113" s="2769">
        <f ca="1">_xlfn.IFS(('Calc - SENIOR PERS'!$F$174&gt;10),0,('Calc - SENIOR PERS'!$F$174&lt;10),('Calc - SENIOR PERS'!J180))</f>
        <v>0</v>
      </c>
      <c r="D113" s="2769">
        <f ca="1">'Calc - SENIOR PERS'!I180</f>
        <v>0</v>
      </c>
      <c r="E113" s="2770">
        <f ca="1">_xlfn.IFS(('Calc - SENIOR PERS'!$F$174&lt;10),0,('Calc - SENIOR PERS'!$F$174&gt;10),('Calc - SENIOR PERS'!D180*'Calc - SENIOR PERS'!$F$175))</f>
        <v>0</v>
      </c>
      <c r="F113" s="2770">
        <f ca="1">_xlfn.IFS(('Calc - SENIOR PERS'!$F$174&gt;10),0,('Calc - SENIOR PERS'!$F$174&lt;10),('Calc - SENIOR PERS'!D180*'Calc - SENIOR PERS'!$F$175))</f>
        <v>0</v>
      </c>
      <c r="G113" s="2770">
        <f ca="1">_xlfn.IFS(('Calc - SENIOR PERS'!$F$174&gt;10),0,('Calc - SENIOR PERS'!$F$174&lt;10),('Calc - SENIOR PERS'!C180*'Calc - SENIOR PERS'!$F$175))</f>
        <v>0</v>
      </c>
      <c r="H113" s="2771">
        <f ca="1">ROUND(SUM('Calc - SENIOR PERS'!N180:O180),0)</f>
        <v>0</v>
      </c>
      <c r="I113" s="2771">
        <f ca="1">ROUND(SUM('Calc - SENIOR PERS'!Q180,'Calc - SENIOR PERS'!S180),0)</f>
        <v>0</v>
      </c>
      <c r="J113" s="2772">
        <f t="shared" ca="1" si="12"/>
        <v>0</v>
      </c>
    </row>
    <row r="114" spans="1:10" x14ac:dyDescent="0.25">
      <c r="A114" s="2767">
        <v>3</v>
      </c>
      <c r="B114" s="2768">
        <f ca="1">_xlfn.IFS(('Calc - SENIOR PERS'!$F$174&lt;10),0,('Calc - SENIOR PERS'!$F$174&gt;10),('Calc - SENIOR PERS'!J181))</f>
        <v>0</v>
      </c>
      <c r="C114" s="2769">
        <f ca="1">_xlfn.IFS(('Calc - SENIOR PERS'!$F$174&gt;10),0,('Calc - SENIOR PERS'!$F$174&lt;10),('Calc - SENIOR PERS'!J181))</f>
        <v>0</v>
      </c>
      <c r="D114" s="2769">
        <f ca="1">'Calc - SENIOR PERS'!I181</f>
        <v>0</v>
      </c>
      <c r="E114" s="2770">
        <f ca="1">_xlfn.IFS(('Calc - SENIOR PERS'!$F$174&lt;10),0,('Calc - SENIOR PERS'!$F$174&gt;10),('Calc - SENIOR PERS'!D181*'Calc - SENIOR PERS'!$F$175))</f>
        <v>0</v>
      </c>
      <c r="F114" s="2770">
        <f ca="1">_xlfn.IFS(('Calc - SENIOR PERS'!$F$174&gt;10),0,('Calc - SENIOR PERS'!$F$174&lt;10),('Calc - SENIOR PERS'!D181*'Calc - SENIOR PERS'!$F$175))</f>
        <v>0</v>
      </c>
      <c r="G114" s="2770">
        <f ca="1">_xlfn.IFS(('Calc - SENIOR PERS'!$F$174&gt;10),0,('Calc - SENIOR PERS'!$F$174&lt;10),('Calc - SENIOR PERS'!C181*'Calc - SENIOR PERS'!$F$175))</f>
        <v>0</v>
      </c>
      <c r="H114" s="2771">
        <f ca="1">ROUND(SUM('Calc - SENIOR PERS'!N181:O181),0)</f>
        <v>0</v>
      </c>
      <c r="I114" s="2771">
        <f ca="1">ROUND(SUM('Calc - SENIOR PERS'!Q181,'Calc - SENIOR PERS'!S181),0)</f>
        <v>0</v>
      </c>
      <c r="J114" s="2772">
        <f t="shared" ca="1" si="12"/>
        <v>0</v>
      </c>
    </row>
    <row r="115" spans="1:10" x14ac:dyDescent="0.25">
      <c r="A115" s="2767">
        <v>4</v>
      </c>
      <c r="B115" s="2768">
        <f ca="1">_xlfn.IFS(('Calc - SENIOR PERS'!$F$174&lt;10),0,('Calc - SENIOR PERS'!$F$174&gt;10),('Calc - SENIOR PERS'!J182))</f>
        <v>0</v>
      </c>
      <c r="C115" s="2769">
        <f ca="1">_xlfn.IFS(('Calc - SENIOR PERS'!$F$174&gt;10),0,('Calc - SENIOR PERS'!$F$174&lt;10),('Calc - SENIOR PERS'!J182))</f>
        <v>0</v>
      </c>
      <c r="D115" s="2769">
        <f ca="1">'Calc - SENIOR PERS'!I182</f>
        <v>0</v>
      </c>
      <c r="E115" s="2770">
        <f ca="1">_xlfn.IFS(('Calc - SENIOR PERS'!$F$174&lt;10),0,('Calc - SENIOR PERS'!$F$174&gt;10),('Calc - SENIOR PERS'!D182*'Calc - SENIOR PERS'!$F$175))</f>
        <v>0</v>
      </c>
      <c r="F115" s="2770">
        <f ca="1">_xlfn.IFS(('Calc - SENIOR PERS'!$F$174&gt;10),0,('Calc - SENIOR PERS'!$F$174&lt;10),('Calc - SENIOR PERS'!D182*'Calc - SENIOR PERS'!$F$175))</f>
        <v>0</v>
      </c>
      <c r="G115" s="2770">
        <f ca="1">_xlfn.IFS(('Calc - SENIOR PERS'!$F$174&gt;10),0,('Calc - SENIOR PERS'!$F$174&lt;10),('Calc - SENIOR PERS'!C182*'Calc - SENIOR PERS'!$F$175))</f>
        <v>0</v>
      </c>
      <c r="H115" s="2771">
        <f ca="1">ROUND(SUM('Calc - SENIOR PERS'!N182:O182),0)</f>
        <v>0</v>
      </c>
      <c r="I115" s="2771">
        <f ca="1">ROUND(SUM('Calc - SENIOR PERS'!Q182,'Calc - SENIOR PERS'!S182),0)</f>
        <v>0</v>
      </c>
      <c r="J115" s="2772">
        <f t="shared" ca="1" si="12"/>
        <v>0</v>
      </c>
    </row>
    <row r="116" spans="1:10" x14ac:dyDescent="0.25">
      <c r="A116" s="2767">
        <v>5</v>
      </c>
      <c r="B116" s="2768">
        <f ca="1">_xlfn.IFS(('Calc - SENIOR PERS'!$F$174&lt;10),0,('Calc - SENIOR PERS'!$F$174&gt;10),('Calc - SENIOR PERS'!J183))</f>
        <v>0</v>
      </c>
      <c r="C116" s="2769">
        <f ca="1">_xlfn.IFS(('Calc - SENIOR PERS'!$F$174&gt;10),0,('Calc - SENIOR PERS'!$F$174&lt;10),('Calc - SENIOR PERS'!J183))</f>
        <v>0</v>
      </c>
      <c r="D116" s="2769">
        <f ca="1">'Calc - SENIOR PERS'!I183</f>
        <v>0</v>
      </c>
      <c r="E116" s="2770">
        <f ca="1">_xlfn.IFS(('Calc - SENIOR PERS'!$F$174&lt;10),0,('Calc - SENIOR PERS'!$F$174&gt;10),('Calc - SENIOR PERS'!D183*'Calc - SENIOR PERS'!$F$175))</f>
        <v>0</v>
      </c>
      <c r="F116" s="2770">
        <f ca="1">_xlfn.IFS(('Calc - SENIOR PERS'!$F$174&gt;10),0,('Calc - SENIOR PERS'!$F$174&lt;10),('Calc - SENIOR PERS'!D183*'Calc - SENIOR PERS'!$F$175))</f>
        <v>0</v>
      </c>
      <c r="G116" s="2770">
        <f ca="1">_xlfn.IFS(('Calc - SENIOR PERS'!$F$174&gt;10),0,('Calc - SENIOR PERS'!$F$174&lt;10),('Calc - SENIOR PERS'!C183*'Calc - SENIOR PERS'!$F$175))</f>
        <v>0</v>
      </c>
      <c r="H116" s="2771">
        <f ca="1">ROUND(SUM('Calc - SENIOR PERS'!N183:O183),0)</f>
        <v>0</v>
      </c>
      <c r="I116" s="2771">
        <f ca="1">ROUND(SUM('Calc - SENIOR PERS'!Q183,'Calc - SENIOR PERS'!S183),0)</f>
        <v>0</v>
      </c>
      <c r="J116" s="2772">
        <f t="shared" ca="1" si="12"/>
        <v>0</v>
      </c>
    </row>
    <row r="117" spans="1:10" ht="15.75" thickBot="1" x14ac:dyDescent="0.3">
      <c r="A117" s="2775">
        <v>6</v>
      </c>
      <c r="B117" s="2776">
        <f ca="1">_xlfn.IFS(('Calc - SENIOR PERS'!$F$174&lt;10),0,('Calc - SENIOR PERS'!$F$174&gt;10),('Calc - SENIOR PERS'!J184))</f>
        <v>0</v>
      </c>
      <c r="C117" s="2777">
        <f ca="1">_xlfn.IFS(('Calc - SENIOR PERS'!$F$174&gt;10),0,('Calc - SENIOR PERS'!$F$174&lt;10),('Calc - SENIOR PERS'!J184))</f>
        <v>0</v>
      </c>
      <c r="D117" s="2777">
        <f ca="1">'Calc - SENIOR PERS'!I184</f>
        <v>0</v>
      </c>
      <c r="E117" s="2778">
        <f ca="1">_xlfn.IFS(('Calc - SENIOR PERS'!$F$174&lt;10),0,('Calc - SENIOR PERS'!$F$174&gt;10),('Calc - SENIOR PERS'!D184*'Calc - SENIOR PERS'!$F$175))</f>
        <v>0</v>
      </c>
      <c r="F117" s="2778">
        <f ca="1">_xlfn.IFS(('Calc - SENIOR PERS'!$F$174&gt;10),0,('Calc - SENIOR PERS'!$F$174&lt;10),('Calc - SENIOR PERS'!D184*'Calc - SENIOR PERS'!$F$175))</f>
        <v>0</v>
      </c>
      <c r="G117" s="2778">
        <f ca="1">_xlfn.IFS(('Calc - SENIOR PERS'!$F$174&gt;10),0,('Calc - SENIOR PERS'!$F$174&lt;10),('Calc - SENIOR PERS'!C184*'Calc - SENIOR PERS'!$F$175))</f>
        <v>0</v>
      </c>
      <c r="H117" s="2779">
        <f ca="1">ROUND(SUM('Calc - SENIOR PERS'!N184:O184),0)</f>
        <v>0</v>
      </c>
      <c r="I117" s="2779">
        <f ca="1">ROUND(SUM('Calc - SENIOR PERS'!Q184,'Calc - SENIOR PERS'!S184),0)</f>
        <v>0</v>
      </c>
      <c r="J117" s="2780">
        <f t="shared" ca="1" si="12"/>
        <v>0</v>
      </c>
    </row>
    <row r="119" spans="1:10" ht="19.5" thickBot="1" x14ac:dyDescent="0.35">
      <c r="A119" s="2784">
        <v>14</v>
      </c>
      <c r="B119" s="225">
        <f>'DATA INPUT'!B24</f>
        <v>0</v>
      </c>
    </row>
    <row r="120" spans="1:10" ht="45" x14ac:dyDescent="0.25">
      <c r="A120" s="2333" t="s">
        <v>919</v>
      </c>
      <c r="B120" s="781" t="s">
        <v>920</v>
      </c>
      <c r="C120" s="2758" t="s">
        <v>921</v>
      </c>
      <c r="D120" s="2758" t="s">
        <v>922</v>
      </c>
      <c r="E120" s="2758" t="s">
        <v>923</v>
      </c>
      <c r="F120" s="2758" t="s">
        <v>924</v>
      </c>
      <c r="G120" s="2758" t="s">
        <v>252</v>
      </c>
      <c r="H120" s="2765" t="s">
        <v>925</v>
      </c>
      <c r="I120" s="2765" t="s">
        <v>78</v>
      </c>
      <c r="J120" s="2766" t="s">
        <v>926</v>
      </c>
    </row>
    <row r="121" spans="1:10" x14ac:dyDescent="0.25">
      <c r="A121" s="2767">
        <v>1</v>
      </c>
      <c r="B121" s="2768">
        <f ca="1">_xlfn.IFS(('Calc - SENIOR PERS'!$F$180&lt;10),0,('Calc - SENIOR PERS'!$F$180&gt;10),('Calc - SENIOR PERS'!J193))</f>
        <v>0</v>
      </c>
      <c r="C121" s="2769">
        <f ca="1">_xlfn.IFS(('Calc - SENIOR PERS'!$F$188&gt;10),0,('Calc - SENIOR PERS'!$F$188&lt;10),('Calc - SENIOR PERS'!J193))</f>
        <v>0</v>
      </c>
      <c r="D121" s="2769">
        <f ca="1">'Calc - SENIOR PERS'!I193</f>
        <v>0</v>
      </c>
      <c r="E121" s="2770">
        <f ca="1">_xlfn.IFS(('Calc - SENIOR PERS'!$F$188&lt;10),0,('Calc - SENIOR PERS'!$F$188&gt;10),('Calc - SENIOR PERS'!D193*'Calc - SENIOR PERS'!$F$189))</f>
        <v>0</v>
      </c>
      <c r="F121" s="2770">
        <f ca="1">_xlfn.IFS(('Calc - SENIOR PERS'!$F$188&gt;10),0,('Calc - SENIOR PERS'!$F$188&lt;10),('Calc - SENIOR PERS'!D193*'Calc - SENIOR PERS'!$F$189))</f>
        <v>0</v>
      </c>
      <c r="G121" s="2770">
        <f ca="1">_xlfn.IFS(('Calc - SENIOR PERS'!$F$188&gt;10),0,('Calc - SENIOR PERS'!$F$188&lt;10),('Calc - SENIOR PERS'!C193*'Calc - SENIOR PERS'!$F$189))</f>
        <v>0</v>
      </c>
      <c r="H121" s="2771">
        <f ca="1">ROUND(SUM('Calc - SENIOR PERS'!N193:O193),0)</f>
        <v>0</v>
      </c>
      <c r="I121" s="2771">
        <f ca="1">ROUND(SUM('Calc - SENIOR PERS'!Q193,'Calc - SENIOR PERS'!S193),0)</f>
        <v>0</v>
      </c>
      <c r="J121" s="2772">
        <f t="shared" ref="J121:J126" ca="1" si="13">SUM(H121:I121)</f>
        <v>0</v>
      </c>
    </row>
    <row r="122" spans="1:10" x14ac:dyDescent="0.25">
      <c r="A122" s="2767">
        <v>2</v>
      </c>
      <c r="B122" s="2768">
        <f ca="1">_xlfn.IFS(('Calc - SENIOR PERS'!$F$180&lt;10),0,('Calc - SENIOR PERS'!$F$180&gt;10),('Calc - SENIOR PERS'!J194))</f>
        <v>0</v>
      </c>
      <c r="C122" s="2769">
        <f ca="1">_xlfn.IFS(('Calc - SENIOR PERS'!$F$188&gt;10),0,('Calc - SENIOR PERS'!$F$188&lt;10),('Calc - SENIOR PERS'!J194))</f>
        <v>0</v>
      </c>
      <c r="D122" s="2769">
        <f ca="1">'Calc - SENIOR PERS'!I194</f>
        <v>0</v>
      </c>
      <c r="E122" s="2770">
        <f ca="1">_xlfn.IFS(('Calc - SENIOR PERS'!$F$188&lt;10),0,('Calc - SENIOR PERS'!$F$188&gt;10),('Calc - SENIOR PERS'!D194*'Calc - SENIOR PERS'!$F$189))</f>
        <v>0</v>
      </c>
      <c r="F122" s="2770">
        <f ca="1">_xlfn.IFS(('Calc - SENIOR PERS'!$F$188&gt;10),0,('Calc - SENIOR PERS'!$F$188&lt;10),('Calc - SENIOR PERS'!D194*'Calc - SENIOR PERS'!$F$189))</f>
        <v>0</v>
      </c>
      <c r="G122" s="2770">
        <f ca="1">_xlfn.IFS(('Calc - SENIOR PERS'!$F$188&gt;10),0,('Calc - SENIOR PERS'!$F$188&lt;10),('Calc - SENIOR PERS'!C194*'Calc - SENIOR PERS'!$F$189))</f>
        <v>0</v>
      </c>
      <c r="H122" s="2771">
        <f ca="1">ROUND(SUM('Calc - SENIOR PERS'!N194:O194),0)</f>
        <v>0</v>
      </c>
      <c r="I122" s="2771">
        <f ca="1">ROUND(SUM('Calc - SENIOR PERS'!Q194,'Calc - SENIOR PERS'!S194),0)</f>
        <v>0</v>
      </c>
      <c r="J122" s="2772">
        <f t="shared" ca="1" si="13"/>
        <v>0</v>
      </c>
    </row>
    <row r="123" spans="1:10" x14ac:dyDescent="0.25">
      <c r="A123" s="2767">
        <v>3</v>
      </c>
      <c r="B123" s="2768">
        <f ca="1">_xlfn.IFS(('Calc - SENIOR PERS'!$F$180&lt;10),0,('Calc - SENIOR PERS'!$F$180&gt;10),('Calc - SENIOR PERS'!J195))</f>
        <v>0</v>
      </c>
      <c r="C123" s="2769">
        <f ca="1">_xlfn.IFS(('Calc - SENIOR PERS'!$F$188&gt;10),0,('Calc - SENIOR PERS'!$F$188&lt;10),('Calc - SENIOR PERS'!J195))</f>
        <v>0</v>
      </c>
      <c r="D123" s="2769">
        <f ca="1">'Calc - SENIOR PERS'!I195</f>
        <v>0</v>
      </c>
      <c r="E123" s="2770">
        <f ca="1">_xlfn.IFS(('Calc - SENIOR PERS'!$F$188&lt;10),0,('Calc - SENIOR PERS'!$F$188&gt;10),('Calc - SENIOR PERS'!D195*'Calc - SENIOR PERS'!$F$189))</f>
        <v>0</v>
      </c>
      <c r="F123" s="2770">
        <f ca="1">_xlfn.IFS(('Calc - SENIOR PERS'!$F$188&gt;10),0,('Calc - SENIOR PERS'!$F$188&lt;10),('Calc - SENIOR PERS'!D195*'Calc - SENIOR PERS'!$F$189))</f>
        <v>0</v>
      </c>
      <c r="G123" s="2770">
        <f ca="1">_xlfn.IFS(('Calc - SENIOR PERS'!$F$188&gt;10),0,('Calc - SENIOR PERS'!$F$188&lt;10),('Calc - SENIOR PERS'!C195*'Calc - SENIOR PERS'!$F$189))</f>
        <v>0</v>
      </c>
      <c r="H123" s="2771">
        <f ca="1">ROUND(SUM('Calc - SENIOR PERS'!N195:O195),0)</f>
        <v>0</v>
      </c>
      <c r="I123" s="2771">
        <f ca="1">ROUND(SUM('Calc - SENIOR PERS'!Q195,'Calc - SENIOR PERS'!S195),0)</f>
        <v>0</v>
      </c>
      <c r="J123" s="2772">
        <f t="shared" ca="1" si="13"/>
        <v>0</v>
      </c>
    </row>
    <row r="124" spans="1:10" x14ac:dyDescent="0.25">
      <c r="A124" s="2767">
        <v>4</v>
      </c>
      <c r="B124" s="2768">
        <f ca="1">_xlfn.IFS(('Calc - SENIOR PERS'!$F$180&lt;10),0,('Calc - SENIOR PERS'!$F$180&gt;10),('Calc - SENIOR PERS'!J196))</f>
        <v>0</v>
      </c>
      <c r="C124" s="2769">
        <f ca="1">_xlfn.IFS(('Calc - SENIOR PERS'!$F$188&gt;10),0,('Calc - SENIOR PERS'!$F$188&lt;10),('Calc - SENIOR PERS'!J196))</f>
        <v>0</v>
      </c>
      <c r="D124" s="2769">
        <f ca="1">'Calc - SENIOR PERS'!I196</f>
        <v>0</v>
      </c>
      <c r="E124" s="2770">
        <f ca="1">_xlfn.IFS(('Calc - SENIOR PERS'!$F$188&lt;10),0,('Calc - SENIOR PERS'!$F$188&gt;10),('Calc - SENIOR PERS'!D196*'Calc - SENIOR PERS'!$F$189))</f>
        <v>0</v>
      </c>
      <c r="F124" s="2770">
        <f ca="1">_xlfn.IFS(('Calc - SENIOR PERS'!$F$188&gt;10),0,('Calc - SENIOR PERS'!$F$188&lt;10),('Calc - SENIOR PERS'!D196*'Calc - SENIOR PERS'!$F$189))</f>
        <v>0</v>
      </c>
      <c r="G124" s="2770">
        <f ca="1">_xlfn.IFS(('Calc - SENIOR PERS'!$F$188&gt;10),0,('Calc - SENIOR PERS'!$F$188&lt;10),('Calc - SENIOR PERS'!C196*'Calc - SENIOR PERS'!$F$189))</f>
        <v>0</v>
      </c>
      <c r="H124" s="2771">
        <f ca="1">ROUND(SUM('Calc - SENIOR PERS'!N196:O196),0)</f>
        <v>0</v>
      </c>
      <c r="I124" s="2771">
        <f ca="1">ROUND(SUM('Calc - SENIOR PERS'!Q196,'Calc - SENIOR PERS'!S196),0)</f>
        <v>0</v>
      </c>
      <c r="J124" s="2772">
        <f t="shared" ca="1" si="13"/>
        <v>0</v>
      </c>
    </row>
    <row r="125" spans="1:10" x14ac:dyDescent="0.25">
      <c r="A125" s="2767">
        <v>5</v>
      </c>
      <c r="B125" s="2768">
        <f ca="1">_xlfn.IFS(('Calc - SENIOR PERS'!$F$180&lt;10),0,('Calc - SENIOR PERS'!$F$180&gt;10),('Calc - SENIOR PERS'!J197))</f>
        <v>0</v>
      </c>
      <c r="C125" s="2769">
        <f ca="1">_xlfn.IFS(('Calc - SENIOR PERS'!$F$188&gt;10),0,('Calc - SENIOR PERS'!$F$188&lt;10),('Calc - SENIOR PERS'!J197))</f>
        <v>0</v>
      </c>
      <c r="D125" s="2769">
        <f ca="1">'Calc - SENIOR PERS'!I197</f>
        <v>0</v>
      </c>
      <c r="E125" s="2770">
        <f ca="1">_xlfn.IFS(('Calc - SENIOR PERS'!$F$188&lt;10),0,('Calc - SENIOR PERS'!$F$188&gt;10),('Calc - SENIOR PERS'!D197*'Calc - SENIOR PERS'!$F$189))</f>
        <v>0</v>
      </c>
      <c r="F125" s="2770">
        <f ca="1">_xlfn.IFS(('Calc - SENIOR PERS'!$F$188&gt;10),0,('Calc - SENIOR PERS'!$F$188&lt;10),('Calc - SENIOR PERS'!D197*'Calc - SENIOR PERS'!$F$189))</f>
        <v>0</v>
      </c>
      <c r="G125" s="2770">
        <f ca="1">_xlfn.IFS(('Calc - SENIOR PERS'!$F$188&gt;10),0,('Calc - SENIOR PERS'!$F$188&lt;10),('Calc - SENIOR PERS'!C197*'Calc - SENIOR PERS'!$F$189))</f>
        <v>0</v>
      </c>
      <c r="H125" s="2771">
        <f ca="1">ROUND(SUM('Calc - SENIOR PERS'!N197:O197),0)</f>
        <v>0</v>
      </c>
      <c r="I125" s="2771">
        <f ca="1">ROUND(SUM('Calc - SENIOR PERS'!Q197,'Calc - SENIOR PERS'!S197),0)</f>
        <v>0</v>
      </c>
      <c r="J125" s="2772">
        <f t="shared" ca="1" si="13"/>
        <v>0</v>
      </c>
    </row>
    <row r="126" spans="1:10" ht="15.75" thickBot="1" x14ac:dyDescent="0.3">
      <c r="A126" s="2775">
        <v>6</v>
      </c>
      <c r="B126" s="2776">
        <f ca="1">_xlfn.IFS(('Calc - SENIOR PERS'!$F$180&lt;10),0,('Calc - SENIOR PERS'!$F$180&gt;10),('Calc - SENIOR PERS'!J198))</f>
        <v>0</v>
      </c>
      <c r="C126" s="2777">
        <f ca="1">_xlfn.IFS(('Calc - SENIOR PERS'!$F$188&gt;10),0,('Calc - SENIOR PERS'!$F$188&lt;10),('Calc - SENIOR PERS'!J198))</f>
        <v>0</v>
      </c>
      <c r="D126" s="2777">
        <f ca="1">'Calc - SENIOR PERS'!I198</f>
        <v>0</v>
      </c>
      <c r="E126" s="2778">
        <f ca="1">_xlfn.IFS(('Calc - SENIOR PERS'!$F$188&lt;10),0,('Calc - SENIOR PERS'!$F$188&gt;10),('Calc - SENIOR PERS'!D198*'Calc - SENIOR PERS'!$F$189))</f>
        <v>0</v>
      </c>
      <c r="F126" s="2778">
        <f ca="1">_xlfn.IFS(('Calc - SENIOR PERS'!$F$188&gt;10),0,('Calc - SENIOR PERS'!$F$188&lt;10),('Calc - SENIOR PERS'!D198*'Calc - SENIOR PERS'!$F$189))</f>
        <v>0</v>
      </c>
      <c r="G126" s="2778">
        <f ca="1">_xlfn.IFS(('Calc - SENIOR PERS'!$F$188&gt;10),0,('Calc - SENIOR PERS'!$F$188&lt;10),('Calc - SENIOR PERS'!C198*'Calc - SENIOR PERS'!$F$189))</f>
        <v>0</v>
      </c>
      <c r="H126" s="2779">
        <f ca="1">ROUND(SUM('Calc - SENIOR PERS'!N198:O198),0)</f>
        <v>0</v>
      </c>
      <c r="I126" s="2779">
        <f ca="1">ROUND(SUM('Calc - SENIOR PERS'!Q198,'Calc - SENIOR PERS'!S198),0)</f>
        <v>0</v>
      </c>
      <c r="J126" s="2780">
        <f t="shared" ca="1" si="13"/>
        <v>0</v>
      </c>
    </row>
    <row r="128" spans="1:10" ht="19.5" thickBot="1" x14ac:dyDescent="0.35">
      <c r="A128" s="2784">
        <v>15</v>
      </c>
      <c r="B128" s="225">
        <f>'DATA INPUT'!B25</f>
        <v>0</v>
      </c>
    </row>
    <row r="129" spans="1:10" ht="45" x14ac:dyDescent="0.25">
      <c r="A129" s="2333" t="s">
        <v>919</v>
      </c>
      <c r="B129" s="781" t="s">
        <v>920</v>
      </c>
      <c r="C129" s="2758" t="s">
        <v>921</v>
      </c>
      <c r="D129" s="2758" t="s">
        <v>922</v>
      </c>
      <c r="E129" s="2758" t="s">
        <v>923</v>
      </c>
      <c r="F129" s="2758" t="s">
        <v>924</v>
      </c>
      <c r="G129" s="2758" t="s">
        <v>252</v>
      </c>
      <c r="H129" s="2765" t="s">
        <v>925</v>
      </c>
      <c r="I129" s="2765" t="s">
        <v>78</v>
      </c>
      <c r="J129" s="2766" t="s">
        <v>926</v>
      </c>
    </row>
    <row r="130" spans="1:10" x14ac:dyDescent="0.25">
      <c r="A130" s="2767">
        <v>1</v>
      </c>
      <c r="B130" s="2768">
        <f ca="1">_xlfn.IFS(('Calc - SENIOR PERS'!$F$202&lt;10),0,('Calc - SENIOR PERS'!$F$202&gt;10),('Calc - SENIOR PERS'!J207))</f>
        <v>0</v>
      </c>
      <c r="C130" s="2769">
        <f ca="1">_xlfn.IFS(('Calc - SENIOR PERS'!$F$202&gt;10),0,('Calc - SENIOR PERS'!$F$202&lt;10),('Calc - SENIOR PERS'!J207))</f>
        <v>0</v>
      </c>
      <c r="D130" s="2769">
        <f ca="1">'Calc - SENIOR PERS'!I207</f>
        <v>0</v>
      </c>
      <c r="E130" s="2770">
        <f ca="1">_xlfn.IFS(('Calc - SENIOR PERS'!$F$202&lt;10),0,('Calc - SENIOR PERS'!$F$202&gt;10),('Calc - SENIOR PERS'!D207*'Calc - SENIOR PERS'!$F$203))</f>
        <v>0</v>
      </c>
      <c r="F130" s="2770">
        <f ca="1">_xlfn.IFS(('Calc - SENIOR PERS'!$F$202&gt;10),0,('Calc - SENIOR PERS'!$F$202&lt;10),('Calc - SENIOR PERS'!D207*'Calc - SENIOR PERS'!$F$203))</f>
        <v>0</v>
      </c>
      <c r="G130" s="2770">
        <f ca="1">_xlfn.IFS(('Calc - SENIOR PERS'!$F$202&gt;10),0,('Calc - SENIOR PERS'!$F$202&lt;10),('Calc - SENIOR PERS'!C207*'Calc - SENIOR PERS'!$F$203))</f>
        <v>0</v>
      </c>
      <c r="H130" s="2771">
        <f ca="1">ROUND(SUM('Calc - SENIOR PERS'!N207:O207),0)</f>
        <v>0</v>
      </c>
      <c r="I130" s="2771">
        <f ca="1">ROUND(SUM('Calc - SENIOR PERS'!Q207,'Calc - SENIOR PERS'!S207),0)</f>
        <v>0</v>
      </c>
      <c r="J130" s="2772">
        <f t="shared" ref="J130:J135" ca="1" si="14">SUM(H130:I130)</f>
        <v>0</v>
      </c>
    </row>
    <row r="131" spans="1:10" x14ac:dyDescent="0.25">
      <c r="A131" s="2767">
        <v>2</v>
      </c>
      <c r="B131" s="2768">
        <f ca="1">_xlfn.IFS(('Calc - SENIOR PERS'!$F$202&lt;10),0,('Calc - SENIOR PERS'!$F$202&gt;10),('Calc - SENIOR PERS'!J208))</f>
        <v>0</v>
      </c>
      <c r="C131" s="2769">
        <f ca="1">_xlfn.IFS(('Calc - SENIOR PERS'!$F$202&gt;10),0,('Calc - SENIOR PERS'!$F$202&lt;10),('Calc - SENIOR PERS'!J208))</f>
        <v>0</v>
      </c>
      <c r="D131" s="2769">
        <f ca="1">'Calc - SENIOR PERS'!I208</f>
        <v>0</v>
      </c>
      <c r="E131" s="2770">
        <f ca="1">_xlfn.IFS(('Calc - SENIOR PERS'!$F$202&lt;10),0,('Calc - SENIOR PERS'!$F$202&gt;10),('Calc - SENIOR PERS'!D208*'Calc - SENIOR PERS'!$F$203))</f>
        <v>0</v>
      </c>
      <c r="F131" s="2770">
        <f ca="1">_xlfn.IFS(('Calc - SENIOR PERS'!$F$202&gt;10),0,('Calc - SENIOR PERS'!$F$202&lt;10),('Calc - SENIOR PERS'!D208*'Calc - SENIOR PERS'!$F$203))</f>
        <v>0</v>
      </c>
      <c r="G131" s="2770">
        <f ca="1">_xlfn.IFS(('Calc - SENIOR PERS'!$F$202&gt;10),0,('Calc - SENIOR PERS'!$F$202&lt;10),('Calc - SENIOR PERS'!C208*'Calc - SENIOR PERS'!$F$203))</f>
        <v>0</v>
      </c>
      <c r="H131" s="2771">
        <f ca="1">ROUND(SUM('Calc - SENIOR PERS'!N208:O208),0)</f>
        <v>0</v>
      </c>
      <c r="I131" s="2771">
        <f ca="1">ROUND(SUM('Calc - SENIOR PERS'!Q208,'Calc - SENIOR PERS'!S208),0)</f>
        <v>0</v>
      </c>
      <c r="J131" s="2772">
        <f t="shared" ca="1" si="14"/>
        <v>0</v>
      </c>
    </row>
    <row r="132" spans="1:10" x14ac:dyDescent="0.25">
      <c r="A132" s="2767">
        <v>3</v>
      </c>
      <c r="B132" s="2768">
        <f ca="1">_xlfn.IFS(('Calc - SENIOR PERS'!$F$202&lt;10),0,('Calc - SENIOR PERS'!$F$202&gt;10),('Calc - SENIOR PERS'!J209))</f>
        <v>0</v>
      </c>
      <c r="C132" s="2769">
        <f ca="1">_xlfn.IFS(('Calc - SENIOR PERS'!$F$202&gt;10),0,('Calc - SENIOR PERS'!$F$202&lt;10),('Calc - SENIOR PERS'!J209))</f>
        <v>0</v>
      </c>
      <c r="D132" s="2769">
        <f ca="1">'Calc - SENIOR PERS'!I209</f>
        <v>0</v>
      </c>
      <c r="E132" s="2770">
        <f ca="1">_xlfn.IFS(('Calc - SENIOR PERS'!$F$202&lt;10),0,('Calc - SENIOR PERS'!$F$202&gt;10),('Calc - SENIOR PERS'!D209*'Calc - SENIOR PERS'!$F$203))</f>
        <v>0</v>
      </c>
      <c r="F132" s="2770">
        <f ca="1">_xlfn.IFS(('Calc - SENIOR PERS'!$F$202&gt;10),0,('Calc - SENIOR PERS'!$F$202&lt;10),('Calc - SENIOR PERS'!D209*'Calc - SENIOR PERS'!$F$203))</f>
        <v>0</v>
      </c>
      <c r="G132" s="2770">
        <f ca="1">_xlfn.IFS(('Calc - SENIOR PERS'!$F$202&gt;10),0,('Calc - SENIOR PERS'!$F$202&lt;10),('Calc - SENIOR PERS'!C209*'Calc - SENIOR PERS'!$F$203))</f>
        <v>0</v>
      </c>
      <c r="H132" s="2771">
        <f ca="1">ROUND(SUM('Calc - SENIOR PERS'!N209:O209),0)</f>
        <v>0</v>
      </c>
      <c r="I132" s="2771">
        <f ca="1">ROUND(SUM('Calc - SENIOR PERS'!Q209,'Calc - SENIOR PERS'!S209),0)</f>
        <v>0</v>
      </c>
      <c r="J132" s="2772">
        <f t="shared" ca="1" si="14"/>
        <v>0</v>
      </c>
    </row>
    <row r="133" spans="1:10" x14ac:dyDescent="0.25">
      <c r="A133" s="2767">
        <v>4</v>
      </c>
      <c r="B133" s="2768">
        <f ca="1">_xlfn.IFS(('Calc - SENIOR PERS'!$F$202&lt;10),0,('Calc - SENIOR PERS'!$F$202&gt;10),('Calc - SENIOR PERS'!J210))</f>
        <v>0</v>
      </c>
      <c r="C133" s="2769">
        <f ca="1">_xlfn.IFS(('Calc - SENIOR PERS'!$F$202&gt;10),0,('Calc - SENIOR PERS'!$F$202&lt;10),('Calc - SENIOR PERS'!J210))</f>
        <v>0</v>
      </c>
      <c r="D133" s="2769">
        <f ca="1">'Calc - SENIOR PERS'!I210</f>
        <v>0</v>
      </c>
      <c r="E133" s="2770">
        <f ca="1">_xlfn.IFS(('Calc - SENIOR PERS'!$F$202&lt;10),0,('Calc - SENIOR PERS'!$F$202&gt;10),('Calc - SENIOR PERS'!D210*'Calc - SENIOR PERS'!$F$203))</f>
        <v>0</v>
      </c>
      <c r="F133" s="2770">
        <f ca="1">_xlfn.IFS(('Calc - SENIOR PERS'!$F$202&gt;10),0,('Calc - SENIOR PERS'!$F$202&lt;10),('Calc - SENIOR PERS'!D210*'Calc - SENIOR PERS'!$F$203))</f>
        <v>0</v>
      </c>
      <c r="G133" s="2770">
        <f ca="1">_xlfn.IFS(('Calc - SENIOR PERS'!$F$202&gt;10),0,('Calc - SENIOR PERS'!$F$202&lt;10),('Calc - SENIOR PERS'!C210*'Calc - SENIOR PERS'!$F$203))</f>
        <v>0</v>
      </c>
      <c r="H133" s="2771">
        <f ca="1">ROUND(SUM('Calc - SENIOR PERS'!N210:O210),0)</f>
        <v>0</v>
      </c>
      <c r="I133" s="2771">
        <f ca="1">ROUND(SUM('Calc - SENIOR PERS'!Q210,'Calc - SENIOR PERS'!S210),0)</f>
        <v>0</v>
      </c>
      <c r="J133" s="2772">
        <f t="shared" ca="1" si="14"/>
        <v>0</v>
      </c>
    </row>
    <row r="134" spans="1:10" x14ac:dyDescent="0.25">
      <c r="A134" s="2767">
        <v>5</v>
      </c>
      <c r="B134" s="2768">
        <f ca="1">_xlfn.IFS(('Calc - SENIOR PERS'!$F$202&lt;10),0,('Calc - SENIOR PERS'!$F$202&gt;10),('Calc - SENIOR PERS'!J211))</f>
        <v>0</v>
      </c>
      <c r="C134" s="2769">
        <f ca="1">_xlfn.IFS(('Calc - SENIOR PERS'!$F$202&gt;10),0,('Calc - SENIOR PERS'!$F$202&lt;10),('Calc - SENIOR PERS'!J211))</f>
        <v>0</v>
      </c>
      <c r="D134" s="2769">
        <f ca="1">'Calc - SENIOR PERS'!I211</f>
        <v>0</v>
      </c>
      <c r="E134" s="2770">
        <f ca="1">_xlfn.IFS(('Calc - SENIOR PERS'!$F$202&lt;10),0,('Calc - SENIOR PERS'!$F$202&gt;10),('Calc - SENIOR PERS'!D211*'Calc - SENIOR PERS'!$F$203))</f>
        <v>0</v>
      </c>
      <c r="F134" s="2770">
        <f ca="1">_xlfn.IFS(('Calc - SENIOR PERS'!$F$202&gt;10),0,('Calc - SENIOR PERS'!$F$202&lt;10),('Calc - SENIOR PERS'!D211*'Calc - SENIOR PERS'!$F$203))</f>
        <v>0</v>
      </c>
      <c r="G134" s="2770">
        <f ca="1">_xlfn.IFS(('Calc - SENIOR PERS'!$F$202&gt;10),0,('Calc - SENIOR PERS'!$F$202&lt;10),('Calc - SENIOR PERS'!C211*'Calc - SENIOR PERS'!$F$203))</f>
        <v>0</v>
      </c>
      <c r="H134" s="2771">
        <f ca="1">ROUND(SUM('Calc - SENIOR PERS'!N211:O211),0)</f>
        <v>0</v>
      </c>
      <c r="I134" s="2771">
        <f ca="1">ROUND(SUM('Calc - SENIOR PERS'!Q211,'Calc - SENIOR PERS'!S211),0)</f>
        <v>0</v>
      </c>
      <c r="J134" s="2772">
        <f t="shared" ca="1" si="14"/>
        <v>0</v>
      </c>
    </row>
    <row r="135" spans="1:10" ht="15.75" thickBot="1" x14ac:dyDescent="0.3">
      <c r="A135" s="2775">
        <v>6</v>
      </c>
      <c r="B135" s="2776">
        <f ca="1">_xlfn.IFS(('Calc - SENIOR PERS'!$F$202&lt;10),0,('Calc - SENIOR PERS'!$F$202&gt;10),('Calc - SENIOR PERS'!J212))</f>
        <v>0</v>
      </c>
      <c r="C135" s="2777">
        <f ca="1">_xlfn.IFS(('Calc - SENIOR PERS'!$F$202&gt;10),0,('Calc - SENIOR PERS'!$F$202&lt;10),('Calc - SENIOR PERS'!J212))</f>
        <v>0</v>
      </c>
      <c r="D135" s="2777">
        <f ca="1">'Calc - SENIOR PERS'!I212</f>
        <v>0</v>
      </c>
      <c r="E135" s="2778">
        <f ca="1">_xlfn.IFS(('Calc - SENIOR PERS'!$F$202&lt;10),0,('Calc - SENIOR PERS'!$F$202&gt;10),('Calc - SENIOR PERS'!D212*'Calc - SENIOR PERS'!$F$203))</f>
        <v>0</v>
      </c>
      <c r="F135" s="2778">
        <f ca="1">_xlfn.IFS(('Calc - SENIOR PERS'!$F$202&gt;10),0,('Calc - SENIOR PERS'!$F$202&lt;10),('Calc - SENIOR PERS'!D212*'Calc - SENIOR PERS'!$F$203))</f>
        <v>0</v>
      </c>
      <c r="G135" s="2778">
        <f ca="1">_xlfn.IFS(('Calc - SENIOR PERS'!$F$202&gt;10),0,('Calc - SENIOR PERS'!$F$202&lt;10),('Calc - SENIOR PERS'!C212*'Calc - SENIOR PERS'!$F$203))</f>
        <v>0</v>
      </c>
      <c r="H135" s="2779">
        <f ca="1">ROUND(SUM('Calc - SENIOR PERS'!N212:O212),0)</f>
        <v>0</v>
      </c>
      <c r="I135" s="2779">
        <f ca="1">ROUND(SUM('Calc - SENIOR PERS'!Q212,'Calc - SENIOR PERS'!S212),0)</f>
        <v>0</v>
      </c>
      <c r="J135" s="2780">
        <f t="shared" ca="1" si="14"/>
        <v>0</v>
      </c>
    </row>
  </sheetData>
  <conditionalFormatting sqref="E4">
    <cfRule type="cellIs" dxfId="114" priority="5" operator="greaterThan">
      <formula>0</formula>
    </cfRule>
  </conditionalFormatting>
  <conditionalFormatting sqref="E5:E9">
    <cfRule type="cellIs" dxfId="113" priority="4" operator="greaterThan">
      <formula>0</formula>
    </cfRule>
  </conditionalFormatting>
  <conditionalFormatting sqref="F4:G9">
    <cfRule type="cellIs" dxfId="112" priority="3" operator="greaterThan">
      <formula>0</formula>
    </cfRule>
  </conditionalFormatting>
  <conditionalFormatting sqref="E13:G18">
    <cfRule type="cellIs" dxfId="111" priority="2" operator="greaterThan">
      <formula>0</formula>
    </cfRule>
  </conditionalFormatting>
  <conditionalFormatting sqref="E22:G27 E31:G36 E40:G45 E49:G54 E58:G63 E67:G72 E76:G81 E85:G90 E94:G99 E103:G108 E112:G117 E121:G126 E130:G135">
    <cfRule type="cellIs" dxfId="110" priority="1" operator="greaterThan">
      <formula>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6EC5D4-3A79-4CA6-8B8C-AD939B22D55D}">
  <sheetPr codeName="Sheet19">
    <tabColor theme="5" tint="0.59999389629810485"/>
  </sheetPr>
  <dimension ref="A1:J102"/>
  <sheetViews>
    <sheetView showGridLines="0" zoomScaleNormal="100" workbookViewId="0"/>
  </sheetViews>
  <sheetFormatPr defaultRowHeight="15" x14ac:dyDescent="0.25"/>
  <cols>
    <col min="1" max="1" width="10.7109375" customWidth="1"/>
    <col min="2" max="2" width="23.42578125" customWidth="1"/>
    <col min="3" max="3" width="8.28515625" bestFit="1" customWidth="1"/>
    <col min="4" max="4" width="10.28515625" bestFit="1" customWidth="1"/>
    <col min="5" max="5" width="7.7109375" bestFit="1" customWidth="1"/>
    <col min="6" max="6" width="9.7109375" bestFit="1" customWidth="1"/>
    <col min="7" max="7" width="10.28515625" customWidth="1"/>
    <col min="8" max="8" width="11.7109375" customWidth="1"/>
    <col min="10" max="10" width="34.85546875" bestFit="1" customWidth="1"/>
  </cols>
  <sheetData>
    <row r="1" spans="1:10" ht="15.75" thickBot="1" x14ac:dyDescent="0.3">
      <c r="A1" s="226" t="s">
        <v>927</v>
      </c>
    </row>
    <row r="2" spans="1:10" x14ac:dyDescent="0.25">
      <c r="A2" s="2793" t="s">
        <v>928</v>
      </c>
      <c r="B2" s="2794"/>
      <c r="C2" s="2794"/>
      <c r="D2" s="2794"/>
      <c r="E2" s="2794"/>
      <c r="F2" s="2794"/>
      <c r="G2" s="2794"/>
      <c r="H2" s="2795"/>
    </row>
    <row r="3" spans="1:10" x14ac:dyDescent="0.25">
      <c r="A3" s="2796" t="s">
        <v>929</v>
      </c>
      <c r="B3" s="2941" t="s">
        <v>659</v>
      </c>
      <c r="C3" s="2797" t="s">
        <v>930</v>
      </c>
      <c r="D3" s="2797" t="s">
        <v>604</v>
      </c>
      <c r="E3" s="2797" t="s">
        <v>17</v>
      </c>
      <c r="F3" s="2797" t="s">
        <v>931</v>
      </c>
      <c r="G3" s="2797" t="s">
        <v>136</v>
      </c>
      <c r="H3" s="2126" t="s">
        <v>932</v>
      </c>
      <c r="I3" s="769"/>
    </row>
    <row r="4" spans="1:10" x14ac:dyDescent="0.25">
      <c r="A4" s="652" t="s">
        <v>221</v>
      </c>
      <c r="B4" s="2942" t="s">
        <v>933</v>
      </c>
      <c r="C4" s="2337" t="s">
        <v>636</v>
      </c>
      <c r="D4" s="2337" t="s">
        <v>636</v>
      </c>
      <c r="E4" s="2337" t="s">
        <v>636</v>
      </c>
      <c r="F4" s="2337" t="s">
        <v>326</v>
      </c>
      <c r="G4" s="2337" t="s">
        <v>934</v>
      </c>
      <c r="H4" s="2798" t="s">
        <v>931</v>
      </c>
    </row>
    <row r="5" spans="1:10" x14ac:dyDescent="0.25">
      <c r="A5" s="2799">
        <f>COUNTIFS('DATA INPUT'!$H$51:$H$65,"Postdoctoral Scholar", 'DATA INPUT'!$I$51:$I$65, "&gt;0")</f>
        <v>0</v>
      </c>
      <c r="B5" s="2943" t="s">
        <v>935</v>
      </c>
      <c r="C5" s="1604">
        <f>SUMIFS('DATA INPUT'!$I$51:$I$65,'DATA INPUT'!$H$51:$H$65,"Postdoctoral Scholar")</f>
        <v>0</v>
      </c>
      <c r="D5" s="2800"/>
      <c r="E5" s="2800"/>
      <c r="F5" s="2801">
        <f>SUMIF(Budget!$EK$63:$EK$77, "*"&amp;$J$7&amp;"*", Budget!$EL$63:$EL$77)</f>
        <v>0</v>
      </c>
      <c r="G5" s="2801">
        <f>SUMIF(Budget!$EK$134:$EK$148, "*"&amp;$J$7&amp;"*", Budget!$EL$134:$EL$148)</f>
        <v>0</v>
      </c>
      <c r="H5" s="2802">
        <f t="shared" ref="H5:H14" si="0">SUM(F5:G5)</f>
        <v>0</v>
      </c>
    </row>
    <row r="6" spans="1:10" x14ac:dyDescent="0.25">
      <c r="A6" s="2803">
        <f>SUM('DATA INPUT'!I$29:I$43)</f>
        <v>0</v>
      </c>
      <c r="B6" s="2943" t="s">
        <v>936</v>
      </c>
      <c r="C6" s="1604"/>
      <c r="D6" s="1604">
        <f ca="1">3*SUM(SUM(OFFSET('Calc - GRAD ASST'!$F$20, 0, 0, 2, 3)),
  SUM(OFFSET('Calc - GRAD ASST'!$F$20, 29, 0, 2, 3)),
  SUM(OFFSET('Calc - GRAD ASST'!$F$20, 58, 0, 2, 3)),
  SUM(OFFSET('Calc - GRAD ASST'!$F$20, 87, 0, 2, 3)),
  SUM(OFFSET('Calc - GRAD ASST'!$F$20, 116, 0, 2, 3)),
  SUM(OFFSET('Calc - GRAD ASST'!$F$20, 145, 0, 2, 3)),
  SUM(OFFSET('Calc - GRAD ASST'!$F$20, 174, 0, 2, 3)),
  SUM(OFFSET('Calc - GRAD ASST'!$F$20, 203, 0, 2, 3)),
  SUM(OFFSET('Calc - GRAD ASST'!$F$20, 232, 0, 2, 3)),
  SUM(OFFSET('Calc - GRAD ASST'!$F$20, 261, 0, 2, 3)),
  SUM(OFFSET('Calc - GRAD ASST'!$F$20, 290, 0, 2, 3)),
  SUM(OFFSET('Calc - GRAD ASST'!$F$20, 319, 0, 2, 3)),
  SUM(OFFSET('Calc - GRAD ASST'!$F$20, 348, 0, 2, 3)),
  SUM(OFFSET('Calc - GRAD ASST'!$F$20, 377, 0, 2, 3)),
  SUM(OFFSET('Calc - GRAD ASST'!$F$20, 406, 0, 2, 3)))</f>
        <v>0</v>
      </c>
      <c r="E6" s="1604">
        <f ca="1">3*SUM(SUM(OFFSET('Calc - GRAD ASST'!$C$20, 0, 0, 2, 1)),
  SUM(OFFSET('Calc - GRAD ASST'!$C$20, 29, 0, 2, 1)),
  SUM(OFFSET('Calc - GRAD ASST'!$C$20, 58, 0, 2, 1)),
  SUM(OFFSET('Calc - GRAD ASST'!$C$20, 87, 0, 2, 1)),
  SUM(OFFSET('Calc - GRAD ASST'!$C$20, 116, 0, 2, 1)),
  SUM(OFFSET('Calc - GRAD ASST'!$C$20, 145, 0, 2, 1)),
  SUM(OFFSET('Calc - GRAD ASST'!$C$20, 174, 0, 2, 1)),
  SUM(OFFSET('Calc - GRAD ASST'!$C$20, 203, 0, 2, 1)),
  SUM(OFFSET('Calc - GRAD ASST'!$C$20, 232, 0, 2, 1)),
  SUM(OFFSET('Calc - GRAD ASST'!$C$20, 261, 0, 2, 1)),
  SUM(OFFSET('Calc - GRAD ASST'!$C$20, 290, 0, 2, 1)),
  SUM(OFFSET('Calc - GRAD ASST'!$C$20, 319, 0, 2, 1)),
  SUM(OFFSET('Calc - GRAD ASST'!$C$20, 348, 0, 2, 1)),
  SUM(OFFSET('Calc - GRAD ASST'!$C$20, 377, 0, 2, 1)),
  SUM(OFFSET('Calc - GRAD ASST'!$C$20, 406, 0, 2, 1)))</f>
        <v>0</v>
      </c>
      <c r="F6" s="2768">
        <f ca="1">Budget!$EL$62</f>
        <v>0</v>
      </c>
      <c r="G6" s="2768">
        <f ca="1">Budget!$EL$133</f>
        <v>0</v>
      </c>
      <c r="H6" s="2802">
        <f t="shared" ca="1" si="0"/>
        <v>0</v>
      </c>
      <c r="J6" s="1867" t="s">
        <v>937</v>
      </c>
    </row>
    <row r="7" spans="1:10" x14ac:dyDescent="0.25">
      <c r="A7" s="2799">
        <f>COUNTIF('DATA INPUT'!$I$46:$I$48, "&gt;0")</f>
        <v>0</v>
      </c>
      <c r="B7" s="2943" t="s">
        <v>938</v>
      </c>
      <c r="C7" s="1604">
        <f>SUM('DATA INPUT'!$I$46:$I$48)/173.33</f>
        <v>0</v>
      </c>
      <c r="D7" s="1604"/>
      <c r="E7" s="1604"/>
      <c r="F7" s="2768">
        <f>Budget!$EL$82</f>
        <v>0</v>
      </c>
      <c r="G7" s="2768">
        <f>Budget!$EL$153</f>
        <v>0</v>
      </c>
      <c r="H7" s="2802">
        <f t="shared" si="0"/>
        <v>0</v>
      </c>
      <c r="J7" t="s">
        <v>341</v>
      </c>
    </row>
    <row r="8" spans="1:10" x14ac:dyDescent="0.25">
      <c r="A8" s="2799">
        <f>COUNTIFS('DATA INPUT'!$H$51:$H$65, $J$8, 'DATA INPUT'!$I$51:$I$65, "&gt;0")</f>
        <v>0</v>
      </c>
      <c r="B8" s="2943" t="s">
        <v>939</v>
      </c>
      <c r="C8" s="1604">
        <f>SUMIFS('DATA INPUT'!$I$51:$I$65,'DATA INPUT'!$H$51:$H$65,$J$8)</f>
        <v>0</v>
      </c>
      <c r="D8" s="1604"/>
      <c r="E8" s="1604"/>
      <c r="F8" s="2768">
        <f>SUMIF(Budget!$EK$63:$EK$77, "*"&amp;$J$8&amp;"*", Budget!$EL$63:$EL$77)</f>
        <v>0</v>
      </c>
      <c r="G8" s="2768">
        <f>SUMIF(Budget!$EK$134:$EK$148, "*"&amp;$J$8&amp;"*", Budget!$EL$134:$EL$148)</f>
        <v>0</v>
      </c>
      <c r="H8" s="2802">
        <f t="shared" si="0"/>
        <v>0</v>
      </c>
      <c r="J8" t="s">
        <v>641</v>
      </c>
    </row>
    <row r="9" spans="1:10" x14ac:dyDescent="0.25">
      <c r="A9" s="2799">
        <f>COUNTIFS('DATA INPUT'!$H$51:$H$65, $J$9, 'DATA INPUT'!$I$51:$I$65, "&gt;0")</f>
        <v>0</v>
      </c>
      <c r="B9" s="2943">
        <f>IF(COUNTIF('DATA INPUT'!$H$51:$H$65,$J$9)&gt;0,$J$9,0)</f>
        <v>0</v>
      </c>
      <c r="C9" s="1604">
        <f>SUMIFS('DATA INPUT'!$I$51:$I$65,'DATA INPUT'!$H$51:$H$65,$J$9)</f>
        <v>0</v>
      </c>
      <c r="D9" s="1604"/>
      <c r="E9" s="1604"/>
      <c r="F9" s="2768">
        <f>SUMIF(Budget!$EK$63:$EK$77, "*"&amp;$J$9&amp;"*", Budget!$EL$63:$EL$77)</f>
        <v>0</v>
      </c>
      <c r="G9" s="2768">
        <f>SUMIF(Budget!$EK$134:$EK$148, "*"&amp;$J$9&amp;"*", Budget!$EL$134:$EL$148)</f>
        <v>0</v>
      </c>
      <c r="H9" s="2802">
        <f t="shared" si="0"/>
        <v>0</v>
      </c>
      <c r="J9" t="s">
        <v>284</v>
      </c>
    </row>
    <row r="10" spans="1:10" x14ac:dyDescent="0.25">
      <c r="A10" s="2799">
        <f>COUNTIFS('DATA INPUT'!$H$51:$H$65, $J$10, 'DATA INPUT'!$I$51:$I$65, "&gt;0")</f>
        <v>0</v>
      </c>
      <c r="B10" s="2943">
        <f>IF(COUNTIF('DATA INPUT'!$H$51:$H$65,$J$10)&gt;0,$J$10,0)</f>
        <v>0</v>
      </c>
      <c r="C10" s="1604">
        <f>SUMIFS('DATA INPUT'!$I$51:$I$65,'DATA INPUT'!$H$51:$H$65,$J$10)</f>
        <v>0</v>
      </c>
      <c r="D10" s="1604"/>
      <c r="E10" s="1604"/>
      <c r="F10" s="2768">
        <f>SUMIF(Budget!$EK$63:$EK$77, "*"&amp;$J$10&amp;"*", Budget!$EL$63:$EL$77)</f>
        <v>0</v>
      </c>
      <c r="G10" s="2768">
        <f>SUMIF(Budget!$EK$134:$EK$148, "*"&amp;$J$10&amp;"*", Budget!$EL$134:$EL$148)</f>
        <v>0</v>
      </c>
      <c r="H10" s="2802">
        <f t="shared" si="0"/>
        <v>0</v>
      </c>
      <c r="J10" t="s">
        <v>524</v>
      </c>
    </row>
    <row r="11" spans="1:10" x14ac:dyDescent="0.25">
      <c r="A11" s="2799">
        <f>COUNTIFS('DATA INPUT'!$H$51:$H$65, $J$11, 'DATA INPUT'!$I$51:$I$65, "&gt;0")</f>
        <v>0</v>
      </c>
      <c r="B11" s="2943">
        <f>IF(COUNTIF('DATA INPUT'!$H$51:$H$65,$J$11)&gt;0,$J$11,0)</f>
        <v>0</v>
      </c>
      <c r="C11" s="1604">
        <f>SUMIFS('DATA INPUT'!$I$51:$I$65,'DATA INPUT'!$H$51:$H$65,$J$11)</f>
        <v>0</v>
      </c>
      <c r="D11" s="1604"/>
      <c r="E11" s="1604"/>
      <c r="F11" s="2768">
        <f>SUMIF(Budget!$EK$63:$EK$77, "*"&amp;$J$11&amp;"*", Budget!$EL$63:$EL$77)</f>
        <v>0</v>
      </c>
      <c r="G11" s="2768">
        <f>SUMIF(Budget!$EK$134:$EK$148, "*"&amp;$J$11&amp;"*", Budget!$EL$134:$EL$148)</f>
        <v>0</v>
      </c>
      <c r="H11" s="2802">
        <f t="shared" si="0"/>
        <v>0</v>
      </c>
      <c r="J11" t="s">
        <v>522</v>
      </c>
    </row>
    <row r="12" spans="1:10" x14ac:dyDescent="0.25">
      <c r="A12" s="2799">
        <f>COUNTIFS('DATA INPUT'!$H$51:$H$65, $J$12, 'DATA INPUT'!$I$51:$I$65, "&gt;0")</f>
        <v>0</v>
      </c>
      <c r="B12" s="2943">
        <f>IF(COUNTIF('DATA INPUT'!$H$51:$H$65,$J$12)&gt;0,$J$12,0)</f>
        <v>0</v>
      </c>
      <c r="C12" s="1604">
        <f>SUMIFS('DATA INPUT'!$I$51:$I$65,'DATA INPUT'!$H$51:$H$65,$J$12)</f>
        <v>0</v>
      </c>
      <c r="D12" s="1604"/>
      <c r="E12" s="1604"/>
      <c r="F12" s="2768">
        <f ca="1">SUMIF(Budget!$EK$63:$EK$77, "*"&amp;$J$12&amp;"*", Budget!$EL$63:$EL$77)</f>
        <v>16250</v>
      </c>
      <c r="G12" s="2768">
        <f ca="1">SUMIF(Budget!$EK$134:$EK$148, "*"&amp;$J$12&amp;"*", Budget!$EL$134:$EL$148)</f>
        <v>5070</v>
      </c>
      <c r="H12" s="2802">
        <f t="shared" ca="1" si="0"/>
        <v>21320</v>
      </c>
      <c r="J12" t="s">
        <v>523</v>
      </c>
    </row>
    <row r="13" spans="1:10" x14ac:dyDescent="0.25">
      <c r="A13" s="2803"/>
      <c r="B13" s="2943"/>
      <c r="C13" s="1604"/>
      <c r="D13" s="1604"/>
      <c r="E13" s="1604"/>
      <c r="F13" s="2768"/>
      <c r="G13" s="2768"/>
      <c r="H13" s="2802">
        <f t="shared" si="0"/>
        <v>0</v>
      </c>
    </row>
    <row r="14" spans="1:10" ht="15.75" thickBot="1" x14ac:dyDescent="0.3">
      <c r="A14" s="2804"/>
      <c r="B14" s="2944"/>
      <c r="C14" s="1906"/>
      <c r="D14" s="1906"/>
      <c r="E14" s="1906"/>
      <c r="F14" s="2776"/>
      <c r="G14" s="2776"/>
      <c r="H14" s="2805">
        <f t="shared" si="0"/>
        <v>0</v>
      </c>
    </row>
    <row r="15" spans="1:10" x14ac:dyDescent="0.25">
      <c r="A15" s="10"/>
      <c r="B15" s="40"/>
      <c r="C15" s="2806"/>
      <c r="D15" s="2806"/>
      <c r="E15" s="2806"/>
      <c r="F15" s="2781"/>
      <c r="G15" s="2781"/>
      <c r="H15" s="2781"/>
    </row>
    <row r="16" spans="1:10" x14ac:dyDescent="0.25">
      <c r="A16" s="225" t="s">
        <v>940</v>
      </c>
      <c r="B16" s="225"/>
      <c r="C16" s="2806"/>
      <c r="D16" s="2806"/>
      <c r="E16" s="2806"/>
      <c r="F16" s="2781"/>
      <c r="G16" s="672" t="s">
        <v>941</v>
      </c>
      <c r="H16" s="2807">
        <f ca="1">SUM(H5:H14)</f>
        <v>21320</v>
      </c>
    </row>
    <row r="17" spans="1:8" x14ac:dyDescent="0.25">
      <c r="A17" s="2808">
        <f>SUM(A5:A14)</f>
        <v>0</v>
      </c>
      <c r="G17" s="672" t="s">
        <v>942</v>
      </c>
      <c r="H17" s="2807">
        <f ca="1" xml:space="preserve"> H16 +'SF RR Budget - Section A'!$L$4</f>
        <v>46610</v>
      </c>
    </row>
    <row r="18" spans="1:8" ht="15.75" thickBot="1" x14ac:dyDescent="0.3"/>
    <row r="19" spans="1:8" x14ac:dyDescent="0.25">
      <c r="A19" s="2809" t="s">
        <v>943</v>
      </c>
      <c r="B19" s="2810"/>
      <c r="C19" s="2810"/>
      <c r="D19" s="2810"/>
      <c r="E19" s="2810"/>
      <c r="F19" s="2810"/>
      <c r="G19" s="2810"/>
      <c r="H19" s="2811"/>
    </row>
    <row r="20" spans="1:8" x14ac:dyDescent="0.25">
      <c r="A20" s="2759" t="s">
        <v>929</v>
      </c>
      <c r="B20" s="2797" t="s">
        <v>659</v>
      </c>
      <c r="C20" s="2797" t="s">
        <v>930</v>
      </c>
      <c r="D20" s="2797" t="s">
        <v>604</v>
      </c>
      <c r="E20" s="2797" t="s">
        <v>17</v>
      </c>
      <c r="F20" s="2797" t="s">
        <v>931</v>
      </c>
      <c r="G20" s="2797" t="s">
        <v>136</v>
      </c>
      <c r="H20" s="2126" t="s">
        <v>932</v>
      </c>
    </row>
    <row r="21" spans="1:8" x14ac:dyDescent="0.25">
      <c r="A21" s="2812" t="s">
        <v>221</v>
      </c>
      <c r="B21" s="2337" t="s">
        <v>933</v>
      </c>
      <c r="C21" s="2337" t="s">
        <v>636</v>
      </c>
      <c r="D21" s="2337" t="s">
        <v>636</v>
      </c>
      <c r="E21" s="2337" t="s">
        <v>636</v>
      </c>
      <c r="F21" s="2337" t="s">
        <v>326</v>
      </c>
      <c r="G21" s="2337" t="s">
        <v>934</v>
      </c>
      <c r="H21" s="2798" t="s">
        <v>931</v>
      </c>
    </row>
    <row r="22" spans="1:8" x14ac:dyDescent="0.25">
      <c r="A22" s="2799">
        <f>COUNTIFS('DATA INPUT'!$H$51:$H$65,"Postdoctoral Scholar", 'DATA INPUT'!$J$51:$J$65, "&gt;0")</f>
        <v>0</v>
      </c>
      <c r="B22" s="2943" t="s">
        <v>935</v>
      </c>
      <c r="C22" s="2800">
        <f>SUMIFS('DATA INPUT'!$J$51:$J$65,'DATA INPUT'!$H$51:$H$65,"Postdoctoral Scholar")</f>
        <v>0</v>
      </c>
      <c r="D22" s="2800"/>
      <c r="E22" s="2800"/>
      <c r="F22" s="2801">
        <f>SUMIF(Budget!$EK$63:$EK$77, "*"&amp;$J$7&amp;"*", Budget!$EM$63:$EM$77)</f>
        <v>0</v>
      </c>
      <c r="G22" s="2801">
        <f>SUMIF(Budget!$EK$134:$EK$148, "*"&amp;$J$7&amp;"*", Budget!$EM$134:$EM$148)</f>
        <v>0</v>
      </c>
      <c r="H22" s="2802">
        <f t="shared" ref="H22:H31" si="1">SUM(F22:G22)</f>
        <v>0</v>
      </c>
    </row>
    <row r="23" spans="1:8" x14ac:dyDescent="0.25">
      <c r="A23" s="2803">
        <f>SUM('DATA INPUT'!J$29:J$43)</f>
        <v>0</v>
      </c>
      <c r="B23" s="2943" t="s">
        <v>936</v>
      </c>
      <c r="C23" s="1604"/>
      <c r="D23" s="1604">
        <f ca="1">3*SUM(SUM(OFFSET('Calc - GRAD ASST'!$F$22, 0, 0, 2, 3)),
  SUM(OFFSET('Calc - GRAD ASST'!$F$22, 29, 0, 2, 3)),
  SUM(OFFSET('Calc - GRAD ASST'!$F$22, 58, 0, 2, 3)),
  SUM(OFFSET('Calc - GRAD ASST'!$F$22, 87, 0, 2, 3)),
  SUM(OFFSET('Calc - GRAD ASST'!$F$22, 116, 0, 2, 3)),
  SUM(OFFSET('Calc - GRAD ASST'!$F$22, 145, 0, 2, 3)),
  SUM(OFFSET('Calc - GRAD ASST'!$F$22, 174, 0, 2, 3)),
  SUM(OFFSET('Calc - GRAD ASST'!$F$22, 203, 0, 2, 3)),
  SUM(OFFSET('Calc - GRAD ASST'!$F$22, 232, 0, 2, 3)),
  SUM(OFFSET('Calc - GRAD ASST'!$F$22, 261, 0, 2, 3)),
  SUM(OFFSET('Calc - GRAD ASST'!$F$22, 290, 0, 2, 3)),
  SUM(OFFSET('Calc - GRAD ASST'!$F$22, 319, 0, 2, 3)),
  SUM(OFFSET('Calc - GRAD ASST'!$F$22, 348, 0, 2, 3)),
  SUM(OFFSET('Calc - GRAD ASST'!$F$22, 377, 0, 2, 3)),
  SUM(OFFSET('Calc - GRAD ASST'!$F$22, 406, 0, 2, 3)))</f>
        <v>0</v>
      </c>
      <c r="E23" s="1604">
        <f ca="1">3*SUM(SUM(OFFSET('Calc - GRAD ASST'!$C$22, 0, 0, 2, 1)),
  SUM(OFFSET('Calc - GRAD ASST'!$C$22, 29, 0, 2, 1)),
  SUM(OFFSET('Calc - GRAD ASST'!$C$22, 58, 0, 2, 1)),
  SUM(OFFSET('Calc - GRAD ASST'!$C$22, 87, 0, 2, 1)),
  SUM(OFFSET('Calc - GRAD ASST'!$C$22, 116, 0, 2, 1)),
  SUM(OFFSET('Calc - GRAD ASST'!$C$22, 145, 0, 2, 1)),
  SUM(OFFSET('Calc - GRAD ASST'!$C$22, 174, 0, 2, 1)),
  SUM(OFFSET('Calc - GRAD ASST'!$C$22, 203, 0, 2, 1)),
  SUM(OFFSET('Calc - GRAD ASST'!$C$22, 232, 0, 2, 1)),
  SUM(OFFSET('Calc - GRAD ASST'!$C$22, 261, 0, 2, 1)),
  SUM(OFFSET('Calc - GRAD ASST'!$C$22, 290, 0, 2, 1)),
  SUM(OFFSET('Calc - GRAD ASST'!$C$22, 319, 0, 2, 1)),
  SUM(OFFSET('Calc - GRAD ASST'!$C$22, 348, 0, 2, 1)),
  SUM(OFFSET('Calc - GRAD ASST'!$C$22, 377, 0, 2, 1)),
  SUM(OFFSET('Calc - GRAD ASST'!$C$22, 406, 0, 2, 1)))</f>
        <v>0</v>
      </c>
      <c r="F23" s="2768">
        <f ca="1">Budget!$EM$62</f>
        <v>0</v>
      </c>
      <c r="G23" s="2768">
        <f ca="1">Budget!$EM$133</f>
        <v>0</v>
      </c>
      <c r="H23" s="2802">
        <f t="shared" ca="1" si="1"/>
        <v>0</v>
      </c>
    </row>
    <row r="24" spans="1:8" x14ac:dyDescent="0.25">
      <c r="A24" s="2799">
        <f>COUNTIF('DATA INPUT'!$J$46:$J$48, "&gt;0")</f>
        <v>0</v>
      </c>
      <c r="B24" s="2943" t="s">
        <v>938</v>
      </c>
      <c r="C24" s="1604">
        <f>SUM('DATA INPUT'!$J$46:$J$48)/173.33</f>
        <v>0</v>
      </c>
      <c r="D24" s="1604"/>
      <c r="E24" s="1604"/>
      <c r="F24" s="2768">
        <f>Budget!$EM$82</f>
        <v>0</v>
      </c>
      <c r="G24" s="2768">
        <f>Budget!$EM$153</f>
        <v>0</v>
      </c>
      <c r="H24" s="2802">
        <f t="shared" si="1"/>
        <v>0</v>
      </c>
    </row>
    <row r="25" spans="1:8" x14ac:dyDescent="0.25">
      <c r="A25" s="2799">
        <f>COUNTIFS('DATA INPUT'!$H$51:$H$65, $J$8, 'DATA INPUT'!$J$51:$J$65, "&gt;0")</f>
        <v>0</v>
      </c>
      <c r="B25" s="2943" t="s">
        <v>939</v>
      </c>
      <c r="C25" s="1604">
        <f>SUMIFS('DATA INPUT'!$J$51:$J$65,'DATA INPUT'!$H$51:$H$65,$J$8)</f>
        <v>0</v>
      </c>
      <c r="D25" s="1604"/>
      <c r="E25" s="1604"/>
      <c r="F25" s="2768">
        <f>SUMIF(Budget!$EK$63:$EK$77, "*"&amp;$J$8&amp;"*", Budget!$EM$63:$EM$77)</f>
        <v>0</v>
      </c>
      <c r="G25" s="2768">
        <f>SUMIF(Budget!$EK$134:$EK$148, "*"&amp;$J$8&amp;"*", Budget!$EM$134:$EM$148)</f>
        <v>0</v>
      </c>
      <c r="H25" s="2802">
        <f t="shared" si="1"/>
        <v>0</v>
      </c>
    </row>
    <row r="26" spans="1:8" x14ac:dyDescent="0.25">
      <c r="A26" s="2799">
        <f>COUNTIFS('DATA INPUT'!$H$51:$H$65, $J$9, 'DATA INPUT'!$J$51:$J$65, "&gt;0")</f>
        <v>0</v>
      </c>
      <c r="B26" s="2943">
        <f>IF(COUNTIF('DATA INPUT'!$H$51:$H$65,$J$9)&gt;0,$J$9,0)</f>
        <v>0</v>
      </c>
      <c r="C26" s="1604">
        <f>SUMIFS('DATA INPUT'!$J$51:$J$65,'DATA INPUT'!$H$51:$H$65,$J$9)</f>
        <v>0</v>
      </c>
      <c r="D26" s="1604"/>
      <c r="E26" s="1604"/>
      <c r="F26" s="2768">
        <f>SUMIF(Budget!$EK$63:$EK$77, "*"&amp;$J$9&amp;"*", Budget!$EM$63:$EM$77)</f>
        <v>0</v>
      </c>
      <c r="G26" s="2768">
        <f>SUMIF(Budget!$EK$134:$EK$148, "*"&amp;$J$9&amp;"*", Budget!$EM$134:$EM$148)</f>
        <v>0</v>
      </c>
      <c r="H26" s="2802">
        <f t="shared" si="1"/>
        <v>0</v>
      </c>
    </row>
    <row r="27" spans="1:8" x14ac:dyDescent="0.25">
      <c r="A27" s="2799">
        <f>COUNTIFS('DATA INPUT'!$H$51:$H$65, $J$10, 'DATA INPUT'!$J$51:$J$65, "&gt;0")</f>
        <v>0</v>
      </c>
      <c r="B27" s="2943">
        <f>IF(COUNTIF('DATA INPUT'!$H$51:$H$65,$J$10)&gt;0,$J$10,0)</f>
        <v>0</v>
      </c>
      <c r="C27" s="1604">
        <f>SUMIFS('DATA INPUT'!$J$51:$J$65,'DATA INPUT'!$H$51:$H$65,$J$10)</f>
        <v>0</v>
      </c>
      <c r="D27" s="1604"/>
      <c r="E27" s="1604"/>
      <c r="F27" s="2768">
        <f>SUMIF(Budget!$EK$63:$EK$77, "*"&amp;$J$10&amp;"*", Budget!$EM$63:$EM$77)</f>
        <v>0</v>
      </c>
      <c r="G27" s="2768">
        <f>SUMIF(Budget!$EK$134:$EK$148, "*"&amp;$J$10&amp;"*", Budget!$EM$134:$EM$148)</f>
        <v>0</v>
      </c>
      <c r="H27" s="2802">
        <f t="shared" si="1"/>
        <v>0</v>
      </c>
    </row>
    <row r="28" spans="1:8" x14ac:dyDescent="0.25">
      <c r="A28" s="2799">
        <f>COUNTIFS('DATA INPUT'!$H$51:$H$65, $J$11, 'DATA INPUT'!$J$51:$J$65, "&gt;0")</f>
        <v>0</v>
      </c>
      <c r="B28" s="2943">
        <f>IF(COUNTIF('DATA INPUT'!$H$51:$H$65,$J$11)&gt;0,$J$11,0)</f>
        <v>0</v>
      </c>
      <c r="C28" s="1604">
        <f>SUMIFS('DATA INPUT'!$J$51:$J$65,'DATA INPUT'!$H$51:$H$65,$J$11)</f>
        <v>0</v>
      </c>
      <c r="D28" s="1604"/>
      <c r="E28" s="1604"/>
      <c r="F28" s="2768">
        <f>SUMIF(Budget!$EK$63:$EK$77, "*"&amp;$J$11&amp;"*", Budget!$EM$63:$EM$77)</f>
        <v>0</v>
      </c>
      <c r="G28" s="2768">
        <f>SUMIF(Budget!$EK$134:$EK$148, "*"&amp;$J$11&amp;"*", Budget!$EM$134:$EM$148)</f>
        <v>0</v>
      </c>
      <c r="H28" s="2802">
        <f t="shared" si="1"/>
        <v>0</v>
      </c>
    </row>
    <row r="29" spans="1:8" x14ac:dyDescent="0.25">
      <c r="A29" s="2799">
        <f>COUNTIFS('DATA INPUT'!$H$51:$H$65, $J$12, 'DATA INPUT'!$J$51:$J$65, "&gt;0")</f>
        <v>0</v>
      </c>
      <c r="B29" s="2943">
        <f>IF(COUNTIF('DATA INPUT'!$H$51:$H$65,$J$12)&gt;0,$J$12,0)</f>
        <v>0</v>
      </c>
      <c r="C29" s="1604">
        <f>SUMIFS('DATA INPUT'!$J$51:$J$65,'DATA INPUT'!$H$51:$H$65,$J$12)</f>
        <v>0</v>
      </c>
      <c r="D29" s="1604"/>
      <c r="E29" s="1604"/>
      <c r="F29" s="2768">
        <f ca="1">SUMIF(Budget!$EK$63:$EK$77, "*"&amp;$J$12&amp;"*", Budget!$EM$63:$EM$77)</f>
        <v>0</v>
      </c>
      <c r="G29" s="2768">
        <f ca="1">SUMIF(Budget!$EK$134:$EK$148, "*"&amp;$J$12&amp;"*", Budget!$EM$134:$EM$148)</f>
        <v>0</v>
      </c>
      <c r="H29" s="2802">
        <f t="shared" ca="1" si="1"/>
        <v>0</v>
      </c>
    </row>
    <row r="30" spans="1:8" x14ac:dyDescent="0.25">
      <c r="A30" s="2803"/>
      <c r="B30" s="2943"/>
      <c r="C30" s="1604"/>
      <c r="D30" s="1604"/>
      <c r="E30" s="1604"/>
      <c r="F30" s="2768"/>
      <c r="G30" s="2768"/>
      <c r="H30" s="2802">
        <f t="shared" si="1"/>
        <v>0</v>
      </c>
    </row>
    <row r="31" spans="1:8" ht="15.75" thickBot="1" x14ac:dyDescent="0.3">
      <c r="A31" s="2804"/>
      <c r="B31" s="2944"/>
      <c r="C31" s="1906"/>
      <c r="D31" s="1906"/>
      <c r="E31" s="1906"/>
      <c r="F31" s="2776"/>
      <c r="G31" s="2776"/>
      <c r="H31" s="2805">
        <f t="shared" si="1"/>
        <v>0</v>
      </c>
    </row>
    <row r="33" spans="1:8" x14ac:dyDescent="0.25">
      <c r="A33" s="225" t="s">
        <v>940</v>
      </c>
      <c r="B33" s="225"/>
      <c r="C33" s="2806"/>
      <c r="D33" s="2806"/>
      <c r="E33" s="2806"/>
      <c r="F33" s="2781"/>
      <c r="G33" s="672" t="s">
        <v>941</v>
      </c>
      <c r="H33" s="2813">
        <f ca="1">SUM(H22:H31)</f>
        <v>0</v>
      </c>
    </row>
    <row r="34" spans="1:8" x14ac:dyDescent="0.25">
      <c r="A34" s="2814">
        <f>SUM(A22:A31)</f>
        <v>0</v>
      </c>
      <c r="G34" s="672" t="s">
        <v>942</v>
      </c>
      <c r="H34" s="2813">
        <f ca="1" xml:space="preserve"> H33 +'SF RR Budget - Section A'!$M$4</f>
        <v>0</v>
      </c>
    </row>
    <row r="35" spans="1:8" ht="15.75" thickBot="1" x14ac:dyDescent="0.3"/>
    <row r="36" spans="1:8" x14ac:dyDescent="0.25">
      <c r="A36" s="2815" t="s">
        <v>944</v>
      </c>
      <c r="B36" s="2816"/>
      <c r="C36" s="2816"/>
      <c r="D36" s="2816"/>
      <c r="E36" s="2816"/>
      <c r="F36" s="2816"/>
      <c r="G36" s="2816"/>
      <c r="H36" s="2817"/>
    </row>
    <row r="37" spans="1:8" x14ac:dyDescent="0.25">
      <c r="A37" s="2759" t="s">
        <v>929</v>
      </c>
      <c r="B37" s="2797" t="s">
        <v>659</v>
      </c>
      <c r="C37" s="2797" t="s">
        <v>930</v>
      </c>
      <c r="D37" s="2797" t="s">
        <v>604</v>
      </c>
      <c r="E37" s="2797" t="s">
        <v>17</v>
      </c>
      <c r="F37" s="2797" t="s">
        <v>931</v>
      </c>
      <c r="G37" s="2797" t="s">
        <v>136</v>
      </c>
      <c r="H37" s="2126" t="s">
        <v>932</v>
      </c>
    </row>
    <row r="38" spans="1:8" x14ac:dyDescent="0.25">
      <c r="A38" s="2812" t="s">
        <v>221</v>
      </c>
      <c r="B38" s="2337" t="s">
        <v>933</v>
      </c>
      <c r="C38" s="2337" t="s">
        <v>636</v>
      </c>
      <c r="D38" s="2337" t="s">
        <v>636</v>
      </c>
      <c r="E38" s="2337" t="s">
        <v>636</v>
      </c>
      <c r="F38" s="2337" t="s">
        <v>326</v>
      </c>
      <c r="G38" s="2337" t="s">
        <v>934</v>
      </c>
      <c r="H38" s="2798" t="s">
        <v>931</v>
      </c>
    </row>
    <row r="39" spans="1:8" x14ac:dyDescent="0.25">
      <c r="A39" s="2799">
        <f>COUNTIFS('DATA INPUT'!$H$51:$H$65,"Postdoctoral Scholar", 'DATA INPUT'!$K$51:$K$65, "&gt;0")</f>
        <v>0</v>
      </c>
      <c r="B39" s="2943" t="s">
        <v>935</v>
      </c>
      <c r="C39" s="2800">
        <f>SUMIFS('DATA INPUT'!$K$51:$K$65,'DATA INPUT'!$H$51:$H$65,"Postdoctoral Scholar")</f>
        <v>0</v>
      </c>
      <c r="D39" s="2800"/>
      <c r="E39" s="2800"/>
      <c r="F39" s="2801">
        <f>SUMIF(Budget!$EK$63:$EK$77, "*"&amp;$J$7&amp;"*", Budget!$EN$63:$EN$77)</f>
        <v>0</v>
      </c>
      <c r="G39" s="2801">
        <f>SUMIF(Budget!$EK$134:$EK$148, "*"&amp;$J$7&amp;"*", Budget!$EN$134:$EN$148)</f>
        <v>0</v>
      </c>
      <c r="H39" s="2802">
        <f t="shared" ref="H39:H48" si="2">SUM(F39:G39)</f>
        <v>0</v>
      </c>
    </row>
    <row r="40" spans="1:8" x14ac:dyDescent="0.25">
      <c r="A40" s="2803">
        <f>SUM('DATA INPUT'!K$29:K$43)</f>
        <v>0</v>
      </c>
      <c r="B40" s="2943" t="s">
        <v>936</v>
      </c>
      <c r="C40" s="1604"/>
      <c r="D40" s="1604">
        <f ca="1">3*SUM(SUM(OFFSET('Calc - GRAD ASST'!$F$24, 0, 0, 2, 3)),
  SUM(OFFSET('Calc - GRAD ASST'!$F$24, 29, 0, 2, 3)),
  SUM(OFFSET('Calc - GRAD ASST'!$F$24, 58, 0, 2, 3)),
  SUM(OFFSET('Calc - GRAD ASST'!$F$24, 87, 0, 2, 3)),
  SUM(OFFSET('Calc - GRAD ASST'!$F$24, 116, 0, 2, 3)),
  SUM(OFFSET('Calc - GRAD ASST'!$F$24, 145, 0, 2, 3)),
  SUM(OFFSET('Calc - GRAD ASST'!$F$24, 174, 0, 2, 3)),
  SUM(OFFSET('Calc - GRAD ASST'!$F$24, 203, 0, 2, 3)),
  SUM(OFFSET('Calc - GRAD ASST'!$F$24, 232, 0, 2, 3)),
  SUM(OFFSET('Calc - GRAD ASST'!$F$24, 261, 0, 2, 3)),
  SUM(OFFSET('Calc - GRAD ASST'!$F$24, 290, 0, 2, 3)),
  SUM(OFFSET('Calc - GRAD ASST'!$F$24, 319, 0, 2, 3)),
  SUM(OFFSET('Calc - GRAD ASST'!$F$24, 348, 0, 2, 3)),
  SUM(OFFSET('Calc - GRAD ASST'!$F$24, 377, 0, 2, 3)),
  SUM(OFFSET('Calc - GRAD ASST'!$F$24, 406, 0, 2, 3)))</f>
        <v>0</v>
      </c>
      <c r="E40" s="1604">
        <f ca="1">3*SUM(SUM(OFFSET('Calc - GRAD ASST'!$C$24, 0, 0, 2, 1)),
  SUM(OFFSET('Calc - GRAD ASST'!$C$24, 29, 0, 2, 1)),
  SUM(OFFSET('Calc - GRAD ASST'!$C$24, 58, 0, 2, 1)),
  SUM(OFFSET('Calc - GRAD ASST'!$C$24, 87, 0, 2, 1)),
  SUM(OFFSET('Calc - GRAD ASST'!$C$24, 116, 0, 2, 1)),
  SUM(OFFSET('Calc - GRAD ASST'!$C$24, 145, 0, 2, 1)),
  SUM(OFFSET('Calc - GRAD ASST'!$C$24, 174, 0, 2, 1)),
  SUM(OFFSET('Calc - GRAD ASST'!$C$24, 203, 0, 2, 1)),
  SUM(OFFSET('Calc - GRAD ASST'!$C$24, 232, 0, 2, 1)),
  SUM(OFFSET('Calc - GRAD ASST'!$C$24, 261, 0, 2, 1)),
  SUM(OFFSET('Calc - GRAD ASST'!$C$24, 290, 0, 2, 1)),
  SUM(OFFSET('Calc - GRAD ASST'!$C$24, 319, 0, 2, 1)),
  SUM(OFFSET('Calc - GRAD ASST'!$C$24, 348, 0, 2, 1)),
  SUM(OFFSET('Calc - GRAD ASST'!$C$24, 377, 0, 2, 1)),
  SUM(OFFSET('Calc - GRAD ASST'!$C$24, 406, 0, 2, 1)))</f>
        <v>0</v>
      </c>
      <c r="F40" s="2768">
        <f ca="1">Budget!$EN$62</f>
        <v>0</v>
      </c>
      <c r="G40" s="2768">
        <f ca="1">Budget!$EN$133</f>
        <v>0</v>
      </c>
      <c r="H40" s="2802">
        <f t="shared" ca="1" si="2"/>
        <v>0</v>
      </c>
    </row>
    <row r="41" spans="1:8" x14ac:dyDescent="0.25">
      <c r="A41" s="2799">
        <f>COUNTIF('DATA INPUT'!$K$46:$K$48, "&gt;0")</f>
        <v>0</v>
      </c>
      <c r="B41" s="2943" t="s">
        <v>938</v>
      </c>
      <c r="C41" s="1604">
        <f>SUM('DATA INPUT'!$K$46:$K$48)/173.33</f>
        <v>0</v>
      </c>
      <c r="D41" s="1604"/>
      <c r="E41" s="1604"/>
      <c r="F41" s="2768">
        <f>Budget!$EN$82</f>
        <v>0</v>
      </c>
      <c r="G41" s="2768">
        <f>Budget!$EN$153</f>
        <v>0</v>
      </c>
      <c r="H41" s="2802">
        <f t="shared" si="2"/>
        <v>0</v>
      </c>
    </row>
    <row r="42" spans="1:8" x14ac:dyDescent="0.25">
      <c r="A42" s="2799">
        <f>COUNTIFS('DATA INPUT'!$H$51:$H$65, $J$8, 'DATA INPUT'!$K$51:$K$65, "&gt;0")</f>
        <v>0</v>
      </c>
      <c r="B42" s="2943" t="s">
        <v>939</v>
      </c>
      <c r="C42" s="1604">
        <f>SUMIFS('DATA INPUT'!$K$51:$K$65,'DATA INPUT'!$H$51:$H$65,$J$8)</f>
        <v>0</v>
      </c>
      <c r="D42" s="1604"/>
      <c r="E42" s="1604"/>
      <c r="F42" s="2768">
        <f>SUMIF(Budget!$EK$63:$EK$77, "*"&amp;$J$8&amp;"*", Budget!$EN$63:$EN$77)</f>
        <v>0</v>
      </c>
      <c r="G42" s="2768">
        <f>SUMIF(Budget!$EK$134:$EK$148, "*"&amp;$J$8&amp;"*", Budget!$EN$134:$EN$148)</f>
        <v>0</v>
      </c>
      <c r="H42" s="2802">
        <f t="shared" si="2"/>
        <v>0</v>
      </c>
    </row>
    <row r="43" spans="1:8" x14ac:dyDescent="0.25">
      <c r="A43" s="2799">
        <f>COUNTIFS('DATA INPUT'!$H$51:$H$65, $J$9, 'DATA INPUT'!$K$51:$K$65, "&gt;0")</f>
        <v>0</v>
      </c>
      <c r="B43" s="2943">
        <f>IF(COUNTIF('DATA INPUT'!$H$51:$H$65,$J$9)&gt;0,$J$9,0)</f>
        <v>0</v>
      </c>
      <c r="C43" s="1604">
        <f>SUMIFS('DATA INPUT'!$K$51:$K$65,'DATA INPUT'!$H$51:$H$65,$J$9)</f>
        <v>0</v>
      </c>
      <c r="D43" s="1604"/>
      <c r="E43" s="1604"/>
      <c r="F43" s="2768">
        <f>SUMIF(Budget!$EK$63:$EK$77, "*"&amp;$J$9&amp;"*", Budget!$EN$63:$EN$77)</f>
        <v>0</v>
      </c>
      <c r="G43" s="2768">
        <f>SUMIF(Budget!$EK$134:$EK$148, "*"&amp;$J$9&amp;"*", Budget!$EN$134:$EN$148)</f>
        <v>0</v>
      </c>
      <c r="H43" s="2802">
        <f t="shared" si="2"/>
        <v>0</v>
      </c>
    </row>
    <row r="44" spans="1:8" x14ac:dyDescent="0.25">
      <c r="A44" s="2799">
        <f>COUNTIFS('DATA INPUT'!$H$51:$H$65, $J$10, 'DATA INPUT'!$K$51:$K$65, "&gt;0")</f>
        <v>0</v>
      </c>
      <c r="B44" s="2943">
        <f>IF(COUNTIF('DATA INPUT'!$H$51:$H$65,$J$10)&gt;0,$J$10,0)</f>
        <v>0</v>
      </c>
      <c r="C44" s="1604">
        <f>SUMIFS('DATA INPUT'!$K$51:$K$65,'DATA INPUT'!$H$51:$H$65,$J$10)</f>
        <v>0</v>
      </c>
      <c r="D44" s="1604"/>
      <c r="E44" s="1604"/>
      <c r="F44" s="2768">
        <f>SUMIF(Budget!$EK$63:$EK$77, "*"&amp;$J$10&amp;"*", Budget!$EN$63:$EN$77)</f>
        <v>0</v>
      </c>
      <c r="G44" s="2768">
        <f>SUMIF(Budget!$EK$134:$EK$148, "*"&amp;$J$10&amp;"*", Budget!$EN$134:$EN$148)</f>
        <v>0</v>
      </c>
      <c r="H44" s="2802">
        <f t="shared" si="2"/>
        <v>0</v>
      </c>
    </row>
    <row r="45" spans="1:8" x14ac:dyDescent="0.25">
      <c r="A45" s="2799">
        <f>COUNTIFS('DATA INPUT'!$H$51:$H$65, $J$11, 'DATA INPUT'!$K$51:$K$65, "&gt;0")</f>
        <v>0</v>
      </c>
      <c r="B45" s="2943">
        <f>IF(COUNTIF('DATA INPUT'!$H$51:$H$65,$J$11)&gt;0,$J$11,0)</f>
        <v>0</v>
      </c>
      <c r="C45" s="1604">
        <f>SUMIFS('DATA INPUT'!$K$51:$K$65,'DATA INPUT'!$H$51:$H$65,$J$11)</f>
        <v>0</v>
      </c>
      <c r="D45" s="1604"/>
      <c r="E45" s="1604"/>
      <c r="F45" s="2768">
        <f>SUMIF(Budget!$EK$63:$EK$77, "*"&amp;$J$11&amp;"*", Budget!$EN$63:$EN$77)</f>
        <v>0</v>
      </c>
      <c r="G45" s="2768">
        <f>SUMIF(Budget!$EK$134:$EK$148, "*"&amp;$J$11&amp;"*", Budget!$EN$134:$EN$148)</f>
        <v>0</v>
      </c>
      <c r="H45" s="2802">
        <f t="shared" si="2"/>
        <v>0</v>
      </c>
    </row>
    <row r="46" spans="1:8" x14ac:dyDescent="0.25">
      <c r="A46" s="2799">
        <f>COUNTIFS('DATA INPUT'!$H$51:$H$65, $J$12, 'DATA INPUT'!$K$51:$K$65, "&gt;0")</f>
        <v>0</v>
      </c>
      <c r="B46" s="2943">
        <f>IF(COUNTIF('DATA INPUT'!$H$51:$H$65,$J$12)&gt;0,$J$12,0)</f>
        <v>0</v>
      </c>
      <c r="C46" s="1604">
        <f>SUMIFS('DATA INPUT'!$K$51:$K$65,'DATA INPUT'!$H$51:$H$65,$J$12)</f>
        <v>0</v>
      </c>
      <c r="D46" s="1604"/>
      <c r="E46" s="1604"/>
      <c r="F46" s="2768">
        <f ca="1">SUMIF(Budget!$EK$63:$EK$77, "*"&amp;$J$12&amp;"*", Budget!$EN$63:$EN$77)</f>
        <v>0</v>
      </c>
      <c r="G46" s="2768">
        <f ca="1">SUMIF(Budget!$EK$134:$EK$148, "*"&amp;$J$12&amp;"*", Budget!$EN$134:$EN$148)</f>
        <v>0</v>
      </c>
      <c r="H46" s="2802">
        <f t="shared" ca="1" si="2"/>
        <v>0</v>
      </c>
    </row>
    <row r="47" spans="1:8" x14ac:dyDescent="0.25">
      <c r="A47" s="2803"/>
      <c r="B47" s="2943"/>
      <c r="C47" s="1604"/>
      <c r="D47" s="1604"/>
      <c r="E47" s="1604"/>
      <c r="F47" s="2768"/>
      <c r="G47" s="2768"/>
      <c r="H47" s="2802">
        <f t="shared" si="2"/>
        <v>0</v>
      </c>
    </row>
    <row r="48" spans="1:8" ht="15.75" thickBot="1" x14ac:dyDescent="0.3">
      <c r="A48" s="2804"/>
      <c r="B48" s="2944"/>
      <c r="C48" s="1906"/>
      <c r="D48" s="1906"/>
      <c r="E48" s="1906"/>
      <c r="F48" s="2776"/>
      <c r="G48" s="2776"/>
      <c r="H48" s="2805">
        <f t="shared" si="2"/>
        <v>0</v>
      </c>
    </row>
    <row r="50" spans="1:8" x14ac:dyDescent="0.25">
      <c r="A50" s="225" t="s">
        <v>940</v>
      </c>
      <c r="B50" s="225"/>
      <c r="C50" s="2806"/>
      <c r="D50" s="2806"/>
      <c r="E50" s="2806"/>
      <c r="F50" s="2781"/>
      <c r="G50" s="672" t="s">
        <v>941</v>
      </c>
      <c r="H50" s="2818">
        <f ca="1">SUM(H39:H48)</f>
        <v>0</v>
      </c>
    </row>
    <row r="51" spans="1:8" x14ac:dyDescent="0.25">
      <c r="A51" s="2819">
        <f>SUM(A39:A48)</f>
        <v>0</v>
      </c>
      <c r="G51" s="672" t="s">
        <v>942</v>
      </c>
      <c r="H51" s="2818">
        <f ca="1" xml:space="preserve"> H50 +'SF RR Budget - Section A'!$N$4</f>
        <v>0</v>
      </c>
    </row>
    <row r="52" spans="1:8" ht="15.75" thickBot="1" x14ac:dyDescent="0.3"/>
    <row r="53" spans="1:8" x14ac:dyDescent="0.25">
      <c r="A53" s="2820" t="s">
        <v>945</v>
      </c>
      <c r="B53" s="2821"/>
      <c r="C53" s="2821"/>
      <c r="D53" s="2821"/>
      <c r="E53" s="2821"/>
      <c r="F53" s="2821"/>
      <c r="G53" s="2821"/>
      <c r="H53" s="2822"/>
    </row>
    <row r="54" spans="1:8" x14ac:dyDescent="0.25">
      <c r="A54" s="2759" t="s">
        <v>929</v>
      </c>
      <c r="B54" s="2797" t="s">
        <v>659</v>
      </c>
      <c r="C54" s="2797" t="s">
        <v>930</v>
      </c>
      <c r="D54" s="2797" t="s">
        <v>604</v>
      </c>
      <c r="E54" s="2797" t="s">
        <v>17</v>
      </c>
      <c r="F54" s="2797" t="s">
        <v>931</v>
      </c>
      <c r="G54" s="2797" t="s">
        <v>136</v>
      </c>
      <c r="H54" s="2126" t="s">
        <v>932</v>
      </c>
    </row>
    <row r="55" spans="1:8" x14ac:dyDescent="0.25">
      <c r="A55" s="2812" t="s">
        <v>221</v>
      </c>
      <c r="B55" s="2337" t="s">
        <v>933</v>
      </c>
      <c r="C55" s="2337" t="s">
        <v>636</v>
      </c>
      <c r="D55" s="2337" t="s">
        <v>636</v>
      </c>
      <c r="E55" s="2337" t="s">
        <v>636</v>
      </c>
      <c r="F55" s="2337" t="s">
        <v>326</v>
      </c>
      <c r="G55" s="2337" t="s">
        <v>934</v>
      </c>
      <c r="H55" s="2798" t="s">
        <v>931</v>
      </c>
    </row>
    <row r="56" spans="1:8" x14ac:dyDescent="0.25">
      <c r="A56" s="2799">
        <f>COUNTIFS('DATA INPUT'!$H$51:$H$65,"Postdoctoral Scholar", 'DATA INPUT'!$L$51:$L$65, "&gt;0")</f>
        <v>0</v>
      </c>
      <c r="B56" s="2943" t="s">
        <v>935</v>
      </c>
      <c r="C56" s="2800">
        <f>SUMIFS('DATA INPUT'!$L$51:$L$65,'DATA INPUT'!$H$51:$H$65,"Postdoctoral Scholar")</f>
        <v>0</v>
      </c>
      <c r="D56" s="2800"/>
      <c r="E56" s="2800"/>
      <c r="F56" s="2801">
        <f>SUMIF(Budget!$EK$63:$EK$77, "*"&amp;$J$7&amp;"*", Budget!$EO$63:$EO$77)</f>
        <v>0</v>
      </c>
      <c r="G56" s="2801">
        <f>SUMIF(Budget!$EK$134:$EK$148, "*"&amp;$J$7&amp;"*", Budget!$EO$134:$EO$148)</f>
        <v>0</v>
      </c>
      <c r="H56" s="2802">
        <f t="shared" ref="H56:H65" si="3">SUM(F56:G56)</f>
        <v>0</v>
      </c>
    </row>
    <row r="57" spans="1:8" x14ac:dyDescent="0.25">
      <c r="A57" s="2803">
        <f>SUM('DATA INPUT'!L$29:L$43)</f>
        <v>0</v>
      </c>
      <c r="B57" s="2943" t="s">
        <v>936</v>
      </c>
      <c r="C57" s="1604"/>
      <c r="D57" s="1604">
        <f ca="1">3*SUM(SUM(OFFSET('Calc - GRAD ASST'!$F$26, 0, 0, 2, 3)),
  SUM(OFFSET('Calc - GRAD ASST'!$F$26, 29, 0, 2, 3)),
  SUM(OFFSET('Calc - GRAD ASST'!$F$26, 58, 0, 2, 3)),
  SUM(OFFSET('Calc - GRAD ASST'!$F$26, 87, 0, 2, 3)),
  SUM(OFFSET('Calc - GRAD ASST'!$F$26, 116, 0, 2, 3)),
  SUM(OFFSET('Calc - GRAD ASST'!$F$26, 145, 0, 2, 3)),
  SUM(OFFSET('Calc - GRAD ASST'!$F$26, 174, 0, 2, 3)),
  SUM(OFFSET('Calc - GRAD ASST'!$F$26, 203, 0, 2, 3)),
  SUM(OFFSET('Calc - GRAD ASST'!$F$26, 232, 0, 2, 3)),
  SUM(OFFSET('Calc - GRAD ASST'!$F$26, 261, 0, 2, 3)),
  SUM(OFFSET('Calc - GRAD ASST'!$F$26, 290, 0, 2, 3)),
  SUM(OFFSET('Calc - GRAD ASST'!$F$26, 319, 0, 2, 3)),
  SUM(OFFSET('Calc - GRAD ASST'!$F$26, 348, 0, 2, 3)),
  SUM(OFFSET('Calc - GRAD ASST'!$F$26, 377, 0, 2, 3)),
  SUM(OFFSET('Calc - GRAD ASST'!$F$26, 406, 0, 2, 3)))</f>
        <v>0</v>
      </c>
      <c r="E57" s="1604">
        <f ca="1">3*SUM(SUM(OFFSET('Calc - GRAD ASST'!$C$26, 0, 0, 2, 1)),
  SUM(OFFSET('Calc - GRAD ASST'!$C$26, 29, 0, 2, 1)),
  SUM(OFFSET('Calc - GRAD ASST'!$C$26, 58, 0, 2, 1)),
  SUM(OFFSET('Calc - GRAD ASST'!$C$26, 87, 0, 2, 1)),
  SUM(OFFSET('Calc - GRAD ASST'!$C$26, 116, 0, 2, 1)),
  SUM(OFFSET('Calc - GRAD ASST'!$C$26, 145, 0, 2, 1)),
  SUM(OFFSET('Calc - GRAD ASST'!$C$26, 174, 0, 2, 1)),
  SUM(OFFSET('Calc - GRAD ASST'!$C$26, 203, 0, 2, 1)),
  SUM(OFFSET('Calc - GRAD ASST'!$C$26, 232, 0, 2, 1)),
  SUM(OFFSET('Calc - GRAD ASST'!$C$26, 261, 0, 2, 1)),
  SUM(OFFSET('Calc - GRAD ASST'!$C$26, 290, 0, 2, 1)),
  SUM(OFFSET('Calc - GRAD ASST'!$C$26, 319, 0, 2, 1)),
  SUM(OFFSET('Calc - GRAD ASST'!$C$26, 348, 0, 2, 1)),
  SUM(OFFSET('Calc - GRAD ASST'!$C$26, 377, 0, 2, 1)),
  SUM(OFFSET('Calc - GRAD ASST'!$C$26, 406, 0, 2, 1)))</f>
        <v>0</v>
      </c>
      <c r="F57" s="2768">
        <f ca="1">Budget!$EO$62</f>
        <v>0</v>
      </c>
      <c r="G57" s="2768">
        <f ca="1">Budget!$EO$133</f>
        <v>0</v>
      </c>
      <c r="H57" s="2802">
        <f t="shared" ca="1" si="3"/>
        <v>0</v>
      </c>
    </row>
    <row r="58" spans="1:8" x14ac:dyDescent="0.25">
      <c r="A58" s="2799">
        <f>COUNTIF('DATA INPUT'!$L$46:$L$48, "&gt;0")</f>
        <v>0</v>
      </c>
      <c r="B58" s="2943" t="s">
        <v>938</v>
      </c>
      <c r="C58" s="1604">
        <f>SUM('DATA INPUT'!$L$46:$L$48)/173.33</f>
        <v>0</v>
      </c>
      <c r="D58" s="1604"/>
      <c r="E58" s="1604"/>
      <c r="F58" s="2768">
        <f>Budget!$EO$82</f>
        <v>0</v>
      </c>
      <c r="G58" s="2768">
        <f>Budget!$EO$153</f>
        <v>0</v>
      </c>
      <c r="H58" s="2802">
        <f t="shared" si="3"/>
        <v>0</v>
      </c>
    </row>
    <row r="59" spans="1:8" x14ac:dyDescent="0.25">
      <c r="A59" s="2799">
        <f>COUNTIFS('DATA INPUT'!$H$51:$H$65, $J$8, 'DATA INPUT'!$L$51:$L$65, "&gt;0")</f>
        <v>0</v>
      </c>
      <c r="B59" s="2943" t="s">
        <v>939</v>
      </c>
      <c r="C59" s="1604">
        <f>SUMIFS('DATA INPUT'!$L$51:$L$65,'DATA INPUT'!$H$51:$H$65,$J$8)</f>
        <v>0</v>
      </c>
      <c r="D59" s="1604"/>
      <c r="E59" s="1604"/>
      <c r="F59" s="2768">
        <f>SUMIF(Budget!$EK$63:$EK$77, "*"&amp;$J$8&amp;"*", Budget!$EO$63:$EO$77)</f>
        <v>0</v>
      </c>
      <c r="G59" s="2768">
        <f>SUMIF(Budget!$EK$134:$EK$148, "*"&amp;$J$8&amp;"*", Budget!$EO$134:$EO$148)</f>
        <v>0</v>
      </c>
      <c r="H59" s="2802">
        <f t="shared" si="3"/>
        <v>0</v>
      </c>
    </row>
    <row r="60" spans="1:8" x14ac:dyDescent="0.25">
      <c r="A60" s="2799">
        <f>COUNTIFS('DATA INPUT'!$H$51:$H$65, $J$9, 'DATA INPUT'!$L$51:$L$65, "&gt;0")</f>
        <v>0</v>
      </c>
      <c r="B60" s="2943">
        <f>IF(COUNTIF('DATA INPUT'!$H$51:$H$65,$J$9)&gt;0,$J$9,0)</f>
        <v>0</v>
      </c>
      <c r="C60" s="1604">
        <f>SUMIFS('DATA INPUT'!$L$51:$L$65,'DATA INPUT'!$H$51:$H$65,$J$9)</f>
        <v>0</v>
      </c>
      <c r="D60" s="1604"/>
      <c r="E60" s="1604"/>
      <c r="F60" s="2768">
        <f>SUMIF(Budget!$EK$63:$EK$77, "*"&amp;$J$9&amp;"*", Budget!$EO$63:$EO$77)</f>
        <v>0</v>
      </c>
      <c r="G60" s="2768">
        <f>SUMIF(Budget!$EK$134:$EK$148, "*"&amp;$J$9&amp;"*", Budget!$EO$134:$EO$148)</f>
        <v>0</v>
      </c>
      <c r="H60" s="2802">
        <f t="shared" si="3"/>
        <v>0</v>
      </c>
    </row>
    <row r="61" spans="1:8" x14ac:dyDescent="0.25">
      <c r="A61" s="2799">
        <f>COUNTIFS('DATA INPUT'!$H$51:$H$65, $J$10, 'DATA INPUT'!$L$51:$L$65, "&gt;0")</f>
        <v>0</v>
      </c>
      <c r="B61" s="2943">
        <f>IF(COUNTIF('DATA INPUT'!$H$51:$H$65,$J$10)&gt;0,$J$10,0)</f>
        <v>0</v>
      </c>
      <c r="C61" s="1604">
        <f>SUMIFS('DATA INPUT'!$L$51:$L$65,'DATA INPUT'!$H$51:$H$65,$J$10)</f>
        <v>0</v>
      </c>
      <c r="D61" s="1604"/>
      <c r="E61" s="1604"/>
      <c r="F61" s="2768">
        <f>SUMIF(Budget!$EK$63:$EK$77, "*"&amp;$J$10&amp;"*", Budget!$EO$63:$EO$77)</f>
        <v>0</v>
      </c>
      <c r="G61" s="2768">
        <f>SUMIF(Budget!$EK$134:$EK$148, "*"&amp;$J$10&amp;"*", Budget!$EO$134:$EO$148)</f>
        <v>0</v>
      </c>
      <c r="H61" s="2802">
        <f t="shared" si="3"/>
        <v>0</v>
      </c>
    </row>
    <row r="62" spans="1:8" x14ac:dyDescent="0.25">
      <c r="A62" s="2799">
        <f>COUNTIFS('DATA INPUT'!$H$51:$H$65, $J$11, 'DATA INPUT'!$L$51:$L$65, "&gt;0")</f>
        <v>0</v>
      </c>
      <c r="B62" s="2943">
        <f>IF(COUNTIF('DATA INPUT'!$H$51:$H$65,$J$11)&gt;0,$J$11,0)</f>
        <v>0</v>
      </c>
      <c r="C62" s="1604">
        <f>SUMIFS('DATA INPUT'!$L$51:$L$65,'DATA INPUT'!$H$51:$H$65,$J$11)</f>
        <v>0</v>
      </c>
      <c r="D62" s="1604"/>
      <c r="E62" s="1604"/>
      <c r="F62" s="2768">
        <f>SUMIF(Budget!$EK$63:$EK$77, "*"&amp;$J$11&amp;"*", Budget!$EO$63:$EO$77)</f>
        <v>0</v>
      </c>
      <c r="G62" s="2768">
        <f>SUMIF(Budget!$EK$134:$EK$148, "*"&amp;$J$11&amp;"*", Budget!$EO$134:$EO$148)</f>
        <v>0</v>
      </c>
      <c r="H62" s="2802">
        <f t="shared" si="3"/>
        <v>0</v>
      </c>
    </row>
    <row r="63" spans="1:8" x14ac:dyDescent="0.25">
      <c r="A63" s="2799">
        <f>COUNTIFS('DATA INPUT'!$H$51:$H$65, $J$12, 'DATA INPUT'!$L$51:$L$65, "&gt;0")</f>
        <v>0</v>
      </c>
      <c r="B63" s="2943">
        <f>IF(COUNTIF('DATA INPUT'!$H$51:$H$65,$J$12)&gt;0,$J$12,0)</f>
        <v>0</v>
      </c>
      <c r="C63" s="1604">
        <f>SUMIFS('DATA INPUT'!$L$51:$L$65,'DATA INPUT'!$H$51:$H$65,$J$12)</f>
        <v>0</v>
      </c>
      <c r="D63" s="1604"/>
      <c r="E63" s="1604"/>
      <c r="F63" s="2768">
        <f ca="1">SUMIF(Budget!$EK$63:$EK$77, "*"&amp;$J$12&amp;"*", Budget!$EO$63:$EO$77)</f>
        <v>0</v>
      </c>
      <c r="G63" s="2768">
        <f ca="1">SUMIF(Budget!$EK$134:$EK$148, "*"&amp;$J$12&amp;"*", Budget!$EO$134:$EO$148)</f>
        <v>0</v>
      </c>
      <c r="H63" s="2802">
        <f t="shared" ca="1" si="3"/>
        <v>0</v>
      </c>
    </row>
    <row r="64" spans="1:8" x14ac:dyDescent="0.25">
      <c r="A64" s="2803"/>
      <c r="B64" s="2943"/>
      <c r="C64" s="1604"/>
      <c r="D64" s="1604"/>
      <c r="E64" s="1604"/>
      <c r="F64" s="2768"/>
      <c r="G64" s="2768"/>
      <c r="H64" s="2802">
        <f t="shared" si="3"/>
        <v>0</v>
      </c>
    </row>
    <row r="65" spans="1:8" ht="15.75" thickBot="1" x14ac:dyDescent="0.3">
      <c r="A65" s="2804"/>
      <c r="B65" s="2944"/>
      <c r="C65" s="1906"/>
      <c r="D65" s="1906"/>
      <c r="E65" s="1906"/>
      <c r="F65" s="2776"/>
      <c r="G65" s="2776"/>
      <c r="H65" s="2805">
        <f t="shared" si="3"/>
        <v>0</v>
      </c>
    </row>
    <row r="67" spans="1:8" x14ac:dyDescent="0.25">
      <c r="A67" s="225" t="s">
        <v>940</v>
      </c>
      <c r="B67" s="225"/>
      <c r="C67" s="2806"/>
      <c r="D67" s="2806"/>
      <c r="E67" s="2806"/>
      <c r="F67" s="2781"/>
      <c r="G67" s="672" t="s">
        <v>941</v>
      </c>
      <c r="H67" s="2823">
        <f ca="1">SUM(H56:H65)</f>
        <v>0</v>
      </c>
    </row>
    <row r="68" spans="1:8" x14ac:dyDescent="0.25">
      <c r="A68" s="2824">
        <f>SUM(A56:A65)</f>
        <v>0</v>
      </c>
      <c r="G68" s="672" t="s">
        <v>942</v>
      </c>
      <c r="H68" s="2823">
        <f ca="1" xml:space="preserve"> H67 +'SF RR Budget - Section A'!$O$4</f>
        <v>0</v>
      </c>
    </row>
    <row r="69" spans="1:8" ht="15.75" thickBot="1" x14ac:dyDescent="0.3"/>
    <row r="70" spans="1:8" x14ac:dyDescent="0.25">
      <c r="A70" s="2825" t="s">
        <v>946</v>
      </c>
      <c r="B70" s="2826"/>
      <c r="C70" s="2826"/>
      <c r="D70" s="2826"/>
      <c r="E70" s="2826"/>
      <c r="F70" s="2826"/>
      <c r="G70" s="2826"/>
      <c r="H70" s="2827"/>
    </row>
    <row r="71" spans="1:8" x14ac:dyDescent="0.25">
      <c r="A71" s="2759" t="s">
        <v>929</v>
      </c>
      <c r="B71" s="2797" t="s">
        <v>659</v>
      </c>
      <c r="C71" s="2797" t="s">
        <v>930</v>
      </c>
      <c r="D71" s="2797" t="s">
        <v>604</v>
      </c>
      <c r="E71" s="2797" t="s">
        <v>17</v>
      </c>
      <c r="F71" s="2797" t="s">
        <v>931</v>
      </c>
      <c r="G71" s="2797" t="s">
        <v>136</v>
      </c>
      <c r="H71" s="2126" t="s">
        <v>932</v>
      </c>
    </row>
    <row r="72" spans="1:8" x14ac:dyDescent="0.25">
      <c r="A72" s="2812" t="s">
        <v>221</v>
      </c>
      <c r="B72" s="2337" t="s">
        <v>933</v>
      </c>
      <c r="C72" s="2337" t="s">
        <v>636</v>
      </c>
      <c r="D72" s="2337" t="s">
        <v>636</v>
      </c>
      <c r="E72" s="2337" t="s">
        <v>636</v>
      </c>
      <c r="F72" s="2337" t="s">
        <v>326</v>
      </c>
      <c r="G72" s="2337" t="s">
        <v>934</v>
      </c>
      <c r="H72" s="2798" t="s">
        <v>931</v>
      </c>
    </row>
    <row r="73" spans="1:8" x14ac:dyDescent="0.25">
      <c r="A73" s="2799">
        <f>COUNTIFS('DATA INPUT'!$H$51:$H$65,"Postdoctoral Scholar", 'DATA INPUT'!$M$51:$M$65, "&gt;0")</f>
        <v>0</v>
      </c>
      <c r="B73" s="2943" t="s">
        <v>935</v>
      </c>
      <c r="C73" s="2800">
        <f>SUMIFS('DATA INPUT'!$M$51:$M$65,'DATA INPUT'!$H$51:$H$65,"Postdoctoral Scholar")</f>
        <v>0</v>
      </c>
      <c r="D73" s="2800"/>
      <c r="E73" s="2800"/>
      <c r="F73" s="2801">
        <f>SUMIF(Budget!$EK$63:$EK$77, "*"&amp;$J$7&amp;"*", Budget!$EP$63:$EP$77)</f>
        <v>0</v>
      </c>
      <c r="G73" s="2801">
        <f>SUMIF(Budget!$EK$134:$EK$148, "*"&amp;$J$7&amp;"*", Budget!$EP$134:$EP$148)</f>
        <v>0</v>
      </c>
      <c r="H73" s="2802">
        <f t="shared" ref="H73:H82" si="4">SUM(F73:G73)</f>
        <v>0</v>
      </c>
    </row>
    <row r="74" spans="1:8" x14ac:dyDescent="0.25">
      <c r="A74" s="2803">
        <f>SUM('DATA INPUT'!M$29:M$43)</f>
        <v>0</v>
      </c>
      <c r="B74" s="2943" t="s">
        <v>936</v>
      </c>
      <c r="C74" s="1604"/>
      <c r="D74" s="1604">
        <f ca="1">3*SUM(SUM(OFFSET('Calc - GRAD ASST'!$F$28, 0, 0, 2, 3)),
  SUM(OFFSET('Calc - GRAD ASST'!$F$28, 29, 0, 2, 3)),
  SUM(OFFSET('Calc - GRAD ASST'!$F$28, 58, 0, 2, 3)),
  SUM(OFFSET('Calc - GRAD ASST'!$F$28, 87, 0, 2, 3)),
  SUM(OFFSET('Calc - GRAD ASST'!$F$28, 116, 0, 2, 3)),
  SUM(OFFSET('Calc - GRAD ASST'!$F$28, 145, 0, 2, 3)),
  SUM(OFFSET('Calc - GRAD ASST'!$F$28, 174, 0, 2, 3)),
  SUM(OFFSET('Calc - GRAD ASST'!$F$28, 203, 0, 2, 3)),
  SUM(OFFSET('Calc - GRAD ASST'!$F$28, 232, 0, 2, 3)),
  SUM(OFFSET('Calc - GRAD ASST'!$F$28, 261, 0, 2, 3)),
  SUM(OFFSET('Calc - GRAD ASST'!$F$28, 290, 0, 2, 3)),
  SUM(OFFSET('Calc - GRAD ASST'!$F$28, 319, 0, 2, 3)),
  SUM(OFFSET('Calc - GRAD ASST'!$F$28, 348, 0, 2, 3)),
  SUM(OFFSET('Calc - GRAD ASST'!$F$28, 377, 0, 2, 3)),
  SUM(OFFSET('Calc - GRAD ASST'!$F$28, 406, 0, 2, 3)))</f>
        <v>0</v>
      </c>
      <c r="E74" s="1604">
        <f ca="1">3*SUM(SUM(OFFSET('Calc - GRAD ASST'!$C$28, 0, 0, 2, 1)),
  SUM(OFFSET('Calc - GRAD ASST'!$C$28, 29, 0, 2, 1)),
  SUM(OFFSET('Calc - GRAD ASST'!$C$28, 58, 0, 2, 1)),
  SUM(OFFSET('Calc - GRAD ASST'!$C$28, 87, 0, 2, 1)),
  SUM(OFFSET('Calc - GRAD ASST'!$C$28, 116, 0, 2, 1)),
  SUM(OFFSET('Calc - GRAD ASST'!$C$28, 145, 0, 2, 1)),
  SUM(OFFSET('Calc - GRAD ASST'!$C$28, 174, 0, 2, 1)),
  SUM(OFFSET('Calc - GRAD ASST'!$C$28, 203, 0, 2, 1)),
  SUM(OFFSET('Calc - GRAD ASST'!$C$28, 232, 0, 2, 1)),
  SUM(OFFSET('Calc - GRAD ASST'!$C$28, 261, 0, 2, 1)),
  SUM(OFFSET('Calc - GRAD ASST'!$C$28, 290, 0, 2, 1)),
  SUM(OFFSET('Calc - GRAD ASST'!$C$28, 319, 0, 2, 1)),
  SUM(OFFSET('Calc - GRAD ASST'!$C$28, 348, 0, 2, 1)),
  SUM(OFFSET('Calc - GRAD ASST'!$C$28, 377, 0, 2, 1)),
  SUM(OFFSET('Calc - GRAD ASST'!$C$28, 406, 0, 2, 1)))</f>
        <v>0</v>
      </c>
      <c r="F74" s="2768">
        <f ca="1">Budget!$EP$62</f>
        <v>0</v>
      </c>
      <c r="G74" s="2768">
        <f ca="1">Budget!$EP$133</f>
        <v>0</v>
      </c>
      <c r="H74" s="2802">
        <f t="shared" ca="1" si="4"/>
        <v>0</v>
      </c>
    </row>
    <row r="75" spans="1:8" x14ac:dyDescent="0.25">
      <c r="A75" s="2799">
        <f>COUNTIF('DATA INPUT'!$M$46:$M$48, "&gt;0")</f>
        <v>0</v>
      </c>
      <c r="B75" s="2943" t="s">
        <v>938</v>
      </c>
      <c r="C75" s="1604">
        <f>SUM('DATA INPUT'!$M$46:$M$48)/173.33</f>
        <v>0</v>
      </c>
      <c r="D75" s="1604"/>
      <c r="E75" s="1604"/>
      <c r="F75" s="2768">
        <f>Budget!$EP$82</f>
        <v>0</v>
      </c>
      <c r="G75" s="2768">
        <f>Budget!$EP$153</f>
        <v>0</v>
      </c>
      <c r="H75" s="2802">
        <f t="shared" si="4"/>
        <v>0</v>
      </c>
    </row>
    <row r="76" spans="1:8" x14ac:dyDescent="0.25">
      <c r="A76" s="2799">
        <f>COUNTIFS('DATA INPUT'!$H$51:$H$65, $J$8, 'DATA INPUT'!$M$51:$M$65, "&gt;0")</f>
        <v>0</v>
      </c>
      <c r="B76" s="2943" t="s">
        <v>939</v>
      </c>
      <c r="C76" s="1604">
        <f>SUMIFS('DATA INPUT'!$M$51:$M$65,'DATA INPUT'!$H$51:$H$65,$J$8)</f>
        <v>0</v>
      </c>
      <c r="D76" s="1604"/>
      <c r="E76" s="1604"/>
      <c r="F76" s="2768">
        <f>SUMIF(Budget!$EK$63:$EK$77, "*"&amp;$J$8&amp;"*", Budget!$EP$63:$EP$77)</f>
        <v>0</v>
      </c>
      <c r="G76" s="2768">
        <f>SUMIF(Budget!$EK$134:$EK$148, "*"&amp;$J$8&amp;"*", Budget!$EP$134:$EP$148)</f>
        <v>0</v>
      </c>
      <c r="H76" s="2802">
        <f t="shared" si="4"/>
        <v>0</v>
      </c>
    </row>
    <row r="77" spans="1:8" x14ac:dyDescent="0.25">
      <c r="A77" s="2799">
        <f>COUNTIFS('DATA INPUT'!$H$51:$H$65, $J$9, 'DATA INPUT'!$M$51:$M$65, "&gt;0")</f>
        <v>0</v>
      </c>
      <c r="B77" s="2943">
        <f>IF(COUNTIF('DATA INPUT'!$H$51:$H$65,$J$9)&gt;0,$J$9,0)</f>
        <v>0</v>
      </c>
      <c r="C77" s="1604">
        <f>SUMIFS('DATA INPUT'!$M$51:$M$65,'DATA INPUT'!$H$51:$H$65,$J$9)</f>
        <v>0</v>
      </c>
      <c r="D77" s="1604"/>
      <c r="E77" s="1604"/>
      <c r="F77" s="2768">
        <f>SUMIF(Budget!$EK$63:$EK$77, "*"&amp;$J$9&amp;"*", Budget!$EP$63:$EP$77)</f>
        <v>0</v>
      </c>
      <c r="G77" s="2768">
        <f>SUMIF(Budget!$EK$134:$EK$148, "*"&amp;$J$9&amp;"*", Budget!$EP$134:$EP$148)</f>
        <v>0</v>
      </c>
      <c r="H77" s="2802">
        <f t="shared" si="4"/>
        <v>0</v>
      </c>
    </row>
    <row r="78" spans="1:8" x14ac:dyDescent="0.25">
      <c r="A78" s="2799">
        <f>COUNTIFS('DATA INPUT'!$H$51:$H$65, $J$10, 'DATA INPUT'!$M$51:$M$65, "&gt;0")</f>
        <v>0</v>
      </c>
      <c r="B78" s="2943">
        <f>IF(COUNTIF('DATA INPUT'!$H$51:$H$65,$J$10)&gt;0,$J$10,0)</f>
        <v>0</v>
      </c>
      <c r="C78" s="1604">
        <f>SUMIFS('DATA INPUT'!$M$51:$M$65,'DATA INPUT'!$H$51:$H$65,$J$10)</f>
        <v>0</v>
      </c>
      <c r="D78" s="1604"/>
      <c r="E78" s="1604"/>
      <c r="F78" s="2768">
        <f>SUMIF(Budget!$EK$63:$EK$77, "*"&amp;$J$10&amp;"*", Budget!$EP$63:$EP$77)</f>
        <v>0</v>
      </c>
      <c r="G78" s="2768">
        <f>SUMIF(Budget!$EK$134:$EK$148, "*"&amp;$J$10&amp;"*", Budget!$EP$134:$EP$148)</f>
        <v>0</v>
      </c>
      <c r="H78" s="2802">
        <f t="shared" si="4"/>
        <v>0</v>
      </c>
    </row>
    <row r="79" spans="1:8" x14ac:dyDescent="0.25">
      <c r="A79" s="2799">
        <f>COUNTIFS('DATA INPUT'!$H$51:$H$65, $J$11, 'DATA INPUT'!$M$51:$M$65, "&gt;0")</f>
        <v>0</v>
      </c>
      <c r="B79" s="2943">
        <f>IF(COUNTIF('DATA INPUT'!$H$51:$H$65,$J$11)&gt;0,$J$11,0)</f>
        <v>0</v>
      </c>
      <c r="C79" s="1604">
        <f>SUMIFS('DATA INPUT'!$M$51:$M$65,'DATA INPUT'!$H$51:$H$65,$J$11)</f>
        <v>0</v>
      </c>
      <c r="D79" s="1604"/>
      <c r="E79" s="1604"/>
      <c r="F79" s="2768">
        <f>SUMIF(Budget!$EK$63:$EK$77, "*"&amp;$J$11&amp;"*", Budget!$EP$63:$EP$77)</f>
        <v>0</v>
      </c>
      <c r="G79" s="2768">
        <f>SUMIF(Budget!$EK$134:$EK$148, "*"&amp;$J$11&amp;"*", Budget!$EP$134:$EP$148)</f>
        <v>0</v>
      </c>
      <c r="H79" s="2802">
        <f t="shared" si="4"/>
        <v>0</v>
      </c>
    </row>
    <row r="80" spans="1:8" x14ac:dyDescent="0.25">
      <c r="A80" s="2799">
        <f>COUNTIFS('DATA INPUT'!$H$51:$H$65, $J$12, 'DATA INPUT'!$M$51:$M$65, "&gt;0")</f>
        <v>0</v>
      </c>
      <c r="B80" s="2943">
        <f>IF(COUNTIF('DATA INPUT'!$H$51:$H$65,$J$12)&gt;0,$J$12,0)</f>
        <v>0</v>
      </c>
      <c r="C80" s="1604">
        <f>SUMIFS('DATA INPUT'!$M$51:$M$65,'DATA INPUT'!$H$51:$H$65,$J$12)</f>
        <v>0</v>
      </c>
      <c r="D80" s="1604"/>
      <c r="E80" s="1604"/>
      <c r="F80" s="2768">
        <f ca="1">SUMIF(Budget!$EK$63:$EK$77, "*"&amp;$J$12&amp;"*", Budget!$EP$63:$EP$77)</f>
        <v>0</v>
      </c>
      <c r="G80" s="2768">
        <f ca="1">SUMIF(Budget!$EK$134:$EK$148, "*"&amp;$J$12&amp;"*", Budget!$EP$134:$EP$148)</f>
        <v>0</v>
      </c>
      <c r="H80" s="2802">
        <f t="shared" ca="1" si="4"/>
        <v>0</v>
      </c>
    </row>
    <row r="81" spans="1:8" x14ac:dyDescent="0.25">
      <c r="A81" s="2803"/>
      <c r="B81" s="2943"/>
      <c r="C81" s="1604"/>
      <c r="D81" s="1604"/>
      <c r="E81" s="1604"/>
      <c r="F81" s="2768"/>
      <c r="G81" s="2768"/>
      <c r="H81" s="2802">
        <f t="shared" si="4"/>
        <v>0</v>
      </c>
    </row>
    <row r="82" spans="1:8" ht="15.75" thickBot="1" x14ac:dyDescent="0.3">
      <c r="A82" s="2804"/>
      <c r="B82" s="2944"/>
      <c r="C82" s="1906"/>
      <c r="D82" s="1906"/>
      <c r="E82" s="1906"/>
      <c r="F82" s="2776"/>
      <c r="G82" s="2776"/>
      <c r="H82" s="2805">
        <f t="shared" si="4"/>
        <v>0</v>
      </c>
    </row>
    <row r="84" spans="1:8" x14ac:dyDescent="0.25">
      <c r="A84" s="225" t="s">
        <v>940</v>
      </c>
      <c r="B84" s="225"/>
      <c r="C84" s="2806"/>
      <c r="D84" s="2806"/>
      <c r="E84" s="2806"/>
      <c r="F84" s="2781"/>
      <c r="G84" s="672" t="s">
        <v>941</v>
      </c>
      <c r="H84" s="2828">
        <f ca="1">SUM(H73:H82)</f>
        <v>0</v>
      </c>
    </row>
    <row r="85" spans="1:8" x14ac:dyDescent="0.25">
      <c r="A85" s="2829">
        <f>SUM(A73:A82)</f>
        <v>0</v>
      </c>
      <c r="G85" s="672" t="s">
        <v>942</v>
      </c>
      <c r="H85" s="2828">
        <f ca="1" xml:space="preserve"> H84 +'SF RR Budget - Section A'!$P$4</f>
        <v>0</v>
      </c>
    </row>
    <row r="86" spans="1:8" ht="15.75" thickBot="1" x14ac:dyDescent="0.3"/>
    <row r="87" spans="1:8" x14ac:dyDescent="0.25">
      <c r="A87" s="2830" t="s">
        <v>947</v>
      </c>
      <c r="B87" s="2831"/>
      <c r="C87" s="2831"/>
      <c r="D87" s="2831"/>
      <c r="E87" s="2831"/>
      <c r="F87" s="2831"/>
      <c r="G87" s="2831"/>
      <c r="H87" s="2832"/>
    </row>
    <row r="88" spans="1:8" x14ac:dyDescent="0.25">
      <c r="A88" s="2759" t="s">
        <v>929</v>
      </c>
      <c r="B88" s="2797" t="s">
        <v>659</v>
      </c>
      <c r="C88" s="2797" t="s">
        <v>930</v>
      </c>
      <c r="D88" s="2797" t="s">
        <v>604</v>
      </c>
      <c r="E88" s="2797" t="s">
        <v>17</v>
      </c>
      <c r="F88" s="2797" t="s">
        <v>931</v>
      </c>
      <c r="G88" s="2797" t="s">
        <v>136</v>
      </c>
      <c r="H88" s="2126" t="s">
        <v>932</v>
      </c>
    </row>
    <row r="89" spans="1:8" x14ac:dyDescent="0.25">
      <c r="A89" s="2812" t="s">
        <v>221</v>
      </c>
      <c r="B89" s="2337" t="s">
        <v>933</v>
      </c>
      <c r="C89" s="2337" t="s">
        <v>636</v>
      </c>
      <c r="D89" s="2337" t="s">
        <v>636</v>
      </c>
      <c r="E89" s="2337" t="s">
        <v>636</v>
      </c>
      <c r="F89" s="2337" t="s">
        <v>326</v>
      </c>
      <c r="G89" s="2337" t="s">
        <v>934</v>
      </c>
      <c r="H89" s="2798" t="s">
        <v>931</v>
      </c>
    </row>
    <row r="90" spans="1:8" x14ac:dyDescent="0.25">
      <c r="A90" s="2799">
        <f>COUNTIFS('DATA INPUT'!$H$51:$H$65,"Postdoctoral Scholar", 'DATA INPUT'!$N$51:$N$65, "&gt;0")</f>
        <v>0</v>
      </c>
      <c r="B90" s="2943" t="s">
        <v>935</v>
      </c>
      <c r="C90" s="2800">
        <f>SUMIFS('DATA INPUT'!$N$51:$N$65,'DATA INPUT'!$H$51:$H$65,"Postdoctoral Scholar")</f>
        <v>0</v>
      </c>
      <c r="D90" s="2800"/>
      <c r="E90" s="2800"/>
      <c r="F90" s="2801">
        <f>SUMIF(Budget!$EK$63:$EK$77, "*"&amp;$J$7&amp;"*", Budget!$EQ$63:$EQ$77)</f>
        <v>0</v>
      </c>
      <c r="G90" s="2801">
        <f>SUMIF(Budget!$EK$134:$EK$148, "*"&amp;$J$7&amp;"*", Budget!$EQ$134:$EQ$148)</f>
        <v>0</v>
      </c>
      <c r="H90" s="2802">
        <f t="shared" ref="H90:H99" si="5">SUM(F90:G90)</f>
        <v>0</v>
      </c>
    </row>
    <row r="91" spans="1:8" x14ac:dyDescent="0.25">
      <c r="A91" s="2803">
        <f>SUM('DATA INPUT'!N$29:N$43)</f>
        <v>0</v>
      </c>
      <c r="B91" s="2943" t="s">
        <v>936</v>
      </c>
      <c r="C91" s="1604"/>
      <c r="D91" s="1604">
        <f ca="1">3*SUM(SUM(OFFSET('Calc - GRAD ASST'!$F$30, 0, 0, 2, 3)),
  SUM(OFFSET('Calc - GRAD ASST'!$F$30, 29, 0, 2, 3)),
  SUM(OFFSET('Calc - GRAD ASST'!$F$30, 58, 0, 2, 3)),
  SUM(OFFSET('Calc - GRAD ASST'!$F$30, 87, 0, 2, 3)),
  SUM(OFFSET('Calc - GRAD ASST'!$F$30, 116, 0, 2, 3)),
  SUM(OFFSET('Calc - GRAD ASST'!$F$30, 145, 0, 2, 3)),
  SUM(OFFSET('Calc - GRAD ASST'!$F$30, 174, 0, 2, 3)),
  SUM(OFFSET('Calc - GRAD ASST'!$F$30, 203, 0, 2, 3)),
  SUM(OFFSET('Calc - GRAD ASST'!$F$30, 232, 0, 2, 3)),
  SUM(OFFSET('Calc - GRAD ASST'!$F$30, 261, 0, 2, 3)),
  SUM(OFFSET('Calc - GRAD ASST'!$F$30, 290, 0, 2, 3)),
  SUM(OFFSET('Calc - GRAD ASST'!$F$30, 319, 0, 2, 3)),
  SUM(OFFSET('Calc - GRAD ASST'!$F$30, 348, 0, 2, 3)),
  SUM(OFFSET('Calc - GRAD ASST'!$F$30, 377, 0, 2, 3)),
  SUM(OFFSET('Calc - GRAD ASST'!$F$30, 406, 0, 2, 3)))</f>
        <v>0</v>
      </c>
      <c r="E91" s="1604">
        <f ca="1">3*SUM(SUM(OFFSET('Calc - GRAD ASST'!$C$30, 0, 0, 2, 1)),
  SUM(OFFSET('Calc - GRAD ASST'!$C$30, 29, 0, 2, 1)),
  SUM(OFFSET('Calc - GRAD ASST'!$C$30, 58, 0, 2, 1)),
  SUM(OFFSET('Calc - GRAD ASST'!$C$30, 87, 0, 2, 1)),
  SUM(OFFSET('Calc - GRAD ASST'!$C$30, 116, 0, 2, 1)),
  SUM(OFFSET('Calc - GRAD ASST'!$C$30, 145, 0, 2, 1)),
  SUM(OFFSET('Calc - GRAD ASST'!$C$30, 174, 0, 2, 1)),
  SUM(OFFSET('Calc - GRAD ASST'!$C$30, 203, 0, 2, 1)),
  SUM(OFFSET('Calc - GRAD ASST'!$C$30, 232, 0, 2, 1)),
  SUM(OFFSET('Calc - GRAD ASST'!$C$30, 261, 0, 2, 1)),
  SUM(OFFSET('Calc - GRAD ASST'!$C$30, 290, 0, 2, 1)),
  SUM(OFFSET('Calc - GRAD ASST'!$C$30, 319, 0, 2, 1)),
  SUM(OFFSET('Calc - GRAD ASST'!$C$30, 348, 0, 2, 1)),
  SUM(OFFSET('Calc - GRAD ASST'!$C$30, 377, 0, 2, 1)),
  SUM(OFFSET('Calc - GRAD ASST'!$C$30, 406, 0, 2, 1)))</f>
        <v>0</v>
      </c>
      <c r="F91" s="2768">
        <f ca="1">Budget!$EQ$62</f>
        <v>0</v>
      </c>
      <c r="G91" s="2768">
        <f ca="1">Budget!$EQ$133</f>
        <v>0</v>
      </c>
      <c r="H91" s="2802">
        <f t="shared" ca="1" si="5"/>
        <v>0</v>
      </c>
    </row>
    <row r="92" spans="1:8" x14ac:dyDescent="0.25">
      <c r="A92" s="2799">
        <f>COUNTIF('DATA INPUT'!$N$46:$N$48, "&gt;0")</f>
        <v>0</v>
      </c>
      <c r="B92" s="2943" t="s">
        <v>938</v>
      </c>
      <c r="C92" s="1604">
        <f>SUM('DATA INPUT'!$N$46:$N$48)/173.33</f>
        <v>0</v>
      </c>
      <c r="D92" s="1604"/>
      <c r="E92" s="1604"/>
      <c r="F92" s="2768">
        <f>Budget!$EQ$82</f>
        <v>0</v>
      </c>
      <c r="G92" s="2768">
        <f>Budget!$EQ$153</f>
        <v>0</v>
      </c>
      <c r="H92" s="2802">
        <f t="shared" si="5"/>
        <v>0</v>
      </c>
    </row>
    <row r="93" spans="1:8" x14ac:dyDescent="0.25">
      <c r="A93" s="2799">
        <f>COUNTIFS('DATA INPUT'!$H$51:$H$65, $J$8, 'DATA INPUT'!$N$51:$N$65, "&gt;0")</f>
        <v>0</v>
      </c>
      <c r="B93" s="2943" t="s">
        <v>939</v>
      </c>
      <c r="C93" s="1604">
        <f>SUMIFS('DATA INPUT'!$N$51:$N$65,'DATA INPUT'!$H$51:$H$65,$J$8)</f>
        <v>0</v>
      </c>
      <c r="D93" s="1604"/>
      <c r="E93" s="1604"/>
      <c r="F93" s="2768">
        <f>SUMIF(Budget!$EK$63:$EK$77, "*"&amp;$J$8&amp;"*", Budget!$EQ$63:$EQ$77)</f>
        <v>0</v>
      </c>
      <c r="G93" s="2768">
        <f>SUMIF(Budget!$EK$134:$EK$148, "*"&amp;$J$8&amp;"*", Budget!$EQ$134:$EQ$148)</f>
        <v>0</v>
      </c>
      <c r="H93" s="2802">
        <f t="shared" si="5"/>
        <v>0</v>
      </c>
    </row>
    <row r="94" spans="1:8" x14ac:dyDescent="0.25">
      <c r="A94" s="2799">
        <f>COUNTIFS('DATA INPUT'!$H$51:$H$65, $J$9, 'DATA INPUT'!$N$51:$N$65, "&gt;0")</f>
        <v>0</v>
      </c>
      <c r="B94" s="2943">
        <f>IF(COUNTIF('DATA INPUT'!$H$51:$H$65,$J$9)&gt;0,$J$9,0)</f>
        <v>0</v>
      </c>
      <c r="C94" s="1604">
        <f>SUMIFS('DATA INPUT'!$N$51:$N$65,'DATA INPUT'!$H$51:$H$65,$J$9)</f>
        <v>0</v>
      </c>
      <c r="D94" s="1604"/>
      <c r="E94" s="1604"/>
      <c r="F94" s="2768">
        <f>SUMIF(Budget!$EK$63:$EK$77, "*"&amp;$J$9&amp;"*", Budget!$EQ$63:$EQ$77)</f>
        <v>0</v>
      </c>
      <c r="G94" s="2768">
        <f>SUMIF(Budget!$EK$134:$EK$148, "*"&amp;$J$9&amp;"*", Budget!$EQ$134:$EQ$148)</f>
        <v>0</v>
      </c>
      <c r="H94" s="2802">
        <f t="shared" si="5"/>
        <v>0</v>
      </c>
    </row>
    <row r="95" spans="1:8" x14ac:dyDescent="0.25">
      <c r="A95" s="2799">
        <f>COUNTIFS('DATA INPUT'!$H$51:$H$65, $J$10, 'DATA INPUT'!$N$51:$N$65, "&gt;0")</f>
        <v>0</v>
      </c>
      <c r="B95" s="2943">
        <f>IF(COUNTIF('DATA INPUT'!$H$51:$H$65,$J$10)&gt;0,$J$10,0)</f>
        <v>0</v>
      </c>
      <c r="C95" s="1604">
        <f>SUMIFS('DATA INPUT'!$N$51:$N$65,'DATA INPUT'!$H$51:$H$65,$J$10)</f>
        <v>0</v>
      </c>
      <c r="D95" s="1604"/>
      <c r="E95" s="1604"/>
      <c r="F95" s="2768">
        <f>SUMIF(Budget!$EK$63:$EK$77, "*"&amp;$J$10&amp;"*", Budget!$EQ$63:$EQ$77)</f>
        <v>0</v>
      </c>
      <c r="G95" s="2768">
        <f>SUMIF(Budget!$EK$134:$EK$148, "*"&amp;$J$10&amp;"*", Budget!$EQ$134:$EQ$148)</f>
        <v>0</v>
      </c>
      <c r="H95" s="2802">
        <f t="shared" si="5"/>
        <v>0</v>
      </c>
    </row>
    <row r="96" spans="1:8" x14ac:dyDescent="0.25">
      <c r="A96" s="2799">
        <f>COUNTIFS('DATA INPUT'!$H$51:$H$65, $J$11, 'DATA INPUT'!$N$51:$N$65, "&gt;0")</f>
        <v>0</v>
      </c>
      <c r="B96" s="2943">
        <f>IF(COUNTIF('DATA INPUT'!$H$51:$H$65,$J$11)&gt;0,$J$11,0)</f>
        <v>0</v>
      </c>
      <c r="C96" s="1604">
        <f>SUMIFS('DATA INPUT'!$N$51:$N$65,'DATA INPUT'!$H$51:$H$65,$J$11)</f>
        <v>0</v>
      </c>
      <c r="D96" s="1604"/>
      <c r="E96" s="1604"/>
      <c r="F96" s="2768">
        <f>SUMIF(Budget!$EK$63:$EK$77, "*"&amp;$J$11&amp;"*", Budget!$EQ$63:$EQ$77)</f>
        <v>0</v>
      </c>
      <c r="G96" s="2768">
        <f>SUMIF(Budget!$EK$134:$EK$148, "*"&amp;$J$11&amp;"*", Budget!$EQ$134:$EQ$148)</f>
        <v>0</v>
      </c>
      <c r="H96" s="2802">
        <f t="shared" si="5"/>
        <v>0</v>
      </c>
    </row>
    <row r="97" spans="1:8" x14ac:dyDescent="0.25">
      <c r="A97" s="2799">
        <f>COUNTIFS('DATA INPUT'!$H$51:$H$65, $J$12, 'DATA INPUT'!$N$51:$N$65, "&gt;0")</f>
        <v>0</v>
      </c>
      <c r="B97" s="2943">
        <f>IF(COUNTIF('DATA INPUT'!$H$51:$H$65,$J$12)&gt;0,$J$12,0)</f>
        <v>0</v>
      </c>
      <c r="C97" s="1604">
        <f>SUMIFS('DATA INPUT'!$N$51:$N$65,'DATA INPUT'!$H$51:$H$65,$J$12)</f>
        <v>0</v>
      </c>
      <c r="D97" s="1604"/>
      <c r="E97" s="1604"/>
      <c r="F97" s="2768">
        <f ca="1">SUMIF(Budget!$EK$63:$EK$77, "*"&amp;$J$12&amp;"*", Budget!$EQ$63:$EQ$77)</f>
        <v>0</v>
      </c>
      <c r="G97" s="2768">
        <f ca="1">SUMIF(Budget!$EK$134:$EK$148, "*"&amp;$J$12&amp;"*", Budget!$EQ$134:$EQ$148)</f>
        <v>0</v>
      </c>
      <c r="H97" s="2802">
        <f t="shared" ca="1" si="5"/>
        <v>0</v>
      </c>
    </row>
    <row r="98" spans="1:8" x14ac:dyDescent="0.25">
      <c r="A98" s="2803"/>
      <c r="B98" s="2943"/>
      <c r="C98" s="1604"/>
      <c r="D98" s="1604"/>
      <c r="E98" s="1604"/>
      <c r="F98" s="2768"/>
      <c r="G98" s="2768"/>
      <c r="H98" s="2802">
        <f t="shared" si="5"/>
        <v>0</v>
      </c>
    </row>
    <row r="99" spans="1:8" ht="15.75" thickBot="1" x14ac:dyDescent="0.3">
      <c r="A99" s="2804"/>
      <c r="B99" s="2944"/>
      <c r="C99" s="1906"/>
      <c r="D99" s="1906"/>
      <c r="E99" s="1906"/>
      <c r="F99" s="2776"/>
      <c r="G99" s="2776"/>
      <c r="H99" s="2805">
        <f t="shared" si="5"/>
        <v>0</v>
      </c>
    </row>
    <row r="101" spans="1:8" x14ac:dyDescent="0.25">
      <c r="A101" s="225" t="s">
        <v>940</v>
      </c>
      <c r="B101" s="225"/>
      <c r="C101" s="2806"/>
      <c r="D101" s="2806"/>
      <c r="E101" s="2806"/>
      <c r="F101" s="2781"/>
      <c r="G101" s="672" t="s">
        <v>941</v>
      </c>
      <c r="H101" s="2833">
        <f ca="1">SUM(H90:H99)</f>
        <v>0</v>
      </c>
    </row>
    <row r="102" spans="1:8" x14ac:dyDescent="0.25">
      <c r="A102" s="2834">
        <f>SUM(A90:A99)</f>
        <v>0</v>
      </c>
      <c r="G102" s="672" t="s">
        <v>942</v>
      </c>
      <c r="H102" s="2833">
        <f ca="1" xml:space="preserve"> H101 +'SF RR Budget - Section A'!$Q$4</f>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38C5D-09DB-4692-8DAC-F8E8B0A37814}">
  <sheetPr codeName="Sheet20">
    <tabColor theme="5" tint="0.59999389629810485"/>
  </sheetPr>
  <dimension ref="A1:I167"/>
  <sheetViews>
    <sheetView showGridLines="0" zoomScaleNormal="100" workbookViewId="0"/>
  </sheetViews>
  <sheetFormatPr defaultRowHeight="15" x14ac:dyDescent="0.25"/>
  <cols>
    <col min="1" max="1" width="2.42578125" customWidth="1"/>
    <col min="7" max="7" width="11.28515625" customWidth="1"/>
    <col min="9" max="9" width="18.5703125" customWidth="1"/>
  </cols>
  <sheetData>
    <row r="1" spans="1:9" ht="15.75" thickBot="1" x14ac:dyDescent="0.3">
      <c r="A1" s="2835" t="s">
        <v>928</v>
      </c>
      <c r="B1" s="2836"/>
      <c r="C1" s="2836"/>
      <c r="D1" s="2836"/>
      <c r="E1" s="2836"/>
      <c r="F1" s="2836"/>
      <c r="G1" s="2836"/>
      <c r="H1" s="2836"/>
      <c r="I1" s="2837"/>
    </row>
    <row r="2" spans="1:9" x14ac:dyDescent="0.25">
      <c r="A2" s="2838" t="s">
        <v>948</v>
      </c>
      <c r="B2" s="859" t="s">
        <v>949</v>
      </c>
      <c r="C2" s="668"/>
      <c r="D2" s="668"/>
      <c r="E2" s="668"/>
      <c r="F2" s="668"/>
      <c r="G2" s="668"/>
      <c r="H2" s="668"/>
      <c r="I2" s="1701"/>
    </row>
    <row r="3" spans="1:9" x14ac:dyDescent="0.25">
      <c r="A3" s="49"/>
      <c r="I3" s="1675"/>
    </row>
    <row r="4" spans="1:9" x14ac:dyDescent="0.25">
      <c r="A4" s="2839" t="s">
        <v>950</v>
      </c>
      <c r="I4" s="1675"/>
    </row>
    <row r="5" spans="1:9" ht="30" x14ac:dyDescent="0.25">
      <c r="A5" s="49"/>
      <c r="B5" s="1867" t="s">
        <v>951</v>
      </c>
      <c r="C5" s="1867"/>
      <c r="D5" s="1867"/>
      <c r="E5" s="1867"/>
      <c r="F5" s="1867"/>
      <c r="G5" s="1867"/>
      <c r="I5" s="1708" t="s">
        <v>952</v>
      </c>
    </row>
    <row r="6" spans="1:9" x14ac:dyDescent="0.25">
      <c r="A6" s="2803">
        <v>1</v>
      </c>
      <c r="B6" s="2500">
        <f>IF(ISBLANK('DATA INPUT'!$B$85),0,'DATA INPUT'!$B$85)</f>
        <v>0</v>
      </c>
      <c r="C6" s="1661"/>
      <c r="D6" s="1661"/>
      <c r="E6" s="1661"/>
      <c r="F6" s="1661"/>
      <c r="G6" s="1868"/>
      <c r="I6" s="2802" t="b">
        <f>IF('DATA INPUT'!$B$85&lt;&gt;"",Budget!D$159)</f>
        <v>0</v>
      </c>
    </row>
    <row r="7" spans="1:9" x14ac:dyDescent="0.25">
      <c r="A7" s="2803">
        <v>2</v>
      </c>
      <c r="B7" s="2500">
        <f>IF(ISBLANK('DATA INPUT'!$B$86),0,'DATA INPUT'!$B$86)</f>
        <v>0</v>
      </c>
      <c r="C7" s="1661"/>
      <c r="D7" s="1661"/>
      <c r="E7" s="1661"/>
      <c r="F7" s="1661"/>
      <c r="G7" s="1868"/>
      <c r="I7" s="2802" t="b">
        <f>IF('DATA INPUT'!$B$85&lt;&gt;"",Budget!D$160)</f>
        <v>0</v>
      </c>
    </row>
    <row r="8" spans="1:9" x14ac:dyDescent="0.25">
      <c r="A8" s="2803">
        <v>3</v>
      </c>
      <c r="B8" s="2500">
        <f>IF(ISBLANK('DATA INPUT'!$B$87),0,'DATA INPUT'!$B$87)</f>
        <v>0</v>
      </c>
      <c r="C8" s="1661"/>
      <c r="D8" s="1661"/>
      <c r="E8" s="1661"/>
      <c r="F8" s="1661"/>
      <c r="G8" s="1868"/>
      <c r="I8" s="2802" t="b">
        <f>IF('DATA INPUT'!$B$85&lt;&gt;"",Budget!D$161)</f>
        <v>0</v>
      </c>
    </row>
    <row r="9" spans="1:9" x14ac:dyDescent="0.25">
      <c r="A9" s="2803">
        <v>4</v>
      </c>
      <c r="B9" s="2500">
        <f>IF(ISBLANK('DATA INPUT'!$B$88),0,'DATA INPUT'!$B$88)</f>
        <v>0</v>
      </c>
      <c r="C9" s="1661"/>
      <c r="D9" s="1661"/>
      <c r="E9" s="1661"/>
      <c r="F9" s="1661"/>
      <c r="G9" s="1868"/>
      <c r="I9" s="2802" t="b">
        <f>IF('DATA INPUT'!$B$85&lt;&gt;"",Budget!D$162)</f>
        <v>0</v>
      </c>
    </row>
    <row r="10" spans="1:9" x14ac:dyDescent="0.25">
      <c r="A10" s="2803">
        <v>5</v>
      </c>
      <c r="B10" s="2500">
        <f>IF(ISBLANK('DATA INPUT'!$B$89),0,'DATA INPUT'!$B$89)</f>
        <v>0</v>
      </c>
      <c r="C10" s="1661"/>
      <c r="D10" s="1661"/>
      <c r="E10" s="1661"/>
      <c r="F10" s="1661"/>
      <c r="G10" s="1868"/>
      <c r="I10" s="2802" t="b">
        <f>IF('DATA INPUT'!$B$85&lt;&gt;"",Budget!D$163)</f>
        <v>0</v>
      </c>
    </row>
    <row r="11" spans="1:9" x14ac:dyDescent="0.25">
      <c r="A11" s="2803">
        <v>6</v>
      </c>
      <c r="B11" s="2500">
        <f>IF(ISBLANK('DATA INPUT'!$B$90),0,'DATA INPUT'!$B$90)</f>
        <v>0</v>
      </c>
      <c r="C11" s="1661"/>
      <c r="D11" s="1661"/>
      <c r="E11" s="1661"/>
      <c r="F11" s="1661"/>
      <c r="G11" s="1868"/>
      <c r="I11" s="2802" t="b">
        <f>IF('DATA INPUT'!$B$85&lt;&gt;"",Budget!D$164)</f>
        <v>0</v>
      </c>
    </row>
    <row r="12" spans="1:9" ht="15.75" thickBot="1" x14ac:dyDescent="0.3">
      <c r="A12" s="2840"/>
      <c r="B12" s="2841"/>
      <c r="C12" s="2841"/>
      <c r="D12" s="2841"/>
      <c r="E12" s="2841"/>
      <c r="F12" s="2841"/>
      <c r="G12" s="2841"/>
      <c r="H12" s="2842" t="s">
        <v>953</v>
      </c>
      <c r="I12" s="2843">
        <f>SUM(I6:I11)</f>
        <v>0</v>
      </c>
    </row>
    <row r="13" spans="1:9" x14ac:dyDescent="0.25">
      <c r="A13" s="653"/>
      <c r="B13" s="668"/>
      <c r="C13" s="668"/>
      <c r="D13" s="668"/>
      <c r="E13" s="668"/>
      <c r="F13" s="668"/>
      <c r="G13" s="668"/>
      <c r="H13" s="668"/>
      <c r="I13" s="1701"/>
    </row>
    <row r="14" spans="1:9" x14ac:dyDescent="0.25">
      <c r="A14" s="2839" t="s">
        <v>954</v>
      </c>
      <c r="B14" s="226" t="s">
        <v>12</v>
      </c>
      <c r="I14" s="1675"/>
    </row>
    <row r="15" spans="1:9" ht="30" x14ac:dyDescent="0.25">
      <c r="A15" s="49"/>
      <c r="I15" s="1708" t="s">
        <v>952</v>
      </c>
    </row>
    <row r="16" spans="1:9" x14ac:dyDescent="0.25">
      <c r="A16" s="2803">
        <v>1</v>
      </c>
      <c r="B16" s="2500" t="s">
        <v>955</v>
      </c>
      <c r="C16" s="1661"/>
      <c r="D16" s="1661"/>
      <c r="E16" s="1661"/>
      <c r="F16" s="1661"/>
      <c r="G16" s="1868"/>
      <c r="I16" s="2844">
        <f ca="1">Budget!D$168</f>
        <v>2489.87</v>
      </c>
    </row>
    <row r="17" spans="1:9" x14ac:dyDescent="0.25">
      <c r="A17" s="2803">
        <v>2</v>
      </c>
      <c r="B17" s="2500" t="s">
        <v>956</v>
      </c>
      <c r="C17" s="1661"/>
      <c r="D17" s="1661"/>
      <c r="E17" s="1661"/>
      <c r="F17" s="1661"/>
      <c r="G17" s="1868"/>
      <c r="I17" s="2844">
        <f ca="1">Budget!D$169</f>
        <v>0</v>
      </c>
    </row>
    <row r="18" spans="1:9" ht="15.75" thickBot="1" x14ac:dyDescent="0.3">
      <c r="A18" s="1697"/>
      <c r="B18" s="1676"/>
      <c r="C18" s="1676"/>
      <c r="D18" s="1676"/>
      <c r="E18" s="1676"/>
      <c r="F18" s="1676"/>
      <c r="G18" s="1676"/>
      <c r="H18" s="2842" t="s">
        <v>957</v>
      </c>
      <c r="I18" s="2843">
        <f ca="1">SUM(I16:I17)</f>
        <v>2489.87</v>
      </c>
    </row>
    <row r="19" spans="1:9" x14ac:dyDescent="0.25">
      <c r="A19" s="653"/>
      <c r="B19" s="668"/>
      <c r="C19" s="668"/>
      <c r="D19" s="668"/>
      <c r="E19" s="668"/>
      <c r="F19" s="668"/>
      <c r="G19" s="668"/>
      <c r="H19" s="668"/>
      <c r="I19" s="1701"/>
    </row>
    <row r="20" spans="1:9" x14ac:dyDescent="0.25">
      <c r="A20" s="2839" t="s">
        <v>958</v>
      </c>
      <c r="B20" s="226" t="s">
        <v>959</v>
      </c>
      <c r="I20" s="1675"/>
    </row>
    <row r="21" spans="1:9" ht="30" x14ac:dyDescent="0.25">
      <c r="A21" s="49"/>
      <c r="I21" s="1708" t="s">
        <v>952</v>
      </c>
    </row>
    <row r="22" spans="1:9" x14ac:dyDescent="0.25">
      <c r="A22" s="2803">
        <v>1</v>
      </c>
      <c r="B22" s="1661" t="s">
        <v>960</v>
      </c>
      <c r="C22" s="1661"/>
      <c r="D22" s="1661"/>
      <c r="E22" s="1661"/>
      <c r="F22" s="1661"/>
      <c r="G22" s="1868"/>
      <c r="I22" s="2802">
        <f>Budget!D$176</f>
        <v>0</v>
      </c>
    </row>
    <row r="23" spans="1:9" x14ac:dyDescent="0.25">
      <c r="A23" s="2803">
        <v>2</v>
      </c>
      <c r="B23" s="1661" t="s">
        <v>11</v>
      </c>
      <c r="C23" s="1661"/>
      <c r="D23" s="1661"/>
      <c r="E23" s="1661"/>
      <c r="F23" s="1661"/>
      <c r="G23" s="1868"/>
      <c r="I23" s="2802">
        <f>Budget!D$173</f>
        <v>0</v>
      </c>
    </row>
    <row r="24" spans="1:9" x14ac:dyDescent="0.25">
      <c r="A24" s="2803">
        <v>3</v>
      </c>
      <c r="B24" s="1661" t="s">
        <v>12</v>
      </c>
      <c r="C24" s="1661"/>
      <c r="D24" s="1661"/>
      <c r="E24" s="1661"/>
      <c r="F24" s="1661"/>
      <c r="G24" s="1868"/>
      <c r="I24" s="2802">
        <f>Budget!D$174</f>
        <v>0</v>
      </c>
    </row>
    <row r="25" spans="1:9" x14ac:dyDescent="0.25">
      <c r="A25" s="2803">
        <v>4</v>
      </c>
      <c r="B25" s="1661" t="s">
        <v>13</v>
      </c>
      <c r="C25" s="1661"/>
      <c r="D25" s="1661"/>
      <c r="E25" s="1661"/>
      <c r="F25" s="1661"/>
      <c r="G25" s="1868"/>
      <c r="I25" s="2802">
        <f>Budget!D$175</f>
        <v>0</v>
      </c>
    </row>
    <row r="26" spans="1:9" x14ac:dyDescent="0.25">
      <c r="A26" s="2803">
        <v>5</v>
      </c>
      <c r="B26" s="2845" t="s">
        <v>142</v>
      </c>
      <c r="C26" s="1873"/>
      <c r="D26" s="924"/>
      <c r="E26" s="2846"/>
      <c r="I26" s="2802"/>
    </row>
    <row r="27" spans="1:9" ht="15.75" thickBot="1" x14ac:dyDescent="0.3">
      <c r="A27" s="1697"/>
      <c r="B27" s="1676"/>
      <c r="C27" s="1676"/>
      <c r="D27" s="1702" t="s">
        <v>961</v>
      </c>
      <c r="E27" s="2847"/>
      <c r="F27" s="1676"/>
      <c r="G27" s="1676"/>
      <c r="H27" s="1702" t="s">
        <v>962</v>
      </c>
      <c r="I27" s="2848">
        <f>SUM(I22:I26)</f>
        <v>0</v>
      </c>
    </row>
    <row r="28" spans="1:9" ht="15.75" thickBot="1" x14ac:dyDescent="0.3"/>
    <row r="29" spans="1:9" ht="15.75" thickBot="1" x14ac:dyDescent="0.3">
      <c r="A29" s="2849" t="s">
        <v>943</v>
      </c>
      <c r="B29" s="2850"/>
      <c r="C29" s="2850"/>
      <c r="D29" s="2850"/>
      <c r="E29" s="2850"/>
      <c r="F29" s="2850"/>
      <c r="G29" s="2850"/>
      <c r="H29" s="2850"/>
      <c r="I29" s="2851"/>
    </row>
    <row r="30" spans="1:9" x14ac:dyDescent="0.25">
      <c r="A30" s="2838" t="s">
        <v>948</v>
      </c>
      <c r="B30" s="859" t="s">
        <v>949</v>
      </c>
      <c r="C30" s="668"/>
      <c r="D30" s="668"/>
      <c r="E30" s="668"/>
      <c r="F30" s="668"/>
      <c r="G30" s="668"/>
      <c r="H30" s="668"/>
      <c r="I30" s="1701"/>
    </row>
    <row r="31" spans="1:9" x14ac:dyDescent="0.25">
      <c r="A31" s="49"/>
      <c r="I31" s="1675"/>
    </row>
    <row r="32" spans="1:9" x14ac:dyDescent="0.25">
      <c r="A32" s="2839" t="s">
        <v>950</v>
      </c>
      <c r="I32" s="1675"/>
    </row>
    <row r="33" spans="1:9" ht="30" x14ac:dyDescent="0.25">
      <c r="A33" s="49"/>
      <c r="B33" s="1867" t="s">
        <v>951</v>
      </c>
      <c r="C33" s="1867"/>
      <c r="D33" s="1867"/>
      <c r="E33" s="1867"/>
      <c r="F33" s="1867"/>
      <c r="G33" s="1867"/>
      <c r="I33" s="1708" t="s">
        <v>952</v>
      </c>
    </row>
    <row r="34" spans="1:9" x14ac:dyDescent="0.25">
      <c r="A34" s="2803">
        <v>1</v>
      </c>
      <c r="B34" s="2500">
        <f>IF(ISBLANK('DATA INPUT'!$B$85),0,'DATA INPUT'!$B$85)</f>
        <v>0</v>
      </c>
      <c r="C34" s="1661"/>
      <c r="D34" s="1661"/>
      <c r="E34" s="1661"/>
      <c r="F34" s="1661"/>
      <c r="G34" s="1868"/>
      <c r="I34" s="2802" t="b">
        <f>IF('DATA INPUT'!$B$85&lt;&gt;"",Budget!E$159)</f>
        <v>0</v>
      </c>
    </row>
    <row r="35" spans="1:9" x14ac:dyDescent="0.25">
      <c r="A35" s="2803">
        <v>2</v>
      </c>
      <c r="B35" s="2500">
        <f>IF(ISBLANK('DATA INPUT'!$B$86),0,'DATA INPUT'!$B$86)</f>
        <v>0</v>
      </c>
      <c r="C35" s="1661"/>
      <c r="D35" s="1661"/>
      <c r="E35" s="1661"/>
      <c r="F35" s="1661"/>
      <c r="G35" s="1868"/>
      <c r="I35" s="2802" t="b">
        <f>IF('DATA INPUT'!$B$85&lt;&gt;"",Budget!E$160)</f>
        <v>0</v>
      </c>
    </row>
    <row r="36" spans="1:9" x14ac:dyDescent="0.25">
      <c r="A36" s="2803">
        <v>3</v>
      </c>
      <c r="B36" s="2500">
        <f>IF(ISBLANK('DATA INPUT'!$B$87),0,'DATA INPUT'!$B$87)</f>
        <v>0</v>
      </c>
      <c r="C36" s="1661"/>
      <c r="D36" s="1661"/>
      <c r="E36" s="1661"/>
      <c r="F36" s="1661"/>
      <c r="G36" s="1868"/>
      <c r="I36" s="2802" t="b">
        <f>IF('DATA INPUT'!$B$85&lt;&gt;"",Budget!E$161)</f>
        <v>0</v>
      </c>
    </row>
    <row r="37" spans="1:9" x14ac:dyDescent="0.25">
      <c r="A37" s="2803">
        <v>4</v>
      </c>
      <c r="B37" s="2500">
        <f>IF(ISBLANK('DATA INPUT'!$B$88),0,'DATA INPUT'!$B$88)</f>
        <v>0</v>
      </c>
      <c r="C37" s="1661"/>
      <c r="D37" s="1661"/>
      <c r="E37" s="1661"/>
      <c r="F37" s="1661"/>
      <c r="G37" s="1868"/>
      <c r="I37" s="2802" t="b">
        <f>IF('DATA INPUT'!$B$85&lt;&gt;"",Budget!E$162)</f>
        <v>0</v>
      </c>
    </row>
    <row r="38" spans="1:9" x14ac:dyDescent="0.25">
      <c r="A38" s="2803">
        <v>5</v>
      </c>
      <c r="B38" s="2500">
        <f>IF(ISBLANK('DATA INPUT'!$B$89),0,'DATA INPUT'!$B$89)</f>
        <v>0</v>
      </c>
      <c r="C38" s="1661"/>
      <c r="D38" s="1661"/>
      <c r="E38" s="1661"/>
      <c r="F38" s="1661"/>
      <c r="G38" s="1868"/>
      <c r="I38" s="2802" t="b">
        <f>IF('DATA INPUT'!$B$85&lt;&gt;"",Budget!E$163)</f>
        <v>0</v>
      </c>
    </row>
    <row r="39" spans="1:9" x14ac:dyDescent="0.25">
      <c r="A39" s="2803">
        <v>6</v>
      </c>
      <c r="B39" s="2500">
        <f>IF(ISBLANK('DATA INPUT'!$B$90),0,'DATA INPUT'!$B$90)</f>
        <v>0</v>
      </c>
      <c r="C39" s="1661"/>
      <c r="D39" s="1661"/>
      <c r="E39" s="1661"/>
      <c r="F39" s="1661"/>
      <c r="G39" s="1868"/>
      <c r="I39" s="2802" t="b">
        <f>IF('DATA INPUT'!$B$85&lt;&gt;"",Budget!E$164)</f>
        <v>0</v>
      </c>
    </row>
    <row r="40" spans="1:9" ht="15.75" thickBot="1" x14ac:dyDescent="0.3">
      <c r="A40" s="2840"/>
      <c r="B40" s="2841"/>
      <c r="C40" s="2841"/>
      <c r="D40" s="2841"/>
      <c r="E40" s="2841"/>
      <c r="F40" s="2841"/>
      <c r="G40" s="2841"/>
      <c r="H40" s="2842" t="s">
        <v>953</v>
      </c>
      <c r="I40" s="2852">
        <f>SUM(I34:I39)</f>
        <v>0</v>
      </c>
    </row>
    <row r="41" spans="1:9" x14ac:dyDescent="0.25">
      <c r="A41" s="653"/>
      <c r="B41" s="668"/>
      <c r="C41" s="668"/>
      <c r="D41" s="668"/>
      <c r="E41" s="668"/>
      <c r="F41" s="668"/>
      <c r="G41" s="668"/>
      <c r="H41" s="668"/>
      <c r="I41" s="1701"/>
    </row>
    <row r="42" spans="1:9" x14ac:dyDescent="0.25">
      <c r="A42" s="2839" t="s">
        <v>954</v>
      </c>
      <c r="B42" s="226" t="s">
        <v>12</v>
      </c>
      <c r="I42" s="1675"/>
    </row>
    <row r="43" spans="1:9" ht="30" x14ac:dyDescent="0.25">
      <c r="A43" s="49"/>
      <c r="I43" s="1708" t="s">
        <v>952</v>
      </c>
    </row>
    <row r="44" spans="1:9" x14ac:dyDescent="0.25">
      <c r="A44" s="2803">
        <v>1</v>
      </c>
      <c r="B44" s="2500" t="s">
        <v>955</v>
      </c>
      <c r="C44" s="1661"/>
      <c r="D44" s="1661"/>
      <c r="E44" s="1661"/>
      <c r="F44" s="1661"/>
      <c r="G44" s="1868"/>
      <c r="I44" s="2844">
        <f ca="1">Budget!E$168</f>
        <v>0</v>
      </c>
    </row>
    <row r="45" spans="1:9" x14ac:dyDescent="0.25">
      <c r="A45" s="2803">
        <v>2</v>
      </c>
      <c r="B45" s="2500" t="s">
        <v>956</v>
      </c>
      <c r="C45" s="1661"/>
      <c r="D45" s="1661"/>
      <c r="E45" s="1661"/>
      <c r="F45" s="1661"/>
      <c r="G45" s="1868"/>
      <c r="I45" s="2844">
        <f ca="1">Budget!E$169</f>
        <v>0</v>
      </c>
    </row>
    <row r="46" spans="1:9" ht="15.75" thickBot="1" x14ac:dyDescent="0.3">
      <c r="A46" s="1697"/>
      <c r="B46" s="1676"/>
      <c r="C46" s="1676"/>
      <c r="D46" s="1676"/>
      <c r="E46" s="1676"/>
      <c r="F46" s="1676"/>
      <c r="G46" s="1676"/>
      <c r="H46" s="2842" t="s">
        <v>957</v>
      </c>
      <c r="I46" s="2852">
        <f ca="1">SUM(I44:I45)</f>
        <v>0</v>
      </c>
    </row>
    <row r="47" spans="1:9" x14ac:dyDescent="0.25">
      <c r="A47" s="653"/>
      <c r="B47" s="668"/>
      <c r="C47" s="668"/>
      <c r="D47" s="668"/>
      <c r="E47" s="668"/>
      <c r="F47" s="668"/>
      <c r="G47" s="668"/>
      <c r="H47" s="668"/>
      <c r="I47" s="1701"/>
    </row>
    <row r="48" spans="1:9" x14ac:dyDescent="0.25">
      <c r="A48" s="2839" t="s">
        <v>958</v>
      </c>
      <c r="B48" s="226" t="s">
        <v>959</v>
      </c>
      <c r="I48" s="1675"/>
    </row>
    <row r="49" spans="1:9" ht="30" x14ac:dyDescent="0.25">
      <c r="A49" s="49"/>
      <c r="I49" s="1708" t="s">
        <v>952</v>
      </c>
    </row>
    <row r="50" spans="1:9" x14ac:dyDescent="0.25">
      <c r="A50" s="2803">
        <v>1</v>
      </c>
      <c r="B50" s="1661" t="s">
        <v>960</v>
      </c>
      <c r="C50" s="1661"/>
      <c r="D50" s="1661"/>
      <c r="E50" s="1661"/>
      <c r="F50" s="1661"/>
      <c r="G50" s="1868"/>
      <c r="I50" s="2802">
        <f>Budget!E$176</f>
        <v>0</v>
      </c>
    </row>
    <row r="51" spans="1:9" x14ac:dyDescent="0.25">
      <c r="A51" s="2803">
        <v>2</v>
      </c>
      <c r="B51" s="1661" t="s">
        <v>11</v>
      </c>
      <c r="C51" s="1661"/>
      <c r="D51" s="1661"/>
      <c r="E51" s="1661"/>
      <c r="F51" s="1661"/>
      <c r="G51" s="1868"/>
      <c r="I51" s="2802">
        <f>Budget!E$173</f>
        <v>0</v>
      </c>
    </row>
    <row r="52" spans="1:9" x14ac:dyDescent="0.25">
      <c r="A52" s="2803">
        <v>3</v>
      </c>
      <c r="B52" s="1661" t="s">
        <v>12</v>
      </c>
      <c r="C52" s="1661"/>
      <c r="D52" s="1661"/>
      <c r="E52" s="1661"/>
      <c r="F52" s="1661"/>
      <c r="G52" s="1868"/>
      <c r="I52" s="2802">
        <f>Budget!E$174</f>
        <v>0</v>
      </c>
    </row>
    <row r="53" spans="1:9" x14ac:dyDescent="0.25">
      <c r="A53" s="2803">
        <v>4</v>
      </c>
      <c r="B53" s="1661" t="s">
        <v>13</v>
      </c>
      <c r="C53" s="1661"/>
      <c r="D53" s="1661"/>
      <c r="E53" s="1661"/>
      <c r="F53" s="1661"/>
      <c r="G53" s="1868"/>
      <c r="I53" s="2802">
        <f>Budget!E$175</f>
        <v>0</v>
      </c>
    </row>
    <row r="54" spans="1:9" x14ac:dyDescent="0.25">
      <c r="A54" s="2803">
        <v>5</v>
      </c>
      <c r="B54" s="2845" t="s">
        <v>142</v>
      </c>
      <c r="C54" s="1873"/>
      <c r="D54" s="924"/>
      <c r="E54" s="2846"/>
      <c r="I54" s="2802"/>
    </row>
    <row r="55" spans="1:9" ht="15.75" thickBot="1" x14ac:dyDescent="0.3">
      <c r="A55" s="1697"/>
      <c r="B55" s="1676"/>
      <c r="C55" s="1676"/>
      <c r="D55" s="1702" t="s">
        <v>961</v>
      </c>
      <c r="E55" s="2853"/>
      <c r="F55" s="1676"/>
      <c r="G55" s="1676"/>
      <c r="H55" s="1702" t="s">
        <v>962</v>
      </c>
      <c r="I55" s="2854">
        <f>SUM(I50:I54)</f>
        <v>0</v>
      </c>
    </row>
    <row r="56" spans="1:9" ht="15.75" thickBot="1" x14ac:dyDescent="0.3"/>
    <row r="57" spans="1:9" ht="15.75" thickBot="1" x14ac:dyDescent="0.3">
      <c r="A57" s="2855" t="s">
        <v>944</v>
      </c>
      <c r="B57" s="2856"/>
      <c r="C57" s="2856"/>
      <c r="D57" s="2856"/>
      <c r="E57" s="2856"/>
      <c r="F57" s="2856"/>
      <c r="G57" s="2856"/>
      <c r="H57" s="2856"/>
      <c r="I57" s="2857"/>
    </row>
    <row r="58" spans="1:9" x14ac:dyDescent="0.25">
      <c r="A58" s="2838" t="s">
        <v>948</v>
      </c>
      <c r="B58" s="859" t="s">
        <v>949</v>
      </c>
      <c r="C58" s="668"/>
      <c r="D58" s="668"/>
      <c r="E58" s="668"/>
      <c r="F58" s="668"/>
      <c r="G58" s="668"/>
      <c r="H58" s="668"/>
      <c r="I58" s="1701"/>
    </row>
    <row r="59" spans="1:9" x14ac:dyDescent="0.25">
      <c r="A59" s="49"/>
      <c r="I59" s="1675"/>
    </row>
    <row r="60" spans="1:9" x14ac:dyDescent="0.25">
      <c r="A60" s="2839" t="s">
        <v>950</v>
      </c>
      <c r="I60" s="1675"/>
    </row>
    <row r="61" spans="1:9" ht="30" x14ac:dyDescent="0.25">
      <c r="A61" s="49"/>
      <c r="B61" s="1867" t="s">
        <v>951</v>
      </c>
      <c r="C61" s="1867"/>
      <c r="D61" s="1867"/>
      <c r="E61" s="1867"/>
      <c r="F61" s="1867"/>
      <c r="G61" s="1867"/>
      <c r="I61" s="1708" t="s">
        <v>952</v>
      </c>
    </row>
    <row r="62" spans="1:9" x14ac:dyDescent="0.25">
      <c r="A62" s="2803">
        <v>1</v>
      </c>
      <c r="B62" s="2500">
        <f>IF(ISBLANK('DATA INPUT'!$B$85),0,'DATA INPUT'!$B$85)</f>
        <v>0</v>
      </c>
      <c r="C62" s="1661"/>
      <c r="D62" s="1661"/>
      <c r="E62" s="1661"/>
      <c r="F62" s="1661"/>
      <c r="G62" s="1868"/>
      <c r="I62" s="2802" t="b">
        <f>IF('DATA INPUT'!$B$85&lt;&gt;"",Budget!F$159)</f>
        <v>0</v>
      </c>
    </row>
    <row r="63" spans="1:9" x14ac:dyDescent="0.25">
      <c r="A63" s="2803">
        <v>2</v>
      </c>
      <c r="B63" s="2500">
        <f>IF(ISBLANK('DATA INPUT'!$B$86),0,'DATA INPUT'!$B$86)</f>
        <v>0</v>
      </c>
      <c r="C63" s="1661"/>
      <c r="D63" s="1661"/>
      <c r="E63" s="1661"/>
      <c r="F63" s="1661"/>
      <c r="G63" s="1868"/>
      <c r="I63" s="2802" t="b">
        <f>IF('DATA INPUT'!$B$85&lt;&gt;"",Budget!F$160)</f>
        <v>0</v>
      </c>
    </row>
    <row r="64" spans="1:9" x14ac:dyDescent="0.25">
      <c r="A64" s="2803">
        <v>3</v>
      </c>
      <c r="B64" s="2500">
        <f>IF(ISBLANK('DATA INPUT'!$B$87),0,'DATA INPUT'!$B$87)</f>
        <v>0</v>
      </c>
      <c r="C64" s="1661"/>
      <c r="D64" s="1661"/>
      <c r="E64" s="1661"/>
      <c r="F64" s="1661"/>
      <c r="G64" s="1868"/>
      <c r="I64" s="2802" t="b">
        <f>IF('DATA INPUT'!$B$85&lt;&gt;"",Budget!F$161)</f>
        <v>0</v>
      </c>
    </row>
    <row r="65" spans="1:9" x14ac:dyDescent="0.25">
      <c r="A65" s="2803">
        <v>4</v>
      </c>
      <c r="B65" s="2500">
        <f>IF(ISBLANK('DATA INPUT'!$B$88),0,'DATA INPUT'!$B$88)</f>
        <v>0</v>
      </c>
      <c r="C65" s="1661"/>
      <c r="D65" s="1661"/>
      <c r="E65" s="1661"/>
      <c r="F65" s="1661"/>
      <c r="G65" s="1868"/>
      <c r="I65" s="2802" t="b">
        <f>IF('DATA INPUT'!$B$85&lt;&gt;"",Budget!F$162)</f>
        <v>0</v>
      </c>
    </row>
    <row r="66" spans="1:9" x14ac:dyDescent="0.25">
      <c r="A66" s="2803">
        <v>5</v>
      </c>
      <c r="B66" s="2500">
        <f>IF(ISBLANK('DATA INPUT'!$B$89),0,'DATA INPUT'!$B$89)</f>
        <v>0</v>
      </c>
      <c r="C66" s="1661"/>
      <c r="D66" s="1661"/>
      <c r="E66" s="1661"/>
      <c r="F66" s="1661"/>
      <c r="G66" s="1868"/>
      <c r="I66" s="2802" t="b">
        <f>IF('DATA INPUT'!$B$85&lt;&gt;"",Budget!F$163)</f>
        <v>0</v>
      </c>
    </row>
    <row r="67" spans="1:9" x14ac:dyDescent="0.25">
      <c r="A67" s="2803">
        <v>6</v>
      </c>
      <c r="B67" s="2500">
        <f>IF(ISBLANK('DATA INPUT'!$B$90),0,'DATA INPUT'!$B$90)</f>
        <v>0</v>
      </c>
      <c r="C67" s="1661"/>
      <c r="D67" s="1661"/>
      <c r="E67" s="1661"/>
      <c r="F67" s="1661"/>
      <c r="G67" s="1868"/>
      <c r="I67" s="2802" t="b">
        <f>IF('DATA INPUT'!$B$85&lt;&gt;"",Budget!F$164)</f>
        <v>0</v>
      </c>
    </row>
    <row r="68" spans="1:9" ht="15.75" thickBot="1" x14ac:dyDescent="0.3">
      <c r="A68" s="2840"/>
      <c r="B68" s="2841"/>
      <c r="C68" s="2841"/>
      <c r="D68" s="2841"/>
      <c r="E68" s="2841"/>
      <c r="F68" s="2841"/>
      <c r="G68" s="2841"/>
      <c r="H68" s="2842" t="s">
        <v>953</v>
      </c>
      <c r="I68" s="2858">
        <f>SUM(I62:I67)</f>
        <v>0</v>
      </c>
    </row>
    <row r="69" spans="1:9" x14ac:dyDescent="0.25">
      <c r="A69" s="653"/>
      <c r="B69" s="668"/>
      <c r="C69" s="668"/>
      <c r="D69" s="668"/>
      <c r="E69" s="668"/>
      <c r="F69" s="668"/>
      <c r="G69" s="668"/>
      <c r="H69" s="668"/>
      <c r="I69" s="1701"/>
    </row>
    <row r="70" spans="1:9" x14ac:dyDescent="0.25">
      <c r="A70" s="2839" t="s">
        <v>954</v>
      </c>
      <c r="B70" s="226" t="s">
        <v>12</v>
      </c>
      <c r="I70" s="1675"/>
    </row>
    <row r="71" spans="1:9" ht="30" x14ac:dyDescent="0.25">
      <c r="A71" s="49"/>
      <c r="I71" s="1708" t="s">
        <v>952</v>
      </c>
    </row>
    <row r="72" spans="1:9" x14ac:dyDescent="0.25">
      <c r="A72" s="2803">
        <v>1</v>
      </c>
      <c r="B72" s="2500" t="s">
        <v>955</v>
      </c>
      <c r="C72" s="1661"/>
      <c r="D72" s="1661"/>
      <c r="E72" s="1661"/>
      <c r="F72" s="1661"/>
      <c r="G72" s="1868"/>
      <c r="I72" s="2844">
        <f ca="1">Budget!F$168</f>
        <v>0</v>
      </c>
    </row>
    <row r="73" spans="1:9" x14ac:dyDescent="0.25">
      <c r="A73" s="2803">
        <v>2</v>
      </c>
      <c r="B73" s="2500" t="s">
        <v>956</v>
      </c>
      <c r="C73" s="1661"/>
      <c r="D73" s="1661"/>
      <c r="E73" s="1661"/>
      <c r="F73" s="1661"/>
      <c r="G73" s="1868"/>
      <c r="I73" s="2844">
        <f ca="1">Budget!F$169</f>
        <v>0</v>
      </c>
    </row>
    <row r="74" spans="1:9" ht="15.75" thickBot="1" x14ac:dyDescent="0.3">
      <c r="A74" s="1697"/>
      <c r="B74" s="1676"/>
      <c r="C74" s="1676"/>
      <c r="D74" s="1676"/>
      <c r="E74" s="1676"/>
      <c r="F74" s="1676"/>
      <c r="G74" s="1676"/>
      <c r="H74" s="2842" t="s">
        <v>957</v>
      </c>
      <c r="I74" s="2858">
        <f ca="1">SUM(I72:I73)</f>
        <v>0</v>
      </c>
    </row>
    <row r="75" spans="1:9" x14ac:dyDescent="0.25">
      <c r="A75" s="653"/>
      <c r="B75" s="668"/>
      <c r="C75" s="668"/>
      <c r="D75" s="668"/>
      <c r="E75" s="668"/>
      <c r="F75" s="668"/>
      <c r="G75" s="668"/>
      <c r="H75" s="668"/>
      <c r="I75" s="1701"/>
    </row>
    <row r="76" spans="1:9" x14ac:dyDescent="0.25">
      <c r="A76" s="2839" t="s">
        <v>958</v>
      </c>
      <c r="B76" s="226" t="s">
        <v>959</v>
      </c>
      <c r="I76" s="1675"/>
    </row>
    <row r="77" spans="1:9" ht="30" x14ac:dyDescent="0.25">
      <c r="A77" s="49"/>
      <c r="I77" s="1708" t="s">
        <v>952</v>
      </c>
    </row>
    <row r="78" spans="1:9" x14ac:dyDescent="0.25">
      <c r="A78" s="2803">
        <v>1</v>
      </c>
      <c r="B78" s="1661" t="s">
        <v>960</v>
      </c>
      <c r="C78" s="1661"/>
      <c r="D78" s="1661"/>
      <c r="E78" s="1661"/>
      <c r="F78" s="1661"/>
      <c r="G78" s="1868"/>
      <c r="I78" s="2802">
        <f>Budget!F$176</f>
        <v>0</v>
      </c>
    </row>
    <row r="79" spans="1:9" x14ac:dyDescent="0.25">
      <c r="A79" s="2803">
        <v>2</v>
      </c>
      <c r="B79" s="1661" t="s">
        <v>11</v>
      </c>
      <c r="C79" s="1661"/>
      <c r="D79" s="1661"/>
      <c r="E79" s="1661"/>
      <c r="F79" s="1661"/>
      <c r="G79" s="1868"/>
      <c r="I79" s="2802">
        <f>Budget!F$173</f>
        <v>0</v>
      </c>
    </row>
    <row r="80" spans="1:9" x14ac:dyDescent="0.25">
      <c r="A80" s="2803">
        <v>3</v>
      </c>
      <c r="B80" s="1661" t="s">
        <v>12</v>
      </c>
      <c r="C80" s="1661"/>
      <c r="D80" s="1661"/>
      <c r="E80" s="1661"/>
      <c r="F80" s="1661"/>
      <c r="G80" s="1868"/>
      <c r="I80" s="2802">
        <f>Budget!F$174</f>
        <v>0</v>
      </c>
    </row>
    <row r="81" spans="1:9" x14ac:dyDescent="0.25">
      <c r="A81" s="2803">
        <v>4</v>
      </c>
      <c r="B81" s="1661" t="s">
        <v>13</v>
      </c>
      <c r="C81" s="1661"/>
      <c r="D81" s="1661"/>
      <c r="E81" s="1661"/>
      <c r="F81" s="1661"/>
      <c r="G81" s="1868"/>
      <c r="I81" s="2802">
        <f>Budget!F$175</f>
        <v>0</v>
      </c>
    </row>
    <row r="82" spans="1:9" x14ac:dyDescent="0.25">
      <c r="A82" s="2803">
        <v>5</v>
      </c>
      <c r="B82" s="2845" t="s">
        <v>142</v>
      </c>
      <c r="C82" s="1873"/>
      <c r="D82" s="924"/>
      <c r="E82" s="2846"/>
      <c r="I82" s="2802"/>
    </row>
    <row r="83" spans="1:9" ht="15.75" thickBot="1" x14ac:dyDescent="0.3">
      <c r="A83" s="1697"/>
      <c r="B83" s="1676"/>
      <c r="C83" s="1676"/>
      <c r="D83" s="1702" t="s">
        <v>961</v>
      </c>
      <c r="E83" s="2859"/>
      <c r="F83" s="1676"/>
      <c r="G83" s="1676"/>
      <c r="H83" s="1702" t="s">
        <v>962</v>
      </c>
      <c r="I83" s="2860">
        <f>SUM(I78:I82)</f>
        <v>0</v>
      </c>
    </row>
    <row r="84" spans="1:9" ht="15.75" thickBot="1" x14ac:dyDescent="0.3"/>
    <row r="85" spans="1:9" ht="15.75" thickBot="1" x14ac:dyDescent="0.3">
      <c r="A85" s="2861" t="s">
        <v>945</v>
      </c>
      <c r="B85" s="2862"/>
      <c r="C85" s="2862"/>
      <c r="D85" s="2862"/>
      <c r="E85" s="2862"/>
      <c r="F85" s="2862"/>
      <c r="G85" s="2862"/>
      <c r="H85" s="2862"/>
      <c r="I85" s="2863"/>
    </row>
    <row r="86" spans="1:9" x14ac:dyDescent="0.25">
      <c r="A86" s="2838" t="s">
        <v>948</v>
      </c>
      <c r="B86" s="859" t="s">
        <v>949</v>
      </c>
      <c r="C86" s="668"/>
      <c r="D86" s="668"/>
      <c r="E86" s="668"/>
      <c r="F86" s="668"/>
      <c r="G86" s="668"/>
      <c r="H86" s="668"/>
      <c r="I86" s="1701"/>
    </row>
    <row r="87" spans="1:9" x14ac:dyDescent="0.25">
      <c r="A87" s="49"/>
      <c r="I87" s="1675"/>
    </row>
    <row r="88" spans="1:9" x14ac:dyDescent="0.25">
      <c r="A88" s="2839" t="s">
        <v>950</v>
      </c>
      <c r="I88" s="1675"/>
    </row>
    <row r="89" spans="1:9" ht="30" x14ac:dyDescent="0.25">
      <c r="A89" s="49"/>
      <c r="B89" s="1867" t="s">
        <v>951</v>
      </c>
      <c r="C89" s="1867"/>
      <c r="D89" s="1867"/>
      <c r="E89" s="1867"/>
      <c r="F89" s="1867"/>
      <c r="G89" s="1867"/>
      <c r="I89" s="1708" t="s">
        <v>952</v>
      </c>
    </row>
    <row r="90" spans="1:9" x14ac:dyDescent="0.25">
      <c r="A90" s="2803">
        <v>1</v>
      </c>
      <c r="B90" s="2500">
        <f>IF(ISBLANK('DATA INPUT'!$B$85),0,'DATA INPUT'!$B$85)</f>
        <v>0</v>
      </c>
      <c r="C90" s="1661"/>
      <c r="D90" s="1661"/>
      <c r="E90" s="1661"/>
      <c r="F90" s="1661"/>
      <c r="G90" s="1868"/>
      <c r="I90" s="2802" t="b">
        <f>IF('DATA INPUT'!$B$85&lt;&gt;"",Budget!G$159)</f>
        <v>0</v>
      </c>
    </row>
    <row r="91" spans="1:9" x14ac:dyDescent="0.25">
      <c r="A91" s="2803">
        <v>2</v>
      </c>
      <c r="B91" s="2500">
        <f>IF(ISBLANK('DATA INPUT'!$B$86),0,'DATA INPUT'!$B$86)</f>
        <v>0</v>
      </c>
      <c r="C91" s="1661"/>
      <c r="D91" s="1661"/>
      <c r="E91" s="1661"/>
      <c r="F91" s="1661"/>
      <c r="G91" s="1868"/>
      <c r="I91" s="2802" t="b">
        <f>IF('DATA INPUT'!$B$85&lt;&gt;"",Budget!G$160)</f>
        <v>0</v>
      </c>
    </row>
    <row r="92" spans="1:9" x14ac:dyDescent="0.25">
      <c r="A92" s="2803">
        <v>3</v>
      </c>
      <c r="B92" s="2500">
        <f>IF(ISBLANK('DATA INPUT'!$B$87),0,'DATA INPUT'!$B$87)</f>
        <v>0</v>
      </c>
      <c r="C92" s="1661"/>
      <c r="D92" s="1661"/>
      <c r="E92" s="1661"/>
      <c r="F92" s="1661"/>
      <c r="G92" s="1868"/>
      <c r="I92" s="2802" t="b">
        <f>IF('DATA INPUT'!$B$85&lt;&gt;"",Budget!G$161)</f>
        <v>0</v>
      </c>
    </row>
    <row r="93" spans="1:9" x14ac:dyDescent="0.25">
      <c r="A93" s="2803">
        <v>4</v>
      </c>
      <c r="B93" s="2500">
        <f>IF(ISBLANK('DATA INPUT'!$B$88),0,'DATA INPUT'!$B$88)</f>
        <v>0</v>
      </c>
      <c r="C93" s="1661"/>
      <c r="D93" s="1661"/>
      <c r="E93" s="1661"/>
      <c r="F93" s="1661"/>
      <c r="G93" s="1868"/>
      <c r="I93" s="2802" t="b">
        <f>IF('DATA INPUT'!$B$85&lt;&gt;"",Budget!G$162)</f>
        <v>0</v>
      </c>
    </row>
    <row r="94" spans="1:9" x14ac:dyDescent="0.25">
      <c r="A94" s="2803">
        <v>5</v>
      </c>
      <c r="B94" s="2500">
        <f>IF(ISBLANK('DATA INPUT'!$B$89),0,'DATA INPUT'!$B$89)</f>
        <v>0</v>
      </c>
      <c r="C94" s="1661"/>
      <c r="D94" s="1661"/>
      <c r="E94" s="1661"/>
      <c r="F94" s="1661"/>
      <c r="G94" s="1868"/>
      <c r="I94" s="2802" t="b">
        <f>IF('DATA INPUT'!$B$85&lt;&gt;"",Budget!G$163)</f>
        <v>0</v>
      </c>
    </row>
    <row r="95" spans="1:9" x14ac:dyDescent="0.25">
      <c r="A95" s="2803">
        <v>6</v>
      </c>
      <c r="B95" s="2500">
        <f>IF(ISBLANK('DATA INPUT'!$B$90),0,'DATA INPUT'!$B$90)</f>
        <v>0</v>
      </c>
      <c r="C95" s="1661"/>
      <c r="D95" s="1661"/>
      <c r="E95" s="1661"/>
      <c r="F95" s="1661"/>
      <c r="G95" s="1868"/>
      <c r="I95" s="2802" t="b">
        <f>IF('DATA INPUT'!$B$85&lt;&gt;"",Budget!G$164)</f>
        <v>0</v>
      </c>
    </row>
    <row r="96" spans="1:9" ht="15.75" thickBot="1" x14ac:dyDescent="0.3">
      <c r="A96" s="2840"/>
      <c r="B96" s="2841"/>
      <c r="C96" s="2841"/>
      <c r="D96" s="2841"/>
      <c r="E96" s="2841"/>
      <c r="F96" s="2841"/>
      <c r="G96" s="2841"/>
      <c r="H96" s="2842" t="s">
        <v>953</v>
      </c>
      <c r="I96" s="2864">
        <f>SUM(I90:I95)</f>
        <v>0</v>
      </c>
    </row>
    <row r="97" spans="1:9" x14ac:dyDescent="0.25">
      <c r="A97" s="653"/>
      <c r="B97" s="668"/>
      <c r="C97" s="668"/>
      <c r="D97" s="668"/>
      <c r="E97" s="668"/>
      <c r="F97" s="668"/>
      <c r="G97" s="668"/>
      <c r="H97" s="668"/>
      <c r="I97" s="1701"/>
    </row>
    <row r="98" spans="1:9" x14ac:dyDescent="0.25">
      <c r="A98" s="2839" t="s">
        <v>954</v>
      </c>
      <c r="B98" s="226" t="s">
        <v>12</v>
      </c>
      <c r="I98" s="1675"/>
    </row>
    <row r="99" spans="1:9" ht="30" x14ac:dyDescent="0.25">
      <c r="A99" s="49"/>
      <c r="I99" s="1708" t="s">
        <v>952</v>
      </c>
    </row>
    <row r="100" spans="1:9" x14ac:dyDescent="0.25">
      <c r="A100" s="2803">
        <v>1</v>
      </c>
      <c r="B100" s="2500" t="s">
        <v>955</v>
      </c>
      <c r="C100" s="1661"/>
      <c r="D100" s="1661"/>
      <c r="E100" s="1661"/>
      <c r="F100" s="1661"/>
      <c r="G100" s="1868"/>
      <c r="I100" s="2844">
        <f ca="1">Budget!G$168</f>
        <v>0</v>
      </c>
    </row>
    <row r="101" spans="1:9" x14ac:dyDescent="0.25">
      <c r="A101" s="2803">
        <v>2</v>
      </c>
      <c r="B101" s="2500" t="s">
        <v>956</v>
      </c>
      <c r="C101" s="1661"/>
      <c r="D101" s="1661"/>
      <c r="E101" s="1661"/>
      <c r="F101" s="1661"/>
      <c r="G101" s="1868"/>
      <c r="I101" s="2844">
        <f ca="1">Budget!G$169</f>
        <v>0</v>
      </c>
    </row>
    <row r="102" spans="1:9" ht="15.75" thickBot="1" x14ac:dyDescent="0.3">
      <c r="A102" s="1697"/>
      <c r="B102" s="1676"/>
      <c r="C102" s="1676"/>
      <c r="D102" s="1676"/>
      <c r="E102" s="1676"/>
      <c r="F102" s="1676"/>
      <c r="G102" s="1676"/>
      <c r="H102" s="2842" t="s">
        <v>957</v>
      </c>
      <c r="I102" s="2864">
        <f ca="1">SUM(I100:I101)</f>
        <v>0</v>
      </c>
    </row>
    <row r="103" spans="1:9" x14ac:dyDescent="0.25">
      <c r="A103" s="653"/>
      <c r="B103" s="668"/>
      <c r="C103" s="668"/>
      <c r="D103" s="668"/>
      <c r="E103" s="668"/>
      <c r="F103" s="668"/>
      <c r="G103" s="668"/>
      <c r="H103" s="668"/>
      <c r="I103" s="1701"/>
    </row>
    <row r="104" spans="1:9" x14ac:dyDescent="0.25">
      <c r="A104" s="2839" t="s">
        <v>958</v>
      </c>
      <c r="B104" s="226" t="s">
        <v>959</v>
      </c>
      <c r="I104" s="1675"/>
    </row>
    <row r="105" spans="1:9" ht="30" x14ac:dyDescent="0.25">
      <c r="A105" s="49"/>
      <c r="I105" s="1708" t="s">
        <v>952</v>
      </c>
    </row>
    <row r="106" spans="1:9" x14ac:dyDescent="0.25">
      <c r="A106" s="2803">
        <v>1</v>
      </c>
      <c r="B106" s="1661" t="s">
        <v>960</v>
      </c>
      <c r="C106" s="1661"/>
      <c r="D106" s="1661"/>
      <c r="E106" s="1661"/>
      <c r="F106" s="1661"/>
      <c r="G106" s="1868"/>
      <c r="I106" s="2802">
        <f>Budget!G$176</f>
        <v>0</v>
      </c>
    </row>
    <row r="107" spans="1:9" x14ac:dyDescent="0.25">
      <c r="A107" s="2803">
        <v>2</v>
      </c>
      <c r="B107" s="1661" t="s">
        <v>11</v>
      </c>
      <c r="C107" s="1661"/>
      <c r="D107" s="1661"/>
      <c r="E107" s="1661"/>
      <c r="F107" s="1661"/>
      <c r="G107" s="1868"/>
      <c r="I107" s="2802">
        <f>Budget!G$173</f>
        <v>0</v>
      </c>
    </row>
    <row r="108" spans="1:9" x14ac:dyDescent="0.25">
      <c r="A108" s="2803">
        <v>3</v>
      </c>
      <c r="B108" s="1661" t="s">
        <v>12</v>
      </c>
      <c r="C108" s="1661"/>
      <c r="D108" s="1661"/>
      <c r="E108" s="1661"/>
      <c r="F108" s="1661"/>
      <c r="G108" s="1868"/>
      <c r="I108" s="2802">
        <f>Budget!G$174</f>
        <v>0</v>
      </c>
    </row>
    <row r="109" spans="1:9" x14ac:dyDescent="0.25">
      <c r="A109" s="2803">
        <v>4</v>
      </c>
      <c r="B109" s="1661" t="s">
        <v>13</v>
      </c>
      <c r="C109" s="1661"/>
      <c r="D109" s="1661"/>
      <c r="E109" s="1661"/>
      <c r="F109" s="1661"/>
      <c r="G109" s="1868"/>
      <c r="I109" s="2802">
        <f>Budget!G$175</f>
        <v>0</v>
      </c>
    </row>
    <row r="110" spans="1:9" x14ac:dyDescent="0.25">
      <c r="A110" s="2803">
        <v>5</v>
      </c>
      <c r="B110" s="2845" t="s">
        <v>142</v>
      </c>
      <c r="C110" s="1873"/>
      <c r="D110" s="924"/>
      <c r="E110" s="2846"/>
      <c r="I110" s="2802"/>
    </row>
    <row r="111" spans="1:9" ht="15.75" thickBot="1" x14ac:dyDescent="0.3">
      <c r="A111" s="1697"/>
      <c r="B111" s="1676"/>
      <c r="C111" s="1676"/>
      <c r="D111" s="1702" t="s">
        <v>961</v>
      </c>
      <c r="E111" s="2865"/>
      <c r="F111" s="1676"/>
      <c r="G111" s="1676"/>
      <c r="H111" s="1702" t="s">
        <v>962</v>
      </c>
      <c r="I111" s="2866">
        <f>SUM(I106:I110)</f>
        <v>0</v>
      </c>
    </row>
    <row r="112" spans="1:9" ht="15.75" thickBot="1" x14ac:dyDescent="0.3"/>
    <row r="113" spans="1:9" ht="15.75" thickBot="1" x14ac:dyDescent="0.3">
      <c r="A113" s="2867" t="s">
        <v>946</v>
      </c>
      <c r="B113" s="2868"/>
      <c r="C113" s="2868"/>
      <c r="D113" s="2868"/>
      <c r="E113" s="2868"/>
      <c r="F113" s="2868"/>
      <c r="G113" s="2868"/>
      <c r="H113" s="2868"/>
      <c r="I113" s="2869"/>
    </row>
    <row r="114" spans="1:9" x14ac:dyDescent="0.25">
      <c r="A114" s="2838" t="s">
        <v>948</v>
      </c>
      <c r="B114" s="859" t="s">
        <v>949</v>
      </c>
      <c r="C114" s="668"/>
      <c r="D114" s="668"/>
      <c r="E114" s="668"/>
      <c r="F114" s="668"/>
      <c r="G114" s="668"/>
      <c r="H114" s="668"/>
      <c r="I114" s="1701"/>
    </row>
    <row r="115" spans="1:9" x14ac:dyDescent="0.25">
      <c r="A115" s="49"/>
      <c r="I115" s="1675"/>
    </row>
    <row r="116" spans="1:9" x14ac:dyDescent="0.25">
      <c r="A116" s="2839" t="s">
        <v>950</v>
      </c>
      <c r="I116" s="1675"/>
    </row>
    <row r="117" spans="1:9" ht="30" x14ac:dyDescent="0.25">
      <c r="A117" s="49"/>
      <c r="B117" s="1867" t="s">
        <v>951</v>
      </c>
      <c r="C117" s="1867"/>
      <c r="D117" s="1867"/>
      <c r="E117" s="1867"/>
      <c r="F117" s="1867"/>
      <c r="G117" s="1867"/>
      <c r="I117" s="1708" t="s">
        <v>952</v>
      </c>
    </row>
    <row r="118" spans="1:9" x14ac:dyDescent="0.25">
      <c r="A118" s="2803">
        <v>1</v>
      </c>
      <c r="B118" s="2500">
        <f>IF(ISBLANK('DATA INPUT'!$B$85),0,'DATA INPUT'!$B$85)</f>
        <v>0</v>
      </c>
      <c r="C118" s="1661"/>
      <c r="D118" s="1661"/>
      <c r="E118" s="1661"/>
      <c r="F118" s="1661"/>
      <c r="G118" s="1868"/>
      <c r="I118" s="2802" t="b">
        <f>IF('DATA INPUT'!$B$85&lt;&gt;"",Budget!H$159)</f>
        <v>0</v>
      </c>
    </row>
    <row r="119" spans="1:9" x14ac:dyDescent="0.25">
      <c r="A119" s="2803">
        <v>2</v>
      </c>
      <c r="B119" s="2500">
        <f>IF(ISBLANK('DATA INPUT'!$B$86),0,'DATA INPUT'!$B$86)</f>
        <v>0</v>
      </c>
      <c r="C119" s="1661"/>
      <c r="D119" s="1661"/>
      <c r="E119" s="1661"/>
      <c r="F119" s="1661"/>
      <c r="G119" s="1868"/>
      <c r="I119" s="2802" t="b">
        <f>IF('DATA INPUT'!$B$85&lt;&gt;"",Budget!H$160)</f>
        <v>0</v>
      </c>
    </row>
    <row r="120" spans="1:9" x14ac:dyDescent="0.25">
      <c r="A120" s="2803">
        <v>3</v>
      </c>
      <c r="B120" s="2500">
        <f>IF(ISBLANK('DATA INPUT'!$B$87),0,'DATA INPUT'!$B$87)</f>
        <v>0</v>
      </c>
      <c r="C120" s="1661"/>
      <c r="D120" s="1661"/>
      <c r="E120" s="1661"/>
      <c r="F120" s="1661"/>
      <c r="G120" s="1868"/>
      <c r="I120" s="2802" t="b">
        <f>IF('DATA INPUT'!$B$85&lt;&gt;"",Budget!H$161)</f>
        <v>0</v>
      </c>
    </row>
    <row r="121" spans="1:9" x14ac:dyDescent="0.25">
      <c r="A121" s="2803">
        <v>4</v>
      </c>
      <c r="B121" s="2500">
        <f>IF(ISBLANK('DATA INPUT'!$B$88),0,'DATA INPUT'!$B$88)</f>
        <v>0</v>
      </c>
      <c r="C121" s="1661"/>
      <c r="D121" s="1661"/>
      <c r="E121" s="1661"/>
      <c r="F121" s="1661"/>
      <c r="G121" s="1868"/>
      <c r="I121" s="2802" t="b">
        <f>IF('DATA INPUT'!$B$85&lt;&gt;"",Budget!H$162)</f>
        <v>0</v>
      </c>
    </row>
    <row r="122" spans="1:9" x14ac:dyDescent="0.25">
      <c r="A122" s="2803">
        <v>5</v>
      </c>
      <c r="B122" s="2500">
        <f>IF(ISBLANK('DATA INPUT'!$B$89),0,'DATA INPUT'!$B$89)</f>
        <v>0</v>
      </c>
      <c r="C122" s="1661"/>
      <c r="D122" s="1661"/>
      <c r="E122" s="1661"/>
      <c r="F122" s="1661"/>
      <c r="G122" s="1868"/>
      <c r="I122" s="2802" t="b">
        <f>IF('DATA INPUT'!$B$85&lt;&gt;"",Budget!H$163)</f>
        <v>0</v>
      </c>
    </row>
    <row r="123" spans="1:9" x14ac:dyDescent="0.25">
      <c r="A123" s="2803">
        <v>6</v>
      </c>
      <c r="B123" s="2500">
        <f>IF(ISBLANK('DATA INPUT'!$B$90),0,'DATA INPUT'!$B$90)</f>
        <v>0</v>
      </c>
      <c r="C123" s="1661"/>
      <c r="D123" s="1661"/>
      <c r="E123" s="1661"/>
      <c r="F123" s="1661"/>
      <c r="G123" s="1868"/>
      <c r="I123" s="2802" t="b">
        <f>IF('DATA INPUT'!$B$85&lt;&gt;"",Budget!H$164)</f>
        <v>0</v>
      </c>
    </row>
    <row r="124" spans="1:9" ht="15.75" thickBot="1" x14ac:dyDescent="0.3">
      <c r="A124" s="2840"/>
      <c r="B124" s="2841"/>
      <c r="C124" s="2841"/>
      <c r="D124" s="2841"/>
      <c r="E124" s="2841"/>
      <c r="F124" s="2841"/>
      <c r="G124" s="2841"/>
      <c r="H124" s="2842" t="s">
        <v>953</v>
      </c>
      <c r="I124" s="2870">
        <f>SUM(I118:I123)</f>
        <v>0</v>
      </c>
    </row>
    <row r="125" spans="1:9" x14ac:dyDescent="0.25">
      <c r="A125" s="653"/>
      <c r="B125" s="668"/>
      <c r="C125" s="668"/>
      <c r="D125" s="668"/>
      <c r="E125" s="668"/>
      <c r="F125" s="668"/>
      <c r="G125" s="668"/>
      <c r="H125" s="668"/>
      <c r="I125" s="1701"/>
    </row>
    <row r="126" spans="1:9" x14ac:dyDescent="0.25">
      <c r="A126" s="2839" t="s">
        <v>954</v>
      </c>
      <c r="B126" s="226" t="s">
        <v>12</v>
      </c>
      <c r="I126" s="1675"/>
    </row>
    <row r="127" spans="1:9" ht="30" x14ac:dyDescent="0.25">
      <c r="A127" s="49"/>
      <c r="I127" s="1708" t="s">
        <v>952</v>
      </c>
    </row>
    <row r="128" spans="1:9" x14ac:dyDescent="0.25">
      <c r="A128" s="2803">
        <v>1</v>
      </c>
      <c r="B128" s="2500" t="s">
        <v>955</v>
      </c>
      <c r="C128" s="1661"/>
      <c r="D128" s="1661"/>
      <c r="E128" s="1661"/>
      <c r="F128" s="1661"/>
      <c r="G128" s="1868"/>
      <c r="I128" s="2844">
        <f ca="1">Budget!H$168</f>
        <v>0</v>
      </c>
    </row>
    <row r="129" spans="1:9" x14ac:dyDescent="0.25">
      <c r="A129" s="2803">
        <v>2</v>
      </c>
      <c r="B129" s="2500" t="s">
        <v>956</v>
      </c>
      <c r="C129" s="1661"/>
      <c r="D129" s="1661"/>
      <c r="E129" s="1661"/>
      <c r="F129" s="1661"/>
      <c r="G129" s="1868"/>
      <c r="I129" s="2844">
        <f ca="1">Budget!H$169</f>
        <v>0</v>
      </c>
    </row>
    <row r="130" spans="1:9" ht="15.75" thickBot="1" x14ac:dyDescent="0.3">
      <c r="A130" s="1697"/>
      <c r="B130" s="1676"/>
      <c r="C130" s="1676"/>
      <c r="D130" s="1676"/>
      <c r="E130" s="1676"/>
      <c r="F130" s="1676"/>
      <c r="G130" s="1676"/>
      <c r="H130" s="2842" t="s">
        <v>957</v>
      </c>
      <c r="I130" s="2870">
        <f ca="1">SUM(I128:I129)</f>
        <v>0</v>
      </c>
    </row>
    <row r="131" spans="1:9" x14ac:dyDescent="0.25">
      <c r="A131" s="653"/>
      <c r="B131" s="668"/>
      <c r="C131" s="668"/>
      <c r="D131" s="668"/>
      <c r="E131" s="668"/>
      <c r="F131" s="668"/>
      <c r="G131" s="668"/>
      <c r="H131" s="668"/>
      <c r="I131" s="1701"/>
    </row>
    <row r="132" spans="1:9" x14ac:dyDescent="0.25">
      <c r="A132" s="2839" t="s">
        <v>958</v>
      </c>
      <c r="B132" s="226" t="s">
        <v>959</v>
      </c>
      <c r="I132" s="1675"/>
    </row>
    <row r="133" spans="1:9" ht="30" x14ac:dyDescent="0.25">
      <c r="A133" s="49"/>
      <c r="I133" s="1708" t="s">
        <v>952</v>
      </c>
    </row>
    <row r="134" spans="1:9" x14ac:dyDescent="0.25">
      <c r="A134" s="2803">
        <v>1</v>
      </c>
      <c r="B134" s="1661" t="s">
        <v>960</v>
      </c>
      <c r="C134" s="1661"/>
      <c r="D134" s="1661"/>
      <c r="E134" s="1661"/>
      <c r="F134" s="1661"/>
      <c r="G134" s="1868"/>
      <c r="I134" s="2802">
        <f>Budget!H$176</f>
        <v>0</v>
      </c>
    </row>
    <row r="135" spans="1:9" x14ac:dyDescent="0.25">
      <c r="A135" s="2803">
        <v>2</v>
      </c>
      <c r="B135" s="1661" t="s">
        <v>11</v>
      </c>
      <c r="C135" s="1661"/>
      <c r="D135" s="1661"/>
      <c r="E135" s="1661"/>
      <c r="F135" s="1661"/>
      <c r="G135" s="1868"/>
      <c r="I135" s="2802">
        <f>Budget!H$173</f>
        <v>0</v>
      </c>
    </row>
    <row r="136" spans="1:9" x14ac:dyDescent="0.25">
      <c r="A136" s="2803">
        <v>3</v>
      </c>
      <c r="B136" s="1661" t="s">
        <v>12</v>
      </c>
      <c r="C136" s="1661"/>
      <c r="D136" s="1661"/>
      <c r="E136" s="1661"/>
      <c r="F136" s="1661"/>
      <c r="G136" s="1868"/>
      <c r="I136" s="2802">
        <f>Budget!H$174</f>
        <v>0</v>
      </c>
    </row>
    <row r="137" spans="1:9" x14ac:dyDescent="0.25">
      <c r="A137" s="2803">
        <v>4</v>
      </c>
      <c r="B137" s="1661" t="s">
        <v>13</v>
      </c>
      <c r="C137" s="1661"/>
      <c r="D137" s="1661"/>
      <c r="E137" s="1661"/>
      <c r="F137" s="1661"/>
      <c r="G137" s="1868"/>
      <c r="I137" s="2802">
        <f>Budget!H$175</f>
        <v>0</v>
      </c>
    </row>
    <row r="138" spans="1:9" x14ac:dyDescent="0.25">
      <c r="A138" s="2803">
        <v>5</v>
      </c>
      <c r="B138" s="2845" t="s">
        <v>142</v>
      </c>
      <c r="C138" s="1873"/>
      <c r="D138" s="924"/>
      <c r="E138" s="2846"/>
      <c r="I138" s="2802"/>
    </row>
    <row r="139" spans="1:9" ht="15.75" thickBot="1" x14ac:dyDescent="0.3">
      <c r="A139" s="1697"/>
      <c r="B139" s="1676"/>
      <c r="C139" s="1676"/>
      <c r="D139" s="1702" t="s">
        <v>961</v>
      </c>
      <c r="E139" s="2871"/>
      <c r="F139" s="1676"/>
      <c r="G139" s="1676"/>
      <c r="H139" s="1702" t="s">
        <v>962</v>
      </c>
      <c r="I139" s="2872">
        <f>SUM(I134:I138)</f>
        <v>0</v>
      </c>
    </row>
    <row r="140" spans="1:9" ht="15.75" thickBot="1" x14ac:dyDescent="0.3"/>
    <row r="141" spans="1:9" ht="15.75" thickBot="1" x14ac:dyDescent="0.3">
      <c r="A141" s="2873" t="s">
        <v>947</v>
      </c>
      <c r="B141" s="2874"/>
      <c r="C141" s="2874"/>
      <c r="D141" s="2874"/>
      <c r="E141" s="2874"/>
      <c r="F141" s="2874"/>
      <c r="G141" s="2874"/>
      <c r="H141" s="2874"/>
      <c r="I141" s="2875"/>
    </row>
    <row r="142" spans="1:9" x14ac:dyDescent="0.25">
      <c r="A142" s="2838" t="s">
        <v>948</v>
      </c>
      <c r="B142" s="859" t="s">
        <v>949</v>
      </c>
      <c r="C142" s="668"/>
      <c r="D142" s="668"/>
      <c r="E142" s="668"/>
      <c r="F142" s="668"/>
      <c r="G142" s="668"/>
      <c r="H142" s="668"/>
      <c r="I142" s="1701"/>
    </row>
    <row r="143" spans="1:9" x14ac:dyDescent="0.25">
      <c r="A143" s="49"/>
      <c r="I143" s="1675"/>
    </row>
    <row r="144" spans="1:9" x14ac:dyDescent="0.25">
      <c r="A144" s="2839" t="s">
        <v>950</v>
      </c>
      <c r="I144" s="1675"/>
    </row>
    <row r="145" spans="1:9" ht="30" x14ac:dyDescent="0.25">
      <c r="A145" s="49"/>
      <c r="B145" s="1867" t="s">
        <v>951</v>
      </c>
      <c r="C145" s="1867"/>
      <c r="D145" s="1867"/>
      <c r="E145" s="1867"/>
      <c r="F145" s="1867"/>
      <c r="G145" s="1867"/>
      <c r="I145" s="1708" t="s">
        <v>952</v>
      </c>
    </row>
    <row r="146" spans="1:9" x14ac:dyDescent="0.25">
      <c r="A146" s="2803">
        <v>1</v>
      </c>
      <c r="B146" s="2500">
        <f>IF(ISBLANK('DATA INPUT'!$B$85),0,'DATA INPUT'!$B$85)</f>
        <v>0</v>
      </c>
      <c r="C146" s="1661"/>
      <c r="D146" s="1661"/>
      <c r="E146" s="1661"/>
      <c r="F146" s="1661"/>
      <c r="G146" s="1868"/>
      <c r="I146" s="2802" t="b">
        <f>IF('DATA INPUT'!$B$85&lt;&gt;"",Budget!I$159)</f>
        <v>0</v>
      </c>
    </row>
    <row r="147" spans="1:9" x14ac:dyDescent="0.25">
      <c r="A147" s="2803">
        <v>2</v>
      </c>
      <c r="B147" s="2500">
        <f>IF(ISBLANK('DATA INPUT'!$B$86),0,'DATA INPUT'!$B$86)</f>
        <v>0</v>
      </c>
      <c r="C147" s="1661"/>
      <c r="D147" s="1661"/>
      <c r="E147" s="1661"/>
      <c r="F147" s="1661"/>
      <c r="G147" s="1868"/>
      <c r="I147" s="2802" t="b">
        <f>IF('DATA INPUT'!$B$85&lt;&gt;"",Budget!I$160)</f>
        <v>0</v>
      </c>
    </row>
    <row r="148" spans="1:9" x14ac:dyDescent="0.25">
      <c r="A148" s="2803">
        <v>3</v>
      </c>
      <c r="B148" s="2500">
        <f>IF(ISBLANK('DATA INPUT'!$B$87),0,'DATA INPUT'!$B$87)</f>
        <v>0</v>
      </c>
      <c r="C148" s="1661"/>
      <c r="D148" s="1661"/>
      <c r="E148" s="1661"/>
      <c r="F148" s="1661"/>
      <c r="G148" s="1868"/>
      <c r="I148" s="2802" t="b">
        <f>IF('DATA INPUT'!$B$85&lt;&gt;"",Budget!I$161)</f>
        <v>0</v>
      </c>
    </row>
    <row r="149" spans="1:9" x14ac:dyDescent="0.25">
      <c r="A149" s="2803">
        <v>4</v>
      </c>
      <c r="B149" s="2500">
        <f>IF(ISBLANK('DATA INPUT'!$B$88),0,'DATA INPUT'!$B$88)</f>
        <v>0</v>
      </c>
      <c r="C149" s="1661"/>
      <c r="D149" s="1661"/>
      <c r="E149" s="1661"/>
      <c r="F149" s="1661"/>
      <c r="G149" s="1868"/>
      <c r="I149" s="2802" t="b">
        <f>IF('DATA INPUT'!$B$85&lt;&gt;"",Budget!I$162)</f>
        <v>0</v>
      </c>
    </row>
    <row r="150" spans="1:9" x14ac:dyDescent="0.25">
      <c r="A150" s="2803">
        <v>5</v>
      </c>
      <c r="B150" s="2500">
        <f>IF(ISBLANK('DATA INPUT'!$B$89),0,'DATA INPUT'!$B$89)</f>
        <v>0</v>
      </c>
      <c r="C150" s="1661"/>
      <c r="D150" s="1661"/>
      <c r="E150" s="1661"/>
      <c r="F150" s="1661"/>
      <c r="G150" s="1868"/>
      <c r="I150" s="2802" t="b">
        <f>IF('DATA INPUT'!$B$85&lt;&gt;"",Budget!I$163)</f>
        <v>0</v>
      </c>
    </row>
    <row r="151" spans="1:9" x14ac:dyDescent="0.25">
      <c r="A151" s="2803">
        <v>6</v>
      </c>
      <c r="B151" s="2500">
        <f>IF(ISBLANK('DATA INPUT'!$B$90),0,'DATA INPUT'!$B$90)</f>
        <v>0</v>
      </c>
      <c r="C151" s="1661"/>
      <c r="D151" s="1661"/>
      <c r="E151" s="1661"/>
      <c r="F151" s="1661"/>
      <c r="G151" s="1868"/>
      <c r="I151" s="2802" t="b">
        <f>IF('DATA INPUT'!$B$85&lt;&gt;"",Budget!I$164)</f>
        <v>0</v>
      </c>
    </row>
    <row r="152" spans="1:9" ht="15.75" thickBot="1" x14ac:dyDescent="0.3">
      <c r="A152" s="2840"/>
      <c r="B152" s="2841"/>
      <c r="C152" s="2841"/>
      <c r="D152" s="2841"/>
      <c r="E152" s="2841"/>
      <c r="F152" s="2841"/>
      <c r="G152" s="2841"/>
      <c r="H152" s="2842" t="s">
        <v>953</v>
      </c>
      <c r="I152" s="2876">
        <f>SUM(I146:I151)</f>
        <v>0</v>
      </c>
    </row>
    <row r="153" spans="1:9" x14ac:dyDescent="0.25">
      <c r="A153" s="653"/>
      <c r="B153" s="668"/>
      <c r="C153" s="668"/>
      <c r="D153" s="668"/>
      <c r="E153" s="668"/>
      <c r="F153" s="668"/>
      <c r="G153" s="668"/>
      <c r="H153" s="668"/>
      <c r="I153" s="1701"/>
    </row>
    <row r="154" spans="1:9" x14ac:dyDescent="0.25">
      <c r="A154" s="2839" t="s">
        <v>954</v>
      </c>
      <c r="B154" s="226" t="s">
        <v>12</v>
      </c>
      <c r="I154" s="1675"/>
    </row>
    <row r="155" spans="1:9" ht="30" x14ac:dyDescent="0.25">
      <c r="A155" s="49"/>
      <c r="I155" s="1708" t="s">
        <v>952</v>
      </c>
    </row>
    <row r="156" spans="1:9" x14ac:dyDescent="0.25">
      <c r="A156" s="2803">
        <v>1</v>
      </c>
      <c r="B156" s="2500" t="s">
        <v>955</v>
      </c>
      <c r="C156" s="1661"/>
      <c r="D156" s="1661"/>
      <c r="E156" s="1661"/>
      <c r="F156" s="1661"/>
      <c r="G156" s="1868"/>
      <c r="I156" s="2844">
        <f ca="1">Budget!I$168</f>
        <v>0</v>
      </c>
    </row>
    <row r="157" spans="1:9" x14ac:dyDescent="0.25">
      <c r="A157" s="2803">
        <v>2</v>
      </c>
      <c r="B157" s="2500" t="s">
        <v>956</v>
      </c>
      <c r="C157" s="1661"/>
      <c r="D157" s="1661"/>
      <c r="E157" s="1661"/>
      <c r="F157" s="1661"/>
      <c r="G157" s="1868"/>
      <c r="I157" s="2844">
        <f ca="1">Budget!I$169</f>
        <v>0</v>
      </c>
    </row>
    <row r="158" spans="1:9" ht="15.75" thickBot="1" x14ac:dyDescent="0.3">
      <c r="A158" s="1697"/>
      <c r="B158" s="1676"/>
      <c r="C158" s="1676"/>
      <c r="D158" s="1676"/>
      <c r="E158" s="1676"/>
      <c r="F158" s="1676"/>
      <c r="G158" s="1676"/>
      <c r="H158" s="2842" t="s">
        <v>957</v>
      </c>
      <c r="I158" s="2876">
        <f ca="1">SUM(I156:I157)</f>
        <v>0</v>
      </c>
    </row>
    <row r="159" spans="1:9" x14ac:dyDescent="0.25">
      <c r="A159" s="653"/>
      <c r="B159" s="668"/>
      <c r="C159" s="668"/>
      <c r="D159" s="668"/>
      <c r="E159" s="668"/>
      <c r="F159" s="668"/>
      <c r="G159" s="668"/>
      <c r="H159" s="668"/>
      <c r="I159" s="1701"/>
    </row>
    <row r="160" spans="1:9" x14ac:dyDescent="0.25">
      <c r="A160" s="2839" t="s">
        <v>958</v>
      </c>
      <c r="B160" s="226" t="s">
        <v>959</v>
      </c>
      <c r="I160" s="1675"/>
    </row>
    <row r="161" spans="1:9" ht="30" x14ac:dyDescent="0.25">
      <c r="A161" s="49"/>
      <c r="I161" s="1708" t="s">
        <v>952</v>
      </c>
    </row>
    <row r="162" spans="1:9" x14ac:dyDescent="0.25">
      <c r="A162" s="2803">
        <v>1</v>
      </c>
      <c r="B162" s="1661" t="s">
        <v>960</v>
      </c>
      <c r="C162" s="1661"/>
      <c r="D162" s="1661"/>
      <c r="E162" s="1661"/>
      <c r="F162" s="1661"/>
      <c r="G162" s="1868"/>
      <c r="I162" s="2802">
        <f>Budget!I$176</f>
        <v>0</v>
      </c>
    </row>
    <row r="163" spans="1:9" x14ac:dyDescent="0.25">
      <c r="A163" s="2803">
        <v>2</v>
      </c>
      <c r="B163" s="1661" t="s">
        <v>11</v>
      </c>
      <c r="C163" s="1661"/>
      <c r="D163" s="1661"/>
      <c r="E163" s="1661"/>
      <c r="F163" s="1661"/>
      <c r="G163" s="1868"/>
      <c r="I163" s="2802">
        <f>Budget!I$173</f>
        <v>0</v>
      </c>
    </row>
    <row r="164" spans="1:9" x14ac:dyDescent="0.25">
      <c r="A164" s="2803">
        <v>3</v>
      </c>
      <c r="B164" s="1661" t="s">
        <v>12</v>
      </c>
      <c r="C164" s="1661"/>
      <c r="D164" s="1661"/>
      <c r="E164" s="1661"/>
      <c r="F164" s="1661"/>
      <c r="G164" s="1868"/>
      <c r="I164" s="2802">
        <f>Budget!I$174</f>
        <v>0</v>
      </c>
    </row>
    <row r="165" spans="1:9" x14ac:dyDescent="0.25">
      <c r="A165" s="2803">
        <v>4</v>
      </c>
      <c r="B165" s="1661" t="s">
        <v>13</v>
      </c>
      <c r="C165" s="1661"/>
      <c r="D165" s="1661"/>
      <c r="E165" s="1661"/>
      <c r="F165" s="1661"/>
      <c r="G165" s="1868"/>
      <c r="I165" s="2802">
        <f>Budget!I$175</f>
        <v>0</v>
      </c>
    </row>
    <row r="166" spans="1:9" x14ac:dyDescent="0.25">
      <c r="A166" s="2803">
        <v>5</v>
      </c>
      <c r="B166" s="2845" t="s">
        <v>142</v>
      </c>
      <c r="C166" s="1873"/>
      <c r="D166" s="924"/>
      <c r="E166" s="2846"/>
      <c r="I166" s="2802"/>
    </row>
    <row r="167" spans="1:9" ht="15.75" thickBot="1" x14ac:dyDescent="0.3">
      <c r="A167" s="1697"/>
      <c r="B167" s="1676"/>
      <c r="C167" s="1676"/>
      <c r="D167" s="1702" t="s">
        <v>961</v>
      </c>
      <c r="E167" s="2877"/>
      <c r="F167" s="1676"/>
      <c r="G167" s="1676"/>
      <c r="H167" s="1702" t="s">
        <v>962</v>
      </c>
      <c r="I167" s="2878">
        <f>SUM(I162:I166)</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4DCA6-AC34-4956-BF7F-B15931F22B36}">
  <sheetPr codeName="Sheet21">
    <tabColor theme="5" tint="0.59999389629810485"/>
  </sheetPr>
  <dimension ref="A1:I209"/>
  <sheetViews>
    <sheetView showGridLines="0" zoomScaleNormal="100" workbookViewId="0"/>
  </sheetViews>
  <sheetFormatPr defaultRowHeight="15" x14ac:dyDescent="0.25"/>
  <cols>
    <col min="1" max="1" width="3.28515625" style="10" customWidth="1"/>
    <col min="7" max="7" width="18.7109375" bestFit="1" customWidth="1"/>
    <col min="8" max="9" width="17.7109375" customWidth="1"/>
  </cols>
  <sheetData>
    <row r="1" spans="1:9" ht="15.75" thickBot="1" x14ac:dyDescent="0.3">
      <c r="A1" s="2835" t="s">
        <v>928</v>
      </c>
      <c r="B1" s="2836"/>
      <c r="C1" s="2836"/>
      <c r="D1" s="2836"/>
      <c r="E1" s="2836"/>
      <c r="F1" s="2836"/>
      <c r="G1" s="2836"/>
      <c r="H1" s="2836"/>
      <c r="I1" s="2837"/>
    </row>
    <row r="2" spans="1:9" x14ac:dyDescent="0.25">
      <c r="A2" s="2879" t="s">
        <v>963</v>
      </c>
      <c r="B2" s="226" t="s">
        <v>39</v>
      </c>
      <c r="I2" s="2880" t="s">
        <v>952</v>
      </c>
    </row>
    <row r="3" spans="1:9" x14ac:dyDescent="0.25">
      <c r="A3" s="2803">
        <v>1</v>
      </c>
      <c r="B3" s="2500" t="s">
        <v>277</v>
      </c>
      <c r="C3" s="1661"/>
      <c r="D3" s="1661"/>
      <c r="E3" s="1661"/>
      <c r="F3" s="1661"/>
      <c r="G3" s="1868"/>
      <c r="I3" s="2802">
        <f>Budget!D$180</f>
        <v>900</v>
      </c>
    </row>
    <row r="4" spans="1:9" x14ac:dyDescent="0.25">
      <c r="A4" s="2803">
        <v>2</v>
      </c>
      <c r="B4" s="2500" t="s">
        <v>563</v>
      </c>
      <c r="C4" s="1661"/>
      <c r="D4" s="1661"/>
      <c r="E4" s="1661"/>
      <c r="F4" s="1661"/>
      <c r="G4" s="1868"/>
      <c r="I4" s="2802">
        <f>Budget!D$181</f>
        <v>0</v>
      </c>
    </row>
    <row r="5" spans="1:9" x14ac:dyDescent="0.25">
      <c r="A5" s="2803">
        <v>3</v>
      </c>
      <c r="B5" s="2500" t="s">
        <v>964</v>
      </c>
      <c r="C5" s="1661"/>
      <c r="D5" s="1661"/>
      <c r="E5" s="1661"/>
      <c r="F5" s="1661"/>
      <c r="G5" s="1868"/>
      <c r="I5" s="2802">
        <f>Budget!D$182</f>
        <v>0</v>
      </c>
    </row>
    <row r="6" spans="1:9" x14ac:dyDescent="0.25">
      <c r="A6" s="2803">
        <v>4</v>
      </c>
      <c r="B6" s="2500" t="s">
        <v>965</v>
      </c>
      <c r="C6" s="1661"/>
      <c r="D6" s="1661"/>
      <c r="E6" s="1661"/>
      <c r="F6" s="1661"/>
      <c r="G6" s="1868"/>
      <c r="I6" s="2802">
        <f>Budget!D$183</f>
        <v>0</v>
      </c>
    </row>
    <row r="7" spans="1:9" x14ac:dyDescent="0.25">
      <c r="A7" s="2803">
        <v>5</v>
      </c>
      <c r="B7" s="2500" t="s">
        <v>966</v>
      </c>
      <c r="C7" s="1661"/>
      <c r="D7" s="1661"/>
      <c r="E7" s="1661"/>
      <c r="F7" s="1661"/>
      <c r="G7" s="1868"/>
      <c r="I7" s="2802">
        <f>Budget!D$214</f>
        <v>0</v>
      </c>
    </row>
    <row r="8" spans="1:9" x14ac:dyDescent="0.25">
      <c r="A8" s="2881"/>
      <c r="C8" s="2500" t="s">
        <v>967</v>
      </c>
      <c r="D8" s="1661"/>
      <c r="E8" s="1661"/>
      <c r="F8" s="1868"/>
      <c r="G8" s="2882">
        <f>SUM(Budget!D$184,Budget!D$187,Budget!D$190,Budget!D$193,Budget!D$196,Budget!D$199,Budget!D$202,Budget!D$205,Budget!D$208,Budget!D$211)</f>
        <v>0</v>
      </c>
      <c r="I8" s="2802"/>
    </row>
    <row r="9" spans="1:9" x14ac:dyDescent="0.25">
      <c r="A9" s="2803">
        <v>6</v>
      </c>
      <c r="B9" s="2500" t="s">
        <v>968</v>
      </c>
      <c r="C9" s="1661"/>
      <c r="D9" s="1661"/>
      <c r="E9" s="1661"/>
      <c r="F9" s="1661"/>
      <c r="G9" s="1868"/>
      <c r="I9" s="2802">
        <f>Budget!D$215</f>
        <v>0</v>
      </c>
    </row>
    <row r="10" spans="1:9" x14ac:dyDescent="0.25">
      <c r="A10" s="2803">
        <v>7</v>
      </c>
      <c r="B10" s="2500" t="s">
        <v>969</v>
      </c>
      <c r="C10" s="1661"/>
      <c r="D10" s="1661"/>
      <c r="E10" s="1661"/>
      <c r="F10" s="1661"/>
      <c r="G10" s="1868"/>
      <c r="I10" s="2802"/>
    </row>
    <row r="11" spans="1:9" x14ac:dyDescent="0.25">
      <c r="A11" s="2803">
        <v>8</v>
      </c>
      <c r="B11" s="2500" t="s">
        <v>427</v>
      </c>
      <c r="C11" s="1661"/>
      <c r="D11" s="1661"/>
      <c r="E11" s="1661"/>
      <c r="F11" s="1661"/>
      <c r="G11" s="1868"/>
      <c r="I11" s="2802">
        <f ca="1">Budget!D$285</f>
        <v>0</v>
      </c>
    </row>
    <row r="12" spans="1:9" x14ac:dyDescent="0.25">
      <c r="A12" s="2803">
        <v>9</v>
      </c>
      <c r="B12" s="2500" t="str">
        <f>IF(ISBLANK('DATA INPUT'!$B$100),0,'DATA INPUT'!$B$100)</f>
        <v>Other - Specify</v>
      </c>
      <c r="C12" s="1661"/>
      <c r="D12" s="1661"/>
      <c r="E12" s="1661"/>
      <c r="F12" s="1661"/>
      <c r="G12" s="1868"/>
      <c r="I12" s="2802">
        <f>IF('DATA INPUT'!$B$100&lt;&gt;"",Budget!D$218)</f>
        <v>0</v>
      </c>
    </row>
    <row r="13" spans="1:9" x14ac:dyDescent="0.25">
      <c r="A13" s="2803">
        <v>10</v>
      </c>
      <c r="B13" s="2500" t="str">
        <f>IF(ISBLANK('DATA INPUT'!$B$101),0,'DATA INPUT'!$B$101)</f>
        <v>Other - Specify</v>
      </c>
      <c r="C13" s="1661"/>
      <c r="D13" s="1661"/>
      <c r="E13" s="1661"/>
      <c r="F13" s="1661"/>
      <c r="G13" s="1868"/>
      <c r="I13" s="2802">
        <f>IF('DATA INPUT'!$B$101&lt;&gt;"",Budget!D$219)</f>
        <v>0</v>
      </c>
    </row>
    <row r="14" spans="1:9" x14ac:dyDescent="0.25">
      <c r="A14" s="2803">
        <v>11</v>
      </c>
      <c r="B14" s="2500" t="str">
        <f>IF(ISBLANK('DATA INPUT'!$B$102),0,'DATA INPUT'!$B$102)</f>
        <v>Other - Specify</v>
      </c>
      <c r="C14" s="1661"/>
      <c r="D14" s="1661"/>
      <c r="E14" s="1661"/>
      <c r="F14" s="1661"/>
      <c r="G14" s="1868"/>
      <c r="I14" s="2802">
        <f>IF('DATA INPUT'!$B$102&lt;&gt;"",Budget!D$220)</f>
        <v>0</v>
      </c>
    </row>
    <row r="15" spans="1:9" x14ac:dyDescent="0.25">
      <c r="A15" s="2803">
        <v>12</v>
      </c>
      <c r="B15" s="2500" t="str">
        <f>IF(ISBLANK('DATA INPUT'!$B$103),0,'DATA INPUT'!$B$103)</f>
        <v>Other - Specify</v>
      </c>
      <c r="C15" s="1661"/>
      <c r="D15" s="1661"/>
      <c r="E15" s="1661"/>
      <c r="F15" s="1661"/>
      <c r="G15" s="1868"/>
      <c r="I15" s="2802">
        <f>IF('DATA INPUT'!$B$103&lt;&gt;"",Budget!D$221)</f>
        <v>0</v>
      </c>
    </row>
    <row r="16" spans="1:9" x14ac:dyDescent="0.25">
      <c r="A16" s="2803">
        <v>13</v>
      </c>
      <c r="B16" s="2500" t="str">
        <f>IF(ISBLANK('DATA INPUT'!$B$104),0,'DATA INPUT'!$B$104)</f>
        <v>Other - Specify</v>
      </c>
      <c r="C16" s="1661"/>
      <c r="D16" s="1661"/>
      <c r="E16" s="1661"/>
      <c r="F16" s="1661"/>
      <c r="G16" s="1868"/>
      <c r="I16" s="2802">
        <f>IF('DATA INPUT'!$B$104&lt;&gt;"",Budget!D$222)</f>
        <v>0</v>
      </c>
    </row>
    <row r="17" spans="1:9" x14ac:dyDescent="0.25">
      <c r="A17" s="2803">
        <v>14</v>
      </c>
      <c r="B17" s="2500" t="str">
        <f>IF(ISBLANK('DATA INPUT'!$B$105),0,'DATA INPUT'!$B$105)</f>
        <v>Other - Specify</v>
      </c>
      <c r="C17" s="1661"/>
      <c r="D17" s="1661"/>
      <c r="E17" s="1661"/>
      <c r="F17" s="1661"/>
      <c r="G17" s="1868"/>
      <c r="I17" s="2802">
        <f>IF('DATA INPUT'!$B$105&lt;&gt;"",Budget!D$223)</f>
        <v>0</v>
      </c>
    </row>
    <row r="18" spans="1:9" x14ac:dyDescent="0.25">
      <c r="A18" s="2803">
        <v>15</v>
      </c>
      <c r="B18" s="2500" t="str">
        <f>Budget!$EK$224</f>
        <v>Conference Registration Fees</v>
      </c>
      <c r="C18" s="1661"/>
      <c r="D18" s="1661"/>
      <c r="E18" s="1661"/>
      <c r="F18" s="1661"/>
      <c r="G18" s="1868"/>
      <c r="I18" s="2802">
        <f ca="1">IF(Budget!$EK$224&lt;&gt;"",Budget!D$224)</f>
        <v>0</v>
      </c>
    </row>
    <row r="19" spans="1:9" x14ac:dyDescent="0.25">
      <c r="A19" s="2803">
        <v>16</v>
      </c>
      <c r="B19" s="2500"/>
      <c r="C19" s="1661"/>
      <c r="D19" s="1661"/>
      <c r="E19" s="1661"/>
      <c r="F19" s="1661"/>
      <c r="G19" s="1868"/>
      <c r="I19" s="2802"/>
    </row>
    <row r="20" spans="1:9" x14ac:dyDescent="0.25">
      <c r="A20" s="2803">
        <v>17</v>
      </c>
      <c r="B20" s="2500"/>
      <c r="C20" s="1661"/>
      <c r="D20" s="1661"/>
      <c r="E20" s="1661"/>
      <c r="F20" s="1661"/>
      <c r="G20" s="1868"/>
      <c r="I20" s="2802"/>
    </row>
    <row r="21" spans="1:9" ht="15.75" thickBot="1" x14ac:dyDescent="0.3">
      <c r="A21" s="2840"/>
      <c r="B21" s="1676"/>
      <c r="C21" s="1676"/>
      <c r="D21" s="1676"/>
      <c r="E21" s="1676"/>
      <c r="F21" s="1676"/>
      <c r="G21" s="1676"/>
      <c r="H21" s="2842" t="s">
        <v>970</v>
      </c>
      <c r="I21" s="2883">
        <f ca="1">SUM(I3:I20)</f>
        <v>900</v>
      </c>
    </row>
    <row r="22" spans="1:9" ht="15.75" thickBot="1" x14ac:dyDescent="0.3">
      <c r="A22" s="2881"/>
      <c r="I22" s="1675"/>
    </row>
    <row r="23" spans="1:9" x14ac:dyDescent="0.25">
      <c r="A23" s="1974" t="s">
        <v>971</v>
      </c>
      <c r="B23" s="859" t="s">
        <v>972</v>
      </c>
      <c r="C23" s="668"/>
      <c r="D23" s="668"/>
      <c r="E23" s="668"/>
      <c r="F23" s="668"/>
      <c r="G23" s="668"/>
      <c r="H23" s="668"/>
      <c r="I23" s="2884" t="s">
        <v>952</v>
      </c>
    </row>
    <row r="24" spans="1:9" ht="15.75" thickBot="1" x14ac:dyDescent="0.3">
      <c r="A24" s="2840"/>
      <c r="B24" s="1676"/>
      <c r="C24" s="1676"/>
      <c r="D24" s="1676"/>
      <c r="E24" s="1676"/>
      <c r="F24" s="1676"/>
      <c r="G24" s="1676"/>
      <c r="H24" s="2842" t="s">
        <v>973</v>
      </c>
      <c r="I24" s="2883">
        <f ca="1">'SF RR Budget - Section B'!$H$17 + 'SF RR Budget - Secs. C D E'!I12 + 'SF RR Budget - Secs. C D E'!I18 + 'SF RR Budget - Secs. C D E'!I27 + 'SF RR Budget - Secs. F - K'!I21</f>
        <v>49999.87</v>
      </c>
    </row>
    <row r="25" spans="1:9" ht="15.75" thickBot="1" x14ac:dyDescent="0.3">
      <c r="A25" s="2881"/>
      <c r="I25" s="1675"/>
    </row>
    <row r="26" spans="1:9" x14ac:dyDescent="0.25">
      <c r="A26" s="1974" t="s">
        <v>974</v>
      </c>
      <c r="B26" s="859" t="s">
        <v>359</v>
      </c>
      <c r="C26" s="668"/>
      <c r="D26" s="668"/>
      <c r="E26" s="668"/>
      <c r="F26" s="668"/>
      <c r="G26" s="668"/>
      <c r="H26" s="668"/>
      <c r="I26" s="1701"/>
    </row>
    <row r="27" spans="1:9" x14ac:dyDescent="0.25">
      <c r="A27" s="2881"/>
      <c r="G27" s="226" t="s">
        <v>975</v>
      </c>
      <c r="H27" s="226" t="s">
        <v>976</v>
      </c>
      <c r="I27" s="2880" t="s">
        <v>952</v>
      </c>
    </row>
    <row r="28" spans="1:9" ht="15.75" thickBot="1" x14ac:dyDescent="0.3">
      <c r="A28" s="2840"/>
      <c r="B28" s="2885" t="s">
        <v>977</v>
      </c>
      <c r="C28" s="2885"/>
      <c r="D28" s="2885"/>
      <c r="E28" s="2885"/>
      <c r="F28" s="2885"/>
      <c r="G28" s="2886">
        <f>'DATA INPUT'!$F$125</f>
        <v>0</v>
      </c>
      <c r="H28" s="2887">
        <f ca="1">Budget!D$292</f>
        <v>50000.337972000001</v>
      </c>
      <c r="I28" s="2883">
        <f ca="1">Budget!D$293</f>
        <v>0</v>
      </c>
    </row>
    <row r="29" spans="1:9" ht="15.75" thickBot="1" x14ac:dyDescent="0.3">
      <c r="A29" s="2881"/>
      <c r="I29" s="1675"/>
    </row>
    <row r="30" spans="1:9" x14ac:dyDescent="0.25">
      <c r="A30" s="1974" t="s">
        <v>978</v>
      </c>
      <c r="B30" s="859" t="s">
        <v>979</v>
      </c>
      <c r="C30" s="668"/>
      <c r="D30" s="668"/>
      <c r="E30" s="668"/>
      <c r="F30" s="668"/>
      <c r="G30" s="668"/>
      <c r="H30" s="668"/>
      <c r="I30" s="2884" t="s">
        <v>952</v>
      </c>
    </row>
    <row r="31" spans="1:9" ht="15.75" thickBot="1" x14ac:dyDescent="0.3">
      <c r="A31" s="2840"/>
      <c r="B31" s="1676"/>
      <c r="C31" s="1676"/>
      <c r="D31" s="1676"/>
      <c r="E31" s="1676"/>
      <c r="F31" s="1676"/>
      <c r="G31" s="1676"/>
      <c r="H31" s="1676"/>
      <c r="I31" s="2843">
        <v>0</v>
      </c>
    </row>
    <row r="32" spans="1:9" ht="15.75" thickBot="1" x14ac:dyDescent="0.3">
      <c r="A32" s="2881"/>
      <c r="I32" s="1675"/>
    </row>
    <row r="33" spans="1:9" x14ac:dyDescent="0.25">
      <c r="A33" s="1974" t="s">
        <v>980</v>
      </c>
      <c r="B33" s="859" t="s">
        <v>981</v>
      </c>
      <c r="C33" s="668"/>
      <c r="D33" s="668"/>
      <c r="E33" s="668"/>
      <c r="F33" s="668"/>
      <c r="G33" s="668"/>
      <c r="H33" s="668"/>
      <c r="I33" s="2884" t="s">
        <v>952</v>
      </c>
    </row>
    <row r="34" spans="1:9" ht="15.75" thickBot="1" x14ac:dyDescent="0.3">
      <c r="A34" s="2840"/>
      <c r="B34" s="1676"/>
      <c r="C34" s="1676"/>
      <c r="D34" s="1676"/>
      <c r="E34" s="1676"/>
      <c r="F34" s="1676"/>
      <c r="G34" s="1676"/>
      <c r="H34" s="1676"/>
      <c r="I34" s="2843">
        <f ca="1">Budget!D$295</f>
        <v>50000.337972000001</v>
      </c>
    </row>
    <row r="35" spans="1:9" ht="15.75" thickBot="1" x14ac:dyDescent="0.3"/>
    <row r="36" spans="1:9" ht="15.75" thickBot="1" x14ac:dyDescent="0.3">
      <c r="A36" s="2849" t="s">
        <v>943</v>
      </c>
      <c r="B36" s="2850"/>
      <c r="C36" s="2850"/>
      <c r="D36" s="2850"/>
      <c r="E36" s="2850"/>
      <c r="F36" s="2850"/>
      <c r="G36" s="2850"/>
      <c r="H36" s="2850"/>
      <c r="I36" s="2851"/>
    </row>
    <row r="37" spans="1:9" x14ac:dyDescent="0.25">
      <c r="A37" s="2879" t="s">
        <v>963</v>
      </c>
      <c r="B37" s="226" t="s">
        <v>39</v>
      </c>
      <c r="I37" s="2880" t="s">
        <v>952</v>
      </c>
    </row>
    <row r="38" spans="1:9" x14ac:dyDescent="0.25">
      <c r="A38" s="2803">
        <v>1</v>
      </c>
      <c r="B38" s="2500" t="s">
        <v>277</v>
      </c>
      <c r="C38" s="1661"/>
      <c r="D38" s="1661"/>
      <c r="E38" s="1661"/>
      <c r="F38" s="1661"/>
      <c r="G38" s="1868"/>
      <c r="I38" s="2802">
        <f>Budget!E$180</f>
        <v>0</v>
      </c>
    </row>
    <row r="39" spans="1:9" x14ac:dyDescent="0.25">
      <c r="A39" s="2803">
        <v>2</v>
      </c>
      <c r="B39" s="2500" t="s">
        <v>563</v>
      </c>
      <c r="C39" s="1661"/>
      <c r="D39" s="1661"/>
      <c r="E39" s="1661"/>
      <c r="F39" s="1661"/>
      <c r="G39" s="1868"/>
      <c r="I39" s="2802">
        <f>Budget!E$181</f>
        <v>0</v>
      </c>
    </row>
    <row r="40" spans="1:9" x14ac:dyDescent="0.25">
      <c r="A40" s="2803">
        <v>3</v>
      </c>
      <c r="B40" s="2500" t="s">
        <v>964</v>
      </c>
      <c r="C40" s="1661"/>
      <c r="D40" s="1661"/>
      <c r="E40" s="1661"/>
      <c r="F40" s="1661"/>
      <c r="G40" s="1868"/>
      <c r="I40" s="2802">
        <f>Budget!E$182</f>
        <v>0</v>
      </c>
    </row>
    <row r="41" spans="1:9" x14ac:dyDescent="0.25">
      <c r="A41" s="2803">
        <v>4</v>
      </c>
      <c r="B41" s="2500" t="s">
        <v>965</v>
      </c>
      <c r="C41" s="1661"/>
      <c r="D41" s="1661"/>
      <c r="E41" s="1661"/>
      <c r="F41" s="1661"/>
      <c r="G41" s="1868"/>
      <c r="I41" s="2802">
        <f>Budget!E$183</f>
        <v>0</v>
      </c>
    </row>
    <row r="42" spans="1:9" x14ac:dyDescent="0.25">
      <c r="A42" s="2803">
        <v>5</v>
      </c>
      <c r="B42" s="2500" t="s">
        <v>966</v>
      </c>
      <c r="C42" s="1661"/>
      <c r="D42" s="1661"/>
      <c r="E42" s="1661"/>
      <c r="F42" s="1661"/>
      <c r="G42" s="1868"/>
      <c r="I42" s="2802">
        <f>Budget!E$214</f>
        <v>0</v>
      </c>
    </row>
    <row r="43" spans="1:9" x14ac:dyDescent="0.25">
      <c r="A43" s="2881"/>
      <c r="C43" s="2500" t="s">
        <v>967</v>
      </c>
      <c r="D43" s="1661"/>
      <c r="E43" s="1661"/>
      <c r="F43" s="1868"/>
      <c r="G43" s="2888">
        <f>SUM(Budget!E$184,Budget!E$187,Budget!E$190,Budget!E$193,Budget!E$196,Budget!E$199,Budget!E$202,Budget!E$205,Budget!E$208,Budget!E$211)</f>
        <v>0</v>
      </c>
      <c r="I43" s="2802"/>
    </row>
    <row r="44" spans="1:9" x14ac:dyDescent="0.25">
      <c r="A44" s="2803">
        <v>6</v>
      </c>
      <c r="B44" s="2500" t="s">
        <v>968</v>
      </c>
      <c r="C44" s="1661"/>
      <c r="D44" s="1661"/>
      <c r="E44" s="1661"/>
      <c r="F44" s="1661"/>
      <c r="G44" s="1868"/>
      <c r="I44" s="2802">
        <f>Budget!E$215</f>
        <v>0</v>
      </c>
    </row>
    <row r="45" spans="1:9" x14ac:dyDescent="0.25">
      <c r="A45" s="2803">
        <v>7</v>
      </c>
      <c r="B45" s="2500" t="s">
        <v>969</v>
      </c>
      <c r="C45" s="1661"/>
      <c r="D45" s="1661"/>
      <c r="E45" s="1661"/>
      <c r="F45" s="1661"/>
      <c r="G45" s="1868"/>
      <c r="I45" s="2802"/>
    </row>
    <row r="46" spans="1:9" x14ac:dyDescent="0.25">
      <c r="A46" s="2803">
        <v>8</v>
      </c>
      <c r="B46" s="2500" t="s">
        <v>427</v>
      </c>
      <c r="C46" s="1661"/>
      <c r="D46" s="1661"/>
      <c r="E46" s="1661"/>
      <c r="F46" s="1661"/>
      <c r="G46" s="1868"/>
      <c r="I46" s="2802">
        <f ca="1">Budget!E$285</f>
        <v>0</v>
      </c>
    </row>
    <row r="47" spans="1:9" x14ac:dyDescent="0.25">
      <c r="A47" s="2803">
        <v>9</v>
      </c>
      <c r="B47" s="2500" t="str">
        <f>IF(ISBLANK('DATA INPUT'!$B$100),0,'DATA INPUT'!$B$100)</f>
        <v>Other - Specify</v>
      </c>
      <c r="C47" s="1661"/>
      <c r="D47" s="1661"/>
      <c r="E47" s="1661"/>
      <c r="F47" s="1661"/>
      <c r="G47" s="1868"/>
      <c r="I47" s="2802">
        <f>IF('DATA INPUT'!$B$100&lt;&gt;"",Budget!E$218)</f>
        <v>0</v>
      </c>
    </row>
    <row r="48" spans="1:9" x14ac:dyDescent="0.25">
      <c r="A48" s="2803">
        <v>10</v>
      </c>
      <c r="B48" s="2500" t="str">
        <f>IF(ISBLANK('DATA INPUT'!$B$101),0,'DATA INPUT'!$B$101)</f>
        <v>Other - Specify</v>
      </c>
      <c r="C48" s="1661"/>
      <c r="D48" s="1661"/>
      <c r="E48" s="1661"/>
      <c r="F48" s="1661"/>
      <c r="G48" s="1868"/>
      <c r="I48" s="2802">
        <f>IF('DATA INPUT'!$B$101&lt;&gt;"",Budget!E$219)</f>
        <v>0</v>
      </c>
    </row>
    <row r="49" spans="1:9" x14ac:dyDescent="0.25">
      <c r="A49" s="2803">
        <v>11</v>
      </c>
      <c r="B49" s="2500" t="str">
        <f>IF(ISBLANK('DATA INPUT'!$B$102),0,'DATA INPUT'!$B$102)</f>
        <v>Other - Specify</v>
      </c>
      <c r="C49" s="1661"/>
      <c r="D49" s="1661"/>
      <c r="E49" s="1661"/>
      <c r="F49" s="1661"/>
      <c r="G49" s="1868"/>
      <c r="I49" s="2802">
        <f>IF('DATA INPUT'!$B$102&lt;&gt;"",Budget!E$220)</f>
        <v>0</v>
      </c>
    </row>
    <row r="50" spans="1:9" x14ac:dyDescent="0.25">
      <c r="A50" s="2803">
        <v>12</v>
      </c>
      <c r="B50" s="2500" t="str">
        <f>IF(ISBLANK('DATA INPUT'!$B$103),0,'DATA INPUT'!$B$103)</f>
        <v>Other - Specify</v>
      </c>
      <c r="C50" s="1661"/>
      <c r="D50" s="1661"/>
      <c r="E50" s="1661"/>
      <c r="F50" s="1661"/>
      <c r="G50" s="1868"/>
      <c r="I50" s="2802">
        <f>IF('DATA INPUT'!$B$103&lt;&gt;"",Budget!E$221)</f>
        <v>0</v>
      </c>
    </row>
    <row r="51" spans="1:9" x14ac:dyDescent="0.25">
      <c r="A51" s="2803">
        <v>13</v>
      </c>
      <c r="B51" s="2500" t="str">
        <f>IF(ISBLANK('DATA INPUT'!$B$104),0,'DATA INPUT'!$B$104)</f>
        <v>Other - Specify</v>
      </c>
      <c r="C51" s="1661"/>
      <c r="D51" s="1661"/>
      <c r="E51" s="1661"/>
      <c r="F51" s="1661"/>
      <c r="G51" s="1868"/>
      <c r="I51" s="2802">
        <f>IF('DATA INPUT'!$B$104&lt;&gt;"",Budget!E$222)</f>
        <v>0</v>
      </c>
    </row>
    <row r="52" spans="1:9" x14ac:dyDescent="0.25">
      <c r="A52" s="2803">
        <v>14</v>
      </c>
      <c r="B52" s="2500" t="str">
        <f>IF(ISBLANK('DATA INPUT'!$B$105),0,'DATA INPUT'!$B$105)</f>
        <v>Other - Specify</v>
      </c>
      <c r="C52" s="1661"/>
      <c r="D52" s="1661"/>
      <c r="E52" s="1661"/>
      <c r="F52" s="1661"/>
      <c r="G52" s="1868"/>
      <c r="I52" s="2802">
        <f>IF('DATA INPUT'!$B$105&lt;&gt;"",Budget!E$223)</f>
        <v>0</v>
      </c>
    </row>
    <row r="53" spans="1:9" x14ac:dyDescent="0.25">
      <c r="A53" s="2803">
        <v>15</v>
      </c>
      <c r="B53" s="2500" t="str">
        <f>Budget!$EK$224</f>
        <v>Conference Registration Fees</v>
      </c>
      <c r="C53" s="1661"/>
      <c r="D53" s="1661"/>
      <c r="E53" s="1661"/>
      <c r="F53" s="1661"/>
      <c r="G53" s="1868"/>
      <c r="I53" s="2802">
        <f ca="1">IF(Budget!$EK$224&lt;&gt;"",Budget!E$224)</f>
        <v>0</v>
      </c>
    </row>
    <row r="54" spans="1:9" x14ac:dyDescent="0.25">
      <c r="A54" s="2803">
        <v>16</v>
      </c>
      <c r="B54" s="2500"/>
      <c r="C54" s="1661"/>
      <c r="D54" s="1661"/>
      <c r="E54" s="1661"/>
      <c r="F54" s="1661"/>
      <c r="G54" s="1868"/>
      <c r="I54" s="2802"/>
    </row>
    <row r="55" spans="1:9" x14ac:dyDescent="0.25">
      <c r="A55" s="2803">
        <v>17</v>
      </c>
      <c r="B55" s="2500"/>
      <c r="C55" s="1661"/>
      <c r="D55" s="1661"/>
      <c r="E55" s="1661"/>
      <c r="F55" s="1661"/>
      <c r="G55" s="1868"/>
      <c r="I55" s="2802"/>
    </row>
    <row r="56" spans="1:9" ht="15.75" thickBot="1" x14ac:dyDescent="0.3">
      <c r="A56" s="2840"/>
      <c r="B56" s="1676"/>
      <c r="C56" s="1676"/>
      <c r="D56" s="1676"/>
      <c r="E56" s="1676"/>
      <c r="F56" s="1676"/>
      <c r="G56" s="1676"/>
      <c r="H56" s="2842" t="s">
        <v>970</v>
      </c>
      <c r="I56" s="2889">
        <f ca="1">SUM(I38:I55)</f>
        <v>0</v>
      </c>
    </row>
    <row r="57" spans="1:9" ht="15.75" thickBot="1" x14ac:dyDescent="0.3">
      <c r="A57" s="2881"/>
      <c r="I57" s="1675"/>
    </row>
    <row r="58" spans="1:9" x14ac:dyDescent="0.25">
      <c r="A58" s="1974" t="s">
        <v>971</v>
      </c>
      <c r="B58" s="859" t="s">
        <v>972</v>
      </c>
      <c r="C58" s="668"/>
      <c r="D58" s="668"/>
      <c r="E58" s="668"/>
      <c r="F58" s="668"/>
      <c r="G58" s="668"/>
      <c r="H58" s="668"/>
      <c r="I58" s="2884" t="s">
        <v>952</v>
      </c>
    </row>
    <row r="59" spans="1:9" ht="15.75" thickBot="1" x14ac:dyDescent="0.3">
      <c r="A59" s="2840"/>
      <c r="B59" s="1676"/>
      <c r="C59" s="1676"/>
      <c r="D59" s="1676"/>
      <c r="E59" s="1676"/>
      <c r="F59" s="1676"/>
      <c r="G59" s="1676"/>
      <c r="H59" s="2842" t="s">
        <v>973</v>
      </c>
      <c r="I59" s="2889">
        <f ca="1">'SF RR Budget - Section B'!H34 + 'SF RR Budget - Secs. C D E'!I40 + 'SF RR Budget - Secs. C D E'!I46 + 'SF RR Budget - Secs. C D E'!I55 + 'SF RR Budget - Secs. F - K'!I56</f>
        <v>0</v>
      </c>
    </row>
    <row r="60" spans="1:9" ht="15.75" thickBot="1" x14ac:dyDescent="0.3">
      <c r="A60" s="2881"/>
      <c r="I60" s="1675"/>
    </row>
    <row r="61" spans="1:9" x14ac:dyDescent="0.25">
      <c r="A61" s="1974" t="s">
        <v>974</v>
      </c>
      <c r="B61" s="859" t="s">
        <v>359</v>
      </c>
      <c r="C61" s="668"/>
      <c r="D61" s="668"/>
      <c r="E61" s="668"/>
      <c r="F61" s="668"/>
      <c r="G61" s="668"/>
      <c r="H61" s="668"/>
      <c r="I61" s="1701"/>
    </row>
    <row r="62" spans="1:9" x14ac:dyDescent="0.25">
      <c r="A62" s="2881"/>
      <c r="G62" s="226" t="s">
        <v>975</v>
      </c>
      <c r="H62" s="226" t="s">
        <v>976</v>
      </c>
      <c r="I62" s="2880" t="s">
        <v>952</v>
      </c>
    </row>
    <row r="63" spans="1:9" ht="15.75" thickBot="1" x14ac:dyDescent="0.3">
      <c r="A63" s="2840"/>
      <c r="B63" s="2885" t="s">
        <v>977</v>
      </c>
      <c r="C63" s="2885"/>
      <c r="D63" s="2885"/>
      <c r="E63" s="2885"/>
      <c r="F63" s="2885"/>
      <c r="G63" s="2890">
        <f>'DATA INPUT'!$F$125</f>
        <v>0</v>
      </c>
      <c r="H63" s="2891">
        <f ca="1">Budget!E$292</f>
        <v>0</v>
      </c>
      <c r="I63" s="2889">
        <f ca="1">Budget!E$293</f>
        <v>0</v>
      </c>
    </row>
    <row r="64" spans="1:9" ht="15.75" thickBot="1" x14ac:dyDescent="0.3">
      <c r="A64" s="2881"/>
      <c r="I64" s="1675"/>
    </row>
    <row r="65" spans="1:9" x14ac:dyDescent="0.25">
      <c r="A65" s="1974" t="s">
        <v>978</v>
      </c>
      <c r="B65" s="859" t="s">
        <v>979</v>
      </c>
      <c r="C65" s="668"/>
      <c r="D65" s="668"/>
      <c r="E65" s="668"/>
      <c r="F65" s="668"/>
      <c r="G65" s="668"/>
      <c r="H65" s="668"/>
      <c r="I65" s="2884" t="s">
        <v>952</v>
      </c>
    </row>
    <row r="66" spans="1:9" ht="15.75" thickBot="1" x14ac:dyDescent="0.3">
      <c r="A66" s="2840"/>
      <c r="B66" s="1676"/>
      <c r="C66" s="1676"/>
      <c r="D66" s="1676"/>
      <c r="E66" s="1676"/>
      <c r="F66" s="1676"/>
      <c r="G66" s="1676"/>
      <c r="H66" s="1676"/>
      <c r="I66" s="2852">
        <v>0</v>
      </c>
    </row>
    <row r="67" spans="1:9" ht="15.75" thickBot="1" x14ac:dyDescent="0.3">
      <c r="A67" s="2881"/>
      <c r="I67" s="1675"/>
    </row>
    <row r="68" spans="1:9" x14ac:dyDescent="0.25">
      <c r="A68" s="1974" t="s">
        <v>980</v>
      </c>
      <c r="B68" s="859" t="s">
        <v>981</v>
      </c>
      <c r="C68" s="668"/>
      <c r="D68" s="668"/>
      <c r="E68" s="668"/>
      <c r="F68" s="668"/>
      <c r="G68" s="668"/>
      <c r="H68" s="668"/>
      <c r="I68" s="2884" t="s">
        <v>952</v>
      </c>
    </row>
    <row r="69" spans="1:9" ht="15.75" thickBot="1" x14ac:dyDescent="0.3">
      <c r="A69" s="2840"/>
      <c r="B69" s="1676"/>
      <c r="C69" s="1676"/>
      <c r="D69" s="1676"/>
      <c r="E69" s="1676"/>
      <c r="F69" s="1676"/>
      <c r="G69" s="1676"/>
      <c r="H69" s="1676"/>
      <c r="I69" s="2852">
        <f ca="1">Budget!E$295</f>
        <v>0</v>
      </c>
    </row>
    <row r="70" spans="1:9" ht="15.75" thickBot="1" x14ac:dyDescent="0.3"/>
    <row r="71" spans="1:9" ht="15.75" thickBot="1" x14ac:dyDescent="0.3">
      <c r="A71" s="2855" t="s">
        <v>944</v>
      </c>
      <c r="B71" s="2856"/>
      <c r="C71" s="2856"/>
      <c r="D71" s="2856"/>
      <c r="E71" s="2856"/>
      <c r="F71" s="2856"/>
      <c r="G71" s="2856"/>
      <c r="H71" s="2856"/>
      <c r="I71" s="2857"/>
    </row>
    <row r="72" spans="1:9" x14ac:dyDescent="0.25">
      <c r="A72" s="2879" t="s">
        <v>963</v>
      </c>
      <c r="B72" s="226" t="s">
        <v>39</v>
      </c>
      <c r="I72" s="2880" t="s">
        <v>952</v>
      </c>
    </row>
    <row r="73" spans="1:9" x14ac:dyDescent="0.25">
      <c r="A73" s="2803">
        <v>1</v>
      </c>
      <c r="B73" s="2500" t="s">
        <v>277</v>
      </c>
      <c r="C73" s="1661"/>
      <c r="D73" s="1661"/>
      <c r="E73" s="1661"/>
      <c r="F73" s="1661"/>
      <c r="G73" s="1868"/>
      <c r="I73" s="2802">
        <f>Budget!F$180</f>
        <v>0</v>
      </c>
    </row>
    <row r="74" spans="1:9" x14ac:dyDescent="0.25">
      <c r="A74" s="2803">
        <v>2</v>
      </c>
      <c r="B74" s="2500" t="s">
        <v>563</v>
      </c>
      <c r="C74" s="1661"/>
      <c r="D74" s="1661"/>
      <c r="E74" s="1661"/>
      <c r="F74" s="1661"/>
      <c r="G74" s="1868"/>
      <c r="I74" s="2802">
        <f>Budget!F$181</f>
        <v>0</v>
      </c>
    </row>
    <row r="75" spans="1:9" x14ac:dyDescent="0.25">
      <c r="A75" s="2803">
        <v>3</v>
      </c>
      <c r="B75" s="2500" t="s">
        <v>964</v>
      </c>
      <c r="C75" s="1661"/>
      <c r="D75" s="1661"/>
      <c r="E75" s="1661"/>
      <c r="F75" s="1661"/>
      <c r="G75" s="1868"/>
      <c r="I75" s="2802">
        <f>Budget!F$182</f>
        <v>0</v>
      </c>
    </row>
    <row r="76" spans="1:9" x14ac:dyDescent="0.25">
      <c r="A76" s="2803">
        <v>4</v>
      </c>
      <c r="B76" s="2500" t="s">
        <v>965</v>
      </c>
      <c r="C76" s="1661"/>
      <c r="D76" s="1661"/>
      <c r="E76" s="1661"/>
      <c r="F76" s="1661"/>
      <c r="G76" s="1868"/>
      <c r="I76" s="2802">
        <f>Budget!F$183</f>
        <v>0</v>
      </c>
    </row>
    <row r="77" spans="1:9" x14ac:dyDescent="0.25">
      <c r="A77" s="2803">
        <v>5</v>
      </c>
      <c r="B77" s="2500" t="s">
        <v>966</v>
      </c>
      <c r="C77" s="1661"/>
      <c r="D77" s="1661"/>
      <c r="E77" s="1661"/>
      <c r="F77" s="1661"/>
      <c r="G77" s="1868"/>
      <c r="I77" s="2802">
        <f>Budget!F$214</f>
        <v>0</v>
      </c>
    </row>
    <row r="78" spans="1:9" x14ac:dyDescent="0.25">
      <c r="A78" s="2881"/>
      <c r="C78" s="2500" t="s">
        <v>967</v>
      </c>
      <c r="D78" s="1661"/>
      <c r="E78" s="1661"/>
      <c r="F78" s="1868"/>
      <c r="G78" s="2892">
        <f>SUM(Budget!F$184,Budget!F$187,Budget!F$190,Budget!F$193,Budget!F$196,Budget!F$199,Budget!F$202,Budget!F$205,Budget!F$208,Budget!F$211)</f>
        <v>0</v>
      </c>
      <c r="I78" s="2802"/>
    </row>
    <row r="79" spans="1:9" x14ac:dyDescent="0.25">
      <c r="A79" s="2803">
        <v>6</v>
      </c>
      <c r="B79" s="2500" t="s">
        <v>968</v>
      </c>
      <c r="C79" s="1661"/>
      <c r="D79" s="1661"/>
      <c r="E79" s="1661"/>
      <c r="F79" s="1661"/>
      <c r="G79" s="1868"/>
      <c r="I79" s="2802">
        <f>Budget!F$215</f>
        <v>0</v>
      </c>
    </row>
    <row r="80" spans="1:9" x14ac:dyDescent="0.25">
      <c r="A80" s="2803">
        <v>7</v>
      </c>
      <c r="B80" s="2500" t="s">
        <v>969</v>
      </c>
      <c r="C80" s="1661"/>
      <c r="D80" s="1661"/>
      <c r="E80" s="1661"/>
      <c r="F80" s="1661"/>
      <c r="G80" s="1868"/>
      <c r="I80" s="2802"/>
    </row>
    <row r="81" spans="1:9" x14ac:dyDescent="0.25">
      <c r="A81" s="2803">
        <v>8</v>
      </c>
      <c r="B81" s="2500" t="s">
        <v>427</v>
      </c>
      <c r="C81" s="1661"/>
      <c r="D81" s="1661"/>
      <c r="E81" s="1661"/>
      <c r="F81" s="1661"/>
      <c r="G81" s="1868"/>
      <c r="I81" s="2802">
        <f ca="1">Budget!F$285</f>
        <v>0</v>
      </c>
    </row>
    <row r="82" spans="1:9" x14ac:dyDescent="0.25">
      <c r="A82" s="2803">
        <v>9</v>
      </c>
      <c r="B82" s="2500" t="str">
        <f>IF(ISBLANK('DATA INPUT'!$B$100),0,'DATA INPUT'!$B$100)</f>
        <v>Other - Specify</v>
      </c>
      <c r="C82" s="1661"/>
      <c r="D82" s="1661"/>
      <c r="E82" s="1661"/>
      <c r="F82" s="1661"/>
      <c r="G82" s="1868"/>
      <c r="I82" s="2802">
        <f>IF('DATA INPUT'!$B$100&lt;&gt;"",Budget!F$218)</f>
        <v>0</v>
      </c>
    </row>
    <row r="83" spans="1:9" x14ac:dyDescent="0.25">
      <c r="A83" s="2803">
        <v>10</v>
      </c>
      <c r="B83" s="2500" t="str">
        <f>IF(ISBLANK('DATA INPUT'!$B$101),0,'DATA INPUT'!$B$101)</f>
        <v>Other - Specify</v>
      </c>
      <c r="C83" s="1661"/>
      <c r="D83" s="1661"/>
      <c r="E83" s="1661"/>
      <c r="F83" s="1661"/>
      <c r="G83" s="1868"/>
      <c r="I83" s="2802">
        <f>IF('DATA INPUT'!$B$101&lt;&gt;"",Budget!F$219)</f>
        <v>0</v>
      </c>
    </row>
    <row r="84" spans="1:9" x14ac:dyDescent="0.25">
      <c r="A84" s="2803">
        <v>11</v>
      </c>
      <c r="B84" s="2500" t="str">
        <f>IF(ISBLANK('DATA INPUT'!$B$102),0,'DATA INPUT'!$B$102)</f>
        <v>Other - Specify</v>
      </c>
      <c r="C84" s="1661"/>
      <c r="D84" s="1661"/>
      <c r="E84" s="1661"/>
      <c r="F84" s="1661"/>
      <c r="G84" s="1868"/>
      <c r="I84" s="2802">
        <f>IF('DATA INPUT'!$B$102&lt;&gt;"",Budget!F$220)</f>
        <v>0</v>
      </c>
    </row>
    <row r="85" spans="1:9" x14ac:dyDescent="0.25">
      <c r="A85" s="2803">
        <v>12</v>
      </c>
      <c r="B85" s="2500" t="str">
        <f>IF(ISBLANK('DATA INPUT'!$B$103),0,'DATA INPUT'!$B$103)</f>
        <v>Other - Specify</v>
      </c>
      <c r="C85" s="1661"/>
      <c r="D85" s="1661"/>
      <c r="E85" s="1661"/>
      <c r="F85" s="1661"/>
      <c r="G85" s="1868"/>
      <c r="I85" s="2802">
        <f>IF('DATA INPUT'!$B$103&lt;&gt;"",Budget!F$221)</f>
        <v>0</v>
      </c>
    </row>
    <row r="86" spans="1:9" x14ac:dyDescent="0.25">
      <c r="A86" s="2803">
        <v>13</v>
      </c>
      <c r="B86" s="2500" t="str">
        <f>IF(ISBLANK('DATA INPUT'!$B$104),0,'DATA INPUT'!$B$104)</f>
        <v>Other - Specify</v>
      </c>
      <c r="C86" s="1661"/>
      <c r="D86" s="1661"/>
      <c r="E86" s="1661"/>
      <c r="F86" s="1661"/>
      <c r="G86" s="1868"/>
      <c r="I86" s="2802">
        <f>IF('DATA INPUT'!$B$104&lt;&gt;"",Budget!F$222)</f>
        <v>0</v>
      </c>
    </row>
    <row r="87" spans="1:9" x14ac:dyDescent="0.25">
      <c r="A87" s="2803">
        <v>14</v>
      </c>
      <c r="B87" s="2500" t="str">
        <f>IF(ISBLANK('DATA INPUT'!$B$105),0,'DATA INPUT'!$B$105)</f>
        <v>Other - Specify</v>
      </c>
      <c r="C87" s="1661"/>
      <c r="D87" s="1661"/>
      <c r="E87" s="1661"/>
      <c r="F87" s="1661"/>
      <c r="G87" s="1868"/>
      <c r="I87" s="2802">
        <f>IF('DATA INPUT'!$B$105&lt;&gt;"",Budget!F$223)</f>
        <v>0</v>
      </c>
    </row>
    <row r="88" spans="1:9" x14ac:dyDescent="0.25">
      <c r="A88" s="2803">
        <v>15</v>
      </c>
      <c r="B88" s="2500" t="str">
        <f>Budget!$EK$224</f>
        <v>Conference Registration Fees</v>
      </c>
      <c r="C88" s="1661"/>
      <c r="D88" s="1661"/>
      <c r="E88" s="1661"/>
      <c r="F88" s="1661"/>
      <c r="G88" s="1868"/>
      <c r="I88" s="2802">
        <f ca="1">IF(Budget!$EK$224&lt;&gt;"",Budget!F$224)</f>
        <v>0</v>
      </c>
    </row>
    <row r="89" spans="1:9" x14ac:dyDescent="0.25">
      <c r="A89" s="2803">
        <v>16</v>
      </c>
      <c r="B89" s="2500"/>
      <c r="C89" s="1661"/>
      <c r="D89" s="1661"/>
      <c r="E89" s="1661"/>
      <c r="F89" s="1661"/>
      <c r="G89" s="1868"/>
      <c r="I89" s="2802"/>
    </row>
    <row r="90" spans="1:9" x14ac:dyDescent="0.25">
      <c r="A90" s="2803">
        <v>17</v>
      </c>
      <c r="B90" s="2500"/>
      <c r="C90" s="1661"/>
      <c r="D90" s="1661"/>
      <c r="E90" s="1661"/>
      <c r="F90" s="1661"/>
      <c r="G90" s="1868"/>
      <c r="I90" s="2802"/>
    </row>
    <row r="91" spans="1:9" ht="15.75" thickBot="1" x14ac:dyDescent="0.3">
      <c r="A91" s="2840"/>
      <c r="B91" s="1676"/>
      <c r="C91" s="1676"/>
      <c r="D91" s="1676"/>
      <c r="E91" s="1676"/>
      <c r="F91" s="1676"/>
      <c r="G91" s="1676"/>
      <c r="H91" s="2842" t="s">
        <v>970</v>
      </c>
      <c r="I91" s="2893">
        <f ca="1">SUM(I73:I90)</f>
        <v>0</v>
      </c>
    </row>
    <row r="92" spans="1:9" ht="15.75" thickBot="1" x14ac:dyDescent="0.3">
      <c r="A92" s="2881"/>
      <c r="I92" s="1675"/>
    </row>
    <row r="93" spans="1:9" x14ac:dyDescent="0.25">
      <c r="A93" s="1974" t="s">
        <v>971</v>
      </c>
      <c r="B93" s="859" t="s">
        <v>972</v>
      </c>
      <c r="C93" s="668"/>
      <c r="D93" s="668"/>
      <c r="E93" s="668"/>
      <c r="F93" s="668"/>
      <c r="G93" s="668"/>
      <c r="H93" s="668"/>
      <c r="I93" s="2884" t="s">
        <v>952</v>
      </c>
    </row>
    <row r="94" spans="1:9" ht="15.75" thickBot="1" x14ac:dyDescent="0.3">
      <c r="A94" s="2840"/>
      <c r="B94" s="1676"/>
      <c r="C94" s="1676"/>
      <c r="D94" s="1676"/>
      <c r="E94" s="1676"/>
      <c r="F94" s="1676"/>
      <c r="G94" s="1676"/>
      <c r="H94" s="2842" t="s">
        <v>973</v>
      </c>
      <c r="I94" s="2893">
        <f ca="1">'SF RR Budget - Section B'!H51 + 'SF RR Budget - Secs. C D E'!I68 + 'SF RR Budget - Secs. C D E'!I74 + 'SF RR Budget - Secs. C D E'!I83 + 'SF RR Budget - Secs. F - K'!I91</f>
        <v>0</v>
      </c>
    </row>
    <row r="95" spans="1:9" ht="15.75" thickBot="1" x14ac:dyDescent="0.3">
      <c r="A95" s="2881"/>
      <c r="I95" s="1675"/>
    </row>
    <row r="96" spans="1:9" x14ac:dyDescent="0.25">
      <c r="A96" s="1974" t="s">
        <v>974</v>
      </c>
      <c r="B96" s="859" t="s">
        <v>359</v>
      </c>
      <c r="C96" s="668"/>
      <c r="D96" s="668"/>
      <c r="E96" s="668"/>
      <c r="F96" s="668"/>
      <c r="G96" s="668"/>
      <c r="H96" s="668"/>
      <c r="I96" s="1701"/>
    </row>
    <row r="97" spans="1:9" x14ac:dyDescent="0.25">
      <c r="A97" s="2881"/>
      <c r="G97" s="226" t="s">
        <v>975</v>
      </c>
      <c r="H97" s="226" t="s">
        <v>976</v>
      </c>
      <c r="I97" s="2880" t="s">
        <v>952</v>
      </c>
    </row>
    <row r="98" spans="1:9" ht="15.75" thickBot="1" x14ac:dyDescent="0.3">
      <c r="A98" s="2840"/>
      <c r="B98" s="2885" t="s">
        <v>977</v>
      </c>
      <c r="C98" s="2885"/>
      <c r="D98" s="2885"/>
      <c r="E98" s="2885"/>
      <c r="F98" s="2885"/>
      <c r="G98" s="2894">
        <f>'DATA INPUT'!$F$125</f>
        <v>0</v>
      </c>
      <c r="H98" s="2895">
        <f ca="1">Budget!F$292</f>
        <v>0</v>
      </c>
      <c r="I98" s="2893">
        <f ca="1">Budget!F$293</f>
        <v>0</v>
      </c>
    </row>
    <row r="99" spans="1:9" ht="15.75" thickBot="1" x14ac:dyDescent="0.3">
      <c r="A99" s="2881"/>
      <c r="I99" s="1675"/>
    </row>
    <row r="100" spans="1:9" x14ac:dyDescent="0.25">
      <c r="A100" s="1974" t="s">
        <v>978</v>
      </c>
      <c r="B100" s="859" t="s">
        <v>979</v>
      </c>
      <c r="C100" s="668"/>
      <c r="D100" s="668"/>
      <c r="E100" s="668"/>
      <c r="F100" s="668"/>
      <c r="G100" s="668"/>
      <c r="H100" s="668"/>
      <c r="I100" s="2884" t="s">
        <v>952</v>
      </c>
    </row>
    <row r="101" spans="1:9" ht="15.75" thickBot="1" x14ac:dyDescent="0.3">
      <c r="A101" s="2840"/>
      <c r="B101" s="1676"/>
      <c r="C101" s="1676"/>
      <c r="D101" s="1676"/>
      <c r="E101" s="1676"/>
      <c r="F101" s="1676"/>
      <c r="G101" s="1676"/>
      <c r="H101" s="1676"/>
      <c r="I101" s="2858">
        <v>0</v>
      </c>
    </row>
    <row r="102" spans="1:9" ht="15.75" thickBot="1" x14ac:dyDescent="0.3">
      <c r="A102" s="2881"/>
      <c r="I102" s="1675"/>
    </row>
    <row r="103" spans="1:9" x14ac:dyDescent="0.25">
      <c r="A103" s="1974" t="s">
        <v>980</v>
      </c>
      <c r="B103" s="859" t="s">
        <v>981</v>
      </c>
      <c r="C103" s="668"/>
      <c r="D103" s="668"/>
      <c r="E103" s="668"/>
      <c r="F103" s="668"/>
      <c r="G103" s="668"/>
      <c r="H103" s="668"/>
      <c r="I103" s="2884" t="s">
        <v>952</v>
      </c>
    </row>
    <row r="104" spans="1:9" ht="15.75" thickBot="1" x14ac:dyDescent="0.3">
      <c r="A104" s="2840"/>
      <c r="B104" s="1676"/>
      <c r="C104" s="1676"/>
      <c r="D104" s="1676"/>
      <c r="E104" s="1676"/>
      <c r="F104" s="1676"/>
      <c r="G104" s="1676"/>
      <c r="H104" s="1676"/>
      <c r="I104" s="2858">
        <f ca="1">Budget!F$295</f>
        <v>0</v>
      </c>
    </row>
    <row r="105" spans="1:9" ht="15.75" thickBot="1" x14ac:dyDescent="0.3"/>
    <row r="106" spans="1:9" ht="15.75" thickBot="1" x14ac:dyDescent="0.3">
      <c r="A106" s="2861" t="s">
        <v>945</v>
      </c>
      <c r="B106" s="2862"/>
      <c r="C106" s="2862"/>
      <c r="D106" s="2862"/>
      <c r="E106" s="2862"/>
      <c r="F106" s="2862"/>
      <c r="G106" s="2862"/>
      <c r="H106" s="2862"/>
      <c r="I106" s="2863"/>
    </row>
    <row r="107" spans="1:9" x14ac:dyDescent="0.25">
      <c r="A107" s="2879" t="s">
        <v>963</v>
      </c>
      <c r="B107" s="226" t="s">
        <v>39</v>
      </c>
      <c r="I107" s="2880" t="s">
        <v>952</v>
      </c>
    </row>
    <row r="108" spans="1:9" x14ac:dyDescent="0.25">
      <c r="A108" s="2803">
        <v>1</v>
      </c>
      <c r="B108" s="2500" t="s">
        <v>277</v>
      </c>
      <c r="C108" s="1661"/>
      <c r="D108" s="1661"/>
      <c r="E108" s="1661"/>
      <c r="F108" s="1661"/>
      <c r="G108" s="1868"/>
      <c r="I108" s="2802">
        <f>Budget!G$180</f>
        <v>0</v>
      </c>
    </row>
    <row r="109" spans="1:9" x14ac:dyDescent="0.25">
      <c r="A109" s="2803">
        <v>2</v>
      </c>
      <c r="B109" s="2500" t="s">
        <v>563</v>
      </c>
      <c r="C109" s="1661"/>
      <c r="D109" s="1661"/>
      <c r="E109" s="1661"/>
      <c r="F109" s="1661"/>
      <c r="G109" s="1868"/>
      <c r="I109" s="2802">
        <f>Budget!G$181</f>
        <v>0</v>
      </c>
    </row>
    <row r="110" spans="1:9" x14ac:dyDescent="0.25">
      <c r="A110" s="2803">
        <v>3</v>
      </c>
      <c r="B110" s="2500" t="s">
        <v>964</v>
      </c>
      <c r="C110" s="1661"/>
      <c r="D110" s="1661"/>
      <c r="E110" s="1661"/>
      <c r="F110" s="1661"/>
      <c r="G110" s="1868"/>
      <c r="I110" s="2802">
        <f>Budget!G$182</f>
        <v>0</v>
      </c>
    </row>
    <row r="111" spans="1:9" x14ac:dyDescent="0.25">
      <c r="A111" s="2803">
        <v>4</v>
      </c>
      <c r="B111" s="2500" t="s">
        <v>965</v>
      </c>
      <c r="C111" s="1661"/>
      <c r="D111" s="1661"/>
      <c r="E111" s="1661"/>
      <c r="F111" s="1661"/>
      <c r="G111" s="1868"/>
      <c r="I111" s="2802">
        <f>Budget!G$183</f>
        <v>0</v>
      </c>
    </row>
    <row r="112" spans="1:9" x14ac:dyDescent="0.25">
      <c r="A112" s="2803">
        <v>5</v>
      </c>
      <c r="B112" s="2500" t="s">
        <v>966</v>
      </c>
      <c r="C112" s="1661"/>
      <c r="D112" s="1661"/>
      <c r="E112" s="1661"/>
      <c r="F112" s="1661"/>
      <c r="G112" s="1868"/>
      <c r="I112" s="2802">
        <f>Budget!G$214</f>
        <v>0</v>
      </c>
    </row>
    <row r="113" spans="1:9" x14ac:dyDescent="0.25">
      <c r="A113" s="2881"/>
      <c r="C113" s="2500" t="s">
        <v>967</v>
      </c>
      <c r="D113" s="1661"/>
      <c r="E113" s="1661"/>
      <c r="F113" s="1868"/>
      <c r="G113" s="2896">
        <f>SUM(Budget!G$184,Budget!G$187,Budget!G$190,Budget!G$193,Budget!G$196,Budget!G$199,Budget!G$202,Budget!G$205,Budget!G$208,Budget!G$211)</f>
        <v>0</v>
      </c>
      <c r="I113" s="2802"/>
    </row>
    <row r="114" spans="1:9" x14ac:dyDescent="0.25">
      <c r="A114" s="2803">
        <v>6</v>
      </c>
      <c r="B114" s="2500" t="s">
        <v>968</v>
      </c>
      <c r="C114" s="1661"/>
      <c r="D114" s="1661"/>
      <c r="E114" s="1661"/>
      <c r="F114" s="1661"/>
      <c r="G114" s="1868"/>
      <c r="I114" s="2802">
        <f>Budget!G$215</f>
        <v>0</v>
      </c>
    </row>
    <row r="115" spans="1:9" x14ac:dyDescent="0.25">
      <c r="A115" s="2803">
        <v>7</v>
      </c>
      <c r="B115" s="2500" t="s">
        <v>969</v>
      </c>
      <c r="C115" s="1661"/>
      <c r="D115" s="1661"/>
      <c r="E115" s="1661"/>
      <c r="F115" s="1661"/>
      <c r="G115" s="1868"/>
      <c r="I115" s="2802"/>
    </row>
    <row r="116" spans="1:9" x14ac:dyDescent="0.25">
      <c r="A116" s="2803">
        <v>8</v>
      </c>
      <c r="B116" s="2500" t="s">
        <v>427</v>
      </c>
      <c r="C116" s="1661"/>
      <c r="D116" s="1661"/>
      <c r="E116" s="1661"/>
      <c r="F116" s="1661"/>
      <c r="G116" s="1868"/>
      <c r="I116" s="2802">
        <f ca="1">Budget!G$285</f>
        <v>0</v>
      </c>
    </row>
    <row r="117" spans="1:9" x14ac:dyDescent="0.25">
      <c r="A117" s="2803">
        <v>9</v>
      </c>
      <c r="B117" s="2500" t="str">
        <f>IF(ISBLANK('DATA INPUT'!$B$100),0,'DATA INPUT'!$B$100)</f>
        <v>Other - Specify</v>
      </c>
      <c r="C117" s="1661"/>
      <c r="D117" s="1661"/>
      <c r="E117" s="1661"/>
      <c r="F117" s="1661"/>
      <c r="G117" s="1868"/>
      <c r="I117" s="2802">
        <f>IF('DATA INPUT'!$B$100&lt;&gt;"",Budget!G$218)</f>
        <v>0</v>
      </c>
    </row>
    <row r="118" spans="1:9" x14ac:dyDescent="0.25">
      <c r="A118" s="2803">
        <v>10</v>
      </c>
      <c r="B118" s="2500" t="str">
        <f>IF(ISBLANK('DATA INPUT'!$B$101),0,'DATA INPUT'!$B$101)</f>
        <v>Other - Specify</v>
      </c>
      <c r="C118" s="1661"/>
      <c r="D118" s="1661"/>
      <c r="E118" s="1661"/>
      <c r="F118" s="1661"/>
      <c r="G118" s="1868"/>
      <c r="I118" s="2802">
        <f>IF('DATA INPUT'!$B$101&lt;&gt;"",Budget!G$219)</f>
        <v>0</v>
      </c>
    </row>
    <row r="119" spans="1:9" x14ac:dyDescent="0.25">
      <c r="A119" s="2803">
        <v>11</v>
      </c>
      <c r="B119" s="2500" t="str">
        <f>IF(ISBLANK('DATA INPUT'!$B$102),0,'DATA INPUT'!$B$102)</f>
        <v>Other - Specify</v>
      </c>
      <c r="C119" s="1661"/>
      <c r="D119" s="1661"/>
      <c r="E119" s="1661"/>
      <c r="F119" s="1661"/>
      <c r="G119" s="1868"/>
      <c r="I119" s="2802">
        <f>IF('DATA INPUT'!$B$102&lt;&gt;"",Budget!G$220)</f>
        <v>0</v>
      </c>
    </row>
    <row r="120" spans="1:9" x14ac:dyDescent="0.25">
      <c r="A120" s="2803">
        <v>12</v>
      </c>
      <c r="B120" s="2500" t="str">
        <f>IF(ISBLANK('DATA INPUT'!$B$103),0,'DATA INPUT'!$B$103)</f>
        <v>Other - Specify</v>
      </c>
      <c r="C120" s="1661"/>
      <c r="D120" s="1661"/>
      <c r="E120" s="1661"/>
      <c r="F120" s="1661"/>
      <c r="G120" s="1868"/>
      <c r="I120" s="2802">
        <f>IF('DATA INPUT'!$B$103&lt;&gt;"",Budget!G$221)</f>
        <v>0</v>
      </c>
    </row>
    <row r="121" spans="1:9" x14ac:dyDescent="0.25">
      <c r="A121" s="2803">
        <v>13</v>
      </c>
      <c r="B121" s="2500" t="str">
        <f>IF(ISBLANK('DATA INPUT'!$B$104),0,'DATA INPUT'!$B$104)</f>
        <v>Other - Specify</v>
      </c>
      <c r="C121" s="1661"/>
      <c r="D121" s="1661"/>
      <c r="E121" s="1661"/>
      <c r="F121" s="1661"/>
      <c r="G121" s="1868"/>
      <c r="I121" s="2802">
        <f>IF('DATA INPUT'!$B$104&lt;&gt;"",Budget!G$222)</f>
        <v>0</v>
      </c>
    </row>
    <row r="122" spans="1:9" x14ac:dyDescent="0.25">
      <c r="A122" s="2803">
        <v>14</v>
      </c>
      <c r="B122" s="2500" t="str">
        <f>IF(ISBLANK('DATA INPUT'!$B$105),0,'DATA INPUT'!$B$105)</f>
        <v>Other - Specify</v>
      </c>
      <c r="C122" s="1661"/>
      <c r="D122" s="1661"/>
      <c r="E122" s="1661"/>
      <c r="F122" s="1661"/>
      <c r="G122" s="1868"/>
      <c r="I122" s="2802">
        <f>IF('DATA INPUT'!$B$105&lt;&gt;"",Budget!G$223)</f>
        <v>0</v>
      </c>
    </row>
    <row r="123" spans="1:9" x14ac:dyDescent="0.25">
      <c r="A123" s="2803">
        <v>15</v>
      </c>
      <c r="B123" s="2500" t="str">
        <f>Budget!$EK$224</f>
        <v>Conference Registration Fees</v>
      </c>
      <c r="C123" s="1661"/>
      <c r="D123" s="1661"/>
      <c r="E123" s="1661"/>
      <c r="F123" s="1661"/>
      <c r="G123" s="1868"/>
      <c r="I123" s="2802">
        <f ca="1">IF(Budget!$EK$224&lt;&gt;"",Budget!G$224)</f>
        <v>0</v>
      </c>
    </row>
    <row r="124" spans="1:9" x14ac:dyDescent="0.25">
      <c r="A124" s="2803">
        <v>16</v>
      </c>
      <c r="B124" s="2500"/>
      <c r="C124" s="1661"/>
      <c r="D124" s="1661"/>
      <c r="E124" s="1661"/>
      <c r="F124" s="1661"/>
      <c r="G124" s="1868"/>
      <c r="I124" s="2802"/>
    </row>
    <row r="125" spans="1:9" x14ac:dyDescent="0.25">
      <c r="A125" s="2803">
        <v>17</v>
      </c>
      <c r="B125" s="2500"/>
      <c r="C125" s="1661"/>
      <c r="D125" s="1661"/>
      <c r="E125" s="1661"/>
      <c r="F125" s="1661"/>
      <c r="G125" s="1868"/>
      <c r="I125" s="2802"/>
    </row>
    <row r="126" spans="1:9" ht="15.75" thickBot="1" x14ac:dyDescent="0.3">
      <c r="A126" s="2840"/>
      <c r="B126" s="1676"/>
      <c r="C126" s="1676"/>
      <c r="D126" s="1676"/>
      <c r="E126" s="1676"/>
      <c r="F126" s="1676"/>
      <c r="G126" s="1676"/>
      <c r="H126" s="2842" t="s">
        <v>970</v>
      </c>
      <c r="I126" s="2897">
        <f ca="1">SUM(I108:I125)</f>
        <v>0</v>
      </c>
    </row>
    <row r="127" spans="1:9" ht="15.75" thickBot="1" x14ac:dyDescent="0.3">
      <c r="A127" s="2881"/>
      <c r="I127" s="1675"/>
    </row>
    <row r="128" spans="1:9" x14ac:dyDescent="0.25">
      <c r="A128" s="1974" t="s">
        <v>971</v>
      </c>
      <c r="B128" s="859" t="s">
        <v>972</v>
      </c>
      <c r="C128" s="668"/>
      <c r="D128" s="668"/>
      <c r="E128" s="668"/>
      <c r="F128" s="668"/>
      <c r="G128" s="668"/>
      <c r="H128" s="668"/>
      <c r="I128" s="2884" t="s">
        <v>952</v>
      </c>
    </row>
    <row r="129" spans="1:9" ht="15.75" thickBot="1" x14ac:dyDescent="0.3">
      <c r="A129" s="2840"/>
      <c r="B129" s="1676"/>
      <c r="C129" s="1676"/>
      <c r="D129" s="1676"/>
      <c r="E129" s="1676"/>
      <c r="F129" s="1676"/>
      <c r="G129" s="1676"/>
      <c r="H129" s="2842" t="s">
        <v>973</v>
      </c>
      <c r="I129" s="2897">
        <f ca="1">'SF RR Budget - Section B'!H68 + 'SF RR Budget - Secs. C D E'!I96 + 'SF RR Budget - Secs. C D E'!I102 + 'SF RR Budget - Secs. C D E'!I111 + 'SF RR Budget - Secs. F - K'!I126</f>
        <v>0</v>
      </c>
    </row>
    <row r="130" spans="1:9" ht="15.75" thickBot="1" x14ac:dyDescent="0.3">
      <c r="A130" s="2881"/>
      <c r="I130" s="1675"/>
    </row>
    <row r="131" spans="1:9" x14ac:dyDescent="0.25">
      <c r="A131" s="1974" t="s">
        <v>974</v>
      </c>
      <c r="B131" s="859" t="s">
        <v>359</v>
      </c>
      <c r="C131" s="668"/>
      <c r="D131" s="668"/>
      <c r="E131" s="668"/>
      <c r="F131" s="668"/>
      <c r="G131" s="668"/>
      <c r="H131" s="668"/>
      <c r="I131" s="1701"/>
    </row>
    <row r="132" spans="1:9" x14ac:dyDescent="0.25">
      <c r="A132" s="2881"/>
      <c r="G132" s="226" t="s">
        <v>975</v>
      </c>
      <c r="H132" s="226" t="s">
        <v>976</v>
      </c>
      <c r="I132" s="2880" t="s">
        <v>952</v>
      </c>
    </row>
    <row r="133" spans="1:9" ht="15.75" thickBot="1" x14ac:dyDescent="0.3">
      <c r="A133" s="2840"/>
      <c r="B133" s="2885" t="s">
        <v>977</v>
      </c>
      <c r="C133" s="2885"/>
      <c r="D133" s="2885"/>
      <c r="E133" s="2885"/>
      <c r="F133" s="2885"/>
      <c r="G133" s="2898">
        <f>'DATA INPUT'!$F$125</f>
        <v>0</v>
      </c>
      <c r="H133" s="2899">
        <f ca="1">Budget!G$292</f>
        <v>0</v>
      </c>
      <c r="I133" s="2897">
        <f ca="1">Budget!G$293</f>
        <v>0</v>
      </c>
    </row>
    <row r="134" spans="1:9" ht="15.75" thickBot="1" x14ac:dyDescent="0.3">
      <c r="A134" s="2881"/>
      <c r="I134" s="1675"/>
    </row>
    <row r="135" spans="1:9" x14ac:dyDescent="0.25">
      <c r="A135" s="1974" t="s">
        <v>978</v>
      </c>
      <c r="B135" s="859" t="s">
        <v>979</v>
      </c>
      <c r="C135" s="668"/>
      <c r="D135" s="668"/>
      <c r="E135" s="668"/>
      <c r="F135" s="668"/>
      <c r="G135" s="668"/>
      <c r="H135" s="668"/>
      <c r="I135" s="2884" t="s">
        <v>952</v>
      </c>
    </row>
    <row r="136" spans="1:9" ht="15.75" thickBot="1" x14ac:dyDescent="0.3">
      <c r="A136" s="2840"/>
      <c r="B136" s="1676"/>
      <c r="C136" s="1676"/>
      <c r="D136" s="1676"/>
      <c r="E136" s="1676"/>
      <c r="F136" s="1676"/>
      <c r="G136" s="1676"/>
      <c r="H136" s="1676"/>
      <c r="I136" s="2864">
        <v>0</v>
      </c>
    </row>
    <row r="137" spans="1:9" ht="15.75" thickBot="1" x14ac:dyDescent="0.3">
      <c r="A137" s="2881"/>
      <c r="I137" s="1675"/>
    </row>
    <row r="138" spans="1:9" x14ac:dyDescent="0.25">
      <c r="A138" s="1974" t="s">
        <v>980</v>
      </c>
      <c r="B138" s="859" t="s">
        <v>981</v>
      </c>
      <c r="C138" s="668"/>
      <c r="D138" s="668"/>
      <c r="E138" s="668"/>
      <c r="F138" s="668"/>
      <c r="G138" s="668"/>
      <c r="H138" s="668"/>
      <c r="I138" s="2884" t="s">
        <v>952</v>
      </c>
    </row>
    <row r="139" spans="1:9" ht="15.75" thickBot="1" x14ac:dyDescent="0.3">
      <c r="A139" s="2840"/>
      <c r="B139" s="1676"/>
      <c r="C139" s="1676"/>
      <c r="D139" s="1676"/>
      <c r="E139" s="1676"/>
      <c r="F139" s="1676"/>
      <c r="G139" s="1676"/>
      <c r="H139" s="1676"/>
      <c r="I139" s="2864">
        <f ca="1">Budget!G$295</f>
        <v>0</v>
      </c>
    </row>
    <row r="140" spans="1:9" ht="15.75" thickBot="1" x14ac:dyDescent="0.3"/>
    <row r="141" spans="1:9" ht="15.75" thickBot="1" x14ac:dyDescent="0.3">
      <c r="A141" s="2867" t="s">
        <v>946</v>
      </c>
      <c r="B141" s="2868"/>
      <c r="C141" s="2868"/>
      <c r="D141" s="2868"/>
      <c r="E141" s="2868"/>
      <c r="F141" s="2868"/>
      <c r="G141" s="2868"/>
      <c r="H141" s="2868"/>
      <c r="I141" s="2869"/>
    </row>
    <row r="142" spans="1:9" x14ac:dyDescent="0.25">
      <c r="A142" s="2879" t="s">
        <v>963</v>
      </c>
      <c r="B142" s="226" t="s">
        <v>39</v>
      </c>
      <c r="I142" s="2880" t="s">
        <v>952</v>
      </c>
    </row>
    <row r="143" spans="1:9" x14ac:dyDescent="0.25">
      <c r="A143" s="2803">
        <v>1</v>
      </c>
      <c r="B143" s="2500" t="s">
        <v>277</v>
      </c>
      <c r="C143" s="1661"/>
      <c r="D143" s="1661"/>
      <c r="E143" s="1661"/>
      <c r="F143" s="1661"/>
      <c r="G143" s="1868"/>
      <c r="I143" s="2802">
        <f>Budget!H$180</f>
        <v>0</v>
      </c>
    </row>
    <row r="144" spans="1:9" x14ac:dyDescent="0.25">
      <c r="A144" s="2803">
        <v>2</v>
      </c>
      <c r="B144" s="2500" t="s">
        <v>563</v>
      </c>
      <c r="C144" s="1661"/>
      <c r="D144" s="1661"/>
      <c r="E144" s="1661"/>
      <c r="F144" s="1661"/>
      <c r="G144" s="1868"/>
      <c r="I144" s="2802">
        <f>Budget!H$181</f>
        <v>0</v>
      </c>
    </row>
    <row r="145" spans="1:9" x14ac:dyDescent="0.25">
      <c r="A145" s="2803">
        <v>3</v>
      </c>
      <c r="B145" s="2500" t="s">
        <v>964</v>
      </c>
      <c r="C145" s="1661"/>
      <c r="D145" s="1661"/>
      <c r="E145" s="1661"/>
      <c r="F145" s="1661"/>
      <c r="G145" s="1868"/>
      <c r="I145" s="2802">
        <f>Budget!H$182</f>
        <v>0</v>
      </c>
    </row>
    <row r="146" spans="1:9" x14ac:dyDescent="0.25">
      <c r="A146" s="2803">
        <v>4</v>
      </c>
      <c r="B146" s="2500" t="s">
        <v>965</v>
      </c>
      <c r="C146" s="1661"/>
      <c r="D146" s="1661"/>
      <c r="E146" s="1661"/>
      <c r="F146" s="1661"/>
      <c r="G146" s="1868"/>
      <c r="I146" s="2802">
        <f>Budget!H$183</f>
        <v>0</v>
      </c>
    </row>
    <row r="147" spans="1:9" x14ac:dyDescent="0.25">
      <c r="A147" s="2803">
        <v>5</v>
      </c>
      <c r="B147" s="2500" t="s">
        <v>966</v>
      </c>
      <c r="C147" s="1661"/>
      <c r="D147" s="1661"/>
      <c r="E147" s="1661"/>
      <c r="F147" s="1661"/>
      <c r="G147" s="1868"/>
      <c r="I147" s="2802">
        <f>Budget!H$214</f>
        <v>0</v>
      </c>
    </row>
    <row r="148" spans="1:9" x14ac:dyDescent="0.25">
      <c r="A148" s="2881"/>
      <c r="C148" s="2500" t="s">
        <v>967</v>
      </c>
      <c r="D148" s="1661"/>
      <c r="E148" s="1661"/>
      <c r="F148" s="1868"/>
      <c r="G148" s="2900">
        <f>SUM(Budget!H$184,Budget!H$187,Budget!H$190,Budget!H$193,Budget!H$196,Budget!H$199,Budget!H$202,Budget!H$205,Budget!H$208,Budget!H$211)</f>
        <v>0</v>
      </c>
      <c r="I148" s="2802"/>
    </row>
    <row r="149" spans="1:9" x14ac:dyDescent="0.25">
      <c r="A149" s="2803">
        <v>6</v>
      </c>
      <c r="B149" s="2500" t="s">
        <v>968</v>
      </c>
      <c r="C149" s="1661"/>
      <c r="D149" s="1661"/>
      <c r="E149" s="1661"/>
      <c r="F149" s="1661"/>
      <c r="G149" s="1868"/>
      <c r="I149" s="2802">
        <f>Budget!H$215</f>
        <v>0</v>
      </c>
    </row>
    <row r="150" spans="1:9" x14ac:dyDescent="0.25">
      <c r="A150" s="2803">
        <v>7</v>
      </c>
      <c r="B150" s="2500" t="s">
        <v>969</v>
      </c>
      <c r="C150" s="1661"/>
      <c r="D150" s="1661"/>
      <c r="E150" s="1661"/>
      <c r="F150" s="1661"/>
      <c r="G150" s="1868"/>
      <c r="I150" s="2802"/>
    </row>
    <row r="151" spans="1:9" x14ac:dyDescent="0.25">
      <c r="A151" s="2803">
        <v>8</v>
      </c>
      <c r="B151" s="2500" t="s">
        <v>427</v>
      </c>
      <c r="C151" s="1661"/>
      <c r="D151" s="1661"/>
      <c r="E151" s="1661"/>
      <c r="F151" s="1661"/>
      <c r="G151" s="1868"/>
      <c r="I151" s="2802">
        <f ca="1">Budget!H$285</f>
        <v>0</v>
      </c>
    </row>
    <row r="152" spans="1:9" x14ac:dyDescent="0.25">
      <c r="A152" s="2803">
        <v>9</v>
      </c>
      <c r="B152" s="2500" t="str">
        <f>IF(ISBLANK('DATA INPUT'!$B$100),0,'DATA INPUT'!$B$100)</f>
        <v>Other - Specify</v>
      </c>
      <c r="C152" s="1661"/>
      <c r="D152" s="1661"/>
      <c r="E152" s="1661"/>
      <c r="F152" s="1661"/>
      <c r="G152" s="1868"/>
      <c r="I152" s="2802">
        <f>IF('DATA INPUT'!$B$100&lt;&gt;"",Budget!H$218)</f>
        <v>0</v>
      </c>
    </row>
    <row r="153" spans="1:9" x14ac:dyDescent="0.25">
      <c r="A153" s="2803">
        <v>10</v>
      </c>
      <c r="B153" s="2500" t="str">
        <f>IF(ISBLANK('DATA INPUT'!$B$101),0,'DATA INPUT'!$B$101)</f>
        <v>Other - Specify</v>
      </c>
      <c r="C153" s="1661"/>
      <c r="D153" s="1661"/>
      <c r="E153" s="1661"/>
      <c r="F153" s="1661"/>
      <c r="G153" s="1868"/>
      <c r="I153" s="2802">
        <f>IF('DATA INPUT'!$B$101&lt;&gt;"",Budget!H$219)</f>
        <v>0</v>
      </c>
    </row>
    <row r="154" spans="1:9" x14ac:dyDescent="0.25">
      <c r="A154" s="2803">
        <v>11</v>
      </c>
      <c r="B154" s="2500" t="str">
        <f>IF(ISBLANK('DATA INPUT'!$B$102),0,'DATA INPUT'!$B$102)</f>
        <v>Other - Specify</v>
      </c>
      <c r="C154" s="1661"/>
      <c r="D154" s="1661"/>
      <c r="E154" s="1661"/>
      <c r="F154" s="1661"/>
      <c r="G154" s="1868"/>
      <c r="I154" s="2802">
        <f>IF('DATA INPUT'!$B$102&lt;&gt;"",Budget!H$220)</f>
        <v>0</v>
      </c>
    </row>
    <row r="155" spans="1:9" x14ac:dyDescent="0.25">
      <c r="A155" s="2803">
        <v>12</v>
      </c>
      <c r="B155" s="2500" t="str">
        <f>IF(ISBLANK('DATA INPUT'!$B$103),0,'DATA INPUT'!$B$103)</f>
        <v>Other - Specify</v>
      </c>
      <c r="C155" s="1661"/>
      <c r="D155" s="1661"/>
      <c r="E155" s="1661"/>
      <c r="F155" s="1661"/>
      <c r="G155" s="1868"/>
      <c r="I155" s="2802">
        <f>IF('DATA INPUT'!$B$103&lt;&gt;"",Budget!H$221)</f>
        <v>0</v>
      </c>
    </row>
    <row r="156" spans="1:9" x14ac:dyDescent="0.25">
      <c r="A156" s="2803">
        <v>13</v>
      </c>
      <c r="B156" s="2500" t="str">
        <f>IF(ISBLANK('DATA INPUT'!$B$104),0,'DATA INPUT'!$B$104)</f>
        <v>Other - Specify</v>
      </c>
      <c r="C156" s="1661"/>
      <c r="D156" s="1661"/>
      <c r="E156" s="1661"/>
      <c r="F156" s="1661"/>
      <c r="G156" s="1868"/>
      <c r="I156" s="2802">
        <f>IF('DATA INPUT'!$B$104&lt;&gt;"",Budget!H$222)</f>
        <v>0</v>
      </c>
    </row>
    <row r="157" spans="1:9" x14ac:dyDescent="0.25">
      <c r="A157" s="2803">
        <v>14</v>
      </c>
      <c r="B157" s="2500" t="str">
        <f>IF(ISBLANK('DATA INPUT'!$B$105),0,'DATA INPUT'!$B$105)</f>
        <v>Other - Specify</v>
      </c>
      <c r="C157" s="1661"/>
      <c r="D157" s="1661"/>
      <c r="E157" s="1661"/>
      <c r="F157" s="1661"/>
      <c r="G157" s="1868"/>
      <c r="I157" s="2802">
        <f>IF('DATA INPUT'!$B$105&lt;&gt;"",Budget!H$223)</f>
        <v>0</v>
      </c>
    </row>
    <row r="158" spans="1:9" x14ac:dyDescent="0.25">
      <c r="A158" s="2803">
        <v>15</v>
      </c>
      <c r="B158" s="2500" t="str">
        <f>Budget!$EK$224</f>
        <v>Conference Registration Fees</v>
      </c>
      <c r="C158" s="1661"/>
      <c r="D158" s="1661"/>
      <c r="E158" s="1661"/>
      <c r="F158" s="1661"/>
      <c r="G158" s="1868"/>
      <c r="I158" s="2802">
        <f ca="1">IF(Budget!$EK$224&lt;&gt;"",Budget!H$224)</f>
        <v>0</v>
      </c>
    </row>
    <row r="159" spans="1:9" x14ac:dyDescent="0.25">
      <c r="A159" s="2803">
        <v>16</v>
      </c>
      <c r="B159" s="2500"/>
      <c r="C159" s="1661"/>
      <c r="D159" s="1661"/>
      <c r="E159" s="1661"/>
      <c r="F159" s="1661"/>
      <c r="G159" s="1868"/>
      <c r="I159" s="2802"/>
    </row>
    <row r="160" spans="1:9" x14ac:dyDescent="0.25">
      <c r="A160" s="2803">
        <v>17</v>
      </c>
      <c r="B160" s="2500"/>
      <c r="C160" s="1661"/>
      <c r="D160" s="1661"/>
      <c r="E160" s="1661"/>
      <c r="F160" s="1661"/>
      <c r="G160" s="1868"/>
      <c r="I160" s="2802"/>
    </row>
    <row r="161" spans="1:9" ht="15.75" thickBot="1" x14ac:dyDescent="0.3">
      <c r="A161" s="2840"/>
      <c r="B161" s="1676"/>
      <c r="C161" s="1676"/>
      <c r="D161" s="1676"/>
      <c r="E161" s="1676"/>
      <c r="F161" s="1676"/>
      <c r="G161" s="1676"/>
      <c r="H161" s="2842" t="s">
        <v>970</v>
      </c>
      <c r="I161" s="2901">
        <f ca="1">SUM(I143:I160)</f>
        <v>0</v>
      </c>
    </row>
    <row r="162" spans="1:9" ht="15.75" thickBot="1" x14ac:dyDescent="0.3">
      <c r="A162" s="2881"/>
      <c r="I162" s="1675"/>
    </row>
    <row r="163" spans="1:9" x14ac:dyDescent="0.25">
      <c r="A163" s="1974" t="s">
        <v>971</v>
      </c>
      <c r="B163" s="859" t="s">
        <v>972</v>
      </c>
      <c r="C163" s="668"/>
      <c r="D163" s="668"/>
      <c r="E163" s="668"/>
      <c r="F163" s="668"/>
      <c r="G163" s="668"/>
      <c r="H163" s="668"/>
      <c r="I163" s="2884" t="s">
        <v>952</v>
      </c>
    </row>
    <row r="164" spans="1:9" ht="15.75" thickBot="1" x14ac:dyDescent="0.3">
      <c r="A164" s="2840"/>
      <c r="B164" s="1676"/>
      <c r="C164" s="1676"/>
      <c r="D164" s="1676"/>
      <c r="E164" s="1676"/>
      <c r="F164" s="1676"/>
      <c r="G164" s="1676"/>
      <c r="H164" s="2842" t="s">
        <v>973</v>
      </c>
      <c r="I164" s="2901">
        <f ca="1">'SF RR Budget - Section B'!H85 + 'SF RR Budget - Secs. C D E'!I124 + 'SF RR Budget - Secs. C D E'!I130 + 'SF RR Budget - Secs. C D E'!I139 + 'SF RR Budget - Secs. F - K'!I161</f>
        <v>0</v>
      </c>
    </row>
    <row r="165" spans="1:9" ht="15.75" thickBot="1" x14ac:dyDescent="0.3">
      <c r="A165" s="2881"/>
      <c r="I165" s="1675"/>
    </row>
    <row r="166" spans="1:9" x14ac:dyDescent="0.25">
      <c r="A166" s="1974" t="s">
        <v>974</v>
      </c>
      <c r="B166" s="859" t="s">
        <v>359</v>
      </c>
      <c r="C166" s="668"/>
      <c r="D166" s="668"/>
      <c r="E166" s="668"/>
      <c r="F166" s="668"/>
      <c r="G166" s="668"/>
      <c r="H166" s="668"/>
      <c r="I166" s="1701"/>
    </row>
    <row r="167" spans="1:9" x14ac:dyDescent="0.25">
      <c r="A167" s="2881"/>
      <c r="G167" s="226" t="s">
        <v>975</v>
      </c>
      <c r="H167" s="226" t="s">
        <v>976</v>
      </c>
      <c r="I167" s="2880" t="s">
        <v>952</v>
      </c>
    </row>
    <row r="168" spans="1:9" ht="15.75" thickBot="1" x14ac:dyDescent="0.3">
      <c r="A168" s="2840"/>
      <c r="B168" s="2885" t="s">
        <v>977</v>
      </c>
      <c r="C168" s="2885"/>
      <c r="D168" s="2885"/>
      <c r="E168" s="2885"/>
      <c r="F168" s="2885"/>
      <c r="G168" s="2902">
        <f>'DATA INPUT'!$F$125</f>
        <v>0</v>
      </c>
      <c r="H168" s="2903">
        <f ca="1">Budget!H$292</f>
        <v>0</v>
      </c>
      <c r="I168" s="2901">
        <f ca="1">Budget!H$293</f>
        <v>0</v>
      </c>
    </row>
    <row r="169" spans="1:9" ht="15.75" thickBot="1" x14ac:dyDescent="0.3">
      <c r="A169" s="2881"/>
      <c r="I169" s="1675"/>
    </row>
    <row r="170" spans="1:9" x14ac:dyDescent="0.25">
      <c r="A170" s="1974" t="s">
        <v>978</v>
      </c>
      <c r="B170" s="859" t="s">
        <v>979</v>
      </c>
      <c r="C170" s="668"/>
      <c r="D170" s="668"/>
      <c r="E170" s="668"/>
      <c r="F170" s="668"/>
      <c r="G170" s="668"/>
      <c r="H170" s="668"/>
      <c r="I170" s="2884" t="s">
        <v>952</v>
      </c>
    </row>
    <row r="171" spans="1:9" ht="15.75" thickBot="1" x14ac:dyDescent="0.3">
      <c r="A171" s="2840"/>
      <c r="B171" s="1676"/>
      <c r="C171" s="1676"/>
      <c r="D171" s="1676"/>
      <c r="E171" s="1676"/>
      <c r="F171" s="1676"/>
      <c r="G171" s="1676"/>
      <c r="H171" s="1676"/>
      <c r="I171" s="2870">
        <v>0</v>
      </c>
    </row>
    <row r="172" spans="1:9" ht="15.75" thickBot="1" x14ac:dyDescent="0.3">
      <c r="A172" s="2881"/>
      <c r="I172" s="1675"/>
    </row>
    <row r="173" spans="1:9" x14ac:dyDescent="0.25">
      <c r="A173" s="1974" t="s">
        <v>980</v>
      </c>
      <c r="B173" s="859" t="s">
        <v>981</v>
      </c>
      <c r="C173" s="668"/>
      <c r="D173" s="668"/>
      <c r="E173" s="668"/>
      <c r="F173" s="668"/>
      <c r="G173" s="668"/>
      <c r="H173" s="668"/>
      <c r="I173" s="2884" t="s">
        <v>952</v>
      </c>
    </row>
    <row r="174" spans="1:9" ht="15.75" thickBot="1" x14ac:dyDescent="0.3">
      <c r="A174" s="2840"/>
      <c r="B174" s="1676"/>
      <c r="C174" s="1676"/>
      <c r="D174" s="1676"/>
      <c r="E174" s="1676"/>
      <c r="F174" s="1676"/>
      <c r="G174" s="1676"/>
      <c r="H174" s="1676"/>
      <c r="I174" s="2870">
        <f ca="1">Budget!H$295</f>
        <v>0</v>
      </c>
    </row>
    <row r="175" spans="1:9" ht="15.75" thickBot="1" x14ac:dyDescent="0.3"/>
    <row r="176" spans="1:9" ht="15.75" thickBot="1" x14ac:dyDescent="0.3">
      <c r="A176" s="2873" t="s">
        <v>947</v>
      </c>
      <c r="B176" s="2874"/>
      <c r="C176" s="2874"/>
      <c r="D176" s="2874"/>
      <c r="E176" s="2874"/>
      <c r="F176" s="2874"/>
      <c r="G176" s="2874"/>
      <c r="H176" s="2874"/>
      <c r="I176" s="2875"/>
    </row>
    <row r="177" spans="1:9" x14ac:dyDescent="0.25">
      <c r="A177" s="2879" t="s">
        <v>963</v>
      </c>
      <c r="B177" s="226" t="s">
        <v>39</v>
      </c>
      <c r="I177" s="2880" t="s">
        <v>952</v>
      </c>
    </row>
    <row r="178" spans="1:9" x14ac:dyDescent="0.25">
      <c r="A178" s="2803">
        <v>1</v>
      </c>
      <c r="B178" s="2500" t="s">
        <v>277</v>
      </c>
      <c r="C178" s="1661"/>
      <c r="D178" s="1661"/>
      <c r="E178" s="1661"/>
      <c r="F178" s="1661"/>
      <c r="G178" s="1868"/>
      <c r="I178" s="2802">
        <f>Budget!I$180</f>
        <v>0</v>
      </c>
    </row>
    <row r="179" spans="1:9" x14ac:dyDescent="0.25">
      <c r="A179" s="2803">
        <v>2</v>
      </c>
      <c r="B179" s="2500" t="s">
        <v>563</v>
      </c>
      <c r="C179" s="1661"/>
      <c r="D179" s="1661"/>
      <c r="E179" s="1661"/>
      <c r="F179" s="1661"/>
      <c r="G179" s="1868"/>
      <c r="I179" s="2802">
        <f>Budget!I$181</f>
        <v>0</v>
      </c>
    </row>
    <row r="180" spans="1:9" x14ac:dyDescent="0.25">
      <c r="A180" s="2803">
        <v>3</v>
      </c>
      <c r="B180" s="2500" t="s">
        <v>964</v>
      </c>
      <c r="C180" s="1661"/>
      <c r="D180" s="1661"/>
      <c r="E180" s="1661"/>
      <c r="F180" s="1661"/>
      <c r="G180" s="1868"/>
      <c r="I180" s="2802">
        <f>Budget!I$182</f>
        <v>0</v>
      </c>
    </row>
    <row r="181" spans="1:9" x14ac:dyDescent="0.25">
      <c r="A181" s="2803">
        <v>4</v>
      </c>
      <c r="B181" s="2500" t="s">
        <v>965</v>
      </c>
      <c r="C181" s="1661"/>
      <c r="D181" s="1661"/>
      <c r="E181" s="1661"/>
      <c r="F181" s="1661"/>
      <c r="G181" s="1868"/>
      <c r="I181" s="2802">
        <f>Budget!I$183</f>
        <v>0</v>
      </c>
    </row>
    <row r="182" spans="1:9" x14ac:dyDescent="0.25">
      <c r="A182" s="2803">
        <v>5</v>
      </c>
      <c r="B182" s="2500" t="s">
        <v>966</v>
      </c>
      <c r="C182" s="1661"/>
      <c r="D182" s="1661"/>
      <c r="E182" s="1661"/>
      <c r="F182" s="1661"/>
      <c r="G182" s="1868"/>
      <c r="I182" s="2802">
        <f>Budget!I$214</f>
        <v>0</v>
      </c>
    </row>
    <row r="183" spans="1:9" x14ac:dyDescent="0.25">
      <c r="A183" s="2881"/>
      <c r="C183" s="2500" t="s">
        <v>967</v>
      </c>
      <c r="D183" s="1661"/>
      <c r="E183" s="1661"/>
      <c r="F183" s="1868"/>
      <c r="G183" s="2904">
        <f>SUM(Budget!I$184,Budget!I$187,Budget!I$190,Budget!I$193,Budget!I$196,Budget!I$199,Budget!I$202,Budget!I$205,Budget!I$208,Budget!I$211)</f>
        <v>0</v>
      </c>
      <c r="I183" s="2802"/>
    </row>
    <row r="184" spans="1:9" x14ac:dyDescent="0.25">
      <c r="A184" s="2803">
        <v>6</v>
      </c>
      <c r="B184" s="2500" t="s">
        <v>968</v>
      </c>
      <c r="C184" s="1661"/>
      <c r="D184" s="1661"/>
      <c r="E184" s="1661"/>
      <c r="F184" s="1661"/>
      <c r="G184" s="1868"/>
      <c r="I184" s="2802">
        <f>Budget!I$215</f>
        <v>0</v>
      </c>
    </row>
    <row r="185" spans="1:9" x14ac:dyDescent="0.25">
      <c r="A185" s="2803">
        <v>7</v>
      </c>
      <c r="B185" s="2500" t="s">
        <v>969</v>
      </c>
      <c r="C185" s="1661"/>
      <c r="D185" s="1661"/>
      <c r="E185" s="1661"/>
      <c r="F185" s="1661"/>
      <c r="G185" s="1868"/>
      <c r="I185" s="2802"/>
    </row>
    <row r="186" spans="1:9" x14ac:dyDescent="0.25">
      <c r="A186" s="2803">
        <v>8</v>
      </c>
      <c r="B186" s="2500" t="s">
        <v>427</v>
      </c>
      <c r="C186" s="1661"/>
      <c r="D186" s="1661"/>
      <c r="E186" s="1661"/>
      <c r="F186" s="1661"/>
      <c r="G186" s="1868"/>
      <c r="I186" s="2802">
        <f ca="1">Budget!I$285</f>
        <v>0</v>
      </c>
    </row>
    <row r="187" spans="1:9" x14ac:dyDescent="0.25">
      <c r="A187" s="2803">
        <v>9</v>
      </c>
      <c r="B187" s="2500" t="str">
        <f>IF(ISBLANK('DATA INPUT'!$B$100),0,'DATA INPUT'!$B$100)</f>
        <v>Other - Specify</v>
      </c>
      <c r="C187" s="1661"/>
      <c r="D187" s="1661"/>
      <c r="E187" s="1661"/>
      <c r="F187" s="1661"/>
      <c r="G187" s="1868"/>
      <c r="I187" s="2802">
        <f>IF('DATA INPUT'!$B$100&lt;&gt;"",Budget!I$218)</f>
        <v>0</v>
      </c>
    </row>
    <row r="188" spans="1:9" x14ac:dyDescent="0.25">
      <c r="A188" s="2803">
        <v>10</v>
      </c>
      <c r="B188" s="2500" t="str">
        <f>IF(ISBLANK('DATA INPUT'!$B$101),0,'DATA INPUT'!$B$101)</f>
        <v>Other - Specify</v>
      </c>
      <c r="C188" s="1661"/>
      <c r="D188" s="1661"/>
      <c r="E188" s="1661"/>
      <c r="F188" s="1661"/>
      <c r="G188" s="1868"/>
      <c r="I188" s="2802">
        <f>IF('DATA INPUT'!$B$101&lt;&gt;"",Budget!I$219)</f>
        <v>0</v>
      </c>
    </row>
    <row r="189" spans="1:9" x14ac:dyDescent="0.25">
      <c r="A189" s="2803">
        <v>11</v>
      </c>
      <c r="B189" s="2500" t="str">
        <f>IF(ISBLANK('DATA INPUT'!$B$102),0,'DATA INPUT'!$B$102)</f>
        <v>Other - Specify</v>
      </c>
      <c r="C189" s="1661"/>
      <c r="D189" s="1661"/>
      <c r="E189" s="1661"/>
      <c r="F189" s="1661"/>
      <c r="G189" s="1868"/>
      <c r="I189" s="2802">
        <f>IF('DATA INPUT'!$B$102&lt;&gt;"",Budget!I$220)</f>
        <v>0</v>
      </c>
    </row>
    <row r="190" spans="1:9" x14ac:dyDescent="0.25">
      <c r="A190" s="2803">
        <v>12</v>
      </c>
      <c r="B190" s="2500" t="str">
        <f>IF(ISBLANK('DATA INPUT'!$B$103),0,'DATA INPUT'!$B$103)</f>
        <v>Other - Specify</v>
      </c>
      <c r="C190" s="1661"/>
      <c r="D190" s="1661"/>
      <c r="E190" s="1661"/>
      <c r="F190" s="1661"/>
      <c r="G190" s="1868"/>
      <c r="I190" s="2802">
        <f>IF('DATA INPUT'!$B$103&lt;&gt;"",Budget!I$221)</f>
        <v>0</v>
      </c>
    </row>
    <row r="191" spans="1:9" x14ac:dyDescent="0.25">
      <c r="A191" s="2803">
        <v>13</v>
      </c>
      <c r="B191" s="2500" t="str">
        <f>IF(ISBLANK('DATA INPUT'!$B$104),0,'DATA INPUT'!$B$104)</f>
        <v>Other - Specify</v>
      </c>
      <c r="C191" s="1661"/>
      <c r="D191" s="1661"/>
      <c r="E191" s="1661"/>
      <c r="F191" s="1661"/>
      <c r="G191" s="1868"/>
      <c r="I191" s="2802">
        <f>IF('DATA INPUT'!$B$104&lt;&gt;"",Budget!I$222)</f>
        <v>0</v>
      </c>
    </row>
    <row r="192" spans="1:9" x14ac:dyDescent="0.25">
      <c r="A192" s="2803">
        <v>14</v>
      </c>
      <c r="B192" s="2500" t="str">
        <f>IF(ISBLANK('DATA INPUT'!$B$105),0,'DATA INPUT'!$B$105)</f>
        <v>Other - Specify</v>
      </c>
      <c r="C192" s="1661"/>
      <c r="D192" s="1661"/>
      <c r="E192" s="1661"/>
      <c r="F192" s="1661"/>
      <c r="G192" s="1868"/>
      <c r="I192" s="2802">
        <f>IF('DATA INPUT'!$B$105&lt;&gt;"",Budget!I$223)</f>
        <v>0</v>
      </c>
    </row>
    <row r="193" spans="1:9" x14ac:dyDescent="0.25">
      <c r="A193" s="2803">
        <v>15</v>
      </c>
      <c r="B193" s="2500" t="str">
        <f>Budget!$EK$224</f>
        <v>Conference Registration Fees</v>
      </c>
      <c r="C193" s="1661"/>
      <c r="D193" s="1661"/>
      <c r="E193" s="1661"/>
      <c r="F193" s="1661"/>
      <c r="G193" s="1868"/>
      <c r="I193" s="2802">
        <f ca="1">IF(Budget!$EK$224&lt;&gt;"",Budget!I$224)</f>
        <v>0</v>
      </c>
    </row>
    <row r="194" spans="1:9" x14ac:dyDescent="0.25">
      <c r="A194" s="2803">
        <v>16</v>
      </c>
      <c r="B194" s="2500"/>
      <c r="C194" s="1661"/>
      <c r="D194" s="1661"/>
      <c r="E194" s="1661"/>
      <c r="F194" s="1661"/>
      <c r="G194" s="1868"/>
      <c r="I194" s="2802"/>
    </row>
    <row r="195" spans="1:9" x14ac:dyDescent="0.25">
      <c r="A195" s="2803">
        <v>17</v>
      </c>
      <c r="B195" s="2500"/>
      <c r="C195" s="1661"/>
      <c r="D195" s="1661"/>
      <c r="E195" s="1661"/>
      <c r="F195" s="1661"/>
      <c r="G195" s="1868"/>
      <c r="I195" s="2802"/>
    </row>
    <row r="196" spans="1:9" ht="15.75" thickBot="1" x14ac:dyDescent="0.3">
      <c r="A196" s="2840"/>
      <c r="B196" s="1676"/>
      <c r="C196" s="1676"/>
      <c r="D196" s="1676"/>
      <c r="E196" s="1676"/>
      <c r="F196" s="1676"/>
      <c r="G196" s="1676"/>
      <c r="H196" s="2842" t="s">
        <v>970</v>
      </c>
      <c r="I196" s="2905">
        <f ca="1">SUM(I178:I195)</f>
        <v>0</v>
      </c>
    </row>
    <row r="197" spans="1:9" ht="15.75" thickBot="1" x14ac:dyDescent="0.3">
      <c r="A197" s="2881"/>
      <c r="I197" s="1675"/>
    </row>
    <row r="198" spans="1:9" x14ac:dyDescent="0.25">
      <c r="A198" s="1974" t="s">
        <v>971</v>
      </c>
      <c r="B198" s="859" t="s">
        <v>972</v>
      </c>
      <c r="C198" s="668"/>
      <c r="D198" s="668"/>
      <c r="E198" s="668"/>
      <c r="F198" s="668"/>
      <c r="G198" s="668"/>
      <c r="H198" s="668"/>
      <c r="I198" s="2884" t="s">
        <v>952</v>
      </c>
    </row>
    <row r="199" spans="1:9" ht="15.75" thickBot="1" x14ac:dyDescent="0.3">
      <c r="A199" s="2840"/>
      <c r="B199" s="1676"/>
      <c r="C199" s="1676"/>
      <c r="D199" s="1676"/>
      <c r="E199" s="1676"/>
      <c r="F199" s="1676"/>
      <c r="G199" s="1676"/>
      <c r="H199" s="2842" t="s">
        <v>973</v>
      </c>
      <c r="I199" s="2905">
        <f ca="1">'SF RR Budget - Section B'!H102 + 'SF RR Budget - Secs. C D E'!I152 + 'SF RR Budget - Secs. C D E'!I158 + 'SF RR Budget - Secs. C D E'!I167 + 'SF RR Budget - Secs. F - K'!I196</f>
        <v>0</v>
      </c>
    </row>
    <row r="200" spans="1:9" ht="15.75" thickBot="1" x14ac:dyDescent="0.3">
      <c r="A200" s="2881"/>
      <c r="I200" s="1675"/>
    </row>
    <row r="201" spans="1:9" x14ac:dyDescent="0.25">
      <c r="A201" s="1974" t="s">
        <v>974</v>
      </c>
      <c r="B201" s="859" t="s">
        <v>359</v>
      </c>
      <c r="C201" s="668"/>
      <c r="D201" s="668"/>
      <c r="E201" s="668"/>
      <c r="F201" s="668"/>
      <c r="G201" s="668"/>
      <c r="H201" s="668"/>
      <c r="I201" s="1701"/>
    </row>
    <row r="202" spans="1:9" x14ac:dyDescent="0.25">
      <c r="A202" s="2881"/>
      <c r="G202" s="226" t="s">
        <v>975</v>
      </c>
      <c r="H202" s="226" t="s">
        <v>976</v>
      </c>
      <c r="I202" s="2880" t="s">
        <v>952</v>
      </c>
    </row>
    <row r="203" spans="1:9" ht="15.75" thickBot="1" x14ac:dyDescent="0.3">
      <c r="A203" s="2840"/>
      <c r="B203" s="2885" t="s">
        <v>977</v>
      </c>
      <c r="C203" s="2885"/>
      <c r="D203" s="2885"/>
      <c r="E203" s="2885"/>
      <c r="F203" s="2885"/>
      <c r="G203" s="2906">
        <f>'DATA INPUT'!$F$125</f>
        <v>0</v>
      </c>
      <c r="H203" s="2907">
        <f ca="1">Budget!I$292</f>
        <v>0</v>
      </c>
      <c r="I203" s="2905">
        <f ca="1">Budget!I$293</f>
        <v>0</v>
      </c>
    </row>
    <row r="204" spans="1:9" ht="15.75" thickBot="1" x14ac:dyDescent="0.3">
      <c r="A204" s="2881"/>
      <c r="I204" s="1675"/>
    </row>
    <row r="205" spans="1:9" x14ac:dyDescent="0.25">
      <c r="A205" s="1974" t="s">
        <v>978</v>
      </c>
      <c r="B205" s="859" t="s">
        <v>979</v>
      </c>
      <c r="C205" s="668"/>
      <c r="D205" s="668"/>
      <c r="E205" s="668"/>
      <c r="F205" s="668"/>
      <c r="G205" s="668"/>
      <c r="H205" s="668"/>
      <c r="I205" s="2884" t="s">
        <v>952</v>
      </c>
    </row>
    <row r="206" spans="1:9" ht="15.75" thickBot="1" x14ac:dyDescent="0.3">
      <c r="A206" s="2840"/>
      <c r="B206" s="1676"/>
      <c r="C206" s="1676"/>
      <c r="D206" s="1676"/>
      <c r="E206" s="1676"/>
      <c r="F206" s="1676"/>
      <c r="G206" s="1676"/>
      <c r="H206" s="1676"/>
      <c r="I206" s="2876">
        <v>0</v>
      </c>
    </row>
    <row r="207" spans="1:9" ht="15.75" thickBot="1" x14ac:dyDescent="0.3">
      <c r="A207" s="2881"/>
      <c r="I207" s="1675"/>
    </row>
    <row r="208" spans="1:9" x14ac:dyDescent="0.25">
      <c r="A208" s="1974" t="s">
        <v>980</v>
      </c>
      <c r="B208" s="859" t="s">
        <v>981</v>
      </c>
      <c r="C208" s="668"/>
      <c r="D208" s="668"/>
      <c r="E208" s="668"/>
      <c r="F208" s="668"/>
      <c r="G208" s="668"/>
      <c r="H208" s="668"/>
      <c r="I208" s="2884" t="s">
        <v>952</v>
      </c>
    </row>
    <row r="209" spans="1:9" ht="15.75" thickBot="1" x14ac:dyDescent="0.3">
      <c r="A209" s="2840"/>
      <c r="B209" s="1676"/>
      <c r="C209" s="1676"/>
      <c r="D209" s="1676"/>
      <c r="E209" s="1676"/>
      <c r="F209" s="1676"/>
      <c r="G209" s="1676"/>
      <c r="H209" s="1676"/>
      <c r="I209" s="2876">
        <f ca="1">Budget!I$295</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876BE-BD5A-4839-8A6E-6736729A14AC}">
  <sheetPr codeName="Sheet22">
    <tabColor theme="5" tint="0.59999389629810485"/>
  </sheetPr>
  <dimension ref="A1:O38"/>
  <sheetViews>
    <sheetView showGridLines="0" zoomScaleNormal="100" workbookViewId="0"/>
  </sheetViews>
  <sheetFormatPr defaultRowHeight="15" x14ac:dyDescent="0.25"/>
  <cols>
    <col min="7" max="7" width="13.7109375" bestFit="1" customWidth="1"/>
    <col min="9" max="10" width="14.7109375" bestFit="1" customWidth="1"/>
    <col min="11" max="11" width="13.7109375" bestFit="1" customWidth="1"/>
    <col min="15" max="15" width="12.42578125" bestFit="1" customWidth="1"/>
  </cols>
  <sheetData>
    <row r="1" spans="1:11" x14ac:dyDescent="0.25">
      <c r="A1" s="2908" t="s">
        <v>982</v>
      </c>
      <c r="B1" s="2909"/>
      <c r="C1" s="2909"/>
      <c r="D1" s="2909"/>
      <c r="E1" s="2909"/>
      <c r="F1" s="2909"/>
      <c r="G1" s="2909"/>
      <c r="H1" s="2909"/>
      <c r="I1" s="2910"/>
      <c r="J1" s="1748" t="s">
        <v>983</v>
      </c>
    </row>
    <row r="2" spans="1:11" x14ac:dyDescent="0.25">
      <c r="A2" s="49"/>
      <c r="I2" s="1675"/>
      <c r="J2" s="1748" t="s">
        <v>984</v>
      </c>
    </row>
    <row r="3" spans="1:11" x14ac:dyDescent="0.25">
      <c r="A3" s="2839" t="s">
        <v>985</v>
      </c>
      <c r="I3" s="2844">
        <f ca="1">SUM('SF RR Budget - Section A'!J4:J9,'SF RR Budget - Section A'!J13:J18,'SF RR Budget - Section A'!J22:J27,'SF RR Budget - Section A'!J31:J36,'SF RR Budget - Section A'!J40:J45,'SF RR Budget - Section A'!J49:J54,'SF RR Budget - Section A'!J58:J63,'SF RR Budget - Section A'!J67:J72,'SF RR Budget - Section A'!J76:J81,'SF RR Budget - Section A'!J85:J90,'SF RR Budget - Section A'!J94:J99,'SF RR Budget - Section A'!J103:J108,'SF RR Budget - Section A'!J112:J117,'SF RR Budget - Section A'!J121:J126,'SF RR Budget - Section A'!J130:J135)</f>
        <v>25290</v>
      </c>
      <c r="J3" s="2911">
        <f ca="1">SUM(Budget!ER44,Budget!ER117)</f>
        <v>25290</v>
      </c>
      <c r="K3" s="2781">
        <f ca="1">I3-J3</f>
        <v>0</v>
      </c>
    </row>
    <row r="4" spans="1:11" x14ac:dyDescent="0.25">
      <c r="A4" s="2839" t="s">
        <v>986</v>
      </c>
      <c r="I4" s="2844">
        <f ca="1">SUM('SF RR Budget - Section B'!H16,'SF RR Budget - Section B'!H33,'SF RR Budget - Section B'!H50,'SF RR Budget - Section B'!H67,'SF RR Budget - Section B'!H84,'SF RR Budget - Section B'!H101)</f>
        <v>21320</v>
      </c>
      <c r="J4" s="2911">
        <f ca="1">SUM(Budget!ER62,Budget!ER78,Budget!ER82,Budget!ER133,Budget!ER149,Budget!ER153)</f>
        <v>21320</v>
      </c>
      <c r="K4" s="2781">
        <f ca="1">I4-J4</f>
        <v>0</v>
      </c>
    </row>
    <row r="5" spans="1:11" x14ac:dyDescent="0.25">
      <c r="A5" s="49"/>
      <c r="B5" t="s">
        <v>987</v>
      </c>
      <c r="G5" s="2308">
        <f>SUM('SF RR Budget - Section B'!A17,'SF RR Budget - Section B'!A34,'SF RR Budget - Section B'!A51,'SF RR Budget - Section B'!A68,'SF RR Budget - Section B'!A85,'SF RR Budget - Section B'!A102)</f>
        <v>0</v>
      </c>
      <c r="I5" s="2912"/>
      <c r="J5" s="2781"/>
    </row>
    <row r="6" spans="1:11" x14ac:dyDescent="0.25">
      <c r="A6" s="2839" t="s">
        <v>988</v>
      </c>
      <c r="I6" s="2844">
        <f ca="1">SUM(I3:I4)</f>
        <v>46610</v>
      </c>
      <c r="J6" s="2911">
        <f ca="1">Budget!ER156</f>
        <v>46610</v>
      </c>
      <c r="K6" s="2781">
        <f ca="1">I6-J6</f>
        <v>0</v>
      </c>
    </row>
    <row r="7" spans="1:11" x14ac:dyDescent="0.25">
      <c r="A7" s="2839" t="s">
        <v>989</v>
      </c>
      <c r="I7" s="2844">
        <f>SUM('SF RR Budget - Secs. C D E'!I12,'SF RR Budget - Secs. C D E'!I40,'SF RR Budget - Secs. C D E'!I68,'SF RR Budget - Secs. C D E'!I96,'SF RR Budget - Secs. C D E'!I124,'SF RR Budget - Secs. C D E'!I152)</f>
        <v>0</v>
      </c>
      <c r="J7" s="2911">
        <f>Budget!ER165</f>
        <v>0</v>
      </c>
      <c r="K7" s="2781">
        <f>I7-J7</f>
        <v>0</v>
      </c>
    </row>
    <row r="8" spans="1:11" x14ac:dyDescent="0.25">
      <c r="A8" s="2839" t="s">
        <v>990</v>
      </c>
      <c r="D8" s="509"/>
      <c r="I8" s="2802">
        <f ca="1">SUM('SF RR Budget - Secs. C D E'!I18,'SF RR Budget - Secs. C D E'!I46,'SF RR Budget - Secs. C D E'!I74,'SF RR Budget - Secs. C D E'!I102,'SF RR Budget - Secs. C D E'!I130,'SF RR Budget - Secs. C D E'!I158)</f>
        <v>2489.87</v>
      </c>
      <c r="J8" s="2911">
        <f ca="1">Budget!ER170</f>
        <v>2490</v>
      </c>
      <c r="K8" s="2781">
        <f ca="1">I8-J8</f>
        <v>-0.13000000000010914</v>
      </c>
    </row>
    <row r="9" spans="1:11" x14ac:dyDescent="0.25">
      <c r="A9" s="49"/>
      <c r="B9" t="s">
        <v>991</v>
      </c>
      <c r="G9" s="2768">
        <f ca="1">SUM('SF RR Budget - Secs. C D E'!I16,'SF RR Budget - Secs. C D E'!I44,'SF RR Budget - Secs. C D E'!I72,'SF RR Budget - Secs. C D E'!I100,'SF RR Budget - Secs. C D E'!I128,'SF RR Budget - Secs. C D E'!I156)</f>
        <v>2489.87</v>
      </c>
      <c r="I9" s="1675"/>
      <c r="J9" s="2781"/>
    </row>
    <row r="10" spans="1:11" x14ac:dyDescent="0.25">
      <c r="A10" s="49"/>
      <c r="B10" t="s">
        <v>992</v>
      </c>
      <c r="G10" s="2768">
        <f ca="1">SUM('SF RR Budget - Secs. C D E'!I17,'SF RR Budget - Secs. C D E'!I45,'SF RR Budget - Secs. C D E'!I73,'SF RR Budget - Secs. C D E'!I101,'SF RR Budget - Secs. C D E'!I129,'SF RR Budget - Secs. C D E'!I157)</f>
        <v>0</v>
      </c>
      <c r="I10" s="1675"/>
      <c r="J10" s="2781"/>
    </row>
    <row r="11" spans="1:11" x14ac:dyDescent="0.25">
      <c r="A11" s="2839" t="s">
        <v>993</v>
      </c>
      <c r="I11" s="2844">
        <f>SUM('SF RR Budget - Secs. C D E'!I27,'SF RR Budget - Secs. C D E'!I55,'SF RR Budget - Secs. C D E'!I83,'SF RR Budget - Secs. C D E'!I111,'SF RR Budget - Secs. C D E'!I139,'SF RR Budget - Secs. C D E'!I167)</f>
        <v>0</v>
      </c>
      <c r="J11" s="2911">
        <f>Budget!ER177</f>
        <v>0</v>
      </c>
      <c r="K11" s="2781">
        <f>I11-J11</f>
        <v>0</v>
      </c>
    </row>
    <row r="12" spans="1:11" x14ac:dyDescent="0.25">
      <c r="A12" s="49"/>
      <c r="B12" t="s">
        <v>994</v>
      </c>
      <c r="G12" s="2768">
        <f>SUM('SF RR Budget - Secs. C D E'!I22,'SF RR Budget - Secs. C D E'!I50,'SF RR Budget - Secs. C D E'!I78,'SF RR Budget - Secs. C D E'!I106,'SF RR Budget - Secs. C D E'!I134,'SF RR Budget - Secs. C D E'!I162)</f>
        <v>0</v>
      </c>
      <c r="I12" s="1675"/>
      <c r="J12" s="2781"/>
    </row>
    <row r="13" spans="1:11" x14ac:dyDescent="0.25">
      <c r="A13" s="49"/>
      <c r="B13" t="s">
        <v>995</v>
      </c>
      <c r="G13" s="2768">
        <f>SUM('SF RR Budget - Secs. C D E'!I23,'SF RR Budget - Secs. C D E'!I51,'SF RR Budget - Secs. C D E'!I79,'SF RR Budget - Secs. C D E'!I107,'SF RR Budget - Secs. C D E'!I135,'SF RR Budget - Secs. C D E'!I163)</f>
        <v>0</v>
      </c>
      <c r="I13" s="1675"/>
      <c r="J13" s="2781"/>
    </row>
    <row r="14" spans="1:11" x14ac:dyDescent="0.25">
      <c r="A14" s="49"/>
      <c r="B14" t="s">
        <v>996</v>
      </c>
      <c r="G14" s="2768">
        <f>SUM('SF RR Budget - Secs. C D E'!I24,'SF RR Budget - Secs. C D E'!I52,'SF RR Budget - Secs. C D E'!I80,'SF RR Budget - Secs. C D E'!I108,'SF RR Budget - Secs. C D E'!I136,'SF RR Budget - Secs. C D E'!I164)</f>
        <v>0</v>
      </c>
      <c r="I14" s="1675"/>
      <c r="J14" s="2781"/>
    </row>
    <row r="15" spans="1:11" x14ac:dyDescent="0.25">
      <c r="A15" s="49"/>
      <c r="B15" t="s">
        <v>997</v>
      </c>
      <c r="G15" s="2768">
        <f>SUM('SF RR Budget - Secs. C D E'!I25,'SF RR Budget - Secs. C D E'!I53,'SF RR Budget - Secs. C D E'!I81,'SF RR Budget - Secs. C D E'!I109,'SF RR Budget - Secs. C D E'!I137,'SF RR Budget - Secs. C D E'!I165)</f>
        <v>0</v>
      </c>
      <c r="I15" s="1675"/>
      <c r="J15" s="2781"/>
    </row>
    <row r="16" spans="1:11" x14ac:dyDescent="0.25">
      <c r="A16" s="49"/>
      <c r="B16" t="s">
        <v>998</v>
      </c>
      <c r="G16" s="2768">
        <f>SUM('SF RR Budget - Secs. C D E'!I26,'SF RR Budget - Secs. C D E'!I54,'SF RR Budget - Secs. C D E'!I82,'SF RR Budget - Secs. C D E'!I110,'SF RR Budget - Secs. C D E'!I138,'SF RR Budget - Secs. C D E'!I166)</f>
        <v>0</v>
      </c>
      <c r="I16" s="1675"/>
      <c r="J16" s="2781"/>
    </row>
    <row r="17" spans="1:15" x14ac:dyDescent="0.25">
      <c r="A17" s="49"/>
      <c r="B17" t="s">
        <v>999</v>
      </c>
      <c r="G17" s="2308">
        <f>SUM('SF RR Budget - Secs. C D E'!E27,'SF RR Budget - Secs. C D E'!E55,'SF RR Budget - Secs. C D E'!E83,'SF RR Budget - Secs. C D E'!E111,'SF RR Budget - Secs. C D E'!E139,'SF RR Budget - Secs. C D E'!E167)</f>
        <v>0</v>
      </c>
      <c r="I17" s="1675"/>
      <c r="J17" s="2781"/>
    </row>
    <row r="18" spans="1:15" x14ac:dyDescent="0.25">
      <c r="A18" s="2839" t="s">
        <v>1000</v>
      </c>
      <c r="I18" s="2802">
        <f ca="1">SUM('SF RR Budget - Secs. F - K'!I21,'SF RR Budget - Secs. F - K'!I56,'SF RR Budget - Secs. F - K'!I91,'SF RR Budget - Secs. F - K'!I126,'SF RR Budget - Secs. F - K'!I161,'SF RR Budget - Secs. F - K'!I196)</f>
        <v>900</v>
      </c>
      <c r="J18" s="2911">
        <f ca="1">Budget!ER288</f>
        <v>900</v>
      </c>
      <c r="K18" s="2781">
        <f ca="1">I18-J18</f>
        <v>0</v>
      </c>
    </row>
    <row r="19" spans="1:15" x14ac:dyDescent="0.25">
      <c r="A19" s="49"/>
      <c r="B19" t="s">
        <v>1001</v>
      </c>
      <c r="G19" s="2768">
        <f>SUM('SF RR Budget - Secs. F - K'!I3,'SF RR Budget - Secs. F - K'!I38,'SF RR Budget - Secs. F - K'!I73,'SF RR Budget - Secs. F - K'!I108,'SF RR Budget - Secs. F - K'!I143,'SF RR Budget - Secs. F - K'!I178)</f>
        <v>900</v>
      </c>
      <c r="I19" s="1675"/>
      <c r="J19" s="2781"/>
    </row>
    <row r="20" spans="1:15" x14ac:dyDescent="0.25">
      <c r="A20" s="49"/>
      <c r="B20" t="s">
        <v>1002</v>
      </c>
      <c r="G20" s="2768">
        <f>SUM('SF RR Budget - Secs. F - K'!I4,'SF RR Budget - Secs. F - K'!I39,'SF RR Budget - Secs. F - K'!I74,'SF RR Budget - Secs. F - K'!I109,'SF RR Budget - Secs. F - K'!I144,'SF RR Budget - Secs. F - K'!I179)</f>
        <v>0</v>
      </c>
      <c r="I20" s="1675"/>
      <c r="J20" s="2781"/>
    </row>
    <row r="21" spans="1:15" x14ac:dyDescent="0.25">
      <c r="A21" s="49"/>
      <c r="B21" t="s">
        <v>1003</v>
      </c>
      <c r="G21" s="2768">
        <f>SUM('SF RR Budget - Secs. F - K'!I5,'SF RR Budget - Secs. F - K'!I40,'SF RR Budget - Secs. F - K'!I75,'SF RR Budget - Secs. F - K'!I110,'SF RR Budget - Secs. F - K'!I145,'SF RR Budget - Secs. F - K'!I180)</f>
        <v>0</v>
      </c>
      <c r="I21" s="1675"/>
      <c r="J21" s="2781"/>
    </row>
    <row r="22" spans="1:15" x14ac:dyDescent="0.25">
      <c r="A22" s="49"/>
      <c r="B22" t="s">
        <v>1004</v>
      </c>
      <c r="G22" s="2768">
        <f>SUM('SF RR Budget - Secs. F - K'!I6,'SF RR Budget - Secs. F - K'!I41,'SF RR Budget - Secs. F - K'!I76,'SF RR Budget - Secs. F - K'!I111,'SF RR Budget - Secs. F - K'!I146,'SF RR Budget - Secs. F - K'!I181)</f>
        <v>0</v>
      </c>
      <c r="I22" s="1675"/>
      <c r="J22" s="2781"/>
    </row>
    <row r="23" spans="1:15" x14ac:dyDescent="0.25">
      <c r="A23" s="49"/>
      <c r="B23" t="s">
        <v>1005</v>
      </c>
      <c r="G23" s="2768">
        <f>SUM('SF RR Budget - Secs. F - K'!I7,'SF RR Budget - Secs. F - K'!I42,'SF RR Budget - Secs. F - K'!I77,'SF RR Budget - Secs. F - K'!I112,'SF RR Budget - Secs. F - K'!I147,'SF RR Budget - Secs. F - K'!I182)</f>
        <v>0</v>
      </c>
      <c r="I23" s="1675"/>
      <c r="J23" s="2781"/>
      <c r="O23" s="2781">
        <f ca="1">J6+J7+J18</f>
        <v>47510</v>
      </c>
    </row>
    <row r="24" spans="1:15" x14ac:dyDescent="0.25">
      <c r="A24" s="49"/>
      <c r="B24" t="s">
        <v>1006</v>
      </c>
      <c r="G24" s="2768">
        <f>SUM('SF RR Budget - Secs. F - K'!I9,'SF RR Budget - Secs. F - K'!I44,'SF RR Budget - Secs. F - K'!I79,'SF RR Budget - Secs. F - K'!I114,'SF RR Budget - Secs. F - K'!I149,'SF RR Budget - Secs. F - K'!I184)</f>
        <v>0</v>
      </c>
      <c r="I24" s="1675"/>
      <c r="J24" s="2781"/>
    </row>
    <row r="25" spans="1:15" x14ac:dyDescent="0.25">
      <c r="A25" s="49"/>
      <c r="B25" t="s">
        <v>1007</v>
      </c>
      <c r="G25" s="2768">
        <f>SUM('SF RR Budget - Secs. F - K'!I10,'SF RR Budget - Secs. F - K'!I45,'SF RR Budget - Secs. F - K'!I80,'SF RR Budget - Secs. F - K'!I115,'SF RR Budget - Secs. F - K'!I150,'SF RR Budget - Secs. F - K'!I185)</f>
        <v>0</v>
      </c>
      <c r="I25" s="1675"/>
      <c r="J25" s="2781"/>
    </row>
    <row r="26" spans="1:15" x14ac:dyDescent="0.25">
      <c r="A26" s="49"/>
      <c r="B26" t="s">
        <v>1008</v>
      </c>
      <c r="G26" s="2768">
        <f ca="1">SUM('SF RR Budget - Secs. F - K'!I11,'SF RR Budget - Secs. F - K'!I46,'SF RR Budget - Secs. F - K'!I81,'SF RR Budget - Secs. F - K'!I116,'SF RR Budget - Secs. F - K'!I151,'SF RR Budget - Secs. F - K'!I186)</f>
        <v>0</v>
      </c>
      <c r="I26" s="1675"/>
      <c r="J26" s="2781"/>
    </row>
    <row r="27" spans="1:15" x14ac:dyDescent="0.25">
      <c r="A27" s="49"/>
      <c r="B27" t="str">
        <f>'DATA INPUT'!B100</f>
        <v>Other - Specify</v>
      </c>
      <c r="G27" s="2768">
        <f>SUM('SF RR Budget - Secs. F - K'!I12,'SF RR Budget - Secs. F - K'!I47,'SF RR Budget - Secs. F - K'!I82,'SF RR Budget - Secs. F - K'!I117,'SF RR Budget - Secs. F - K'!I152,'SF RR Budget - Secs. F - K'!I187)</f>
        <v>0</v>
      </c>
      <c r="I27" s="1675"/>
      <c r="J27" s="2781"/>
    </row>
    <row r="28" spans="1:15" x14ac:dyDescent="0.25">
      <c r="A28" s="49"/>
      <c r="B28" t="str">
        <f>'DATA INPUT'!B101</f>
        <v>Other - Specify</v>
      </c>
      <c r="G28" s="2768">
        <f>SUM('SF RR Budget - Secs. F - K'!I13,'SF RR Budget - Secs. F - K'!I48,'SF RR Budget - Secs. F - K'!I83,'SF RR Budget - Secs. F - K'!I118,'SF RR Budget - Secs. F - K'!I153,'SF RR Budget - Secs. F - K'!I188)</f>
        <v>0</v>
      </c>
      <c r="I28" s="1675"/>
      <c r="J28" s="2781"/>
    </row>
    <row r="29" spans="1:15" x14ac:dyDescent="0.25">
      <c r="A29" s="49"/>
      <c r="B29" t="str">
        <f>'DATA INPUT'!B102</f>
        <v>Other - Specify</v>
      </c>
      <c r="G29" s="2768">
        <f>SUM('SF RR Budget - Secs. F - K'!I14,'SF RR Budget - Secs. F - K'!I49,'SF RR Budget - Secs. F - K'!I84,'SF RR Budget - Secs. F - K'!I119,'SF RR Budget - Secs. F - K'!I154,'SF RR Budget - Secs. F - K'!I189)</f>
        <v>0</v>
      </c>
      <c r="I29" s="1675"/>
      <c r="J29" s="2781"/>
    </row>
    <row r="30" spans="1:15" x14ac:dyDescent="0.25">
      <c r="A30" s="49"/>
      <c r="B30" t="str">
        <f>'DATA INPUT'!B103</f>
        <v>Other - Specify</v>
      </c>
      <c r="G30" s="2768">
        <f>SUM('SF RR Budget - Secs. F - K'!I15,'SF RR Budget - Secs. F - K'!I50,'SF RR Budget - Secs. F - K'!I85,'SF RR Budget - Secs. F - K'!I120,'SF RR Budget - Secs. F - K'!I155,'SF RR Budget - Secs. F - K'!I190)</f>
        <v>0</v>
      </c>
      <c r="I30" s="1675"/>
      <c r="J30" s="2781"/>
    </row>
    <row r="31" spans="1:15" x14ac:dyDescent="0.25">
      <c r="A31" s="49"/>
      <c r="B31" t="str">
        <f>'DATA INPUT'!B104</f>
        <v>Other - Specify</v>
      </c>
      <c r="G31" s="2768">
        <f>SUM('SF RR Budget - Secs. F - K'!I16,'SF RR Budget - Secs. F - K'!I51,'SF RR Budget - Secs. F - K'!I86,'SF RR Budget - Secs. F - K'!I121,'SF RR Budget - Secs. F - K'!I156,'SF RR Budget - Secs. F - K'!I191)</f>
        <v>0</v>
      </c>
      <c r="I31" s="1675"/>
      <c r="J31" s="2781"/>
    </row>
    <row r="32" spans="1:15" x14ac:dyDescent="0.25">
      <c r="A32" s="49"/>
      <c r="B32" t="str">
        <f>'DATA INPUT'!B105</f>
        <v>Other - Specify</v>
      </c>
      <c r="G32" s="2768">
        <f>SUM('SF RR Budget - Secs. F - K'!I17,'SF RR Budget - Secs. F - K'!I52,'SF RR Budget - Secs. F - K'!I87,'SF RR Budget - Secs. F - K'!I122,'SF RR Budget - Secs. F - K'!I157,'SF RR Budget - Secs. F - K'!I192)</f>
        <v>0</v>
      </c>
      <c r="I32" s="1675"/>
      <c r="J32" s="2781"/>
    </row>
    <row r="33" spans="1:11" x14ac:dyDescent="0.25">
      <c r="A33" s="49"/>
      <c r="B33" t="s">
        <v>1009</v>
      </c>
      <c r="G33" s="2768">
        <f ca="1">SUM('SF RR Budget - Secs. F - K'!I18,'SF RR Budget - Secs. F - K'!I53,'SF RR Budget - Secs. F - K'!I88,'SF RR Budget - Secs. F - K'!I123,'SF RR Budget - Secs. F - K'!I158,'SF RR Budget - Secs. F - K'!I193)</f>
        <v>0</v>
      </c>
      <c r="I33" s="1675"/>
      <c r="J33" s="2781"/>
    </row>
    <row r="34" spans="1:11" x14ac:dyDescent="0.25">
      <c r="A34" s="2839" t="s">
        <v>1010</v>
      </c>
      <c r="I34" s="2844">
        <f ca="1">SUM(I6,I7,I8,I18)</f>
        <v>49999.87</v>
      </c>
      <c r="J34" s="2911">
        <f ca="1">Budget!ER290</f>
        <v>50000</v>
      </c>
      <c r="K34" s="2781">
        <f ca="1">I34-J34</f>
        <v>-0.12999999999738066</v>
      </c>
    </row>
    <row r="35" spans="1:11" x14ac:dyDescent="0.25">
      <c r="A35" s="2839" t="s">
        <v>1011</v>
      </c>
      <c r="I35" s="2844">
        <f ca="1">SUM('SF RR Budget - Secs. F - K'!I28,'SF RR Budget - Secs. F - K'!I63,'SF RR Budget - Secs. F - K'!I98,'SF RR Budget - Secs. F - K'!I133,'SF RR Budget - Secs. F - K'!I168,'SF RR Budget - Secs. F - K'!I203)</f>
        <v>0</v>
      </c>
      <c r="J35" s="2911">
        <f ca="1">Budget!ER293</f>
        <v>0</v>
      </c>
      <c r="K35" s="2781">
        <f ca="1">I35-J35</f>
        <v>0</v>
      </c>
    </row>
    <row r="36" spans="1:11" x14ac:dyDescent="0.25">
      <c r="A36" s="2839" t="s">
        <v>1012</v>
      </c>
      <c r="I36" s="2844">
        <f ca="1">SUM(I34:I35)</f>
        <v>49999.87</v>
      </c>
      <c r="J36" s="2911">
        <f ca="1">Budget!ER295</f>
        <v>50000</v>
      </c>
      <c r="K36" s="2781">
        <f ca="1">I36-J36</f>
        <v>-0.12999999999738066</v>
      </c>
    </row>
    <row r="37" spans="1:11" x14ac:dyDescent="0.25">
      <c r="A37" s="2839" t="s">
        <v>1013</v>
      </c>
      <c r="C37" t="s">
        <v>234</v>
      </c>
      <c r="I37" s="2844">
        <f>SUM('SF RR Budget - Secs. F - K'!I31,'SF RR Budget - Secs. F - K'!I66,'SF RR Budget - Secs. F - K'!I101,'SF RR Budget - Secs. F - K'!I136,'SF RR Budget - Secs. F - K'!I171,'SF RR Budget - Secs. F - K'!I206)</f>
        <v>0</v>
      </c>
      <c r="J37" s="2781"/>
    </row>
    <row r="38" spans="1:11" ht="15.75" thickBot="1" x14ac:dyDescent="0.3">
      <c r="A38" s="614" t="s">
        <v>1014</v>
      </c>
      <c r="B38" s="1676"/>
      <c r="C38" s="1676"/>
      <c r="D38" s="1676"/>
      <c r="E38" s="1676"/>
      <c r="F38" s="1676"/>
      <c r="G38" s="1676"/>
      <c r="H38" s="1676"/>
      <c r="I38" s="2913">
        <f ca="1">SUM(I36:I37)</f>
        <v>49999.87</v>
      </c>
      <c r="J38" s="2911">
        <f ca="1">Budget!ER295</f>
        <v>50000</v>
      </c>
      <c r="K38" s="2781">
        <f ca="1">I38-J38</f>
        <v>-0.12999999999738066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FF00"/>
  </sheetPr>
  <dimension ref="A1:Z71"/>
  <sheetViews>
    <sheetView zoomScaleNormal="100" workbookViewId="0"/>
  </sheetViews>
  <sheetFormatPr defaultColWidth="8.85546875" defaultRowHeight="15" x14ac:dyDescent="0.25"/>
  <cols>
    <col min="1" max="1" width="36" customWidth="1"/>
    <col min="2" max="2" width="10.7109375" bestFit="1" customWidth="1"/>
    <col min="3" max="3" width="10.7109375" customWidth="1"/>
    <col min="4" max="4" width="35.28515625" customWidth="1"/>
    <col min="5" max="5" width="13.28515625" customWidth="1"/>
    <col min="6" max="6" width="10.7109375" customWidth="1"/>
    <col min="7" max="7" width="11.140625" customWidth="1"/>
    <col min="8" max="8" width="14.5703125" customWidth="1"/>
    <col min="9" max="9" width="9.28515625" customWidth="1"/>
    <col min="10" max="10" width="22.28515625" customWidth="1"/>
    <col min="11" max="11" width="10.7109375" bestFit="1" customWidth="1"/>
    <col min="12" max="12" width="13.42578125" bestFit="1" customWidth="1"/>
    <col min="14" max="14" width="11" bestFit="1" customWidth="1"/>
    <col min="15" max="15" width="12.28515625" customWidth="1"/>
    <col min="16" max="16" width="16.85546875" customWidth="1"/>
    <col min="17" max="17" width="11.5703125" customWidth="1"/>
    <col min="18" max="19" width="11.7109375" customWidth="1"/>
    <col min="20" max="20" width="12.140625" customWidth="1"/>
    <col min="21" max="21" width="16.7109375" bestFit="1" customWidth="1"/>
    <col min="22" max="23" width="12.140625" customWidth="1"/>
    <col min="24" max="24" width="10.5703125" bestFit="1" customWidth="1"/>
    <col min="25" max="25" width="10.5703125" customWidth="1"/>
  </cols>
  <sheetData>
    <row r="1" spans="1:23" ht="23.25" x14ac:dyDescent="0.35">
      <c r="A1" s="1875" t="s">
        <v>334</v>
      </c>
      <c r="Q1" s="3086" t="s">
        <v>848</v>
      </c>
      <c r="R1" s="3087"/>
      <c r="S1" s="3088"/>
      <c r="T1" s="3088"/>
      <c r="U1" s="759" t="s">
        <v>276</v>
      </c>
      <c r="V1" s="2627">
        <v>0.4</v>
      </c>
      <c r="W1" s="2422">
        <v>0.49</v>
      </c>
    </row>
    <row r="2" spans="1:23" ht="15.75" x14ac:dyDescent="0.25">
      <c r="C2" s="847" t="s">
        <v>1021</v>
      </c>
      <c r="J2" t="s">
        <v>345</v>
      </c>
      <c r="L2" s="924" t="s">
        <v>512</v>
      </c>
      <c r="Q2" s="3089" t="s">
        <v>847</v>
      </c>
      <c r="U2" s="509" t="s">
        <v>722</v>
      </c>
      <c r="V2">
        <f>2080*V1</f>
        <v>832</v>
      </c>
      <c r="W2" s="1675">
        <f>2080*W1</f>
        <v>1019.1999999999999</v>
      </c>
    </row>
    <row r="3" spans="1:23" ht="15.75" x14ac:dyDescent="0.25">
      <c r="A3" s="226" t="s">
        <v>346</v>
      </c>
      <c r="C3" s="3041" t="s">
        <v>1020</v>
      </c>
      <c r="H3" t="s">
        <v>520</v>
      </c>
      <c r="J3" t="s">
        <v>119</v>
      </c>
      <c r="L3" s="1661" t="s">
        <v>513</v>
      </c>
      <c r="Q3" s="49"/>
      <c r="W3" s="1675"/>
    </row>
    <row r="4" spans="1:23" x14ac:dyDescent="0.25">
      <c r="A4" t="s">
        <v>787</v>
      </c>
      <c r="C4" s="2986" t="s">
        <v>815</v>
      </c>
      <c r="H4">
        <v>9</v>
      </c>
      <c r="J4" t="s">
        <v>121</v>
      </c>
      <c r="L4" s="936" t="s">
        <v>514</v>
      </c>
      <c r="Q4" s="49"/>
      <c r="S4" s="3090" t="s">
        <v>723</v>
      </c>
      <c r="T4" s="3090" t="s">
        <v>724</v>
      </c>
      <c r="U4" s="3090" t="s">
        <v>66</v>
      </c>
      <c r="V4" s="3090" t="s">
        <v>725</v>
      </c>
      <c r="W4" s="1675"/>
    </row>
    <row r="5" spans="1:23" x14ac:dyDescent="0.25">
      <c r="A5" t="s">
        <v>838</v>
      </c>
      <c r="H5">
        <v>12</v>
      </c>
      <c r="M5" s="3091"/>
      <c r="Q5" s="49" t="s">
        <v>726</v>
      </c>
      <c r="S5" s="60">
        <f>1.04*2150</f>
        <v>2236</v>
      </c>
      <c r="T5" s="3092">
        <f>V5*W$1/12</f>
        <v>2739.099999999999</v>
      </c>
      <c r="U5" s="1791">
        <f>S5/(2080/12*V$1)</f>
        <v>32.249999999999993</v>
      </c>
      <c r="V5" s="60">
        <f>2080*U5</f>
        <v>67079.999999999985</v>
      </c>
      <c r="W5" s="3093"/>
    </row>
    <row r="6" spans="1:23" ht="15.75" thickBot="1" x14ac:dyDescent="0.3">
      <c r="A6" t="s">
        <v>785</v>
      </c>
      <c r="J6" s="3091" t="s">
        <v>895</v>
      </c>
      <c r="Q6" s="614" t="s">
        <v>727</v>
      </c>
      <c r="R6" s="3094"/>
      <c r="S6" s="3095">
        <f>1.04*2300</f>
        <v>2392</v>
      </c>
      <c r="T6" s="3096">
        <f>V6*W$1/12</f>
        <v>2930.1999999999994</v>
      </c>
      <c r="U6" s="3097">
        <f>S6/(2080/12*V$1)</f>
        <v>34.499999999999993</v>
      </c>
      <c r="V6" s="3095">
        <f>2080*U6</f>
        <v>71759.999999999985</v>
      </c>
      <c r="W6" s="3098"/>
    </row>
    <row r="7" spans="1:23" ht="15.75" thickBot="1" x14ac:dyDescent="0.3">
      <c r="A7" t="s">
        <v>786</v>
      </c>
      <c r="D7" s="226" t="s">
        <v>1017</v>
      </c>
      <c r="J7" s="3091" t="s">
        <v>820</v>
      </c>
      <c r="Q7" s="653"/>
      <c r="R7" s="668"/>
      <c r="S7" s="3099"/>
      <c r="T7" s="3099"/>
      <c r="U7" s="3100"/>
      <c r="V7" s="3099"/>
      <c r="W7" s="3101"/>
    </row>
    <row r="8" spans="1:23" x14ac:dyDescent="0.25">
      <c r="A8" t="s">
        <v>783</v>
      </c>
      <c r="D8" s="19" t="s">
        <v>1018</v>
      </c>
      <c r="H8" t="s">
        <v>343</v>
      </c>
      <c r="J8" s="3102" t="s">
        <v>335</v>
      </c>
      <c r="K8" s="1871" t="s">
        <v>301</v>
      </c>
      <c r="L8" s="1872">
        <v>0.03</v>
      </c>
    </row>
    <row r="9" spans="1:23" x14ac:dyDescent="0.25">
      <c r="A9" t="s">
        <v>688</v>
      </c>
      <c r="D9" t="s">
        <v>1072</v>
      </c>
      <c r="E9" t="s">
        <v>1019</v>
      </c>
      <c r="H9" s="769">
        <v>1</v>
      </c>
      <c r="J9" s="3103" t="s">
        <v>18</v>
      </c>
      <c r="K9" s="3104" t="s">
        <v>116</v>
      </c>
      <c r="L9" s="1873" t="s">
        <v>115</v>
      </c>
    </row>
    <row r="10" spans="1:23" x14ac:dyDescent="0.25">
      <c r="D10" t="s">
        <v>1066</v>
      </c>
      <c r="E10" s="2985">
        <v>0.50700000000000001</v>
      </c>
      <c r="H10" s="769">
        <v>0.9</v>
      </c>
      <c r="J10" s="1868" t="s">
        <v>490</v>
      </c>
      <c r="K10" s="3105">
        <v>74</v>
      </c>
      <c r="L10" s="3106">
        <f>225-Table_Travel[[#This Row],[Per Diem]]</f>
        <v>151</v>
      </c>
    </row>
    <row r="11" spans="1:23" x14ac:dyDescent="0.25">
      <c r="D11" t="s">
        <v>688</v>
      </c>
      <c r="E11" s="3107">
        <v>0.20899999999999999</v>
      </c>
      <c r="H11" s="769">
        <v>0.75</v>
      </c>
      <c r="J11" s="1868" t="s">
        <v>491</v>
      </c>
      <c r="K11" s="3105">
        <v>86</v>
      </c>
      <c r="L11" s="3106">
        <f>319-Table_Travel[[#This Row],[Per Diem]]</f>
        <v>233</v>
      </c>
    </row>
    <row r="12" spans="1:23" x14ac:dyDescent="0.25">
      <c r="A12" t="s">
        <v>568</v>
      </c>
      <c r="D12" t="s">
        <v>1067</v>
      </c>
      <c r="E12" s="3107">
        <v>0.312</v>
      </c>
      <c r="H12" s="769">
        <v>0.5</v>
      </c>
      <c r="J12" s="1868" t="s">
        <v>758</v>
      </c>
      <c r="K12" s="3105">
        <v>999</v>
      </c>
      <c r="L12" s="3106">
        <v>999</v>
      </c>
    </row>
    <row r="13" spans="1:23" x14ac:dyDescent="0.25">
      <c r="A13" s="3108" t="s">
        <v>682</v>
      </c>
      <c r="D13" t="s">
        <v>1068</v>
      </c>
      <c r="E13" s="3107">
        <v>2.7E-2</v>
      </c>
      <c r="J13" s="1874" t="s">
        <v>492</v>
      </c>
      <c r="K13" s="3109">
        <f>K11</f>
        <v>86</v>
      </c>
      <c r="L13" s="3110">
        <f>L11</f>
        <v>233</v>
      </c>
    </row>
    <row r="14" spans="1:23" x14ac:dyDescent="0.25">
      <c r="A14" t="s">
        <v>569</v>
      </c>
      <c r="D14" t="s">
        <v>1069</v>
      </c>
      <c r="E14" s="3107">
        <v>0.28499999999999998</v>
      </c>
    </row>
    <row r="15" spans="1:23" x14ac:dyDescent="0.25">
      <c r="A15" t="s">
        <v>762</v>
      </c>
      <c r="D15" t="s">
        <v>641</v>
      </c>
      <c r="E15" s="3107">
        <v>0.61599999999999999</v>
      </c>
      <c r="H15" t="s">
        <v>575</v>
      </c>
    </row>
    <row r="16" spans="1:23" x14ac:dyDescent="0.25">
      <c r="A16" t="s">
        <v>846</v>
      </c>
      <c r="H16">
        <v>1</v>
      </c>
      <c r="J16" t="s">
        <v>823</v>
      </c>
      <c r="K16" t="s">
        <v>825</v>
      </c>
      <c r="L16" t="s">
        <v>824</v>
      </c>
      <c r="O16" s="1140"/>
    </row>
    <row r="17" spans="1:23" x14ac:dyDescent="0.25">
      <c r="A17" t="s">
        <v>537</v>
      </c>
      <c r="G17" s="1139"/>
      <c r="H17">
        <v>2</v>
      </c>
      <c r="J17" t="s">
        <v>821</v>
      </c>
      <c r="K17" s="3111">
        <v>0.76</v>
      </c>
      <c r="L17" s="1729">
        <v>46216</v>
      </c>
      <c r="Q17" s="3112"/>
    </row>
    <row r="18" spans="1:23" ht="15.75" thickBot="1" x14ac:dyDescent="0.3">
      <c r="D18" s="226" t="s">
        <v>841</v>
      </c>
      <c r="H18">
        <v>3</v>
      </c>
      <c r="J18" s="3113" t="s">
        <v>822</v>
      </c>
      <c r="K18" s="3111"/>
      <c r="L18" s="1729"/>
      <c r="Q18" s="3112"/>
    </row>
    <row r="19" spans="1:23" x14ac:dyDescent="0.25">
      <c r="D19" s="3114" t="s">
        <v>1022</v>
      </c>
      <c r="E19" s="3115" t="s">
        <v>285</v>
      </c>
      <c r="J19" t="s">
        <v>894</v>
      </c>
      <c r="S19" s="3091" t="s">
        <v>607</v>
      </c>
    </row>
    <row r="20" spans="1:23" ht="16.5" thickBot="1" x14ac:dyDescent="0.3">
      <c r="A20" t="s">
        <v>379</v>
      </c>
      <c r="D20" s="2453">
        <v>46204</v>
      </c>
      <c r="E20" s="3116"/>
      <c r="O20" s="1780" t="s">
        <v>869</v>
      </c>
      <c r="P20" s="922"/>
      <c r="Q20" s="922"/>
      <c r="R20" s="922"/>
      <c r="S20" s="2557" t="s">
        <v>864</v>
      </c>
      <c r="T20" s="922"/>
    </row>
    <row r="21" spans="1:23" x14ac:dyDescent="0.25">
      <c r="A21" t="s">
        <v>377</v>
      </c>
      <c r="D21" s="2453">
        <f>DATE(YEAR(D20),MONTH(D20)+12,DAY(D20))-1</f>
        <v>46568</v>
      </c>
      <c r="E21" s="3116"/>
      <c r="H21" t="s">
        <v>347</v>
      </c>
      <c r="O21" s="613"/>
      <c r="P21" s="3117" t="str">
        <f>CONCATENATE("AY ", P22-1, "-",P22-2000)</f>
        <v>AY 2026-27</v>
      </c>
      <c r="Q21" s="3117" t="str">
        <f t="shared" ref="Q21:V21" si="0">CONCATENATE("AY ", Q22-1, "-",Q22-2000)</f>
        <v>AY 2027-28</v>
      </c>
      <c r="R21" s="3117" t="str">
        <f t="shared" si="0"/>
        <v>AY 2028-29</v>
      </c>
      <c r="S21" s="3117" t="str">
        <f t="shared" si="0"/>
        <v>AY 2029-30</v>
      </c>
      <c r="T21" s="3117" t="str">
        <f t="shared" si="0"/>
        <v>AY 2030-31</v>
      </c>
      <c r="U21" s="3117" t="str">
        <f t="shared" si="0"/>
        <v>AY 2031-32</v>
      </c>
      <c r="V21" s="3117" t="str">
        <f t="shared" si="0"/>
        <v>AY 2032-33</v>
      </c>
      <c r="W21" s="773" t="s">
        <v>19</v>
      </c>
    </row>
    <row r="22" spans="1:23" x14ac:dyDescent="0.25">
      <c r="A22" t="s">
        <v>378</v>
      </c>
      <c r="H22" s="769">
        <v>0.49</v>
      </c>
      <c r="J22" s="40" t="s">
        <v>691</v>
      </c>
      <c r="K22" s="40" t="s">
        <v>693</v>
      </c>
      <c r="L22" s="40" t="s">
        <v>692</v>
      </c>
      <c r="O22" s="1779" t="s">
        <v>296</v>
      </c>
      <c r="P22" s="2377">
        <v>2027</v>
      </c>
      <c r="Q22" s="775">
        <f t="shared" ref="Q22:V22" si="1">P22+1</f>
        <v>2028</v>
      </c>
      <c r="R22" s="775">
        <f t="shared" si="1"/>
        <v>2029</v>
      </c>
      <c r="S22" s="775">
        <f t="shared" si="1"/>
        <v>2030</v>
      </c>
      <c r="T22" s="775">
        <f t="shared" si="1"/>
        <v>2031</v>
      </c>
      <c r="U22" s="775">
        <f t="shared" si="1"/>
        <v>2032</v>
      </c>
      <c r="V22" s="775">
        <f t="shared" si="1"/>
        <v>2033</v>
      </c>
      <c r="W22" s="776"/>
    </row>
    <row r="23" spans="1:23" ht="15.75" thickBot="1" x14ac:dyDescent="0.3">
      <c r="H23" s="769">
        <v>0.4</v>
      </c>
      <c r="J23" s="3118">
        <v>46204</v>
      </c>
      <c r="K23" s="3119">
        <v>15.55</v>
      </c>
      <c r="L23" s="1791">
        <f>Table27[[#This Row],[Statewide Mimimum]]+1.25</f>
        <v>16.8</v>
      </c>
      <c r="O23" s="777" t="s">
        <v>57</v>
      </c>
      <c r="P23" s="778">
        <v>5748</v>
      </c>
      <c r="Q23" s="778">
        <f t="shared" ref="Q23:V23" si="2">P23+P23*$W23</f>
        <v>5920.44</v>
      </c>
      <c r="R23" s="778">
        <f t="shared" si="2"/>
        <v>6098.0531999999994</v>
      </c>
      <c r="S23" s="778">
        <f t="shared" si="2"/>
        <v>6280.994795999999</v>
      </c>
      <c r="T23" s="778">
        <f t="shared" si="2"/>
        <v>6469.4246398799987</v>
      </c>
      <c r="U23" s="778">
        <f t="shared" si="2"/>
        <v>6663.507379076399</v>
      </c>
      <c r="V23" s="778">
        <f t="shared" si="2"/>
        <v>6863.4126004486907</v>
      </c>
      <c r="W23" s="1775">
        <v>0.03</v>
      </c>
    </row>
    <row r="24" spans="1:23" ht="15.75" thickBot="1" x14ac:dyDescent="0.3">
      <c r="D24" s="1731" t="s">
        <v>840</v>
      </c>
      <c r="E24" s="1752"/>
      <c r="H24" s="769"/>
      <c r="J24" s="3118">
        <v>45839</v>
      </c>
      <c r="K24" s="3119">
        <v>15.05</v>
      </c>
      <c r="L24" s="1791">
        <f>Table27[[#This Row],[Statewide Mimimum]]+1.25</f>
        <v>16.3</v>
      </c>
      <c r="O24" s="777" t="s">
        <v>96</v>
      </c>
      <c r="P24" s="778">
        <v>3075</v>
      </c>
      <c r="Q24" s="778">
        <f t="shared" ref="Q24:V26" si="3">P24+P24*$W24</f>
        <v>3167.25</v>
      </c>
      <c r="R24" s="778">
        <f t="shared" si="3"/>
        <v>3262.2674999999999</v>
      </c>
      <c r="S24" s="778">
        <f t="shared" si="3"/>
        <v>3360.1355249999997</v>
      </c>
      <c r="T24" s="778">
        <f t="shared" si="3"/>
        <v>3460.9395907499998</v>
      </c>
      <c r="U24" s="778">
        <f t="shared" si="3"/>
        <v>3564.7677784724997</v>
      </c>
      <c r="V24" s="778">
        <f t="shared" si="3"/>
        <v>3671.7108118266747</v>
      </c>
      <c r="W24" s="1775">
        <v>0.03</v>
      </c>
    </row>
    <row r="25" spans="1:23" x14ac:dyDescent="0.25">
      <c r="A25" s="770" t="s">
        <v>350</v>
      </c>
      <c r="D25" s="1876" t="s">
        <v>527</v>
      </c>
      <c r="E25" s="1877">
        <v>0.02</v>
      </c>
      <c r="H25" s="769"/>
      <c r="J25" s="3118">
        <v>45474</v>
      </c>
      <c r="K25" s="1791">
        <v>14.7</v>
      </c>
      <c r="L25" s="1791">
        <f>Table27[[#This Row],[Statewide Mimimum]]+1.25</f>
        <v>15.95</v>
      </c>
      <c r="O25" s="777" t="s">
        <v>97</v>
      </c>
      <c r="P25" s="1154">
        <v>864.04</v>
      </c>
      <c r="Q25" s="1154">
        <f t="shared" si="3"/>
        <v>889.96119999999996</v>
      </c>
      <c r="R25" s="1154">
        <f t="shared" si="3"/>
        <v>916.66003599999999</v>
      </c>
      <c r="S25" s="1154">
        <f t="shared" si="3"/>
        <v>944.15983707999999</v>
      </c>
      <c r="T25" s="1154">
        <f t="shared" si="3"/>
        <v>972.4846321924</v>
      </c>
      <c r="U25" s="1154">
        <f t="shared" si="3"/>
        <v>1001.6591711581719</v>
      </c>
      <c r="V25" s="1154">
        <f t="shared" si="3"/>
        <v>1031.7089462929171</v>
      </c>
      <c r="W25" s="1776">
        <v>0.03</v>
      </c>
    </row>
    <row r="26" spans="1:23" ht="15" customHeight="1" thickBot="1" x14ac:dyDescent="0.3">
      <c r="A26" s="770" t="s">
        <v>351</v>
      </c>
      <c r="D26" s="747" t="s">
        <v>531</v>
      </c>
      <c r="E26" s="1878">
        <v>0</v>
      </c>
      <c r="J26" s="3118">
        <v>45108</v>
      </c>
      <c r="K26" s="3119">
        <v>14.2</v>
      </c>
      <c r="L26" s="1791">
        <f>Table27[[#This Row],[Statewide Mimimum]]+1.25</f>
        <v>15.45</v>
      </c>
      <c r="O26" s="779" t="s">
        <v>98</v>
      </c>
      <c r="P26" s="1155">
        <v>322</v>
      </c>
      <c r="Q26" s="1155">
        <f t="shared" si="3"/>
        <v>331.66</v>
      </c>
      <c r="R26" s="1155">
        <f t="shared" si="3"/>
        <v>341.60980000000001</v>
      </c>
      <c r="S26" s="1155">
        <f t="shared" si="3"/>
        <v>351.85809399999999</v>
      </c>
      <c r="T26" s="1155">
        <f t="shared" si="3"/>
        <v>362.41383681999997</v>
      </c>
      <c r="U26" s="1155">
        <f t="shared" si="3"/>
        <v>373.28625192459998</v>
      </c>
      <c r="V26" s="1155">
        <f t="shared" si="3"/>
        <v>384.48483948233797</v>
      </c>
      <c r="W26" s="1777">
        <v>0.03</v>
      </c>
    </row>
    <row r="27" spans="1:23" x14ac:dyDescent="0.25">
      <c r="A27" s="770" t="s">
        <v>352</v>
      </c>
      <c r="O27" s="2089" t="s">
        <v>283</v>
      </c>
      <c r="P27" s="2090"/>
      <c r="Q27" s="2090"/>
      <c r="R27" s="2090"/>
      <c r="S27" s="2090"/>
      <c r="T27" s="2090"/>
      <c r="U27" s="2090"/>
      <c r="V27" s="2090"/>
      <c r="W27" s="668"/>
    </row>
    <row r="28" spans="1:23" x14ac:dyDescent="0.25">
      <c r="H28" t="s">
        <v>342</v>
      </c>
    </row>
    <row r="29" spans="1:23" ht="15.75" thickBot="1" x14ac:dyDescent="0.3">
      <c r="D29" s="3121" t="s">
        <v>771</v>
      </c>
      <c r="H29" s="3120">
        <v>12</v>
      </c>
      <c r="M29" s="1793"/>
      <c r="N29" s="2555" t="s">
        <v>814</v>
      </c>
      <c r="O29" s="3122">
        <f>'DATA INPUT'!C4</f>
        <v>46478</v>
      </c>
      <c r="P29" s="2091">
        <f>IF($O$29&lt;DATE($P$22,4,15),$P$22,IF($O$29&lt;DATE($Q$22,4,15),$Q$22,IF($O$29&lt;DATE($R$22,4,15),$R$22,IF($O$29&lt;DATE($S$22,4,15),$S$22,$T$22))))</f>
        <v>2027</v>
      </c>
      <c r="Q29" s="2091">
        <f>P29+1</f>
        <v>2028</v>
      </c>
      <c r="R29" s="2091">
        <f t="shared" ref="R29:W29" si="4">Q29+1</f>
        <v>2029</v>
      </c>
      <c r="S29" s="2091">
        <f t="shared" si="4"/>
        <v>2030</v>
      </c>
      <c r="T29" s="2091">
        <f t="shared" si="4"/>
        <v>2031</v>
      </c>
      <c r="U29" s="2091">
        <f t="shared" si="4"/>
        <v>2032</v>
      </c>
      <c r="V29" s="2091">
        <f t="shared" si="4"/>
        <v>2033</v>
      </c>
      <c r="W29" s="2091">
        <f t="shared" si="4"/>
        <v>2034</v>
      </c>
    </row>
    <row r="30" spans="1:23" x14ac:dyDescent="0.25">
      <c r="A30" s="226" t="s">
        <v>479</v>
      </c>
      <c r="B30" s="3123" t="s">
        <v>353</v>
      </c>
      <c r="D30" t="s">
        <v>772</v>
      </c>
      <c r="E30" t="s">
        <v>1083</v>
      </c>
      <c r="F30" t="s">
        <v>1084</v>
      </c>
      <c r="H30" s="3120">
        <v>9</v>
      </c>
      <c r="N30" s="3124" t="s">
        <v>280</v>
      </c>
      <c r="O30" s="3125" t="s">
        <v>17</v>
      </c>
      <c r="P30" s="3126">
        <f>DATE(P29-1,7,15)</f>
        <v>46218</v>
      </c>
      <c r="Q30" s="3126">
        <f t="shared" ref="Q30:W30" si="5">DATE(YEAR(P30),MONTH(P30)+12,DAY(P30))</f>
        <v>46583</v>
      </c>
      <c r="R30" s="3126">
        <f t="shared" si="5"/>
        <v>46949</v>
      </c>
      <c r="S30" s="3126">
        <f t="shared" si="5"/>
        <v>47314</v>
      </c>
      <c r="T30" s="3126">
        <f t="shared" si="5"/>
        <v>47679</v>
      </c>
      <c r="U30" s="3126">
        <f t="shared" si="5"/>
        <v>48044</v>
      </c>
      <c r="V30" s="3126">
        <f t="shared" si="5"/>
        <v>48410</v>
      </c>
      <c r="W30" s="3126">
        <f t="shared" si="5"/>
        <v>48775</v>
      </c>
    </row>
    <row r="31" spans="1:23" x14ac:dyDescent="0.25">
      <c r="A31" s="3127" t="s">
        <v>1027</v>
      </c>
      <c r="B31" s="2626">
        <v>0.495</v>
      </c>
      <c r="C31" s="2452" t="s">
        <v>761</v>
      </c>
      <c r="D31" t="s">
        <v>69</v>
      </c>
      <c r="E31" t="s">
        <v>1076</v>
      </c>
      <c r="F31" t="s">
        <v>766</v>
      </c>
      <c r="H31">
        <v>6</v>
      </c>
      <c r="N31" s="3128" t="s">
        <v>367</v>
      </c>
      <c r="O31" s="3129" t="s">
        <v>41</v>
      </c>
      <c r="P31" s="3130">
        <f>DATE(YEAR(P30), 10, 7)</f>
        <v>46302</v>
      </c>
      <c r="Q31" s="3131">
        <f t="shared" ref="Q31:R35" si="6">DATE(YEAR(P31),MONTH(P31)+12,DAY(P31))</f>
        <v>46667</v>
      </c>
      <c r="R31" s="3131">
        <f t="shared" si="6"/>
        <v>47033</v>
      </c>
      <c r="S31" s="3131">
        <f t="shared" ref="S31:W35" si="7">DATE(YEAR(R31),MONTH(R31)+12,DAY(R31))</f>
        <v>47398</v>
      </c>
      <c r="T31" s="3131">
        <f t="shared" si="7"/>
        <v>47763</v>
      </c>
      <c r="U31" s="3131">
        <f t="shared" si="7"/>
        <v>48128</v>
      </c>
      <c r="V31" s="3131">
        <f t="shared" si="7"/>
        <v>48494</v>
      </c>
      <c r="W31" s="3131">
        <f t="shared" si="7"/>
        <v>48859</v>
      </c>
    </row>
    <row r="32" spans="1:23" x14ac:dyDescent="0.25">
      <c r="A32" s="3132" t="s">
        <v>1028</v>
      </c>
      <c r="B32" s="2451">
        <v>0.58499999999999996</v>
      </c>
      <c r="D32" t="s">
        <v>70</v>
      </c>
      <c r="E32" t="s">
        <v>1077</v>
      </c>
      <c r="F32" t="s">
        <v>767</v>
      </c>
      <c r="H32">
        <v>3</v>
      </c>
      <c r="N32" s="3133"/>
      <c r="O32" s="3134" t="s">
        <v>42</v>
      </c>
      <c r="P32" s="3130">
        <f>DATE(YEAR(P31)+1, 1, 15)</f>
        <v>46402</v>
      </c>
      <c r="Q32" s="3130">
        <f t="shared" si="6"/>
        <v>46767</v>
      </c>
      <c r="R32" s="3130">
        <f t="shared" si="6"/>
        <v>47133</v>
      </c>
      <c r="S32" s="3130">
        <f t="shared" si="7"/>
        <v>47498</v>
      </c>
      <c r="T32" s="3130">
        <f t="shared" si="7"/>
        <v>47863</v>
      </c>
      <c r="U32" s="3130">
        <f t="shared" si="7"/>
        <v>48228</v>
      </c>
      <c r="V32" s="3130">
        <f t="shared" si="7"/>
        <v>48594</v>
      </c>
      <c r="W32" s="3130">
        <f t="shared" si="7"/>
        <v>48959</v>
      </c>
    </row>
    <row r="33" spans="1:26" ht="15.75" thickBot="1" x14ac:dyDescent="0.3">
      <c r="A33" s="3132" t="s">
        <v>1029</v>
      </c>
      <c r="B33" s="2451">
        <v>0.35499999999999998</v>
      </c>
      <c r="D33" t="s">
        <v>71</v>
      </c>
      <c r="E33" t="s">
        <v>1078</v>
      </c>
      <c r="F33" t="s">
        <v>770</v>
      </c>
      <c r="N33" s="3133"/>
      <c r="O33" s="3135" t="s">
        <v>279</v>
      </c>
      <c r="P33" s="3136">
        <f>DATE(YEAR(P32), 4, 15)</f>
        <v>46492</v>
      </c>
      <c r="Q33" s="3136">
        <f t="shared" si="6"/>
        <v>46858</v>
      </c>
      <c r="R33" s="3136">
        <f t="shared" si="6"/>
        <v>47223</v>
      </c>
      <c r="S33" s="3136">
        <f t="shared" si="7"/>
        <v>47588</v>
      </c>
      <c r="T33" s="3136">
        <f t="shared" si="7"/>
        <v>47953</v>
      </c>
      <c r="U33" s="3136">
        <f t="shared" si="7"/>
        <v>48319</v>
      </c>
      <c r="V33" s="3136">
        <f t="shared" si="7"/>
        <v>48684</v>
      </c>
      <c r="W33" s="3136">
        <f t="shared" si="7"/>
        <v>49049</v>
      </c>
    </row>
    <row r="34" spans="1:26" x14ac:dyDescent="0.25">
      <c r="A34" s="3132" t="s">
        <v>51</v>
      </c>
      <c r="B34" s="2451">
        <v>0.26</v>
      </c>
      <c r="D34" t="s">
        <v>72</v>
      </c>
      <c r="E34" t="s">
        <v>1079</v>
      </c>
      <c r="F34" t="s">
        <v>768</v>
      </c>
      <c r="N34" s="3137" t="s">
        <v>278</v>
      </c>
      <c r="O34" s="3138" t="s">
        <v>17</v>
      </c>
      <c r="P34" s="3139">
        <f>DATE(YEAR(P30),MONTH(P30)+2,DAY(P30)-21)</f>
        <v>46259</v>
      </c>
      <c r="Q34" s="3139">
        <f t="shared" ref="Q34:W34" si="8">DATE(YEAR(P34),MONTH(P34)+12,DAY(P34))</f>
        <v>46624</v>
      </c>
      <c r="R34" s="3139">
        <f t="shared" si="8"/>
        <v>46990</v>
      </c>
      <c r="S34" s="3139">
        <f t="shared" si="8"/>
        <v>47355</v>
      </c>
      <c r="T34" s="3139">
        <f t="shared" si="8"/>
        <v>47720</v>
      </c>
      <c r="U34" s="3139">
        <f t="shared" si="8"/>
        <v>48085</v>
      </c>
      <c r="V34" s="3140">
        <f t="shared" si="8"/>
        <v>48451</v>
      </c>
      <c r="W34" s="3140">
        <f t="shared" si="8"/>
        <v>48816</v>
      </c>
    </row>
    <row r="35" spans="1:26" x14ac:dyDescent="0.25">
      <c r="A35" s="3132" t="s">
        <v>1030</v>
      </c>
      <c r="B35" s="2451">
        <v>0.55000000000000004</v>
      </c>
      <c r="D35" t="s">
        <v>73</v>
      </c>
      <c r="E35" t="s">
        <v>1080</v>
      </c>
      <c r="F35" t="s">
        <v>769</v>
      </c>
      <c r="H35" s="662" t="s">
        <v>344</v>
      </c>
      <c r="N35" s="3133"/>
      <c r="O35" s="3141" t="s">
        <v>41</v>
      </c>
      <c r="P35" s="3142">
        <f>DATE(YEAR(P31),MONTH(P31)+2,DAY(P31)-21)</f>
        <v>46342</v>
      </c>
      <c r="Q35" s="3142">
        <f t="shared" si="6"/>
        <v>46707</v>
      </c>
      <c r="R35" s="3142">
        <f t="shared" si="6"/>
        <v>47073</v>
      </c>
      <c r="S35" s="3142">
        <f t="shared" si="7"/>
        <v>47438</v>
      </c>
      <c r="T35" s="3142">
        <f t="shared" si="7"/>
        <v>47803</v>
      </c>
      <c r="U35" s="3142">
        <f t="shared" si="7"/>
        <v>48168</v>
      </c>
      <c r="V35" s="3143">
        <f t="shared" si="7"/>
        <v>48534</v>
      </c>
      <c r="W35" s="3143">
        <f t="shared" si="7"/>
        <v>48899</v>
      </c>
    </row>
    <row r="36" spans="1:26" x14ac:dyDescent="0.25">
      <c r="A36" s="3132" t="s">
        <v>1031</v>
      </c>
      <c r="B36" s="2451">
        <v>0.45</v>
      </c>
      <c r="D36" t="s">
        <v>1082</v>
      </c>
      <c r="E36" t="s">
        <v>1081</v>
      </c>
      <c r="F36" t="s">
        <v>775</v>
      </c>
      <c r="H36" t="s">
        <v>61</v>
      </c>
      <c r="N36" s="3133"/>
      <c r="O36" s="3144" t="s">
        <v>42</v>
      </c>
      <c r="P36" s="3145">
        <f>DATE(YEAR(P32),MONTH(P32)+2,DAY(P32)-21)</f>
        <v>46440</v>
      </c>
      <c r="Q36" s="3145">
        <f t="shared" ref="Q36:W37" si="9">DATE(YEAR(P36),MONTH(P36)+12,DAY(P36))</f>
        <v>46805</v>
      </c>
      <c r="R36" s="3145">
        <f t="shared" ref="R36:S37" si="10">DATE(YEAR(Q36),MONTH(Q36)+12,DAY(Q36))</f>
        <v>47171</v>
      </c>
      <c r="S36" s="3145">
        <f t="shared" si="10"/>
        <v>47536</v>
      </c>
      <c r="T36" s="3145">
        <f t="shared" si="9"/>
        <v>47901</v>
      </c>
      <c r="U36" s="3145">
        <f t="shared" si="9"/>
        <v>48266</v>
      </c>
      <c r="V36" s="3146">
        <f t="shared" si="9"/>
        <v>48632</v>
      </c>
      <c r="W36" s="3146">
        <f t="shared" si="9"/>
        <v>48997</v>
      </c>
    </row>
    <row r="37" spans="1:26" x14ac:dyDescent="0.25">
      <c r="A37" s="3132" t="s">
        <v>1025</v>
      </c>
      <c r="B37" s="771">
        <v>0.35</v>
      </c>
      <c r="H37" t="s">
        <v>134</v>
      </c>
      <c r="N37" s="3133"/>
      <c r="O37" s="3144" t="s">
        <v>279</v>
      </c>
      <c r="P37" s="3145">
        <f>DATE(YEAR(P33),MONTH(P33)+2,DAY(P33)-21)</f>
        <v>46532</v>
      </c>
      <c r="Q37" s="3145">
        <f t="shared" si="9"/>
        <v>46898</v>
      </c>
      <c r="R37" s="3145">
        <f t="shared" si="10"/>
        <v>47263</v>
      </c>
      <c r="S37" s="3145">
        <f t="shared" si="10"/>
        <v>47628</v>
      </c>
      <c r="T37" s="3145">
        <f t="shared" si="9"/>
        <v>47993</v>
      </c>
      <c r="U37" s="3145">
        <f t="shared" si="9"/>
        <v>48359</v>
      </c>
      <c r="V37" s="3146">
        <f t="shared" si="9"/>
        <v>48724</v>
      </c>
      <c r="W37" s="3146">
        <f t="shared" si="9"/>
        <v>49089</v>
      </c>
    </row>
    <row r="38" spans="1:26" x14ac:dyDescent="0.25">
      <c r="A38" s="3132" t="s">
        <v>1026</v>
      </c>
      <c r="B38" s="771">
        <v>0.31</v>
      </c>
    </row>
    <row r="39" spans="1:26" ht="15.75" thickBot="1" x14ac:dyDescent="0.3">
      <c r="A39" s="3132" t="s">
        <v>1032</v>
      </c>
      <c r="B39" s="771">
        <v>0.27500000000000002</v>
      </c>
      <c r="D39" t="s">
        <v>339</v>
      </c>
      <c r="E39" s="40" t="s">
        <v>570</v>
      </c>
      <c r="F39" s="40" t="s">
        <v>571</v>
      </c>
      <c r="O39" s="1983" t="s">
        <v>606</v>
      </c>
      <c r="R39" s="3091" t="s">
        <v>607</v>
      </c>
    </row>
    <row r="40" spans="1:26" x14ac:dyDescent="0.25">
      <c r="A40" s="3132" t="s">
        <v>533</v>
      </c>
      <c r="B40" s="2451">
        <v>0.26</v>
      </c>
      <c r="D40" t="s">
        <v>69</v>
      </c>
      <c r="E40" s="3092">
        <f>$V$6</f>
        <v>71759.999999999985</v>
      </c>
      <c r="F40" s="3092">
        <f>$V$5</f>
        <v>67079.999999999985</v>
      </c>
      <c r="O40" s="613"/>
      <c r="P40" s="3147" t="str">
        <f t="shared" ref="P40:V40" si="11">CONCATENATE("AY ", P41-1, "-",P41-2000)</f>
        <v>AY 2026-27</v>
      </c>
      <c r="Q40" s="3147" t="str">
        <f t="shared" si="11"/>
        <v>AY 2027-28</v>
      </c>
      <c r="R40" s="3147" t="str">
        <f t="shared" si="11"/>
        <v>AY 2028-29</v>
      </c>
      <c r="S40" s="3147" t="str">
        <f t="shared" si="11"/>
        <v>AY 2029-30</v>
      </c>
      <c r="T40" s="3147" t="str">
        <f t="shared" si="11"/>
        <v>AY 2030-31</v>
      </c>
      <c r="U40" s="3147" t="str">
        <f t="shared" si="11"/>
        <v>AY 2031-32</v>
      </c>
      <c r="V40" s="3147" t="str">
        <f t="shared" si="11"/>
        <v>AY 2032-33</v>
      </c>
      <c r="W40" s="773" t="s">
        <v>19</v>
      </c>
    </row>
    <row r="41" spans="1:26" x14ac:dyDescent="0.25">
      <c r="A41" s="3149" t="s">
        <v>478</v>
      </c>
      <c r="D41" t="s">
        <v>70</v>
      </c>
      <c r="E41" s="3092">
        <f t="shared" ref="E41:E46" si="12">$V$6</f>
        <v>71759.999999999985</v>
      </c>
      <c r="F41" s="3092">
        <f t="shared" ref="F41:F46" si="13">$V$5</f>
        <v>67079.999999999985</v>
      </c>
      <c r="O41" s="774" t="s">
        <v>296</v>
      </c>
      <c r="P41" s="775">
        <f>P$22</f>
        <v>2027</v>
      </c>
      <c r="Q41" s="775">
        <f>P41+1</f>
        <v>2028</v>
      </c>
      <c r="R41" s="775">
        <f t="shared" ref="R41:V41" si="14">Q41+1</f>
        <v>2029</v>
      </c>
      <c r="S41" s="775">
        <f t="shared" si="14"/>
        <v>2030</v>
      </c>
      <c r="T41" s="775">
        <f t="shared" si="14"/>
        <v>2031</v>
      </c>
      <c r="U41" s="775">
        <f t="shared" si="14"/>
        <v>2032</v>
      </c>
      <c r="V41" s="775">
        <f t="shared" si="14"/>
        <v>2033</v>
      </c>
      <c r="W41" s="776"/>
    </row>
    <row r="42" spans="1:26" x14ac:dyDescent="0.25">
      <c r="A42" s="3150" t="s">
        <v>760</v>
      </c>
      <c r="D42" t="s">
        <v>71</v>
      </c>
      <c r="E42" s="3092">
        <f t="shared" si="12"/>
        <v>71759.999999999985</v>
      </c>
      <c r="F42" s="3092">
        <f t="shared" si="13"/>
        <v>67079.999999999985</v>
      </c>
      <c r="N42" s="1753" t="s">
        <v>611</v>
      </c>
      <c r="O42" s="777" t="s">
        <v>57</v>
      </c>
      <c r="P42" s="778">
        <v>10773</v>
      </c>
      <c r="Q42" s="778">
        <f t="shared" ref="Q42:V43" si="15">P42+P42*$W42</f>
        <v>11096.19</v>
      </c>
      <c r="R42" s="778">
        <f t="shared" si="15"/>
        <v>11429.075700000001</v>
      </c>
      <c r="S42" s="778">
        <f t="shared" si="15"/>
        <v>11771.947971000001</v>
      </c>
      <c r="T42" s="778">
        <f t="shared" si="15"/>
        <v>12125.106410130002</v>
      </c>
      <c r="U42" s="778">
        <f t="shared" si="15"/>
        <v>12488.859602433902</v>
      </c>
      <c r="V42" s="778">
        <f t="shared" si="15"/>
        <v>12863.525390506918</v>
      </c>
      <c r="W42" s="1775">
        <v>0.03</v>
      </c>
    </row>
    <row r="43" spans="1:26" x14ac:dyDescent="0.25">
      <c r="A43" s="3151" t="s">
        <v>759</v>
      </c>
      <c r="D43" t="s">
        <v>72</v>
      </c>
      <c r="E43" s="3092">
        <f t="shared" si="12"/>
        <v>71759.999999999985</v>
      </c>
      <c r="F43" s="3092">
        <f t="shared" si="13"/>
        <v>67079.999999999985</v>
      </c>
      <c r="N43" s="1753" t="s">
        <v>611</v>
      </c>
      <c r="O43" s="777" t="s">
        <v>96</v>
      </c>
      <c r="P43" s="778">
        <v>4488.75</v>
      </c>
      <c r="Q43" s="778">
        <f t="shared" si="15"/>
        <v>4623.4125000000004</v>
      </c>
      <c r="R43" s="778">
        <f t="shared" si="15"/>
        <v>4762.1148750000002</v>
      </c>
      <c r="S43" s="778">
        <f t="shared" si="15"/>
        <v>4904.9783212500006</v>
      </c>
      <c r="T43" s="778">
        <f t="shared" si="15"/>
        <v>5052.1276708875002</v>
      </c>
      <c r="U43" s="778">
        <f t="shared" si="15"/>
        <v>5203.6915010141256</v>
      </c>
      <c r="V43" s="778">
        <f t="shared" si="15"/>
        <v>5359.8022460445491</v>
      </c>
      <c r="W43" s="1775">
        <v>0.03</v>
      </c>
    </row>
    <row r="44" spans="1:26" x14ac:dyDescent="0.25">
      <c r="D44" t="s">
        <v>73</v>
      </c>
      <c r="E44" s="3092">
        <f t="shared" si="12"/>
        <v>71759.999999999985</v>
      </c>
      <c r="F44" s="3092">
        <f t="shared" si="13"/>
        <v>67079.999999999985</v>
      </c>
      <c r="N44" s="1753"/>
      <c r="Z44" s="226"/>
    </row>
    <row r="45" spans="1:26" ht="15.75" thickBot="1" x14ac:dyDescent="0.3">
      <c r="D45" t="s">
        <v>757</v>
      </c>
      <c r="E45" s="3092">
        <f t="shared" si="12"/>
        <v>71759.999999999985</v>
      </c>
      <c r="F45" s="3092">
        <f t="shared" si="13"/>
        <v>67079.999999999985</v>
      </c>
      <c r="N45" s="1753"/>
      <c r="O45" s="1983" t="s">
        <v>867</v>
      </c>
      <c r="R45" s="1982" t="s">
        <v>607</v>
      </c>
    </row>
    <row r="46" spans="1:26" x14ac:dyDescent="0.25">
      <c r="A46" s="226" t="s">
        <v>892</v>
      </c>
      <c r="D46" t="s">
        <v>74</v>
      </c>
      <c r="E46" s="3092">
        <f t="shared" si="12"/>
        <v>71759.999999999985</v>
      </c>
      <c r="F46" s="3092">
        <f t="shared" si="13"/>
        <v>67079.999999999985</v>
      </c>
      <c r="G46" s="1867" t="s">
        <v>910</v>
      </c>
      <c r="H46" s="1867" t="s">
        <v>908</v>
      </c>
      <c r="I46" s="1867" t="s">
        <v>909</v>
      </c>
      <c r="N46" s="1753"/>
      <c r="O46" s="613"/>
      <c r="P46" s="3147" t="str">
        <f>CONCATENATE("AY ", P47-1, "-",P47-2000)</f>
        <v>AY 2026-27</v>
      </c>
      <c r="Q46" s="3147" t="str">
        <f t="shared" ref="Q46:V46" si="16">CONCATENATE("AY ", Q47-1, "-",Q47-2000)</f>
        <v>AY 2027-28</v>
      </c>
      <c r="R46" s="3147" t="str">
        <f t="shared" si="16"/>
        <v>AY 2028-29</v>
      </c>
      <c r="S46" s="3147" t="str">
        <f t="shared" si="16"/>
        <v>AY 2029-30</v>
      </c>
      <c r="T46" s="3147" t="str">
        <f t="shared" si="16"/>
        <v>AY 2030-31</v>
      </c>
      <c r="U46" s="3147" t="str">
        <f t="shared" si="16"/>
        <v>AY 2031-32</v>
      </c>
      <c r="V46" s="3147" t="str">
        <f t="shared" si="16"/>
        <v>AY 2032-33</v>
      </c>
      <c r="W46" s="773" t="s">
        <v>19</v>
      </c>
    </row>
    <row r="47" spans="1:26" x14ac:dyDescent="0.25">
      <c r="A47" t="s">
        <v>914</v>
      </c>
      <c r="D47" t="s">
        <v>266</v>
      </c>
      <c r="E47" s="60">
        <f>MIN(E$40:E$44)</f>
        <v>71759.999999999985</v>
      </c>
      <c r="F47" s="60">
        <f>MIN(F$40:F$44)</f>
        <v>67079.999999999985</v>
      </c>
      <c r="G47" s="2543" t="s">
        <v>897</v>
      </c>
      <c r="H47" s="770" t="s">
        <v>266</v>
      </c>
      <c r="I47" s="2543" t="s">
        <v>896</v>
      </c>
      <c r="N47" s="1753"/>
      <c r="O47" s="774" t="s">
        <v>296</v>
      </c>
      <c r="P47" s="775">
        <f>P$22</f>
        <v>2027</v>
      </c>
      <c r="Q47" s="775">
        <f>P47+1</f>
        <v>2028</v>
      </c>
      <c r="R47" s="775">
        <f t="shared" ref="R47:V47" si="17">Q47+1</f>
        <v>2029</v>
      </c>
      <c r="S47" s="775">
        <f t="shared" si="17"/>
        <v>2030</v>
      </c>
      <c r="T47" s="775">
        <f t="shared" si="17"/>
        <v>2031</v>
      </c>
      <c r="U47" s="775">
        <f t="shared" si="17"/>
        <v>2032</v>
      </c>
      <c r="V47" s="775">
        <f t="shared" si="17"/>
        <v>2033</v>
      </c>
      <c r="W47" s="776"/>
    </row>
    <row r="48" spans="1:26" x14ac:dyDescent="0.25">
      <c r="A48" s="225" t="s">
        <v>866</v>
      </c>
      <c r="B48" t="s">
        <v>837</v>
      </c>
      <c r="D48" t="s">
        <v>77</v>
      </c>
      <c r="E48" s="60">
        <v>73981.632653061228</v>
      </c>
      <c r="F48" s="60">
        <f>E48</f>
        <v>73981.632653061228</v>
      </c>
      <c r="G48" s="2543" t="s">
        <v>899</v>
      </c>
      <c r="H48" s="770" t="s">
        <v>77</v>
      </c>
      <c r="I48" s="2543" t="s">
        <v>898</v>
      </c>
      <c r="N48" s="1753" t="s">
        <v>614</v>
      </c>
      <c r="O48" s="777" t="s">
        <v>57</v>
      </c>
      <c r="P48" s="778">
        <f>P66</f>
        <v>4895.1000000000004</v>
      </c>
      <c r="Q48" s="778">
        <f t="shared" ref="Q48:V48" si="18">P48+P48*$W$48</f>
        <v>5041.9530000000004</v>
      </c>
      <c r="R48" s="778">
        <f t="shared" si="18"/>
        <v>5193.2115900000008</v>
      </c>
      <c r="S48" s="778">
        <f t="shared" si="18"/>
        <v>5349.0079377000011</v>
      </c>
      <c r="T48" s="778">
        <f t="shared" si="18"/>
        <v>5509.478175831001</v>
      </c>
      <c r="U48" s="778">
        <f t="shared" si="18"/>
        <v>5674.7625211059312</v>
      </c>
      <c r="V48" s="778">
        <f t="shared" si="18"/>
        <v>5845.0053967391095</v>
      </c>
      <c r="W48" s="1775">
        <v>0.03</v>
      </c>
    </row>
    <row r="49" spans="1:23" x14ac:dyDescent="0.25">
      <c r="A49" s="40" t="s">
        <v>834</v>
      </c>
      <c r="B49" s="60">
        <f>B51/12</f>
        <v>19000</v>
      </c>
      <c r="D49" t="s">
        <v>263</v>
      </c>
      <c r="E49" s="60">
        <f t="shared" ref="E49:F51" si="19">MIN(E$40:E$44)</f>
        <v>71759.999999999985</v>
      </c>
      <c r="F49" s="60">
        <f t="shared" si="19"/>
        <v>67079.999999999985</v>
      </c>
      <c r="G49" s="2543" t="s">
        <v>901</v>
      </c>
      <c r="H49" s="770" t="s">
        <v>263</v>
      </c>
      <c r="I49" s="2543" t="s">
        <v>900</v>
      </c>
      <c r="N49" s="1753" t="s">
        <v>614</v>
      </c>
      <c r="O49" s="777" t="s">
        <v>96</v>
      </c>
      <c r="P49" s="778">
        <f>P67</f>
        <v>2719.5</v>
      </c>
      <c r="Q49" s="778">
        <f t="shared" ref="Q49:V49" si="20">P49+P49*$W$49</f>
        <v>2801.085</v>
      </c>
      <c r="R49" s="778">
        <f t="shared" si="20"/>
        <v>2885.1175499999999</v>
      </c>
      <c r="S49" s="778">
        <f t="shared" si="20"/>
        <v>2971.6710764999998</v>
      </c>
      <c r="T49" s="778">
        <f t="shared" si="20"/>
        <v>3060.8212087949996</v>
      </c>
      <c r="U49" s="778">
        <f t="shared" si="20"/>
        <v>3152.6458450588498</v>
      </c>
      <c r="V49" s="778">
        <f t="shared" si="20"/>
        <v>3247.2252204106153</v>
      </c>
      <c r="W49" s="1775">
        <v>0.03</v>
      </c>
    </row>
    <row r="50" spans="1:23" x14ac:dyDescent="0.25">
      <c r="A50" s="40" t="s">
        <v>835</v>
      </c>
      <c r="B50" s="60">
        <f>B51/12*9</f>
        <v>171000</v>
      </c>
      <c r="D50" t="s">
        <v>611</v>
      </c>
      <c r="E50" s="60">
        <f t="shared" si="19"/>
        <v>71759.999999999985</v>
      </c>
      <c r="F50" s="60">
        <f t="shared" si="19"/>
        <v>67079.999999999985</v>
      </c>
      <c r="G50" t="s">
        <v>911</v>
      </c>
      <c r="H50" s="770" t="s">
        <v>611</v>
      </c>
      <c r="O50" s="1753"/>
    </row>
    <row r="51" spans="1:23" ht="15.75" thickBot="1" x14ac:dyDescent="0.3">
      <c r="A51" s="40" t="s">
        <v>836</v>
      </c>
      <c r="B51" s="60">
        <v>228000</v>
      </c>
      <c r="D51" t="s">
        <v>615</v>
      </c>
      <c r="E51" s="60">
        <f t="shared" si="19"/>
        <v>71759.999999999985</v>
      </c>
      <c r="F51" s="60">
        <f t="shared" si="19"/>
        <v>67079.999999999985</v>
      </c>
      <c r="G51" t="s">
        <v>911</v>
      </c>
      <c r="H51" s="770" t="s">
        <v>615</v>
      </c>
      <c r="O51" s="1983" t="s">
        <v>609</v>
      </c>
      <c r="R51" s="1982" t="s">
        <v>607</v>
      </c>
    </row>
    <row r="52" spans="1:23" x14ac:dyDescent="0.25">
      <c r="D52" t="s">
        <v>75</v>
      </c>
      <c r="E52" s="60">
        <v>65040</v>
      </c>
      <c r="F52" s="60">
        <v>65040</v>
      </c>
      <c r="G52" s="2543" t="s">
        <v>913</v>
      </c>
      <c r="H52" s="770" t="s">
        <v>75</v>
      </c>
      <c r="I52" s="2543" t="s">
        <v>902</v>
      </c>
      <c r="N52" s="1753"/>
      <c r="O52" s="613"/>
      <c r="P52" s="3147" t="str">
        <f>CONCATENATE("AY ", P53-1, "-",P53-2000)</f>
        <v>AY 2026-27</v>
      </c>
      <c r="Q52" s="3147" t="str">
        <f t="shared" ref="Q52:V52" si="21">CONCATENATE("AY ", Q53-1, "-",Q53-2000)</f>
        <v>AY 2027-28</v>
      </c>
      <c r="R52" s="3147" t="str">
        <f t="shared" si="21"/>
        <v>AY 2028-29</v>
      </c>
      <c r="S52" s="3147" t="str">
        <f t="shared" si="21"/>
        <v>AY 2029-30</v>
      </c>
      <c r="T52" s="3147" t="str">
        <f t="shared" si="21"/>
        <v>AY 2030-31</v>
      </c>
      <c r="U52" s="3147" t="str">
        <f t="shared" si="21"/>
        <v>AY 2031-32</v>
      </c>
      <c r="V52" s="3147" t="str">
        <f t="shared" si="21"/>
        <v>AY 2032-33</v>
      </c>
      <c r="W52" s="773" t="s">
        <v>19</v>
      </c>
    </row>
    <row r="53" spans="1:23" x14ac:dyDescent="0.25">
      <c r="A53" s="226" t="s">
        <v>893</v>
      </c>
      <c r="D53" t="s">
        <v>903</v>
      </c>
      <c r="E53" s="60">
        <f t="shared" ref="E53:F56" si="22">MIN(E$40:E$44)</f>
        <v>71759.999999999985</v>
      </c>
      <c r="F53" s="60">
        <f t="shared" si="22"/>
        <v>67079.999999999985</v>
      </c>
      <c r="G53" s="2543" t="s">
        <v>905</v>
      </c>
      <c r="H53" s="770" t="s">
        <v>903</v>
      </c>
      <c r="I53" s="2543" t="s">
        <v>904</v>
      </c>
      <c r="N53" s="1753"/>
      <c r="O53" s="774" t="s">
        <v>296</v>
      </c>
      <c r="P53" s="775">
        <f>P$22</f>
        <v>2027</v>
      </c>
      <c r="Q53" s="775">
        <f>P53+1</f>
        <v>2028</v>
      </c>
      <c r="R53" s="775">
        <f t="shared" ref="R53:V53" si="23">Q53+1</f>
        <v>2029</v>
      </c>
      <c r="S53" s="775">
        <f t="shared" si="23"/>
        <v>2030</v>
      </c>
      <c r="T53" s="775">
        <f t="shared" si="23"/>
        <v>2031</v>
      </c>
      <c r="U53" s="775">
        <f t="shared" si="23"/>
        <v>2032</v>
      </c>
      <c r="V53" s="775">
        <f t="shared" si="23"/>
        <v>2033</v>
      </c>
      <c r="W53" s="776"/>
    </row>
    <row r="54" spans="1:23" x14ac:dyDescent="0.25">
      <c r="A54" s="3091" t="s">
        <v>865</v>
      </c>
      <c r="D54" t="s">
        <v>76</v>
      </c>
      <c r="E54" s="60">
        <f t="shared" si="22"/>
        <v>71759.999999999985</v>
      </c>
      <c r="F54" s="60">
        <f t="shared" si="22"/>
        <v>67079.999999999985</v>
      </c>
      <c r="G54" s="2543" t="s">
        <v>907</v>
      </c>
      <c r="H54" s="770" t="s">
        <v>76</v>
      </c>
      <c r="I54" s="2543" t="s">
        <v>906</v>
      </c>
      <c r="N54" s="1753" t="s">
        <v>642</v>
      </c>
      <c r="O54" s="777" t="s">
        <v>57</v>
      </c>
      <c r="P54" s="778">
        <v>10901.1</v>
      </c>
      <c r="Q54" s="778">
        <f t="shared" ref="Q54:V54" si="24">P54+P54*$W54</f>
        <v>11228.133</v>
      </c>
      <c r="R54" s="778">
        <f t="shared" si="24"/>
        <v>11564.976989999999</v>
      </c>
      <c r="S54" s="778">
        <f t="shared" si="24"/>
        <v>11911.926299699999</v>
      </c>
      <c r="T54" s="778">
        <f t="shared" si="24"/>
        <v>12269.284088690998</v>
      </c>
      <c r="U54" s="778">
        <f t="shared" si="24"/>
        <v>12637.362611351728</v>
      </c>
      <c r="V54" s="778">
        <f t="shared" si="24"/>
        <v>13016.48348969228</v>
      </c>
      <c r="W54" s="1775">
        <v>0.03</v>
      </c>
    </row>
    <row r="55" spans="1:23" x14ac:dyDescent="0.25">
      <c r="D55" t="s">
        <v>612</v>
      </c>
      <c r="E55" s="60">
        <f t="shared" si="22"/>
        <v>71759.999999999985</v>
      </c>
      <c r="F55" s="60">
        <f t="shared" si="22"/>
        <v>67079.999999999985</v>
      </c>
      <c r="G55" s="3091" t="s">
        <v>912</v>
      </c>
      <c r="H55" s="770" t="s">
        <v>612</v>
      </c>
      <c r="N55" s="1753" t="s">
        <v>642</v>
      </c>
      <c r="O55" s="777" t="s">
        <v>96</v>
      </c>
      <c r="P55" s="1778">
        <v>10901.1</v>
      </c>
      <c r="Q55" s="778">
        <f t="shared" ref="Q55:V55" si="25">P55+P55*$W$55</f>
        <v>11228.133</v>
      </c>
      <c r="R55" s="778">
        <f t="shared" si="25"/>
        <v>11564.976989999999</v>
      </c>
      <c r="S55" s="778">
        <f t="shared" si="25"/>
        <v>11911.926299699999</v>
      </c>
      <c r="T55" s="778">
        <f t="shared" si="25"/>
        <v>12269.284088690998</v>
      </c>
      <c r="U55" s="778">
        <f t="shared" si="25"/>
        <v>12637.362611351728</v>
      </c>
      <c r="V55" s="778">
        <f t="shared" si="25"/>
        <v>13016.48348969228</v>
      </c>
      <c r="W55" s="1775">
        <v>0.03</v>
      </c>
    </row>
    <row r="56" spans="1:23" x14ac:dyDescent="0.25">
      <c r="D56" t="s">
        <v>642</v>
      </c>
      <c r="E56" s="60">
        <f t="shared" si="22"/>
        <v>71759.999999999985</v>
      </c>
      <c r="F56" s="60">
        <f t="shared" si="22"/>
        <v>67079.999999999985</v>
      </c>
      <c r="G56" s="3091" t="s">
        <v>912</v>
      </c>
      <c r="H56" s="770" t="s">
        <v>642</v>
      </c>
      <c r="N56" s="1753"/>
    </row>
    <row r="57" spans="1:23" ht="15.75" thickBot="1" x14ac:dyDescent="0.3">
      <c r="N57" s="1753"/>
      <c r="O57" s="1983" t="s">
        <v>610</v>
      </c>
      <c r="R57" s="1982" t="s">
        <v>607</v>
      </c>
    </row>
    <row r="58" spans="1:23" x14ac:dyDescent="0.25">
      <c r="N58" s="1753"/>
      <c r="O58" s="613"/>
      <c r="P58" s="3147" t="str">
        <f>CONCATENATE("AY ", P59-1, "-",P59-2000)</f>
        <v>AY 2026-27</v>
      </c>
      <c r="Q58" s="3147" t="str">
        <f t="shared" ref="Q58:V58" si="26">CONCATENATE("AY ", Q59-1, "-",Q59-2000)</f>
        <v>AY 2027-28</v>
      </c>
      <c r="R58" s="3147" t="str">
        <f t="shared" si="26"/>
        <v>AY 2028-29</v>
      </c>
      <c r="S58" s="3147" t="str">
        <f t="shared" si="26"/>
        <v>AY 2029-30</v>
      </c>
      <c r="T58" s="3147" t="str">
        <f t="shared" si="26"/>
        <v>AY 2030-31</v>
      </c>
      <c r="U58" s="3147" t="str">
        <f t="shared" si="26"/>
        <v>AY 2031-32</v>
      </c>
      <c r="V58" s="3147" t="str">
        <f t="shared" si="26"/>
        <v>AY 2032-33</v>
      </c>
      <c r="W58" s="773" t="s">
        <v>19</v>
      </c>
    </row>
    <row r="59" spans="1:23" x14ac:dyDescent="0.25">
      <c r="D59" t="s">
        <v>686</v>
      </c>
      <c r="E59" s="10" t="s">
        <v>687</v>
      </c>
      <c r="F59" t="s">
        <v>690</v>
      </c>
      <c r="N59" s="1753"/>
      <c r="O59" s="774" t="s">
        <v>296</v>
      </c>
      <c r="P59" s="775">
        <f>P$22</f>
        <v>2027</v>
      </c>
      <c r="Q59" s="775">
        <f>P59+1</f>
        <v>2028</v>
      </c>
      <c r="R59" s="775">
        <f t="shared" ref="R59:V59" si="27">Q59+1</f>
        <v>2029</v>
      </c>
      <c r="S59" s="775">
        <f t="shared" si="27"/>
        <v>2030</v>
      </c>
      <c r="T59" s="775">
        <f t="shared" si="27"/>
        <v>2031</v>
      </c>
      <c r="U59" s="775">
        <f t="shared" si="27"/>
        <v>2032</v>
      </c>
      <c r="V59" s="775">
        <f t="shared" si="27"/>
        <v>2033</v>
      </c>
      <c r="W59" s="776"/>
    </row>
    <row r="60" spans="1:23" x14ac:dyDescent="0.25">
      <c r="D60" t="s">
        <v>688</v>
      </c>
      <c r="E60" s="10">
        <v>0</v>
      </c>
      <c r="F60" s="60">
        <v>63480</v>
      </c>
      <c r="N60" s="1753" t="s">
        <v>612</v>
      </c>
      <c r="O60" s="777" t="s">
        <v>57</v>
      </c>
      <c r="P60" s="778">
        <v>10722.6</v>
      </c>
      <c r="Q60" s="778">
        <f t="shared" ref="Q60:V60" si="28">P60+P60*$W$60</f>
        <v>11044.278</v>
      </c>
      <c r="R60" s="778">
        <f t="shared" si="28"/>
        <v>11375.60634</v>
      </c>
      <c r="S60" s="778">
        <f t="shared" si="28"/>
        <v>11716.874530200001</v>
      </c>
      <c r="T60" s="778">
        <f t="shared" si="28"/>
        <v>12068.380766106</v>
      </c>
      <c r="U60" s="778">
        <f t="shared" si="28"/>
        <v>12430.432189089181</v>
      </c>
      <c r="V60" s="778">
        <f t="shared" si="28"/>
        <v>12803.345154761855</v>
      </c>
      <c r="W60" s="1775">
        <v>0.03</v>
      </c>
    </row>
    <row r="61" spans="1:23" x14ac:dyDescent="0.25">
      <c r="D61" t="s">
        <v>688</v>
      </c>
      <c r="E61" s="10">
        <v>1</v>
      </c>
      <c r="F61" s="60">
        <v>63900</v>
      </c>
      <c r="N61" s="1753" t="s">
        <v>612</v>
      </c>
      <c r="O61" s="777" t="s">
        <v>96</v>
      </c>
      <c r="P61" s="778">
        <v>4467.75</v>
      </c>
      <c r="Q61" s="778">
        <f t="shared" ref="Q61:V61" si="29">P61+P61*$W$61</f>
        <v>4601.7825000000003</v>
      </c>
      <c r="R61" s="778">
        <f t="shared" si="29"/>
        <v>4739.835975</v>
      </c>
      <c r="S61" s="778">
        <f t="shared" si="29"/>
        <v>4882.0310542500001</v>
      </c>
      <c r="T61" s="778">
        <f t="shared" si="29"/>
        <v>5028.4919858775002</v>
      </c>
      <c r="U61" s="778">
        <f t="shared" si="29"/>
        <v>5179.346745453825</v>
      </c>
      <c r="V61" s="778">
        <f t="shared" si="29"/>
        <v>5334.7271478174398</v>
      </c>
      <c r="W61" s="1775">
        <v>0.03</v>
      </c>
    </row>
    <row r="62" spans="1:23" x14ac:dyDescent="0.25">
      <c r="D62" t="s">
        <v>688</v>
      </c>
      <c r="E62" s="10">
        <v>2</v>
      </c>
      <c r="F62" s="60">
        <v>64380</v>
      </c>
    </row>
    <row r="63" spans="1:23" ht="16.5" thickBot="1" x14ac:dyDescent="0.3">
      <c r="D63" t="s">
        <v>688</v>
      </c>
      <c r="E63" s="10">
        <v>3</v>
      </c>
      <c r="F63" s="60">
        <v>66948</v>
      </c>
      <c r="O63" s="847" t="s">
        <v>868</v>
      </c>
      <c r="Q63" s="3148" t="s">
        <v>477</v>
      </c>
    </row>
    <row r="64" spans="1:23" x14ac:dyDescent="0.25">
      <c r="D64" t="s">
        <v>688</v>
      </c>
      <c r="E64" s="10">
        <v>4</v>
      </c>
      <c r="F64" s="60">
        <v>69180</v>
      </c>
      <c r="O64" s="613"/>
      <c r="P64" s="3147" t="str">
        <f>CONCATENATE("AY ", P65-1, "-",P65-2000)</f>
        <v>AY 2026-27</v>
      </c>
      <c r="Q64" s="3147" t="str">
        <f t="shared" ref="Q64:V64" si="30">CONCATENATE("AY ", Q65-1, "-",Q65-2000)</f>
        <v>AY 2027-28</v>
      </c>
      <c r="R64" s="3147" t="str">
        <f t="shared" si="30"/>
        <v>AY 2028-29</v>
      </c>
      <c r="S64" s="3147" t="str">
        <f t="shared" si="30"/>
        <v>AY 2029-30</v>
      </c>
      <c r="T64" s="3147" t="str">
        <f t="shared" si="30"/>
        <v>AY 2030-31</v>
      </c>
      <c r="U64" s="3147" t="str">
        <f t="shared" si="30"/>
        <v>AY 2031-32</v>
      </c>
      <c r="V64" s="3147" t="str">
        <f t="shared" si="30"/>
        <v>AY 2032-33</v>
      </c>
      <c r="W64" s="773" t="s">
        <v>19</v>
      </c>
    </row>
    <row r="65" spans="4:23" x14ac:dyDescent="0.25">
      <c r="D65" t="s">
        <v>688</v>
      </c>
      <c r="E65" s="10">
        <v>5</v>
      </c>
      <c r="F65" s="60">
        <v>71748</v>
      </c>
      <c r="M65" s="226"/>
      <c r="O65" s="774" t="s">
        <v>296</v>
      </c>
      <c r="P65" s="775">
        <f>P$22</f>
        <v>2027</v>
      </c>
      <c r="Q65" s="775">
        <f>P65+1</f>
        <v>2028</v>
      </c>
      <c r="R65" s="775">
        <f t="shared" ref="R65:V65" si="31">Q65+1</f>
        <v>2029</v>
      </c>
      <c r="S65" s="775">
        <f t="shared" si="31"/>
        <v>2030</v>
      </c>
      <c r="T65" s="775">
        <f t="shared" si="31"/>
        <v>2031</v>
      </c>
      <c r="U65" s="775">
        <f t="shared" si="31"/>
        <v>2032</v>
      </c>
      <c r="V65" s="775">
        <f t="shared" si="31"/>
        <v>2033</v>
      </c>
      <c r="W65" s="776"/>
    </row>
    <row r="66" spans="4:23" x14ac:dyDescent="0.25">
      <c r="D66" t="s">
        <v>688</v>
      </c>
      <c r="E66" s="10">
        <v>6</v>
      </c>
      <c r="F66" s="60">
        <v>74424</v>
      </c>
      <c r="M66" s="2543"/>
      <c r="N66" s="1753" t="s">
        <v>643</v>
      </c>
      <c r="O66" s="777" t="s">
        <v>57</v>
      </c>
      <c r="P66" s="778">
        <v>4895.1000000000004</v>
      </c>
      <c r="Q66" s="778">
        <f t="shared" ref="Q66:V67" si="32">P66+P66*$W66</f>
        <v>5041.9530000000004</v>
      </c>
      <c r="R66" s="778">
        <f t="shared" si="32"/>
        <v>5193.2115900000008</v>
      </c>
      <c r="S66" s="778">
        <f t="shared" si="32"/>
        <v>5349.0079377000011</v>
      </c>
      <c r="T66" s="778">
        <f t="shared" si="32"/>
        <v>5509.478175831001</v>
      </c>
      <c r="U66" s="778">
        <f t="shared" si="32"/>
        <v>5674.7625211059312</v>
      </c>
      <c r="V66" s="778">
        <f t="shared" si="32"/>
        <v>5845.0053967391095</v>
      </c>
      <c r="W66" s="1775">
        <v>0.03</v>
      </c>
    </row>
    <row r="67" spans="4:23" x14ac:dyDescent="0.25">
      <c r="D67" t="s">
        <v>688</v>
      </c>
      <c r="E67" s="10" t="s">
        <v>689</v>
      </c>
      <c r="F67" s="60">
        <v>77076</v>
      </c>
      <c r="M67" s="2543"/>
      <c r="N67" s="1753" t="s">
        <v>643</v>
      </c>
      <c r="O67" s="777" t="s">
        <v>96</v>
      </c>
      <c r="P67" s="778">
        <v>2719.5</v>
      </c>
      <c r="Q67" s="778">
        <f t="shared" si="32"/>
        <v>2801.085</v>
      </c>
      <c r="R67" s="778">
        <f t="shared" si="32"/>
        <v>2885.1175499999999</v>
      </c>
      <c r="S67" s="778">
        <f t="shared" si="32"/>
        <v>2971.6710764999998</v>
      </c>
      <c r="T67" s="778">
        <f t="shared" si="32"/>
        <v>3060.8212087949996</v>
      </c>
      <c r="U67" s="778">
        <f t="shared" si="32"/>
        <v>3152.6458450588498</v>
      </c>
      <c r="V67" s="778">
        <f t="shared" si="32"/>
        <v>3247.2252204106153</v>
      </c>
      <c r="W67" s="1775">
        <v>0.03</v>
      </c>
    </row>
    <row r="68" spans="4:23" x14ac:dyDescent="0.25">
      <c r="E68" s="10"/>
      <c r="F68" s="60"/>
      <c r="M68" s="2543"/>
    </row>
    <row r="69" spans="4:23" x14ac:dyDescent="0.25">
      <c r="D69" s="226" t="s">
        <v>1086</v>
      </c>
      <c r="E69" s="10"/>
      <c r="F69" s="60"/>
    </row>
    <row r="70" spans="4:23" x14ac:dyDescent="0.25">
      <c r="D70" s="19" t="s">
        <v>1085</v>
      </c>
    </row>
    <row r="71" spans="4:23" x14ac:dyDescent="0.25">
      <c r="D71" s="19" t="s">
        <v>865</v>
      </c>
    </row>
  </sheetData>
  <phoneticPr fontId="118" type="noConversion"/>
  <hyperlinks>
    <hyperlink ref="A41" r:id="rId1" xr:uid="{00000000-0004-0000-0A00-000001000000}"/>
    <hyperlink ref="Q63" r:id="rId2" xr:uid="{00000000-0004-0000-0A00-000002000000}"/>
    <hyperlink ref="J7" r:id="rId3" xr:uid="{4028A8D5-B483-40A8-A951-70C9BB972936}"/>
    <hyperlink ref="J18" r:id="rId4" xr:uid="{96813844-4B6D-4B05-ABBB-93525CE1748A}"/>
    <hyperlink ref="S20" r:id="rId5" xr:uid="{DFA2597E-E6EC-4EF3-8C90-71926E03ECAB}"/>
    <hyperlink ref="A54" r:id="rId6" xr:uid="{6FB73ACD-BC00-4FE1-9C74-BD3174EAB0F2}"/>
    <hyperlink ref="R39" r:id="rId7" xr:uid="{E3ADC919-FA67-42D2-9ECB-38C09409A346}"/>
    <hyperlink ref="S19" r:id="rId8" xr:uid="{BF2A6A0D-5C6A-4238-BA46-EFB2BD45E9B8}"/>
    <hyperlink ref="J6" r:id="rId9" xr:uid="{309AEA77-6ACF-4E83-B3C5-695C2B8A7418}"/>
    <hyperlink ref="I47" r:id="rId10" tooltip="https://agsci.oregonstate.edu/mycas/researchers/research-toolbox" display="https://agsci.oregonstate.edu/mycas/researchers/research-toolbox" xr:uid="{B1C44277-459F-4675-AC31-2B945A1F42A0}"/>
    <hyperlink ref="G47" r:id="rId11" tooltip="mailto:cas.proposals@oregonstate.edu" display="mailto:CAS.Proposals@oregonstate.edu" xr:uid="{2CEB67DE-65B2-4204-A493-E9AF56EA47D0}"/>
    <hyperlink ref="I48" r:id="rId12" tooltip="https://ceoas.oregonstate.edu/proposal-fss-budget" display="https://ceoas.oregonstate.edu/proposal-fss-budget" xr:uid="{D8DDEB90-ADD3-448E-838C-EA7DCBF74109}"/>
    <hyperlink ref="G48" r:id="rId13" tooltip="mailto:proposals@ceoas.oregonstate.edu" display="mailto:proposals@ceoas.oregonstate.edu" xr:uid="{4B806320-CD3C-4B2A-9C53-4F580752E24D}"/>
    <hyperlink ref="I49" r:id="rId14" tooltip="https://liberalarts.oregonstate.edu/research-support/budget-development-tools-and-resources" xr:uid="{D931A19F-1517-4B83-9450-3D01BD890908}"/>
    <hyperlink ref="G49" r:id="rId15" tooltip="mailto:gina.betcher@oregonstate.edu" display="mailto:Gina.Betcher@oregonstate.edu" xr:uid="{90AEB41E-B9DA-40C4-9743-2AB1C165612D}"/>
    <hyperlink ref="I52" r:id="rId16" tooltip="https://www.forestry.oregonstate.edu/employees/proposal-support" display="https://www.forestry.oregonstate.edu/employees/proposal-support" xr:uid="{A9BD8D3F-0DEE-4A40-8776-C84AEF807413}"/>
    <hyperlink ref="G52" r:id="rId17" xr:uid="{6D1487D8-5AC5-4465-9FB3-4BBB359E0AB6}"/>
    <hyperlink ref="I53" r:id="rId18" tooltip="https://health.oregonstate.edu/research/support/resources" xr:uid="{22E50212-A9DB-40D1-B163-0F6A7C8BE63E}"/>
    <hyperlink ref="G53" r:id="rId19" tooltip="mailto:catherine.clevinger@oregonstate.edu" display="mailto:Catherine.Clevinger@oregonstate.edu" xr:uid="{E4D79BBF-36E5-4BBA-A8B9-C442E0F08043}"/>
    <hyperlink ref="I54" r:id="rId20" tooltip="https://internal.science.oregonstate.edu/rdu/proposal-support" xr:uid="{14AFDD26-769B-4499-AD1A-6F4F3F3ACA77}"/>
    <hyperlink ref="G54" r:id="rId21" tooltip="mailto:cos.proposals@oregonstate.edu" display="mailto:COS.proposals@oregonstate.edu" xr:uid="{CE15883D-5B6D-4822-A3D3-412E53D4CC95}"/>
  </hyperlinks>
  <pageMargins left="0.7" right="0.7" top="0.75" bottom="0.75" header="0.3" footer="0.3"/>
  <pageSetup orientation="portrait" horizontalDpi="1200" verticalDpi="1200" r:id="rId22"/>
  <drawing r:id="rId23"/>
  <legacyDrawing r:id="rId24"/>
  <tableParts count="21">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tabColor rgb="FFAE85FF"/>
  </sheetPr>
  <dimension ref="A1:B19"/>
  <sheetViews>
    <sheetView workbookViewId="0"/>
  </sheetViews>
  <sheetFormatPr defaultColWidth="9.140625" defaultRowHeight="15" x14ac:dyDescent="0.25"/>
  <cols>
    <col min="1" max="1" width="23.7109375" bestFit="1" customWidth="1"/>
    <col min="2" max="2" width="73.140625" style="51" bestFit="1" customWidth="1"/>
  </cols>
  <sheetData>
    <row r="1" spans="1:2" x14ac:dyDescent="0.25">
      <c r="B1" s="2365" t="s">
        <v>754</v>
      </c>
    </row>
    <row r="2" spans="1:2" ht="30" x14ac:dyDescent="0.25">
      <c r="A2" s="2364" t="s">
        <v>671</v>
      </c>
      <c r="B2" s="2364" t="s">
        <v>58</v>
      </c>
    </row>
    <row r="3" spans="1:2" x14ac:dyDescent="0.25">
      <c r="A3" s="2435" t="s">
        <v>736</v>
      </c>
      <c r="B3" s="2435" t="s">
        <v>739</v>
      </c>
    </row>
    <row r="4" spans="1:2" ht="30" x14ac:dyDescent="0.25">
      <c r="A4" s="2435" t="s">
        <v>737</v>
      </c>
      <c r="B4" s="2435" t="s">
        <v>738</v>
      </c>
    </row>
    <row r="5" spans="1:2" ht="30" x14ac:dyDescent="0.25">
      <c r="A5" s="2435" t="s">
        <v>740</v>
      </c>
      <c r="B5" s="2435" t="s">
        <v>741</v>
      </c>
    </row>
    <row r="6" spans="1:2" ht="30" x14ac:dyDescent="0.25">
      <c r="A6" s="2366" t="s">
        <v>742</v>
      </c>
      <c r="B6" s="2366" t="s">
        <v>747</v>
      </c>
    </row>
    <row r="7" spans="1:2" ht="30" x14ac:dyDescent="0.25">
      <c r="A7" s="2366" t="s">
        <v>744</v>
      </c>
      <c r="B7" s="2366" t="s">
        <v>746</v>
      </c>
    </row>
    <row r="8" spans="1:2" ht="30" x14ac:dyDescent="0.25">
      <c r="A8" s="2366" t="s">
        <v>743</v>
      </c>
      <c r="B8" s="2366" t="s">
        <v>745</v>
      </c>
    </row>
    <row r="9" spans="1:2" ht="45" x14ac:dyDescent="0.25">
      <c r="A9" s="2366" t="s">
        <v>748</v>
      </c>
      <c r="B9" s="2366" t="s">
        <v>752</v>
      </c>
    </row>
    <row r="10" spans="1:2" ht="30" x14ac:dyDescent="0.25">
      <c r="A10" s="2366" t="s">
        <v>672</v>
      </c>
      <c r="B10" s="2366" t="s">
        <v>733</v>
      </c>
    </row>
    <row r="11" spans="1:2" ht="30" x14ac:dyDescent="0.25">
      <c r="A11" s="2366" t="s">
        <v>673</v>
      </c>
      <c r="B11" s="2366" t="s">
        <v>734</v>
      </c>
    </row>
    <row r="12" spans="1:2" ht="30" x14ac:dyDescent="0.25">
      <c r="A12" s="2366" t="s">
        <v>674</v>
      </c>
      <c r="B12" s="2366" t="s">
        <v>675</v>
      </c>
    </row>
    <row r="13" spans="1:2" ht="30" x14ac:dyDescent="0.25">
      <c r="A13" s="2366" t="s">
        <v>676</v>
      </c>
      <c r="B13" s="2366" t="s">
        <v>677</v>
      </c>
    </row>
    <row r="14" spans="1:2" ht="60" x14ac:dyDescent="0.25">
      <c r="A14" s="2366" t="s">
        <v>678</v>
      </c>
      <c r="B14" s="2366" t="s">
        <v>735</v>
      </c>
    </row>
    <row r="15" spans="1:2" ht="45" x14ac:dyDescent="0.25">
      <c r="A15" s="2366" t="s">
        <v>679</v>
      </c>
      <c r="B15" s="2366" t="s">
        <v>683</v>
      </c>
    </row>
    <row r="16" spans="1:2" ht="30" x14ac:dyDescent="0.25">
      <c r="A16" s="2366" t="s">
        <v>680</v>
      </c>
      <c r="B16" s="2366" t="s">
        <v>732</v>
      </c>
    </row>
    <row r="17" spans="1:2" ht="45" x14ac:dyDescent="0.25">
      <c r="A17" s="2378" t="s">
        <v>719</v>
      </c>
      <c r="B17" s="2366" t="s">
        <v>720</v>
      </c>
    </row>
    <row r="18" spans="1:2" x14ac:dyDescent="0.25">
      <c r="A18" t="s">
        <v>749</v>
      </c>
      <c r="B18" s="51" t="s">
        <v>750</v>
      </c>
    </row>
    <row r="19" spans="1:2" ht="30" x14ac:dyDescent="0.25">
      <c r="A19" s="2378" t="s">
        <v>681</v>
      </c>
      <c r="B19" s="2367" t="s">
        <v>751</v>
      </c>
    </row>
  </sheetData>
  <pageMargins left="0.5" right="0.25" top="0.25" bottom="0.2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theme="5" tint="0.39997558519241921"/>
    <pageSetUpPr fitToPage="1"/>
  </sheetPr>
  <dimension ref="A2:J39"/>
  <sheetViews>
    <sheetView zoomScaleNormal="100" workbookViewId="0"/>
  </sheetViews>
  <sheetFormatPr defaultColWidth="9.140625" defaultRowHeight="15" x14ac:dyDescent="0.25"/>
  <cols>
    <col min="1" max="1" width="17" customWidth="1"/>
    <col min="2" max="2" width="9.5703125" customWidth="1"/>
    <col min="3" max="8" width="9.7109375" customWidth="1"/>
    <col min="9" max="9" width="10.7109375" customWidth="1"/>
    <col min="10" max="10" width="7.140625" bestFit="1" customWidth="1"/>
    <col min="11" max="11" width="12.28515625" customWidth="1"/>
    <col min="12" max="12" width="18" customWidth="1"/>
    <col min="13" max="13" width="24.42578125" customWidth="1"/>
  </cols>
  <sheetData>
    <row r="2" spans="1:10" ht="18.75" x14ac:dyDescent="0.3">
      <c r="A2" s="3722" t="s">
        <v>440</v>
      </c>
      <c r="B2" s="3722"/>
      <c r="C2" s="3722"/>
      <c r="D2" s="3722"/>
      <c r="E2" s="3722"/>
      <c r="F2" s="3722"/>
      <c r="G2" s="3722"/>
      <c r="H2" s="3722"/>
      <c r="I2" s="3722"/>
      <c r="J2" s="3722"/>
    </row>
    <row r="4" spans="1:10" x14ac:dyDescent="0.25">
      <c r="A4" s="226" t="s">
        <v>441</v>
      </c>
      <c r="B4" t="s">
        <v>442</v>
      </c>
    </row>
    <row r="5" spans="1:10" x14ac:dyDescent="0.25">
      <c r="A5" s="226"/>
    </row>
    <row r="6" spans="1:10" ht="14.45" customHeight="1" x14ac:dyDescent="0.25">
      <c r="A6" s="226" t="s">
        <v>443</v>
      </c>
      <c r="B6" s="3723" t="s">
        <v>444</v>
      </c>
      <c r="C6" s="3723"/>
      <c r="D6" s="3723"/>
      <c r="E6" s="3723"/>
      <c r="F6" s="3723"/>
      <c r="G6" s="3723"/>
      <c r="H6" s="3723"/>
      <c r="I6" s="3723"/>
      <c r="J6" s="770"/>
    </row>
    <row r="7" spans="1:10" x14ac:dyDescent="0.25">
      <c r="B7" s="3723"/>
      <c r="C7" s="3723"/>
      <c r="D7" s="3723"/>
      <c r="E7" s="3723"/>
      <c r="F7" s="3723"/>
      <c r="G7" s="3723"/>
      <c r="H7" s="3723"/>
      <c r="I7" s="3723"/>
      <c r="J7" s="770"/>
    </row>
    <row r="8" spans="1:10" x14ac:dyDescent="0.25">
      <c r="B8" s="3723"/>
      <c r="C8" s="3723"/>
      <c r="D8" s="3723"/>
      <c r="E8" s="3723"/>
      <c r="F8" s="3723"/>
      <c r="G8" s="3723"/>
      <c r="H8" s="3723"/>
      <c r="I8" s="3723"/>
      <c r="J8" s="770"/>
    </row>
    <row r="9" spans="1:10" x14ac:dyDescent="0.25">
      <c r="B9" s="3723"/>
      <c r="C9" s="3723"/>
      <c r="D9" s="3723"/>
      <c r="E9" s="3723"/>
      <c r="F9" s="3723"/>
      <c r="G9" s="3723"/>
      <c r="H9" s="3723"/>
      <c r="I9" s="3723"/>
      <c r="J9" s="770"/>
    </row>
    <row r="10" spans="1:10" ht="15.75" thickBot="1" x14ac:dyDescent="0.3">
      <c r="C10" s="954"/>
      <c r="D10" s="954"/>
      <c r="E10" s="954"/>
      <c r="F10" s="954"/>
      <c r="G10" s="954"/>
      <c r="H10" s="954"/>
      <c r="I10" s="954"/>
      <c r="J10" s="954"/>
    </row>
    <row r="11" spans="1:10" ht="17.100000000000001" customHeight="1" x14ac:dyDescent="0.25">
      <c r="A11" s="226" t="s">
        <v>445</v>
      </c>
      <c r="B11" s="3724" t="s">
        <v>446</v>
      </c>
      <c r="C11" s="3725"/>
      <c r="D11" s="3725"/>
      <c r="E11" s="3725"/>
      <c r="F11" s="3725"/>
      <c r="G11" s="3725"/>
      <c r="H11" s="3725"/>
      <c r="I11" s="3726"/>
      <c r="J11" s="40"/>
    </row>
    <row r="12" spans="1:10" ht="17.100000000000001" customHeight="1" thickBot="1" x14ac:dyDescent="0.3">
      <c r="A12" s="226"/>
      <c r="B12" s="3727"/>
      <c r="C12" s="3728"/>
      <c r="D12" s="3728"/>
      <c r="E12" s="3728"/>
      <c r="F12" s="3728"/>
      <c r="G12" s="3728"/>
      <c r="H12" s="3728"/>
      <c r="I12" s="3729"/>
      <c r="J12" s="40"/>
    </row>
    <row r="13" spans="1:10" x14ac:dyDescent="0.25">
      <c r="B13" s="40"/>
      <c r="D13" s="225"/>
      <c r="E13" s="40"/>
      <c r="F13" s="40"/>
      <c r="G13" s="40"/>
      <c r="H13" s="40"/>
      <c r="I13" s="40"/>
      <c r="J13" s="40"/>
    </row>
    <row r="14" spans="1:10" x14ac:dyDescent="0.25">
      <c r="A14" s="226" t="s">
        <v>447</v>
      </c>
      <c r="B14" s="51"/>
      <c r="D14" s="51"/>
      <c r="E14" s="51"/>
      <c r="F14" s="51"/>
      <c r="G14" s="51"/>
      <c r="H14" s="51"/>
      <c r="I14" s="51"/>
      <c r="J14" s="51"/>
    </row>
    <row r="15" spans="1:10" x14ac:dyDescent="0.25">
      <c r="A15" s="226"/>
      <c r="B15" s="40"/>
      <c r="D15" s="40"/>
      <c r="E15" s="40"/>
      <c r="F15" s="40"/>
      <c r="G15" s="40"/>
      <c r="H15" s="40"/>
      <c r="I15" s="40"/>
      <c r="J15" s="40"/>
    </row>
    <row r="16" spans="1:10" x14ac:dyDescent="0.25">
      <c r="B16" s="40"/>
      <c r="D16" s="40"/>
      <c r="E16" s="40"/>
      <c r="F16" s="40"/>
      <c r="G16" s="40"/>
      <c r="H16" s="40"/>
      <c r="I16" s="40"/>
      <c r="J16" s="40"/>
    </row>
    <row r="17" spans="2:10" x14ac:dyDescent="0.25">
      <c r="B17" s="955"/>
      <c r="D17" s="40"/>
      <c r="E17" s="40"/>
      <c r="F17" s="40"/>
      <c r="G17" s="40"/>
      <c r="H17" s="40"/>
      <c r="I17" s="40"/>
      <c r="J17" s="40"/>
    </row>
    <row r="18" spans="2:10" ht="14.45" customHeight="1" x14ac:dyDescent="0.25">
      <c r="B18" s="956"/>
      <c r="D18" s="955"/>
      <c r="E18" s="955"/>
      <c r="F18" s="955"/>
      <c r="G18" s="955"/>
      <c r="H18" s="955"/>
      <c r="I18" s="955"/>
      <c r="J18" s="955"/>
    </row>
    <row r="19" spans="2:10" ht="14.45" customHeight="1" x14ac:dyDescent="0.25">
      <c r="B19" s="956"/>
      <c r="D19" s="955"/>
      <c r="E19" s="955"/>
      <c r="F19" s="955"/>
      <c r="G19" s="955"/>
      <c r="H19" s="955"/>
      <c r="I19" s="955"/>
      <c r="J19" s="955"/>
    </row>
    <row r="20" spans="2:10" ht="14.45" customHeight="1" x14ac:dyDescent="0.25">
      <c r="B20" s="956"/>
      <c r="D20" s="955"/>
      <c r="E20" s="955"/>
      <c r="F20" s="955"/>
      <c r="G20" s="955"/>
      <c r="H20" s="955"/>
      <c r="I20" s="955"/>
      <c r="J20" s="955"/>
    </row>
    <row r="21" spans="2:10" ht="14.45" customHeight="1" x14ac:dyDescent="0.25">
      <c r="B21" s="956"/>
      <c r="D21" s="955"/>
      <c r="E21" s="955"/>
      <c r="F21" s="955"/>
      <c r="G21" s="955"/>
      <c r="H21" s="955"/>
      <c r="I21" s="955"/>
      <c r="J21" s="955"/>
    </row>
    <row r="22" spans="2:10" ht="14.45" customHeight="1" x14ac:dyDescent="0.25">
      <c r="B22" s="956"/>
      <c r="D22" s="955"/>
      <c r="E22" s="955"/>
      <c r="F22" s="955"/>
      <c r="G22" s="955"/>
      <c r="H22" s="955"/>
      <c r="I22" s="955"/>
      <c r="J22" s="955"/>
    </row>
    <row r="23" spans="2:10" x14ac:dyDescent="0.25">
      <c r="B23" s="956"/>
      <c r="D23" s="955"/>
      <c r="E23" s="955"/>
      <c r="F23" s="955"/>
      <c r="G23" s="955"/>
      <c r="H23" s="955"/>
      <c r="I23" s="955"/>
      <c r="J23" s="955"/>
    </row>
    <row r="24" spans="2:10" ht="14.45" customHeight="1" x14ac:dyDescent="0.25">
      <c r="B24" s="955"/>
      <c r="D24" s="40"/>
      <c r="E24" s="40"/>
      <c r="F24" s="40"/>
      <c r="G24" s="40"/>
      <c r="H24" s="40"/>
      <c r="I24" s="40"/>
      <c r="J24" s="40"/>
    </row>
    <row r="25" spans="2:10" ht="14.45" customHeight="1" x14ac:dyDescent="0.25">
      <c r="B25" s="955"/>
      <c r="D25" s="40"/>
      <c r="E25" s="40"/>
      <c r="F25" s="40"/>
      <c r="G25" s="40"/>
      <c r="H25" s="40"/>
      <c r="I25" s="40"/>
      <c r="J25" s="40"/>
    </row>
    <row r="26" spans="2:10" ht="14.45" customHeight="1" x14ac:dyDescent="0.25">
      <c r="B26" s="955"/>
      <c r="D26" s="40"/>
      <c r="E26" s="40"/>
      <c r="F26" s="40"/>
      <c r="G26" s="40"/>
      <c r="H26" s="40"/>
      <c r="I26" s="40"/>
      <c r="J26" s="40"/>
    </row>
    <row r="27" spans="2:10" ht="14.45" customHeight="1" x14ac:dyDescent="0.25">
      <c r="B27" s="955"/>
      <c r="D27" s="40"/>
      <c r="E27" s="40"/>
      <c r="F27" s="40"/>
      <c r="G27" s="40"/>
      <c r="H27" s="40"/>
      <c r="I27" s="40"/>
      <c r="J27" s="40"/>
    </row>
    <row r="28" spans="2:10" ht="14.45" customHeight="1" x14ac:dyDescent="0.25">
      <c r="B28" s="955"/>
      <c r="D28" s="40"/>
      <c r="E28" s="40"/>
      <c r="F28" s="40"/>
      <c r="G28" s="40"/>
      <c r="H28" s="40"/>
      <c r="I28" s="40"/>
      <c r="J28" s="40"/>
    </row>
    <row r="29" spans="2:10" ht="14.45" customHeight="1" x14ac:dyDescent="0.25">
      <c r="B29" s="955"/>
      <c r="D29" s="40"/>
      <c r="E29" s="40"/>
      <c r="F29" s="40"/>
      <c r="G29" s="40"/>
      <c r="H29" s="40"/>
      <c r="I29" s="40"/>
      <c r="J29" s="40"/>
    </row>
    <row r="30" spans="2:10" ht="14.45" customHeight="1" x14ac:dyDescent="0.25">
      <c r="B30" s="955"/>
      <c r="D30" s="40"/>
      <c r="E30" s="40"/>
      <c r="F30" s="40"/>
      <c r="G30" s="40"/>
      <c r="H30" s="40"/>
      <c r="I30" s="40"/>
      <c r="J30" s="40"/>
    </row>
    <row r="31" spans="2:10" ht="14.45" customHeight="1" x14ac:dyDescent="0.25">
      <c r="B31" s="955"/>
      <c r="D31" s="40"/>
      <c r="E31" s="40"/>
      <c r="F31" s="40"/>
      <c r="G31" s="40"/>
      <c r="H31" s="40"/>
      <c r="I31" s="40"/>
      <c r="J31" s="40"/>
    </row>
    <row r="32" spans="2:10" ht="14.45" customHeight="1" x14ac:dyDescent="0.25">
      <c r="B32" s="40"/>
      <c r="D32" s="40"/>
      <c r="E32" s="40"/>
      <c r="F32" s="40"/>
      <c r="G32" s="40"/>
      <c r="H32" s="40"/>
      <c r="I32" s="40"/>
      <c r="J32" s="40"/>
    </row>
    <row r="33" spans="2:10" x14ac:dyDescent="0.25">
      <c r="B33" s="226"/>
      <c r="C33" s="40"/>
      <c r="D33" s="40"/>
      <c r="E33" s="40"/>
      <c r="F33" s="40"/>
      <c r="G33" s="40"/>
      <c r="H33" s="40"/>
      <c r="I33" s="40"/>
      <c r="J33" s="40"/>
    </row>
    <row r="34" spans="2:10" ht="14.45" customHeight="1" x14ac:dyDescent="0.25">
      <c r="B34" s="226"/>
      <c r="D34" s="955"/>
      <c r="E34" s="955"/>
      <c r="F34" s="955"/>
      <c r="G34" s="955"/>
      <c r="H34" s="955"/>
      <c r="I34" s="955"/>
      <c r="J34" s="955"/>
    </row>
    <row r="35" spans="2:10" ht="14.45" customHeight="1" x14ac:dyDescent="0.25">
      <c r="B35" s="226"/>
      <c r="C35" s="955"/>
      <c r="D35" s="955"/>
      <c r="E35" s="955"/>
      <c r="F35" s="955"/>
      <c r="G35" s="955"/>
      <c r="H35" s="955"/>
      <c r="I35" s="955"/>
      <c r="J35" s="955"/>
    </row>
    <row r="36" spans="2:10" ht="14.45" customHeight="1" x14ac:dyDescent="0.25">
      <c r="B36" s="226"/>
      <c r="D36" s="40"/>
      <c r="E36" s="40"/>
      <c r="F36" s="40"/>
      <c r="G36" s="40"/>
      <c r="H36" s="40"/>
      <c r="I36" s="40"/>
      <c r="J36" s="40"/>
    </row>
    <row r="37" spans="2:10" ht="14.45" customHeight="1" x14ac:dyDescent="0.25">
      <c r="B37" s="226"/>
      <c r="D37" s="40"/>
      <c r="E37" s="40"/>
      <c r="F37" s="40"/>
      <c r="G37" s="40"/>
      <c r="H37" s="40"/>
      <c r="I37" s="40"/>
      <c r="J37" s="40"/>
    </row>
    <row r="38" spans="2:10" ht="14.45" customHeight="1" x14ac:dyDescent="0.25">
      <c r="B38" s="226"/>
      <c r="D38" s="40"/>
      <c r="E38" s="40"/>
      <c r="F38" s="40"/>
      <c r="G38" s="40"/>
      <c r="H38" s="40"/>
      <c r="I38" s="40"/>
      <c r="J38" s="40"/>
    </row>
    <row r="39" spans="2:10" x14ac:dyDescent="0.25">
      <c r="C39" s="40"/>
      <c r="D39" s="40"/>
      <c r="E39" s="40"/>
      <c r="F39" s="40"/>
      <c r="G39" s="40"/>
      <c r="H39" s="40"/>
      <c r="I39" s="40"/>
      <c r="J39" s="40"/>
    </row>
  </sheetData>
  <mergeCells count="3">
    <mergeCell ref="A2:J2"/>
    <mergeCell ref="B6:I9"/>
    <mergeCell ref="B11:I12"/>
  </mergeCells>
  <printOptions horizontalCentered="1"/>
  <pageMargins left="0.5" right="0.5" top="0.75" bottom="0.5" header="0.3" footer="0.3"/>
  <pageSetup scale="92" fitToHeight="0" pageOrder="overThenDown" orientation="portrait" r:id="rId1"/>
  <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theme="5" tint="0.39997558519241921"/>
    <pageSetUpPr fitToPage="1"/>
  </sheetPr>
  <dimension ref="A1:I41"/>
  <sheetViews>
    <sheetView zoomScaleNormal="100" workbookViewId="0"/>
  </sheetViews>
  <sheetFormatPr defaultColWidth="9.140625" defaultRowHeight="15" x14ac:dyDescent="0.25"/>
  <cols>
    <col min="1" max="1" width="16.28515625" customWidth="1"/>
    <col min="2" max="2" width="10.7109375" customWidth="1"/>
    <col min="3" max="9" width="12.7109375" customWidth="1"/>
    <col min="10" max="10" width="10.28515625" bestFit="1" customWidth="1"/>
    <col min="11" max="11" width="11.140625" bestFit="1" customWidth="1"/>
    <col min="12" max="12" width="24.42578125" customWidth="1"/>
  </cols>
  <sheetData>
    <row r="1" spans="1:9" ht="26.25" x14ac:dyDescent="0.4">
      <c r="A1" s="877" t="s">
        <v>383</v>
      </c>
      <c r="B1" s="877"/>
      <c r="C1" s="877"/>
      <c r="D1" s="877"/>
      <c r="E1" s="877"/>
      <c r="F1" s="877"/>
      <c r="G1" s="877"/>
      <c r="H1" s="877"/>
      <c r="I1" s="877"/>
    </row>
    <row r="3" spans="1:9" ht="18.75" x14ac:dyDescent="0.3">
      <c r="A3" s="3730" t="s">
        <v>384</v>
      </c>
      <c r="B3" s="3730"/>
      <c r="C3" s="3730"/>
      <c r="D3" s="3730"/>
      <c r="E3" s="3730"/>
      <c r="F3" s="3730"/>
      <c r="G3" s="3730"/>
      <c r="H3" s="3730"/>
      <c r="I3" s="3730"/>
    </row>
    <row r="4" spans="1:9" s="448" customFormat="1" x14ac:dyDescent="0.25">
      <c r="A4" s="878" t="s">
        <v>79</v>
      </c>
      <c r="B4" s="879" t="str">
        <f ca="1">'Calc - SENIOR PERS'!$B$6</f>
        <v>Virag Mishra</v>
      </c>
      <c r="D4" s="878" t="s">
        <v>94</v>
      </c>
      <c r="E4" s="880">
        <f>Budget!$C$4</f>
        <v>46478</v>
      </c>
      <c r="F4" s="878" t="s">
        <v>1040</v>
      </c>
      <c r="G4" s="879" t="str">
        <f>Budget!$C$2</f>
        <v>N/A</v>
      </c>
    </row>
    <row r="5" spans="1:9" s="448" customFormat="1" x14ac:dyDescent="0.25">
      <c r="A5" s="878" t="s">
        <v>385</v>
      </c>
      <c r="B5" s="879" t="str">
        <f ca="1">'Calc - SENIOR PERS'!$B$7</f>
        <v>COE</v>
      </c>
      <c r="D5" s="878" t="s">
        <v>95</v>
      </c>
      <c r="E5" s="880">
        <f>Budget!$C$5</f>
        <v>46843</v>
      </c>
      <c r="F5" s="878" t="s">
        <v>386</v>
      </c>
      <c r="G5" s="879" t="str">
        <f>Budget!$C$3</f>
        <v>HCSS</v>
      </c>
    </row>
    <row r="6" spans="1:9" s="448" customFormat="1" x14ac:dyDescent="0.25">
      <c r="A6" s="878" t="s">
        <v>387</v>
      </c>
      <c r="B6" s="880">
        <f>Budget!$C$6</f>
        <v>46310</v>
      </c>
      <c r="F6" s="878" t="s">
        <v>388</v>
      </c>
      <c r="G6" s="879" t="str">
        <f>Budget!$C$7</f>
        <v>Robert Kokenyesi</v>
      </c>
    </row>
    <row r="8" spans="1:9" s="448" customFormat="1" ht="18.75" x14ac:dyDescent="0.3">
      <c r="A8" s="3730" t="s">
        <v>389</v>
      </c>
      <c r="B8" s="3730"/>
      <c r="C8" s="3730"/>
      <c r="D8" s="3730"/>
      <c r="E8" s="3730"/>
      <c r="F8" s="3730"/>
      <c r="G8" s="3730"/>
      <c r="H8" s="3730"/>
      <c r="I8" s="3730"/>
    </row>
    <row r="9" spans="1:9" x14ac:dyDescent="0.25">
      <c r="B9" s="881" t="s">
        <v>390</v>
      </c>
      <c r="C9" s="882">
        <f>Budget!$C$8</f>
        <v>0</v>
      </c>
      <c r="E9" s="883"/>
      <c r="H9" s="878" t="s">
        <v>391</v>
      </c>
      <c r="I9" s="884">
        <f ca="1">Budget!$BX$295</f>
        <v>0</v>
      </c>
    </row>
    <row r="10" spans="1:9" s="448" customFormat="1" x14ac:dyDescent="0.25">
      <c r="B10" s="885" t="s">
        <v>392</v>
      </c>
      <c r="C10" s="883">
        <f>Budget!$C$9</f>
        <v>0</v>
      </c>
      <c r="H10" s="886" t="s">
        <v>393</v>
      </c>
      <c r="I10" s="887">
        <f ca="1">$I$9-$C$11</f>
        <v>0</v>
      </c>
    </row>
    <row r="11" spans="1:9" s="448" customFormat="1" x14ac:dyDescent="0.25">
      <c r="B11" s="886" t="s">
        <v>394</v>
      </c>
      <c r="C11" s="887">
        <f ca="1">$C$13-$C$12</f>
        <v>0</v>
      </c>
      <c r="H11" s="878" t="s">
        <v>395</v>
      </c>
      <c r="I11" s="888">
        <f ca="1">IFERROR(IF($C$10='Reference Sheet'!$A$22,$I$10/$C$12,$I$10/$I$12),0)</f>
        <v>0</v>
      </c>
    </row>
    <row r="12" spans="1:9" s="448" customFormat="1" x14ac:dyDescent="0.25">
      <c r="B12" s="878" t="s">
        <v>229</v>
      </c>
      <c r="C12" s="889">
        <f ca="1">'DATA INPUT'!$O$6 + IF($C$10='Reference Sheet'!$A$21,Budget!$BY$305,0)</f>
        <v>50000.337972000001</v>
      </c>
      <c r="H12" s="878" t="s">
        <v>396</v>
      </c>
      <c r="I12" s="884">
        <f ca="1">$C$13+$I$10</f>
        <v>50000.337972000001</v>
      </c>
    </row>
    <row r="13" spans="1:9" s="448" customFormat="1" x14ac:dyDescent="0.25">
      <c r="B13" s="878" t="s">
        <v>397</v>
      </c>
      <c r="C13" s="887">
        <f ca="1">IF($C$10='Reference Sheet'!$A$22,($C$12*(1+$C$9)),IF($C$9&lt;1,($C$12/(1-$C$9)),0))</f>
        <v>50000.337972000001</v>
      </c>
      <c r="H13" s="881" t="s">
        <v>398</v>
      </c>
      <c r="I13" s="890">
        <f ca="1">IFERROR(IF($C$10='Reference Sheet'!$A$22,$I$9/$C$12,$I$9/$I$12),0)</f>
        <v>0</v>
      </c>
    </row>
    <row r="14" spans="1:9" s="448" customFormat="1" x14ac:dyDescent="0.25">
      <c r="B14" s="878"/>
      <c r="C14" s="887"/>
      <c r="H14" s="881"/>
      <c r="I14" s="890"/>
    </row>
    <row r="16" spans="1:9" ht="18.75" x14ac:dyDescent="0.3">
      <c r="A16" s="891" t="s">
        <v>399</v>
      </c>
      <c r="B16" s="892"/>
      <c r="C16" s="892"/>
      <c r="D16" s="892"/>
      <c r="E16" s="892"/>
      <c r="F16" s="892"/>
      <c r="G16" s="892"/>
      <c r="H16" s="892"/>
      <c r="I16" s="892"/>
    </row>
    <row r="17" spans="1:9" s="448" customFormat="1" x14ac:dyDescent="0.25">
      <c r="A17" s="331" t="s">
        <v>339</v>
      </c>
      <c r="B17" s="331" t="s">
        <v>67</v>
      </c>
      <c r="C17" s="881" t="s">
        <v>400</v>
      </c>
      <c r="D17" s="881" t="s">
        <v>401</v>
      </c>
      <c r="E17" s="881" t="s">
        <v>402</v>
      </c>
      <c r="F17" s="881" t="s">
        <v>403</v>
      </c>
      <c r="G17" s="881" t="s">
        <v>404</v>
      </c>
      <c r="H17" s="881" t="s">
        <v>405</v>
      </c>
      <c r="I17" s="881" t="s">
        <v>170</v>
      </c>
    </row>
    <row r="18" spans="1:9" s="770" customFormat="1" x14ac:dyDescent="0.25">
      <c r="A18" s="893" t="str">
        <f ca="1">OFFSET(Budget!$N$10,0,(COLUMN()-1+(ROW()-ROW($A$18))*8))</f>
        <v/>
      </c>
      <c r="B18" s="894">
        <f ca="1">IFERROR(IF($C$10='Reference Sheet'!$A$22,Budget!$K304/$C$12,Budget!$K$304/$I$12),0)</f>
        <v>0</v>
      </c>
      <c r="C18" s="895">
        <f ca="1">OFFSET(Budget!$N$295,0,(COLUMN()-3+(ROW()-ROW($A$18))*8))</f>
        <v>0</v>
      </c>
      <c r="D18" s="895">
        <f ca="1">OFFSET(Budget!$N$295,0,(COLUMN()-3+(ROW()-ROW($A$18))*8))</f>
        <v>0</v>
      </c>
      <c r="E18" s="895">
        <f ca="1">OFFSET(Budget!$N$295,0,(COLUMN()-3+(ROW()-ROW($A$18))*8))</f>
        <v>0</v>
      </c>
      <c r="F18" s="895">
        <f ca="1">OFFSET(Budget!$N$295,0,(COLUMN()-3+(ROW()-ROW($A$18))*8))</f>
        <v>0</v>
      </c>
      <c r="G18" s="895">
        <f ca="1">OFFSET(Budget!$N$295,0,(COLUMN()-3+(ROW()-ROW($A$18))*8))</f>
        <v>0</v>
      </c>
      <c r="H18" s="895">
        <f ca="1">OFFSET(Budget!$N$295,0,(COLUMN()-3+(ROW()-ROW($A$18))*8))</f>
        <v>0</v>
      </c>
      <c r="I18" s="896">
        <f t="shared" ref="I18:I24" ca="1" si="0">SUM(C18:H18)</f>
        <v>0</v>
      </c>
    </row>
    <row r="19" spans="1:9" s="770" customFormat="1" x14ac:dyDescent="0.25">
      <c r="A19" s="893" t="str">
        <f ca="1">OFFSET(Budget!$N$10,0,(COLUMN()-1+(ROW()-ROW($A$18))*8))</f>
        <v/>
      </c>
      <c r="B19" s="894">
        <f ca="1">IFERROR(IF($C$10='Reference Sheet'!$A$22,Budget!$K305/$C$12,Budget!$K$304/$I$12),0)</f>
        <v>0</v>
      </c>
      <c r="C19" s="895">
        <f ca="1">OFFSET(Budget!$N$295,0,(COLUMN()-3+(ROW()-ROW($A$18))*8))</f>
        <v>0</v>
      </c>
      <c r="D19" s="895">
        <f ca="1">OFFSET(Budget!$N$295,0,(COLUMN()-3+(ROW()-ROW($A$18))*8))</f>
        <v>0</v>
      </c>
      <c r="E19" s="895">
        <f ca="1">OFFSET(Budget!$N$295,0,(COLUMN()-3+(ROW()-ROW($A$18))*8))</f>
        <v>0</v>
      </c>
      <c r="F19" s="895">
        <f ca="1">OFFSET(Budget!$N$295,0,(COLUMN()-3+(ROW()-ROW($A$18))*8))</f>
        <v>0</v>
      </c>
      <c r="G19" s="895">
        <f ca="1">OFFSET(Budget!$N$295,0,(COLUMN()-3+(ROW()-ROW($A$18))*8))</f>
        <v>0</v>
      </c>
      <c r="H19" s="895">
        <f ca="1">OFFSET(Budget!$N$295,0,(COLUMN()-3+(ROW()-ROW($A$18))*8))</f>
        <v>0</v>
      </c>
      <c r="I19" s="896">
        <f t="shared" ca="1" si="0"/>
        <v>0</v>
      </c>
    </row>
    <row r="20" spans="1:9" s="770" customFormat="1" x14ac:dyDescent="0.25">
      <c r="A20" s="893" t="str">
        <f ca="1">OFFSET(Budget!$N$10,0,(COLUMN()-1+(ROW()-ROW($A$18))*8))</f>
        <v/>
      </c>
      <c r="B20" s="894">
        <f ca="1">IFERROR(IF($C$10='Reference Sheet'!$A$22,Budget!$K306/$C$12,Budget!$K$304/$I$12),0)</f>
        <v>0</v>
      </c>
      <c r="C20" s="895">
        <f ca="1">OFFSET(Budget!$N$295,0,(COLUMN()-3+(ROW()-ROW($A$18))*8))</f>
        <v>0</v>
      </c>
      <c r="D20" s="895">
        <f ca="1">OFFSET(Budget!$N$295,0,(COLUMN()-3+(ROW()-ROW($A$18))*8))</f>
        <v>0</v>
      </c>
      <c r="E20" s="895">
        <f ca="1">OFFSET(Budget!$N$295,0,(COLUMN()-3+(ROW()-ROW($A$18))*8))</f>
        <v>0</v>
      </c>
      <c r="F20" s="895">
        <f ca="1">OFFSET(Budget!$N$295,0,(COLUMN()-3+(ROW()-ROW($A$18))*8))</f>
        <v>0</v>
      </c>
      <c r="G20" s="895">
        <f ca="1">OFFSET(Budget!$N$295,0,(COLUMN()-3+(ROW()-ROW($A$18))*8))</f>
        <v>0</v>
      </c>
      <c r="H20" s="895">
        <f ca="1">OFFSET(Budget!$N$295,0,(COLUMN()-3+(ROW()-ROW($A$18))*8))</f>
        <v>0</v>
      </c>
      <c r="I20" s="896">
        <f t="shared" ca="1" si="0"/>
        <v>0</v>
      </c>
    </row>
    <row r="21" spans="1:9" s="770" customFormat="1" x14ac:dyDescent="0.25">
      <c r="A21" s="893" t="str">
        <f ca="1">OFFSET(Budget!$N$10,0,(COLUMN()-1+(ROW()-ROW($A$18))*8))</f>
        <v/>
      </c>
      <c r="B21" s="894">
        <f ca="1">IFERROR(IF($C$10='Reference Sheet'!$A$22,Budget!$K307/$C$12,Budget!$K$304/$I$12),0)</f>
        <v>0</v>
      </c>
      <c r="C21" s="895">
        <f ca="1">OFFSET(Budget!$N$295,0,(COLUMN()-3+(ROW()-ROW($A$18))*8))</f>
        <v>0</v>
      </c>
      <c r="D21" s="895">
        <f ca="1">OFFSET(Budget!$N$295,0,(COLUMN()-3+(ROW()-ROW($A$18))*8))</f>
        <v>0</v>
      </c>
      <c r="E21" s="895">
        <f ca="1">OFFSET(Budget!$N$295,0,(COLUMN()-3+(ROW()-ROW($A$18))*8))</f>
        <v>0</v>
      </c>
      <c r="F21" s="895">
        <f ca="1">OFFSET(Budget!$N$295,0,(COLUMN()-3+(ROW()-ROW($A$18))*8))</f>
        <v>0</v>
      </c>
      <c r="G21" s="895">
        <f ca="1">OFFSET(Budget!$N$295,0,(COLUMN()-3+(ROW()-ROW($A$18))*8))</f>
        <v>0</v>
      </c>
      <c r="H21" s="895">
        <f ca="1">OFFSET(Budget!$N$295,0,(COLUMN()-3+(ROW()-ROW($A$18))*8))</f>
        <v>0</v>
      </c>
      <c r="I21" s="896">
        <f t="shared" ca="1" si="0"/>
        <v>0</v>
      </c>
    </row>
    <row r="22" spans="1:9" s="770" customFormat="1" x14ac:dyDescent="0.25">
      <c r="A22" s="893" t="str">
        <f ca="1">OFFSET(Budget!$N$10,0,(COLUMN()-1+(ROW()-ROW($A$18))*8))</f>
        <v/>
      </c>
      <c r="B22" s="894">
        <f ca="1">IFERROR(IF($C$10='Reference Sheet'!$A$22,Budget!$K308/$C$12,Budget!$K$304/$I$12),0)</f>
        <v>0</v>
      </c>
      <c r="C22" s="895">
        <f ca="1">OFFSET(Budget!$N$295,0,(COLUMN()-3+(ROW()-ROW($A$18))*8))</f>
        <v>0</v>
      </c>
      <c r="D22" s="895">
        <f ca="1">OFFSET(Budget!$N$295,0,(COLUMN()-3+(ROW()-ROW($A$18))*8))</f>
        <v>0</v>
      </c>
      <c r="E22" s="895">
        <f ca="1">OFFSET(Budget!$N$295,0,(COLUMN()-3+(ROW()-ROW($A$18))*8))</f>
        <v>0</v>
      </c>
      <c r="F22" s="895">
        <f ca="1">OFFSET(Budget!$N$295,0,(COLUMN()-3+(ROW()-ROW($A$18))*8))</f>
        <v>0</v>
      </c>
      <c r="G22" s="895">
        <f ca="1">OFFSET(Budget!$N$295,0,(COLUMN()-3+(ROW()-ROW($A$18))*8))</f>
        <v>0</v>
      </c>
      <c r="H22" s="895">
        <f ca="1">OFFSET(Budget!$N$295,0,(COLUMN()-3+(ROW()-ROW($A$18))*8))</f>
        <v>0</v>
      </c>
      <c r="I22" s="896">
        <f t="shared" ca="1" si="0"/>
        <v>0</v>
      </c>
    </row>
    <row r="23" spans="1:9" s="770" customFormat="1" x14ac:dyDescent="0.25">
      <c r="A23" s="893" t="str">
        <f ca="1">OFFSET(Budget!$N$10,0,(COLUMN()-1+(ROW()-ROW($A$18))*8))</f>
        <v/>
      </c>
      <c r="B23" s="894">
        <f ca="1">IFERROR(IF($C$10='Reference Sheet'!$A$22,Budget!$K309/$C$12,Budget!$K$304/$I$12),0)</f>
        <v>0</v>
      </c>
      <c r="C23" s="895">
        <f ca="1">OFFSET(Budget!$N$295,0,(COLUMN()-3+(ROW()-ROW($A$18))*8))</f>
        <v>0</v>
      </c>
      <c r="D23" s="895">
        <f ca="1">OFFSET(Budget!$N$295,0,(COLUMN()-3+(ROW()-ROW($A$18))*8))</f>
        <v>0</v>
      </c>
      <c r="E23" s="895">
        <f ca="1">OFFSET(Budget!$N$295,0,(COLUMN()-3+(ROW()-ROW($A$18))*8))</f>
        <v>0</v>
      </c>
      <c r="F23" s="895">
        <f ca="1">OFFSET(Budget!$N$295,0,(COLUMN()-3+(ROW()-ROW($A$18))*8))</f>
        <v>0</v>
      </c>
      <c r="G23" s="895">
        <f ca="1">OFFSET(Budget!$N$295,0,(COLUMN()-3+(ROW()-ROW($A$18))*8))</f>
        <v>0</v>
      </c>
      <c r="H23" s="895">
        <f ca="1">OFFSET(Budget!$N$295,0,(COLUMN()-3+(ROW()-ROW($A$18))*8))</f>
        <v>0</v>
      </c>
      <c r="I23" s="896">
        <f t="shared" ca="1" si="0"/>
        <v>0</v>
      </c>
    </row>
    <row r="24" spans="1:9" s="770" customFormat="1" ht="45" x14ac:dyDescent="0.25">
      <c r="A24" s="893" t="str">
        <f ca="1">OFFSET(Budget!$N$10,0,(COLUMN()-1+(ROW()-ROW($A$18))*8))</f>
        <v>OSU Unrecovered F&amp;A</v>
      </c>
      <c r="B24" s="894">
        <f ca="1">IFERROR(IF($C$10='Reference Sheet'!$A$22,Budget!$K310/$C$12,Budget!$K$304/$I$12),0)</f>
        <v>0</v>
      </c>
      <c r="C24" s="895">
        <f ca="1">OFFSET(Budget!$N$295,0,(COLUMN()-3+(ROW()-ROW($A$18))*8))</f>
        <v>0</v>
      </c>
      <c r="D24" s="895">
        <f ca="1">OFFSET(Budget!$N$295,0,(COLUMN()-3+(ROW()-ROW($A$18))*8))</f>
        <v>0</v>
      </c>
      <c r="E24" s="895">
        <f ca="1">OFFSET(Budget!$N$295,0,(COLUMN()-3+(ROW()-ROW($A$18))*8))</f>
        <v>0</v>
      </c>
      <c r="F24" s="895">
        <f ca="1">OFFSET(Budget!$N$295,0,(COLUMN()-3+(ROW()-ROW($A$18))*8))</f>
        <v>0</v>
      </c>
      <c r="G24" s="895">
        <f ca="1">OFFSET(Budget!$N$295,0,(COLUMN()-3+(ROW()-ROW($A$18))*8))</f>
        <v>0</v>
      </c>
      <c r="H24" s="895">
        <f ca="1">OFFSET(Budget!$N$295,0,(COLUMN()-3+(ROW()-ROW($A$18))*8))</f>
        <v>0</v>
      </c>
      <c r="I24" s="896">
        <f t="shared" ca="1" si="0"/>
        <v>0</v>
      </c>
    </row>
    <row r="25" spans="1:9" s="448" customFormat="1" x14ac:dyDescent="0.25">
      <c r="A25" s="897" t="s">
        <v>3</v>
      </c>
      <c r="B25" s="898">
        <f ca="1">SUBTOTAL(109,Table_CostShareSummary[%])</f>
        <v>0</v>
      </c>
      <c r="C25" s="884">
        <f ca="1">SUBTOTAL(109,Table_CostShareSummary[YEAR 1])</f>
        <v>0</v>
      </c>
      <c r="D25" s="884">
        <f ca="1">SUBTOTAL(109,Table_CostShareSummary[YEAR 2])</f>
        <v>0</v>
      </c>
      <c r="E25" s="884">
        <f ca="1">SUBTOTAL(109,Table_CostShareSummary[YEAR 3])</f>
        <v>0</v>
      </c>
      <c r="F25" s="884">
        <f ca="1">SUBTOTAL(109,Table_CostShareSummary[YEAR 4])</f>
        <v>0</v>
      </c>
      <c r="G25" s="884">
        <f ca="1">SUBTOTAL(109,Table_CostShareSummary[YEAR 5])</f>
        <v>0</v>
      </c>
      <c r="H25" s="884">
        <f ca="1">SUBTOTAL(109,Table_CostShareSummary[YEAR 6])</f>
        <v>0</v>
      </c>
      <c r="I25" s="899">
        <f ca="1">SUBTOTAL(109,Table_CostShareSummary[TOTAL])</f>
        <v>0</v>
      </c>
    </row>
    <row r="26" spans="1:9" s="448" customFormat="1" x14ac:dyDescent="0.25">
      <c r="A26" s="897"/>
      <c r="B26" s="898"/>
      <c r="C26" s="884"/>
      <c r="D26" s="884"/>
      <c r="E26" s="884"/>
      <c r="F26" s="884"/>
      <c r="G26" s="884"/>
      <c r="H26" s="884"/>
      <c r="I26" s="899"/>
    </row>
    <row r="41" spans="1:9" ht="18.75" x14ac:dyDescent="0.3">
      <c r="A41" s="900"/>
      <c r="B41" s="900"/>
      <c r="C41" s="900"/>
      <c r="D41" s="900"/>
      <c r="E41" s="900"/>
      <c r="F41" s="900"/>
      <c r="G41" s="900"/>
      <c r="H41" s="900"/>
      <c r="I41" s="900"/>
    </row>
  </sheetData>
  <mergeCells count="2">
    <mergeCell ref="A3:I3"/>
    <mergeCell ref="A8:I8"/>
  </mergeCells>
  <conditionalFormatting sqref="I10">
    <cfRule type="cellIs" dxfId="23" priority="2" operator="notBetween">
      <formula>0.004</formula>
      <formula>-0.004</formula>
    </cfRule>
  </conditionalFormatting>
  <conditionalFormatting sqref="C10">
    <cfRule type="containsBlanks" dxfId="22" priority="1">
      <formula>LEN(TRIM(C10))=0</formula>
    </cfRule>
  </conditionalFormatting>
  <printOptions horizontalCentered="1"/>
  <pageMargins left="0.25" right="0.25" top="0.5" bottom="0.5" header="0.25" footer="0.25"/>
  <pageSetup scale="88" fitToHeight="0" pageOrder="overThenDown" orientation="portrait" r:id="rId1"/>
  <drawing r:id="rId2"/>
  <legacyDrawing r:id="rId3"/>
  <tableParts count="1">
    <tablePart r:id="rId4"/>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theme="5" tint="0.39997558519241921"/>
    <pageSetUpPr fitToPage="1"/>
  </sheetPr>
  <dimension ref="A1:R75"/>
  <sheetViews>
    <sheetView zoomScaleNormal="100" workbookViewId="0"/>
  </sheetViews>
  <sheetFormatPr defaultColWidth="9.140625" defaultRowHeight="15" x14ac:dyDescent="0.25"/>
  <cols>
    <col min="1" max="1" width="16.28515625" customWidth="1"/>
    <col min="2" max="2" width="13" style="448" customWidth="1"/>
    <col min="3" max="9" width="11.7109375" customWidth="1"/>
    <col min="10" max="10" width="4.5703125" customWidth="1"/>
    <col min="11" max="11" width="8.7109375" customWidth="1"/>
    <col min="12" max="12" width="15.7109375" style="509" bestFit="1" customWidth="1"/>
    <col min="13" max="13" width="24.28515625" bestFit="1" customWidth="1"/>
  </cols>
  <sheetData>
    <row r="1" spans="1:13" s="503" customFormat="1" ht="18.75" x14ac:dyDescent="0.3">
      <c r="A1" s="907" t="s">
        <v>408</v>
      </c>
      <c r="B1" s="908"/>
      <c r="C1" s="908"/>
      <c r="D1" s="909" t="str">
        <f ca="1">$L$2</f>
        <v/>
      </c>
      <c r="E1" s="910"/>
      <c r="F1" s="910"/>
      <c r="G1" s="908"/>
      <c r="H1" s="911"/>
      <c r="I1" s="912"/>
      <c r="J1"/>
      <c r="L1" s="1136">
        <v>1</v>
      </c>
      <c r="M1" t="s">
        <v>409</v>
      </c>
    </row>
    <row r="2" spans="1:13" x14ac:dyDescent="0.25">
      <c r="L2" s="509" t="str">
        <f ca="1">OFFSET(Budget!N10,0,(L1-1)*8)</f>
        <v/>
      </c>
      <c r="M2" t="s">
        <v>410</v>
      </c>
    </row>
    <row r="3" spans="1:13" s="503" customFormat="1" ht="15.75" x14ac:dyDescent="0.25">
      <c r="A3" s="913" t="s">
        <v>384</v>
      </c>
      <c r="B3" s="914"/>
      <c r="C3" s="892"/>
      <c r="D3" s="892"/>
      <c r="E3" s="892"/>
      <c r="F3" s="892"/>
      <c r="G3" s="892"/>
      <c r="H3" s="892"/>
      <c r="I3" s="892"/>
      <c r="J3"/>
      <c r="L3" s="509">
        <f>((L1-1)*8)-3</f>
        <v>-3</v>
      </c>
      <c r="M3" t="s">
        <v>411</v>
      </c>
    </row>
    <row r="4" spans="1:13" s="448" customFormat="1" x14ac:dyDescent="0.25">
      <c r="A4" s="878" t="s">
        <v>79</v>
      </c>
      <c r="B4" s="879" t="str">
        <f ca="1">Budget!$C$1</f>
        <v>Virag Mishra</v>
      </c>
      <c r="D4" s="878" t="s">
        <v>94</v>
      </c>
      <c r="E4" s="880">
        <f>Budget!$C$4</f>
        <v>46478</v>
      </c>
      <c r="F4" s="878" t="s">
        <v>1040</v>
      </c>
      <c r="G4" s="879" t="str">
        <f>Budget!$C$2</f>
        <v>N/A</v>
      </c>
      <c r="J4"/>
      <c r="L4" s="915"/>
    </row>
    <row r="5" spans="1:13" s="448" customFormat="1" x14ac:dyDescent="0.25">
      <c r="A5" s="916" t="s">
        <v>412</v>
      </c>
      <c r="B5" s="917" t="str">
        <f ca="1">$D$1</f>
        <v/>
      </c>
      <c r="C5" s="918"/>
      <c r="D5" s="878" t="s">
        <v>95</v>
      </c>
      <c r="E5" s="880">
        <f>Budget!$C$5</f>
        <v>46843</v>
      </c>
      <c r="F5" s="878" t="s">
        <v>386</v>
      </c>
      <c r="G5" s="879" t="str">
        <f>Budget!$C$3</f>
        <v>HCSS</v>
      </c>
      <c r="J5"/>
      <c r="L5" s="878"/>
    </row>
    <row r="6" spans="1:13" s="448" customFormat="1" x14ac:dyDescent="0.25">
      <c r="A6" s="878" t="s">
        <v>387</v>
      </c>
      <c r="B6" s="880">
        <f>Budget!$C$6</f>
        <v>46310</v>
      </c>
      <c r="F6" s="878" t="s">
        <v>388</v>
      </c>
      <c r="G6" s="879" t="str">
        <f>Budget!$C$7</f>
        <v>Robert Kokenyesi</v>
      </c>
      <c r="J6"/>
      <c r="L6" s="878"/>
    </row>
    <row r="7" spans="1:13" x14ac:dyDescent="0.25">
      <c r="C7" s="448"/>
      <c r="D7" s="769"/>
      <c r="E7" s="769"/>
      <c r="F7" s="769"/>
      <c r="G7" s="769"/>
      <c r="H7" s="769"/>
    </row>
    <row r="8" spans="1:13" s="922" customFormat="1" ht="15.75" x14ac:dyDescent="0.25">
      <c r="A8" s="913" t="s">
        <v>413</v>
      </c>
      <c r="B8" s="919"/>
      <c r="C8" s="913"/>
      <c r="D8" s="920" t="str">
        <f ca="1">$D$1</f>
        <v/>
      </c>
      <c r="E8" s="913"/>
      <c r="F8" s="920"/>
      <c r="G8" s="913"/>
      <c r="H8" s="913"/>
      <c r="I8" s="921"/>
      <c r="J8"/>
      <c r="M8" s="770"/>
    </row>
    <row r="9" spans="1:13" ht="15.75" x14ac:dyDescent="0.25">
      <c r="A9" s="503" t="s">
        <v>414</v>
      </c>
      <c r="B9" s="923">
        <f ca="1">SUM(B10:B14)</f>
        <v>0</v>
      </c>
      <c r="D9" s="924" t="s">
        <v>415</v>
      </c>
      <c r="E9" s="924"/>
    </row>
    <row r="10" spans="1:13" ht="15.75" x14ac:dyDescent="0.25">
      <c r="A10" s="925" t="s">
        <v>416</v>
      </c>
      <c r="B10" s="926">
        <f ca="1">I18</f>
        <v>0</v>
      </c>
      <c r="D10" s="19" t="s">
        <v>417</v>
      </c>
    </row>
    <row r="11" spans="1:13" ht="15.75" x14ac:dyDescent="0.25">
      <c r="A11" s="925" t="s">
        <v>684</v>
      </c>
      <c r="B11" s="926">
        <f ca="1">I22</f>
        <v>0</v>
      </c>
      <c r="D11" s="19" t="s">
        <v>685</v>
      </c>
    </row>
    <row r="12" spans="1:13" ht="15.75" x14ac:dyDescent="0.25">
      <c r="A12" s="925" t="s">
        <v>427</v>
      </c>
      <c r="B12" s="926">
        <f ca="1">I23</f>
        <v>0</v>
      </c>
      <c r="D12" s="19" t="s">
        <v>697</v>
      </c>
      <c r="L12"/>
    </row>
    <row r="13" spans="1:13" ht="15.75" x14ac:dyDescent="0.25">
      <c r="A13" s="925" t="s">
        <v>694</v>
      </c>
      <c r="B13" s="926">
        <f ca="1">I31</f>
        <v>0</v>
      </c>
    </row>
    <row r="14" spans="1:13" ht="15.75" x14ac:dyDescent="0.25">
      <c r="A14" s="925" t="s">
        <v>419</v>
      </c>
      <c r="B14" s="927">
        <f ca="1">I36</f>
        <v>0</v>
      </c>
      <c r="D14" s="19" t="s">
        <v>420</v>
      </c>
      <c r="L14"/>
    </row>
    <row r="15" spans="1:13" x14ac:dyDescent="0.25">
      <c r="B15"/>
    </row>
    <row r="16" spans="1:13" x14ac:dyDescent="0.25">
      <c r="B16"/>
      <c r="L16"/>
    </row>
    <row r="17" spans="1:12" ht="15.75" x14ac:dyDescent="0.25">
      <c r="A17" s="928" t="s">
        <v>421</v>
      </c>
      <c r="B17" s="928"/>
      <c r="C17" s="929" t="s">
        <v>400</v>
      </c>
      <c r="D17" s="929" t="s">
        <v>401</v>
      </c>
      <c r="E17" s="929" t="s">
        <v>402</v>
      </c>
      <c r="F17" s="929" t="s">
        <v>403</v>
      </c>
      <c r="G17" s="929" t="s">
        <v>404</v>
      </c>
      <c r="H17" s="929" t="s">
        <v>405</v>
      </c>
      <c r="I17" s="929" t="s">
        <v>170</v>
      </c>
      <c r="L17"/>
    </row>
    <row r="18" spans="1:12" x14ac:dyDescent="0.25">
      <c r="A18" s="448" t="s">
        <v>422</v>
      </c>
      <c r="C18" s="884">
        <f ca="1">SUM(OFFSET(Budget!$N$44,0,(COLUMN()+$L$3)),OFFSET(Budget!$N$117,0,(COLUMN()+$L$3)))</f>
        <v>0</v>
      </c>
      <c r="D18" s="884">
        <f ca="1">SUM(OFFSET(Budget!$N$44,0,(COLUMN()+$L$3)),OFFSET(Budget!$N$117,0,(COLUMN()+$L$3)))</f>
        <v>0</v>
      </c>
      <c r="E18" s="884">
        <f ca="1">SUM(OFFSET(Budget!$N$44,0,(COLUMN()+$L$3)),OFFSET(Budget!$N$117,0,(COLUMN()+$L$3)))</f>
        <v>0</v>
      </c>
      <c r="F18" s="884">
        <f ca="1">SUM(OFFSET(Budget!$N$44,0,(COLUMN()+$L$3)),OFFSET(Budget!$N$117,0,(COLUMN()+$L$3)))</f>
        <v>0</v>
      </c>
      <c r="G18" s="884">
        <f ca="1">SUM(OFFSET(Budget!$N$44,0,(COLUMN()+$L$3)),OFFSET(Budget!$N$117,0,(COLUMN()+$L$3)))</f>
        <v>0</v>
      </c>
      <c r="H18" s="884">
        <f ca="1">SUM(OFFSET(Budget!$N$44,0,(COLUMN()+$L$3)),OFFSET(Budget!$N$117,0,(COLUMN()+$L$3)))</f>
        <v>0</v>
      </c>
      <c r="I18" s="899">
        <f ca="1">SUM(C18:H18)</f>
        <v>0</v>
      </c>
      <c r="L18"/>
    </row>
    <row r="19" spans="1:12" x14ac:dyDescent="0.25">
      <c r="A19" s="930" t="s">
        <v>423</v>
      </c>
      <c r="B19" s="930"/>
      <c r="C19" s="931">
        <f t="shared" ref="C19:I19" ca="1" si="0">SUM(C18:C18)</f>
        <v>0</v>
      </c>
      <c r="D19" s="931">
        <f t="shared" ca="1" si="0"/>
        <v>0</v>
      </c>
      <c r="E19" s="931">
        <f t="shared" ca="1" si="0"/>
        <v>0</v>
      </c>
      <c r="F19" s="931">
        <f t="shared" ca="1" si="0"/>
        <v>0</v>
      </c>
      <c r="G19" s="931">
        <f t="shared" ca="1" si="0"/>
        <v>0</v>
      </c>
      <c r="H19" s="931">
        <f t="shared" ca="1" si="0"/>
        <v>0</v>
      </c>
      <c r="I19" s="932">
        <f t="shared" ca="1" si="0"/>
        <v>0</v>
      </c>
    </row>
    <row r="20" spans="1:12" x14ac:dyDescent="0.25">
      <c r="B20"/>
      <c r="K20" s="19"/>
      <c r="L20"/>
    </row>
    <row r="21" spans="1:12" ht="15.75" x14ac:dyDescent="0.25">
      <c r="A21" s="928" t="s">
        <v>695</v>
      </c>
      <c r="B21" s="928"/>
      <c r="C21" s="929" t="s">
        <v>400</v>
      </c>
      <c r="D21" s="929" t="s">
        <v>401</v>
      </c>
      <c r="E21" s="929" t="s">
        <v>402</v>
      </c>
      <c r="F21" s="929" t="s">
        <v>403</v>
      </c>
      <c r="G21" s="929" t="s">
        <v>404</v>
      </c>
      <c r="H21" s="929" t="s">
        <v>405</v>
      </c>
      <c r="I21" s="929" t="s">
        <v>170</v>
      </c>
      <c r="L21" s="934" t="s">
        <v>425</v>
      </c>
    </row>
    <row r="22" spans="1:12" x14ac:dyDescent="0.25">
      <c r="A22" t="s">
        <v>1064</v>
      </c>
      <c r="B22"/>
      <c r="C22" s="884">
        <f ca="1">OFFSET(Budget!$N$215,0,(COLUMN()+$L$3))</f>
        <v>0</v>
      </c>
      <c r="D22" s="884">
        <f ca="1">OFFSET(Budget!$N$215,0,(COLUMN()+$L$3))</f>
        <v>0</v>
      </c>
      <c r="E22" s="884">
        <f ca="1">OFFSET(Budget!$N$215,0,(COLUMN()+$L$3))</f>
        <v>0</v>
      </c>
      <c r="F22" s="884">
        <f ca="1">OFFSET(Budget!$N$215,0,(COLUMN()+$L$3))</f>
        <v>0</v>
      </c>
      <c r="G22" s="884">
        <f ca="1">OFFSET(Budget!$N$215,0,(COLUMN()+$L$3))</f>
        <v>0</v>
      </c>
      <c r="H22" s="884">
        <f ca="1">OFFSET(Budget!$N$215,0,(COLUMN()+$L$3))</f>
        <v>0</v>
      </c>
      <c r="I22" s="899">
        <f ca="1">SUM(C22:H22)</f>
        <v>0</v>
      </c>
      <c r="L22" s="935">
        <f ca="1">OFFSET('Cost Share Agr Form'!$I$18,($L$1-1),0)</f>
        <v>0</v>
      </c>
    </row>
    <row r="23" spans="1:12" x14ac:dyDescent="0.25">
      <c r="A23" t="s">
        <v>696</v>
      </c>
      <c r="B23"/>
      <c r="C23" s="884">
        <f ca="1">OFFSET(Budget!$N$285,0,(COLUMN()+$L$3))</f>
        <v>0</v>
      </c>
      <c r="D23" s="884">
        <f ca="1">OFFSET(Budget!$N$285,0,(COLUMN()+$L$3))</f>
        <v>0</v>
      </c>
      <c r="E23" s="884">
        <f ca="1">OFFSET(Budget!$N$285,0,(COLUMN()+$L$3))</f>
        <v>0</v>
      </c>
      <c r="F23" s="884">
        <f ca="1">OFFSET(Budget!$N$285,0,(COLUMN()+$L$3))</f>
        <v>0</v>
      </c>
      <c r="G23" s="884">
        <f ca="1">OFFSET(Budget!$N$285,0,(COLUMN()+$L$3))</f>
        <v>0</v>
      </c>
      <c r="H23" s="884">
        <f ca="1">OFFSET(Budget!$N$285,0,(COLUMN()+$L$3))</f>
        <v>0</v>
      </c>
      <c r="I23" s="899">
        <f ca="1">SUM(C23:H23)</f>
        <v>0</v>
      </c>
      <c r="L23" s="935"/>
    </row>
    <row r="24" spans="1:12" x14ac:dyDescent="0.25">
      <c r="A24" s="930" t="s">
        <v>698</v>
      </c>
      <c r="B24" s="930"/>
      <c r="C24" s="931">
        <f t="shared" ref="C24:H24" ca="1" si="1">SUM(C22)</f>
        <v>0</v>
      </c>
      <c r="D24" s="931">
        <f t="shared" ca="1" si="1"/>
        <v>0</v>
      </c>
      <c r="E24" s="931">
        <f t="shared" ca="1" si="1"/>
        <v>0</v>
      </c>
      <c r="F24" s="931">
        <f t="shared" ca="1" si="1"/>
        <v>0</v>
      </c>
      <c r="G24" s="931">
        <f t="shared" ca="1" si="1"/>
        <v>0</v>
      </c>
      <c r="H24" s="931">
        <f t="shared" ca="1" si="1"/>
        <v>0</v>
      </c>
      <c r="I24" s="932">
        <f ca="1">SUM(I22:I22)</f>
        <v>0</v>
      </c>
      <c r="L24" s="935"/>
    </row>
    <row r="25" spans="1:12" x14ac:dyDescent="0.25">
      <c r="A25" s="448"/>
      <c r="C25" s="448"/>
      <c r="D25" s="884"/>
      <c r="E25" s="933"/>
      <c r="F25" s="933"/>
      <c r="G25" s="933"/>
      <c r="H25" s="933"/>
      <c r="I25" s="899"/>
    </row>
    <row r="26" spans="1:12" ht="15.75" x14ac:dyDescent="0.25">
      <c r="A26" s="928" t="s">
        <v>424</v>
      </c>
      <c r="B26" s="928"/>
      <c r="C26" s="929" t="s">
        <v>400</v>
      </c>
      <c r="D26" s="929" t="s">
        <v>401</v>
      </c>
      <c r="E26" s="929" t="s">
        <v>402</v>
      </c>
      <c r="F26" s="929" t="s">
        <v>403</v>
      </c>
      <c r="G26" s="929" t="s">
        <v>404</v>
      </c>
      <c r="H26" s="929" t="s">
        <v>405</v>
      </c>
      <c r="I26" s="929" t="s">
        <v>170</v>
      </c>
    </row>
    <row r="27" spans="1:12" x14ac:dyDescent="0.25">
      <c r="A27" s="448" t="s">
        <v>426</v>
      </c>
      <c r="C27" s="884">
        <f ca="1">SUM(OFFSET(Budget!$N$62,0,(COLUMN()+$L$3)),OFFSET(Budget!$N$83,0,(COLUMN()+$L$3)),(OFFSET(Budget!$N$133,0,(COLUMN()+$L$3)),OFFSET(Budget!$N$154,0,(COLUMN()+$L$3))))</f>
        <v>0</v>
      </c>
      <c r="D27" s="884">
        <f ca="1">SUM(OFFSET(Budget!$N$62,0,(COLUMN()+$L$3)),OFFSET(Budget!$N$83,0,(COLUMN()+$L$3)),(OFFSET(Budget!$N$133,0,(COLUMN()+$L$3)),OFFSET(Budget!$N$154,0,(COLUMN()+$L$3))))</f>
        <v>0</v>
      </c>
      <c r="E27" s="884">
        <f ca="1">SUM(OFFSET(Budget!$N$62,0,(COLUMN()+$L$3)),OFFSET(Budget!$N$83,0,(COLUMN()+$L$3)),(OFFSET(Budget!$N$133,0,(COLUMN()+$L$3)),OFFSET(Budget!$N$154,0,(COLUMN()+$L$3))))</f>
        <v>0</v>
      </c>
      <c r="F27" s="884">
        <f ca="1">SUM(OFFSET(Budget!$N$62,0,(COLUMN()+$L$3)),OFFSET(Budget!$N$83,0,(COLUMN()+$L$3)),(OFFSET(Budget!$N$133,0,(COLUMN()+$L$3)),OFFSET(Budget!$N$154,0,(COLUMN()+$L$3))))</f>
        <v>0</v>
      </c>
      <c r="G27" s="884">
        <f ca="1">SUM(OFFSET(Budget!$N$62,0,(COLUMN()+$L$3)),OFFSET(Budget!$N$83,0,(COLUMN()+$L$3)),(OFFSET(Budget!$N$133,0,(COLUMN()+$L$3)),OFFSET(Budget!$N$154,0,(COLUMN()+$L$3))))</f>
        <v>0</v>
      </c>
      <c r="H27" s="884">
        <f ca="1">SUM(OFFSET(Budget!$N$62,0,(COLUMN()+$L$3)),OFFSET(Budget!$N$83,0,(COLUMN()+$L$3)),(OFFSET(Budget!$N$133,0,(COLUMN()+$L$3)),OFFSET(Budget!$N$154,0,(COLUMN()+$L$3))))</f>
        <v>0</v>
      </c>
      <c r="I27" s="899">
        <f ca="1">SUM(C27:H27)</f>
        <v>0</v>
      </c>
    </row>
    <row r="28" spans="1:12" x14ac:dyDescent="0.25">
      <c r="A28" s="448" t="s">
        <v>146</v>
      </c>
      <c r="C28" s="884">
        <f ca="1">OFFSET(Budget!$N$165,0,(COLUMN()+$L$3))</f>
        <v>0</v>
      </c>
      <c r="D28" s="884">
        <f ca="1">OFFSET(Budget!$N$165,0,(COLUMN()+$L$3))</f>
        <v>0</v>
      </c>
      <c r="E28" s="884">
        <f ca="1">OFFSET(Budget!$N$165,0,(COLUMN()+$L$3))</f>
        <v>0</v>
      </c>
      <c r="F28" s="884">
        <f ca="1">OFFSET(Budget!$N$165,0,(COLUMN()+$L$3))</f>
        <v>0</v>
      </c>
      <c r="G28" s="884">
        <f ca="1">OFFSET(Budget!$N$165,0,(COLUMN()+$L$3))</f>
        <v>0</v>
      </c>
      <c r="H28" s="884">
        <f ca="1">OFFSET(Budget!$N$165,0,(COLUMN()+$L$3))</f>
        <v>0</v>
      </c>
      <c r="I28" s="899">
        <f ca="1">SUM(C28:H28)</f>
        <v>0</v>
      </c>
      <c r="L28"/>
    </row>
    <row r="29" spans="1:12" x14ac:dyDescent="0.25">
      <c r="A29" s="448" t="s">
        <v>12</v>
      </c>
      <c r="C29" s="884">
        <f ca="1">OFFSET(Budget!$N$170,0,(COLUMN()+$L$3))</f>
        <v>0</v>
      </c>
      <c r="D29" s="884">
        <f ca="1">OFFSET(Budget!$N$170,0,(COLUMN()+$L$3))</f>
        <v>0</v>
      </c>
      <c r="E29" s="884">
        <f ca="1">OFFSET(Budget!$N$170,0,(COLUMN()+$L$3))</f>
        <v>0</v>
      </c>
      <c r="F29" s="884">
        <f ca="1">OFFSET(Budget!$N$170,0,(COLUMN()+$L$3))</f>
        <v>0</v>
      </c>
      <c r="G29" s="884">
        <f ca="1">OFFSET(Budget!$N$170,0,(COLUMN()+$L$3))</f>
        <v>0</v>
      </c>
      <c r="H29" s="884">
        <f ca="1">OFFSET(Budget!$N$170,0,(COLUMN()+$L$3))</f>
        <v>0</v>
      </c>
      <c r="I29" s="899">
        <f ca="1">SUM(C29:H29)</f>
        <v>0</v>
      </c>
    </row>
    <row r="30" spans="1:12" x14ac:dyDescent="0.25">
      <c r="A30" s="448" t="s">
        <v>699</v>
      </c>
      <c r="C30" s="884">
        <f ca="1">OFFSET(Budget!$N$288,0,(COLUMN()+$L$3)) - C22 - C23</f>
        <v>0</v>
      </c>
      <c r="D30" s="884">
        <f ca="1">OFFSET(Budget!$N$288,0,(COLUMN()+$L$3)) - D22 - D23</f>
        <v>0</v>
      </c>
      <c r="E30" s="884">
        <f ca="1">OFFSET(Budget!$N$288,0,(COLUMN()+$L$3)) - E22 - E23</f>
        <v>0</v>
      </c>
      <c r="F30" s="884">
        <f ca="1">OFFSET(Budget!$N$288,0,(COLUMN()+$L$3)) - F22 - F23</f>
        <v>0</v>
      </c>
      <c r="G30" s="884">
        <f ca="1">OFFSET(Budget!$N$288,0,(COLUMN()+$L$3)) - G22 - G23</f>
        <v>0</v>
      </c>
      <c r="H30" s="884">
        <f ca="1">OFFSET(Budget!$N$288,0,(COLUMN()+$L$3)) - H22 - H23</f>
        <v>0</v>
      </c>
      <c r="I30" s="899">
        <f ca="1">SUM(C30:H30)</f>
        <v>0</v>
      </c>
    </row>
    <row r="31" spans="1:12" x14ac:dyDescent="0.25">
      <c r="A31" s="930" t="s">
        <v>428</v>
      </c>
      <c r="B31" s="930"/>
      <c r="C31" s="931">
        <f t="shared" ref="C31:I31" ca="1" si="2">SUM(C27:C30)</f>
        <v>0</v>
      </c>
      <c r="D31" s="931">
        <f t="shared" ca="1" si="2"/>
        <v>0</v>
      </c>
      <c r="E31" s="931">
        <f t="shared" ca="1" si="2"/>
        <v>0</v>
      </c>
      <c r="F31" s="931">
        <f t="shared" ca="1" si="2"/>
        <v>0</v>
      </c>
      <c r="G31" s="931">
        <f t="shared" ca="1" si="2"/>
        <v>0</v>
      </c>
      <c r="H31" s="931">
        <f t="shared" ca="1" si="2"/>
        <v>0</v>
      </c>
      <c r="I31" s="932">
        <f t="shared" ca="1" si="2"/>
        <v>0</v>
      </c>
    </row>
    <row r="32" spans="1:12" x14ac:dyDescent="0.25">
      <c r="B32"/>
    </row>
    <row r="33" spans="1:14" x14ac:dyDescent="0.25">
      <c r="A33" s="448"/>
      <c r="C33" s="884"/>
      <c r="D33" s="884"/>
      <c r="E33" s="884"/>
      <c r="F33" s="884"/>
      <c r="G33" s="884"/>
      <c r="H33" s="884"/>
      <c r="I33" s="899"/>
      <c r="L33"/>
    </row>
    <row r="34" spans="1:14" ht="15.75" x14ac:dyDescent="0.25">
      <c r="A34" s="928" t="s">
        <v>359</v>
      </c>
      <c r="B34" s="928"/>
      <c r="C34" s="929" t="s">
        <v>400</v>
      </c>
      <c r="D34" s="929" t="s">
        <v>401</v>
      </c>
      <c r="E34" s="929" t="s">
        <v>402</v>
      </c>
      <c r="F34" s="929" t="s">
        <v>403</v>
      </c>
      <c r="G34" s="929" t="s">
        <v>404</v>
      </c>
      <c r="H34" s="929" t="s">
        <v>405</v>
      </c>
      <c r="I34" s="929" t="s">
        <v>170</v>
      </c>
    </row>
    <row r="35" spans="1:14" s="922" customFormat="1" ht="15.75" x14ac:dyDescent="0.25">
      <c r="A35" s="448" t="s">
        <v>429</v>
      </c>
      <c r="B35" s="448"/>
      <c r="C35" s="884">
        <f ca="1">OFFSET(Budget!$N$293,0,(COLUMN()+$L$3))</f>
        <v>0</v>
      </c>
      <c r="D35" s="884">
        <f ca="1">OFFSET(Budget!$N$293,0,(COLUMN()+$L$3))</f>
        <v>0</v>
      </c>
      <c r="E35" s="884">
        <f ca="1">OFFSET(Budget!$N$293,0,(COLUMN()+$L$3))</f>
        <v>0</v>
      </c>
      <c r="F35" s="884">
        <f ca="1">OFFSET(Budget!$N$293,0,(COLUMN()+$L$3))</f>
        <v>0</v>
      </c>
      <c r="G35" s="884">
        <f ca="1">OFFSET(Budget!$N$293,0,(COLUMN()+$L$3))</f>
        <v>0</v>
      </c>
      <c r="H35" s="884">
        <f ca="1">OFFSET(Budget!$N$293,0,(COLUMN()+$L$3))</f>
        <v>0</v>
      </c>
      <c r="I35" s="899">
        <f ca="1">SUM(C35:H35)</f>
        <v>0</v>
      </c>
      <c r="J35"/>
      <c r="L35" s="671"/>
      <c r="M35" s="770"/>
    </row>
    <row r="36" spans="1:14" s="448" customFormat="1" x14ac:dyDescent="0.25">
      <c r="A36" s="930" t="s">
        <v>430</v>
      </c>
      <c r="B36" s="930"/>
      <c r="C36" s="931">
        <f t="shared" ref="C36:I36" ca="1" si="3">SUM(C35:C35)</f>
        <v>0</v>
      </c>
      <c r="D36" s="931">
        <f t="shared" ca="1" si="3"/>
        <v>0</v>
      </c>
      <c r="E36" s="931">
        <f t="shared" ca="1" si="3"/>
        <v>0</v>
      </c>
      <c r="F36" s="931">
        <f t="shared" ca="1" si="3"/>
        <v>0</v>
      </c>
      <c r="G36" s="931">
        <f t="shared" ca="1" si="3"/>
        <v>0</v>
      </c>
      <c r="H36" s="931">
        <f t="shared" ca="1" si="3"/>
        <v>0</v>
      </c>
      <c r="I36" s="932">
        <f t="shared" ca="1" si="3"/>
        <v>0</v>
      </c>
      <c r="J36"/>
      <c r="L36" s="509"/>
      <c r="M36" s="883"/>
    </row>
    <row r="37" spans="1:14" x14ac:dyDescent="0.25">
      <c r="B37"/>
      <c r="J37" s="769"/>
      <c r="N37" s="448"/>
    </row>
    <row r="38" spans="1:14" x14ac:dyDescent="0.25">
      <c r="A38" s="817"/>
      <c r="B38" s="817"/>
      <c r="C38" s="899"/>
      <c r="D38" s="899"/>
      <c r="E38" s="899"/>
      <c r="F38" s="899"/>
      <c r="G38" s="899"/>
      <c r="H38" s="899"/>
      <c r="I38" s="899"/>
      <c r="J38" s="769"/>
      <c r="N38" s="448"/>
    </row>
    <row r="39" spans="1:14" ht="15.75" x14ac:dyDescent="0.25">
      <c r="A39" s="913" t="s">
        <v>431</v>
      </c>
      <c r="B39" s="919"/>
      <c r="C39" s="913"/>
      <c r="D39" s="913"/>
      <c r="E39" s="913"/>
      <c r="F39" s="920" t="str">
        <f ca="1">$D$1</f>
        <v/>
      </c>
      <c r="G39" s="913"/>
      <c r="H39" s="913"/>
      <c r="I39" s="921"/>
      <c r="J39" s="769"/>
      <c r="N39" s="448"/>
    </row>
    <row r="40" spans="1:14" x14ac:dyDescent="0.25">
      <c r="A40" s="879" t="s">
        <v>432</v>
      </c>
      <c r="B40" s="331" t="s">
        <v>339</v>
      </c>
      <c r="C40" s="881" t="s">
        <v>400</v>
      </c>
      <c r="D40" s="881" t="s">
        <v>401</v>
      </c>
      <c r="E40" s="881" t="s">
        <v>402</v>
      </c>
      <c r="F40" s="881" t="s">
        <v>403</v>
      </c>
      <c r="G40" s="881" t="s">
        <v>404</v>
      </c>
      <c r="H40" s="881" t="s">
        <v>405</v>
      </c>
      <c r="I40" s="881" t="s">
        <v>170</v>
      </c>
      <c r="J40" s="769"/>
      <c r="N40" s="448"/>
    </row>
    <row r="41" spans="1:14" x14ac:dyDescent="0.25">
      <c r="A41" s="40" t="str">
        <f ca="1">'Calc - SENIOR PERS'!$B$6</f>
        <v>Virag Mishra</v>
      </c>
      <c r="B41" s="40" t="str">
        <f ca="1">OFFSET('Calc - SENIOR PERS'!$B$7,(ROW()-ROW($A$41))*14,0)</f>
        <v>COE</v>
      </c>
      <c r="C41" s="769">
        <f ca="1">OFFSET('Calc - SENIOR PERS'!$V$11,(COLUMN()-3+(ROW()-ROW($A$41))*14),0)</f>
        <v>0</v>
      </c>
      <c r="D41" s="769">
        <f ca="1">OFFSET('Calc - SENIOR PERS'!$V$11,(COLUMN()-3+(ROW()-ROW($A$41))*14),0)</f>
        <v>0</v>
      </c>
      <c r="E41" s="769">
        <f ca="1">OFFSET('Calc - SENIOR PERS'!$V$11,(COLUMN()-3+(ROW()-ROW($A$41))*14),0)</f>
        <v>0</v>
      </c>
      <c r="F41" s="769">
        <f ca="1">OFFSET('Calc - SENIOR PERS'!$V$11,(COLUMN()-3+(ROW()-ROW($A$41))*14),0)</f>
        <v>0</v>
      </c>
      <c r="G41" s="769">
        <f ca="1">OFFSET('Calc - SENIOR PERS'!$V$11,(COLUMN()-3+(ROW()-ROW($A$41))*14),0)</f>
        <v>0</v>
      </c>
      <c r="H41" s="769">
        <f ca="1">OFFSET('Calc - SENIOR PERS'!$V$11,(COLUMN()-3+(ROW()-ROW($A$41))*14),0)</f>
        <v>0</v>
      </c>
      <c r="I41" s="769">
        <f t="shared" ref="I41:I55" ca="1" si="4">SUM(C41:H41)</f>
        <v>0</v>
      </c>
      <c r="J41" s="769"/>
      <c r="N41" s="448"/>
    </row>
    <row r="42" spans="1:14" x14ac:dyDescent="0.25">
      <c r="A42" s="40">
        <f ca="1">OFFSET('Calc - SENIOR PERS'!$B$6,(ROW()-ROW($A$41))*14,0)</f>
        <v>0</v>
      </c>
      <c r="B42" s="40">
        <f ca="1">OFFSET('Calc - SENIOR PERS'!$B$7,(ROW()-ROW($A$41))*14,0)</f>
        <v>0</v>
      </c>
      <c r="C42" s="769">
        <f ca="1">OFFSET('Calc - SENIOR PERS'!$V$11,(COLUMN()-3+(ROW()-ROW($A$41))*14),0)</f>
        <v>0</v>
      </c>
      <c r="D42" s="769">
        <f ca="1">OFFSET('Calc - SENIOR PERS'!$V$11,(COLUMN()-3+(ROW()-ROW($A$41))*14),0)</f>
        <v>0</v>
      </c>
      <c r="E42" s="769">
        <f ca="1">OFFSET('Calc - SENIOR PERS'!$V$11,(COLUMN()-3+(ROW()-ROW($A$41))*14),0)</f>
        <v>0</v>
      </c>
      <c r="F42" s="769">
        <f ca="1">OFFSET('Calc - SENIOR PERS'!$V$11,(COLUMN()-3+(ROW()-ROW($A$41))*14),0)</f>
        <v>0</v>
      </c>
      <c r="G42" s="769">
        <f ca="1">OFFSET('Calc - SENIOR PERS'!$V$11,(COLUMN()-3+(ROW()-ROW($A$41))*14),0)</f>
        <v>0</v>
      </c>
      <c r="H42" s="769">
        <f ca="1">OFFSET('Calc - SENIOR PERS'!$V$11,(COLUMN()-3+(ROW()-ROW($A$41))*14),0)</f>
        <v>0</v>
      </c>
      <c r="I42" s="769">
        <f t="shared" ca="1" si="4"/>
        <v>0</v>
      </c>
      <c r="N42" s="448"/>
    </row>
    <row r="43" spans="1:14" x14ac:dyDescent="0.25">
      <c r="A43" s="40">
        <f ca="1">OFFSET('Calc - SENIOR PERS'!$B$6,(ROW()-ROW($A$41))*14,0)</f>
        <v>0</v>
      </c>
      <c r="B43" s="40">
        <f ca="1">OFFSET('Calc - SENIOR PERS'!$B$7,(ROW()-ROW($A$41))*14,0)</f>
        <v>0</v>
      </c>
      <c r="C43" s="769">
        <f ca="1">OFFSET('Calc - SENIOR PERS'!$V$11,(COLUMN()-3+(ROW()-ROW($A$41))*14),0)</f>
        <v>0</v>
      </c>
      <c r="D43" s="769">
        <f ca="1">OFFSET('Calc - SENIOR PERS'!$V$11,(COLUMN()-3+(ROW()-ROW($A$41))*14),0)</f>
        <v>0</v>
      </c>
      <c r="E43" s="769">
        <f ca="1">OFFSET('Calc - SENIOR PERS'!$V$11,(COLUMN()-3+(ROW()-ROW($A$41))*14),0)</f>
        <v>0</v>
      </c>
      <c r="F43" s="769">
        <f ca="1">OFFSET('Calc - SENIOR PERS'!$V$11,(COLUMN()-3+(ROW()-ROW($A$41))*14),0)</f>
        <v>0</v>
      </c>
      <c r="G43" s="769">
        <f ca="1">OFFSET('Calc - SENIOR PERS'!$V$11,(COLUMN()-3+(ROW()-ROW($A$41))*14),0)</f>
        <v>0</v>
      </c>
      <c r="H43" s="769">
        <f ca="1">OFFSET('Calc - SENIOR PERS'!$V$11,(COLUMN()-3+(ROW()-ROW($A$41))*14),0)</f>
        <v>0</v>
      </c>
      <c r="I43" s="769">
        <f t="shared" ca="1" si="4"/>
        <v>0</v>
      </c>
      <c r="J43" s="769"/>
      <c r="N43" s="448"/>
    </row>
    <row r="44" spans="1:14" x14ac:dyDescent="0.25">
      <c r="A44" s="40">
        <f ca="1">OFFSET('Calc - SENIOR PERS'!$B$6,(ROW()-ROW($A$41))*14,0)</f>
        <v>0</v>
      </c>
      <c r="B44" s="40">
        <f ca="1">OFFSET('Calc - SENIOR PERS'!$B$7,(ROW()-ROW($A$41))*14,0)</f>
        <v>0</v>
      </c>
      <c r="C44" s="769">
        <f ca="1">OFFSET('Calc - SENIOR PERS'!$V$11,(COLUMN()-3+(ROW()-ROW($A$41))*14),0)</f>
        <v>0</v>
      </c>
      <c r="D44" s="769">
        <f ca="1">OFFSET('Calc - SENIOR PERS'!$V$11,(COLUMN()-3+(ROW()-ROW($A$41))*14),0)</f>
        <v>0</v>
      </c>
      <c r="E44" s="769">
        <f ca="1">OFFSET('Calc - SENIOR PERS'!$V$11,(COLUMN()-3+(ROW()-ROW($A$41))*14),0)</f>
        <v>0</v>
      </c>
      <c r="F44" s="769">
        <f ca="1">OFFSET('Calc - SENIOR PERS'!$V$11,(COLUMN()-3+(ROW()-ROW($A$41))*14),0)</f>
        <v>0</v>
      </c>
      <c r="G44" s="769">
        <f ca="1">OFFSET('Calc - SENIOR PERS'!$V$11,(COLUMN()-3+(ROW()-ROW($A$41))*14),0)</f>
        <v>0</v>
      </c>
      <c r="H44" s="769">
        <f ca="1">OFFSET('Calc - SENIOR PERS'!$V$11,(COLUMN()-3+(ROW()-ROW($A$41))*14),0)</f>
        <v>0</v>
      </c>
      <c r="I44" s="769">
        <f t="shared" ca="1" si="4"/>
        <v>0</v>
      </c>
      <c r="J44" s="769"/>
      <c r="N44" s="448"/>
    </row>
    <row r="45" spans="1:14" x14ac:dyDescent="0.25">
      <c r="A45" s="40">
        <f ca="1">OFFSET('Calc - SENIOR PERS'!$B$6,(ROW()-ROW($A$41))*14,0)</f>
        <v>0</v>
      </c>
      <c r="B45" s="40">
        <f ca="1">OFFSET('Calc - SENIOR PERS'!$B$7,(ROW()-ROW($A$41))*14,0)</f>
        <v>0</v>
      </c>
      <c r="C45" s="769">
        <f ca="1">OFFSET('Calc - SENIOR PERS'!$V$11,(COLUMN()-3+(ROW()-ROW($A$41))*14),0)</f>
        <v>0</v>
      </c>
      <c r="D45" s="769">
        <f ca="1">OFFSET('Calc - SENIOR PERS'!$V$11,(COLUMN()-3+(ROW()-ROW($A$41))*14),0)</f>
        <v>0</v>
      </c>
      <c r="E45" s="769">
        <f ca="1">OFFSET('Calc - SENIOR PERS'!$V$11,(COLUMN()-3+(ROW()-ROW($A$41))*14),0)</f>
        <v>0</v>
      </c>
      <c r="F45" s="769">
        <f ca="1">OFFSET('Calc - SENIOR PERS'!$V$11,(COLUMN()-3+(ROW()-ROW($A$41))*14),0)</f>
        <v>0</v>
      </c>
      <c r="G45" s="769">
        <f ca="1">OFFSET('Calc - SENIOR PERS'!$V$11,(COLUMN()-3+(ROW()-ROW($A$41))*14),0)</f>
        <v>0</v>
      </c>
      <c r="H45" s="769">
        <f ca="1">OFFSET('Calc - SENIOR PERS'!$V$11,(COLUMN()-3+(ROW()-ROW($A$41))*14),0)</f>
        <v>0</v>
      </c>
      <c r="I45" s="769">
        <f t="shared" ca="1" si="4"/>
        <v>0</v>
      </c>
      <c r="J45" s="769"/>
      <c r="N45" s="448"/>
    </row>
    <row r="46" spans="1:14" x14ac:dyDescent="0.25">
      <c r="A46" s="40">
        <f ca="1">OFFSET('Calc - SENIOR PERS'!$B$6,(ROW()-ROW($A$41))*14,0)</f>
        <v>0</v>
      </c>
      <c r="B46" s="40">
        <f ca="1">OFFSET('Calc - SENIOR PERS'!$B$7,(ROW()-ROW($A$41))*14,0)</f>
        <v>0</v>
      </c>
      <c r="C46" s="769">
        <f ca="1">OFFSET('Calc - SENIOR PERS'!$V$11,(COLUMN()-3+(ROW()-ROW($A$41))*14),0)</f>
        <v>0</v>
      </c>
      <c r="D46" s="769">
        <f ca="1">OFFSET('Calc - SENIOR PERS'!$V$11,(COLUMN()-3+(ROW()-ROW($A$41))*14),0)</f>
        <v>0</v>
      </c>
      <c r="E46" s="769">
        <f ca="1">OFFSET('Calc - SENIOR PERS'!$V$11,(COLUMN()-3+(ROW()-ROW($A$41))*14),0)</f>
        <v>0</v>
      </c>
      <c r="F46" s="769">
        <f ca="1">OFFSET('Calc - SENIOR PERS'!$V$11,(COLUMN()-3+(ROW()-ROW($A$41))*14),0)</f>
        <v>0</v>
      </c>
      <c r="G46" s="769">
        <f ca="1">OFFSET('Calc - SENIOR PERS'!$V$11,(COLUMN()-3+(ROW()-ROW($A$41))*14),0)</f>
        <v>0</v>
      </c>
      <c r="H46" s="769">
        <f ca="1">OFFSET('Calc - SENIOR PERS'!$V$11,(COLUMN()-3+(ROW()-ROW($A$41))*14),0)</f>
        <v>0</v>
      </c>
      <c r="I46" s="769">
        <f t="shared" ca="1" si="4"/>
        <v>0</v>
      </c>
      <c r="N46" s="448"/>
    </row>
    <row r="47" spans="1:14" x14ac:dyDescent="0.25">
      <c r="A47" s="40">
        <f ca="1">OFFSET('Calc - SENIOR PERS'!$B$6,(ROW()-ROW($A$41))*14,0)</f>
        <v>0</v>
      </c>
      <c r="B47" s="40">
        <f ca="1">OFFSET('Calc - SENIOR PERS'!$B$7,(ROW()-ROW($A$41))*14,0)</f>
        <v>0</v>
      </c>
      <c r="C47" s="769">
        <f ca="1">OFFSET('Calc - SENIOR PERS'!$V$11,(COLUMN()-3+(ROW()-ROW($A$41))*14),0)</f>
        <v>0</v>
      </c>
      <c r="D47" s="769">
        <f ca="1">OFFSET('Calc - SENIOR PERS'!$V$11,(COLUMN()-3+(ROW()-ROW($A$41))*14),0)</f>
        <v>0</v>
      </c>
      <c r="E47" s="769">
        <f ca="1">OFFSET('Calc - SENIOR PERS'!$V$11,(COLUMN()-3+(ROW()-ROW($A$41))*14),0)</f>
        <v>0</v>
      </c>
      <c r="F47" s="769">
        <f ca="1">OFFSET('Calc - SENIOR PERS'!$V$11,(COLUMN()-3+(ROW()-ROW($A$41))*14),0)</f>
        <v>0</v>
      </c>
      <c r="G47" s="769">
        <f ca="1">OFFSET('Calc - SENIOR PERS'!$V$11,(COLUMN()-3+(ROW()-ROW($A$41))*14),0)</f>
        <v>0</v>
      </c>
      <c r="H47" s="769">
        <f ca="1">OFFSET('Calc - SENIOR PERS'!$V$11,(COLUMN()-3+(ROW()-ROW($A$41))*14),0)</f>
        <v>0</v>
      </c>
      <c r="I47" s="769">
        <f t="shared" ca="1" si="4"/>
        <v>0</v>
      </c>
      <c r="N47" s="448"/>
    </row>
    <row r="48" spans="1:14" x14ac:dyDescent="0.25">
      <c r="A48" s="40">
        <f ca="1">OFFSET('Calc - SENIOR PERS'!$B$6,(ROW()-ROW($A$41))*14,0)</f>
        <v>0</v>
      </c>
      <c r="B48" s="40">
        <f ca="1">OFFSET('Calc - SENIOR PERS'!$B$7,(ROW()-ROW($A$41))*14,0)</f>
        <v>0</v>
      </c>
      <c r="C48" s="769">
        <f ca="1">OFFSET('Calc - SENIOR PERS'!$V$11,(COLUMN()-3+(ROW()-ROW($A$41))*14),0)</f>
        <v>0</v>
      </c>
      <c r="D48" s="769">
        <f ca="1">OFFSET('Calc - SENIOR PERS'!$V$11,(COLUMN()-3+(ROW()-ROW($A$41))*14),0)</f>
        <v>0</v>
      </c>
      <c r="E48" s="769">
        <f ca="1">OFFSET('Calc - SENIOR PERS'!$V$11,(COLUMN()-3+(ROW()-ROW($A$41))*14),0)</f>
        <v>0</v>
      </c>
      <c r="F48" s="769">
        <f ca="1">OFFSET('Calc - SENIOR PERS'!$V$11,(COLUMN()-3+(ROW()-ROW($A$41))*14),0)</f>
        <v>0</v>
      </c>
      <c r="G48" s="769">
        <f ca="1">OFFSET('Calc - SENIOR PERS'!$V$11,(COLUMN()-3+(ROW()-ROW($A$41))*14),0)</f>
        <v>0</v>
      </c>
      <c r="H48" s="769">
        <f ca="1">OFFSET('Calc - SENIOR PERS'!$V$11,(COLUMN()-3+(ROW()-ROW($A$41))*14),0)</f>
        <v>0</v>
      </c>
      <c r="I48" s="769">
        <f t="shared" ca="1" si="4"/>
        <v>0</v>
      </c>
      <c r="J48" s="769"/>
      <c r="N48" s="448"/>
    </row>
    <row r="49" spans="1:14" x14ac:dyDescent="0.25">
      <c r="A49" s="40">
        <f ca="1">OFFSET('Calc - SENIOR PERS'!$B$6,(ROW()-ROW($A$41))*14,0)</f>
        <v>0</v>
      </c>
      <c r="B49" s="40">
        <f ca="1">OFFSET('Calc - SENIOR PERS'!$B$7,(ROW()-ROW($A$41))*14,0)</f>
        <v>0</v>
      </c>
      <c r="C49" s="769">
        <f ca="1">OFFSET('Calc - SENIOR PERS'!$V$11,(COLUMN()-3+(ROW()-ROW($A$41))*14),0)</f>
        <v>0</v>
      </c>
      <c r="D49" s="769">
        <f ca="1">OFFSET('Calc - SENIOR PERS'!$V$11,(COLUMN()-3+(ROW()-ROW($A$41))*14),0)</f>
        <v>0</v>
      </c>
      <c r="E49" s="769">
        <f ca="1">OFFSET('Calc - SENIOR PERS'!$V$11,(COLUMN()-3+(ROW()-ROW($A$41))*14),0)</f>
        <v>0</v>
      </c>
      <c r="F49" s="769">
        <f ca="1">OFFSET('Calc - SENIOR PERS'!$V$11,(COLUMN()-3+(ROW()-ROW($A$41))*14),0)</f>
        <v>0</v>
      </c>
      <c r="G49" s="769">
        <f ca="1">OFFSET('Calc - SENIOR PERS'!$V$11,(COLUMN()-3+(ROW()-ROW($A$41))*14),0)</f>
        <v>0</v>
      </c>
      <c r="H49" s="769">
        <f ca="1">OFFSET('Calc - SENIOR PERS'!$V$11,(COLUMN()-3+(ROW()-ROW($A$41))*14),0)</f>
        <v>0</v>
      </c>
      <c r="I49" s="769">
        <f t="shared" ca="1" si="4"/>
        <v>0</v>
      </c>
      <c r="J49" s="769"/>
      <c r="N49" s="448"/>
    </row>
    <row r="50" spans="1:14" x14ac:dyDescent="0.25">
      <c r="A50" s="40">
        <f ca="1">OFFSET('Calc - SENIOR PERS'!$B$6,(ROW()-ROW($A$41))*14,0)</f>
        <v>0</v>
      </c>
      <c r="B50" s="40">
        <f ca="1">OFFSET('Calc - SENIOR PERS'!$B$7,(ROW()-ROW($A$41))*14,0)</f>
        <v>0</v>
      </c>
      <c r="C50" s="769">
        <f ca="1">OFFSET('Calc - SENIOR PERS'!$V$11,(COLUMN()-3+(ROW()-ROW($A$41))*14),0)</f>
        <v>0</v>
      </c>
      <c r="D50" s="769">
        <f ca="1">OFFSET('Calc - SENIOR PERS'!$V$11,(COLUMN()-3+(ROW()-ROW($A$41))*14),0)</f>
        <v>0</v>
      </c>
      <c r="E50" s="769">
        <f ca="1">OFFSET('Calc - SENIOR PERS'!$V$11,(COLUMN()-3+(ROW()-ROW($A$41))*14),0)</f>
        <v>0</v>
      </c>
      <c r="F50" s="769">
        <f ca="1">OFFSET('Calc - SENIOR PERS'!$V$11,(COLUMN()-3+(ROW()-ROW($A$41))*14),0)</f>
        <v>0</v>
      </c>
      <c r="G50" s="769">
        <f ca="1">OFFSET('Calc - SENIOR PERS'!$V$11,(COLUMN()-3+(ROW()-ROW($A$41))*14),0)</f>
        <v>0</v>
      </c>
      <c r="H50" s="769">
        <f ca="1">OFFSET('Calc - SENIOR PERS'!$V$11,(COLUMN()-3+(ROW()-ROW($A$41))*14),0)</f>
        <v>0</v>
      </c>
      <c r="I50" s="769">
        <f t="shared" ca="1" si="4"/>
        <v>0</v>
      </c>
      <c r="J50" s="769"/>
      <c r="N50" s="448"/>
    </row>
    <row r="51" spans="1:14" x14ac:dyDescent="0.25">
      <c r="A51" s="40">
        <f ca="1">OFFSET('Calc - SENIOR PERS'!$B$6,(ROW()-ROW($A$41))*14,0)</f>
        <v>0</v>
      </c>
      <c r="B51" s="40">
        <f ca="1">OFFSET('Calc - SENIOR PERS'!$B$7,(ROW()-ROW($A$41))*14,0)</f>
        <v>0</v>
      </c>
      <c r="C51" s="769">
        <f ca="1">OFFSET('Calc - SENIOR PERS'!$V$11,(COLUMN()-3+(ROW()-ROW($A$41))*14),0)</f>
        <v>0</v>
      </c>
      <c r="D51" s="769">
        <f ca="1">OFFSET('Calc - SENIOR PERS'!$V$11,(COLUMN()-3+(ROW()-ROW($A$41))*14),0)</f>
        <v>0</v>
      </c>
      <c r="E51" s="769">
        <f ca="1">OFFSET('Calc - SENIOR PERS'!$V$11,(COLUMN()-3+(ROW()-ROW($A$41))*14),0)</f>
        <v>0</v>
      </c>
      <c r="F51" s="769">
        <f ca="1">OFFSET('Calc - SENIOR PERS'!$V$11,(COLUMN()-3+(ROW()-ROW($A$41))*14),0)</f>
        <v>0</v>
      </c>
      <c r="G51" s="769">
        <f ca="1">OFFSET('Calc - SENIOR PERS'!$V$11,(COLUMN()-3+(ROW()-ROW($A$41))*14),0)</f>
        <v>0</v>
      </c>
      <c r="H51" s="769">
        <f ca="1">OFFSET('Calc - SENIOR PERS'!$V$11,(COLUMN()-3+(ROW()-ROW($A$41))*14),0)</f>
        <v>0</v>
      </c>
      <c r="I51" s="769">
        <f t="shared" ca="1" si="4"/>
        <v>0</v>
      </c>
      <c r="N51" s="448"/>
    </row>
    <row r="52" spans="1:14" x14ac:dyDescent="0.25">
      <c r="A52" s="40">
        <f ca="1">OFFSET('Calc - SENIOR PERS'!$B$6,(ROW()-ROW($A$41))*14,0)</f>
        <v>0</v>
      </c>
      <c r="B52" s="40">
        <f ca="1">OFFSET('Calc - SENIOR PERS'!$B$7,(ROW()-ROW($A$41))*14,0)</f>
        <v>0</v>
      </c>
      <c r="C52" s="769">
        <f ca="1">OFFSET('Calc - SENIOR PERS'!$V$11,(COLUMN()-3+(ROW()-ROW($A$41))*14),0)</f>
        <v>0</v>
      </c>
      <c r="D52" s="769">
        <f ca="1">OFFSET('Calc - SENIOR PERS'!$V$11,(COLUMN()-3+(ROW()-ROW($A$41))*14),0)</f>
        <v>0</v>
      </c>
      <c r="E52" s="769">
        <f ca="1">OFFSET('Calc - SENIOR PERS'!$V$11,(COLUMN()-3+(ROW()-ROW($A$41))*14),0)</f>
        <v>0</v>
      </c>
      <c r="F52" s="769">
        <f ca="1">OFFSET('Calc - SENIOR PERS'!$V$11,(COLUMN()-3+(ROW()-ROW($A$41))*14),0)</f>
        <v>0</v>
      </c>
      <c r="G52" s="769">
        <f ca="1">OFFSET('Calc - SENIOR PERS'!$V$11,(COLUMN()-3+(ROW()-ROW($A$41))*14),0)</f>
        <v>0</v>
      </c>
      <c r="H52" s="769">
        <f ca="1">OFFSET('Calc - SENIOR PERS'!$V$11,(COLUMN()-3+(ROW()-ROW($A$41))*14),0)</f>
        <v>0</v>
      </c>
      <c r="I52" s="769">
        <f t="shared" ca="1" si="4"/>
        <v>0</v>
      </c>
    </row>
    <row r="53" spans="1:14" x14ac:dyDescent="0.25">
      <c r="A53" s="40">
        <f ca="1">OFFSET('Calc - SENIOR PERS'!$B$6,(ROW()-ROW($A$41))*14,0)</f>
        <v>0</v>
      </c>
      <c r="B53" s="40">
        <f ca="1">OFFSET('Calc - SENIOR PERS'!$B$7,(ROW()-ROW($A$41))*14,0)</f>
        <v>0</v>
      </c>
      <c r="C53" s="769">
        <f ca="1">OFFSET('Calc - SENIOR PERS'!$V$11,(COLUMN()-3+(ROW()-ROW($A$41))*14),0)</f>
        <v>0</v>
      </c>
      <c r="D53" s="769">
        <f ca="1">OFFSET('Calc - SENIOR PERS'!$V$11,(COLUMN()-3+(ROW()-ROW($A$41))*14),0)</f>
        <v>0</v>
      </c>
      <c r="E53" s="769">
        <f ca="1">OFFSET('Calc - SENIOR PERS'!$V$11,(COLUMN()-3+(ROW()-ROW($A$41))*14),0)</f>
        <v>0</v>
      </c>
      <c r="F53" s="769">
        <f ca="1">OFFSET('Calc - SENIOR PERS'!$V$11,(COLUMN()-3+(ROW()-ROW($A$41))*14),0)</f>
        <v>0</v>
      </c>
      <c r="G53" s="769">
        <f ca="1">OFFSET('Calc - SENIOR PERS'!$V$11,(COLUMN()-3+(ROW()-ROW($A$41))*14),0)</f>
        <v>0</v>
      </c>
      <c r="H53" s="769">
        <f ca="1">OFFSET('Calc - SENIOR PERS'!$V$11,(COLUMN()-3+(ROW()-ROW($A$41))*14),0)</f>
        <v>0</v>
      </c>
      <c r="I53" s="769">
        <f t="shared" ca="1" si="4"/>
        <v>0</v>
      </c>
      <c r="L53"/>
    </row>
    <row r="54" spans="1:14" s="922" customFormat="1" ht="15.75" x14ac:dyDescent="0.25">
      <c r="A54" s="40">
        <f ca="1">OFFSET('Calc - SENIOR PERS'!$B$6,(ROW()-ROW($A$41))*14,0)</f>
        <v>0</v>
      </c>
      <c r="B54" s="40">
        <f ca="1">OFFSET('Calc - SENIOR PERS'!$B$7,(ROW()-ROW($A$41))*14,0)</f>
        <v>0</v>
      </c>
      <c r="C54" s="769">
        <f ca="1">OFFSET('Calc - SENIOR PERS'!$V$11,(COLUMN()-3+(ROW()-ROW($A$41))*14),0)</f>
        <v>0</v>
      </c>
      <c r="D54" s="769">
        <f ca="1">OFFSET('Calc - SENIOR PERS'!$V$11,(COLUMN()-3+(ROW()-ROW($A$41))*14),0)</f>
        <v>0</v>
      </c>
      <c r="E54" s="769">
        <f ca="1">OFFSET('Calc - SENIOR PERS'!$V$11,(COLUMN()-3+(ROW()-ROW($A$41))*14),0)</f>
        <v>0</v>
      </c>
      <c r="F54" s="769">
        <f ca="1">OFFSET('Calc - SENIOR PERS'!$V$11,(COLUMN()-3+(ROW()-ROW($A$41))*14),0)</f>
        <v>0</v>
      </c>
      <c r="G54" s="769">
        <f ca="1">OFFSET('Calc - SENIOR PERS'!$V$11,(COLUMN()-3+(ROW()-ROW($A$41))*14),0)</f>
        <v>0</v>
      </c>
      <c r="H54" s="769">
        <f ca="1">OFFSET('Calc - SENIOR PERS'!$V$11,(COLUMN()-3+(ROW()-ROW($A$41))*14),0)</f>
        <v>0</v>
      </c>
      <c r="I54" s="769">
        <f t="shared" ca="1" si="4"/>
        <v>0</v>
      </c>
      <c r="J54"/>
      <c r="L54" s="671"/>
      <c r="M54" s="770"/>
    </row>
    <row r="55" spans="1:14" s="448" customFormat="1" x14ac:dyDescent="0.25">
      <c r="A55" s="40">
        <f ca="1">OFFSET('Calc - SENIOR PERS'!$B$6,(ROW()-ROW($A$41))*14,0)</f>
        <v>0</v>
      </c>
      <c r="B55" s="40">
        <f ca="1">OFFSET('Calc - SENIOR PERS'!$B$7,(ROW()-ROW($A$41))*14,0)</f>
        <v>0</v>
      </c>
      <c r="C55" s="769">
        <f ca="1">OFFSET('Calc - SENIOR PERS'!$V$11,(COLUMN()-3+(ROW()-ROW($A$41))*14),0)</f>
        <v>0</v>
      </c>
      <c r="D55" s="769">
        <f ca="1">OFFSET('Calc - SENIOR PERS'!$V$11,(COLUMN()-3+(ROW()-ROW($A$41))*14),0)</f>
        <v>0</v>
      </c>
      <c r="E55" s="769">
        <f ca="1">OFFSET('Calc - SENIOR PERS'!$V$11,(COLUMN()-3+(ROW()-ROW($A$41))*14),0)</f>
        <v>0</v>
      </c>
      <c r="F55" s="769">
        <f ca="1">OFFSET('Calc - SENIOR PERS'!$V$11,(COLUMN()-3+(ROW()-ROW($A$41))*14),0)</f>
        <v>0</v>
      </c>
      <c r="G55" s="769">
        <f ca="1">OFFSET('Calc - SENIOR PERS'!$V$11,(COLUMN()-3+(ROW()-ROW($A$41))*14),0)</f>
        <v>0</v>
      </c>
      <c r="H55" s="769">
        <f ca="1">OFFSET('Calc - SENIOR PERS'!$V$11,(COLUMN()-3+(ROW()-ROW($A$41))*14),0)</f>
        <v>0</v>
      </c>
      <c r="I55" s="769">
        <f t="shared" ca="1" si="4"/>
        <v>0</v>
      </c>
      <c r="J55"/>
      <c r="L55" s="509"/>
      <c r="M55" s="883"/>
    </row>
    <row r="56" spans="1:14" x14ac:dyDescent="0.25">
      <c r="A56" s="936"/>
      <c r="B56" s="937" t="s">
        <v>433</v>
      </c>
      <c r="C56" s="938">
        <f ca="1">SUBTOTAL(109,'ORG Cost Share'!$C$41:$C$55)</f>
        <v>0</v>
      </c>
      <c r="D56" s="938">
        <f ca="1">SUBTOTAL(109,'ORG Cost Share'!$D$41:$D$55)</f>
        <v>0</v>
      </c>
      <c r="E56" s="938">
        <f ca="1">SUBTOTAL(109,'ORG Cost Share'!$E$41:$E$55)</f>
        <v>0</v>
      </c>
      <c r="F56" s="938">
        <f ca="1">SUBTOTAL(109,'ORG Cost Share'!$F$41:$F$55)</f>
        <v>0</v>
      </c>
      <c r="G56" s="938">
        <f ca="1">SUBTOTAL(109,'ORG Cost Share'!$G$41:$G$55)</f>
        <v>0</v>
      </c>
      <c r="H56" s="938">
        <f ca="1">SUBTOTAL(109,'ORG Cost Share'!$H$41:$H$55)</f>
        <v>0</v>
      </c>
      <c r="I56" s="939">
        <f ca="1">SUBTOTAL(109,'ORG Cost Share'!$I$41:$I$55)</f>
        <v>0</v>
      </c>
      <c r="J56" s="769"/>
      <c r="N56" s="448"/>
    </row>
    <row r="57" spans="1:14" x14ac:dyDescent="0.25">
      <c r="B57" s="940"/>
      <c r="C57" s="941"/>
      <c r="D57" s="941"/>
      <c r="E57" s="941"/>
      <c r="F57" s="941"/>
      <c r="G57" s="941"/>
      <c r="H57" s="941"/>
      <c r="I57" s="941"/>
      <c r="J57" s="769"/>
      <c r="N57" s="448"/>
    </row>
    <row r="58" spans="1:14" ht="15.75" x14ac:dyDescent="0.25">
      <c r="A58" s="913" t="s">
        <v>638</v>
      </c>
      <c r="B58" s="919"/>
      <c r="C58" s="913"/>
      <c r="D58" s="913"/>
      <c r="E58" s="913"/>
      <c r="F58" s="920" t="str">
        <f ca="1">$D$1</f>
        <v/>
      </c>
      <c r="G58" s="913"/>
      <c r="H58" s="913"/>
      <c r="I58" s="921"/>
      <c r="J58" s="769"/>
      <c r="N58" s="448"/>
    </row>
    <row r="59" spans="1:14" x14ac:dyDescent="0.25">
      <c r="A59" s="879" t="s">
        <v>432</v>
      </c>
      <c r="B59" s="331" t="s">
        <v>339</v>
      </c>
      <c r="C59" s="881" t="s">
        <v>400</v>
      </c>
      <c r="D59" s="881" t="s">
        <v>401</v>
      </c>
      <c r="E59" s="881" t="s">
        <v>402</v>
      </c>
      <c r="F59" s="881" t="s">
        <v>403</v>
      </c>
      <c r="G59" s="881" t="s">
        <v>404</v>
      </c>
      <c r="H59" s="881" t="s">
        <v>405</v>
      </c>
      <c r="I59" s="881" t="s">
        <v>170</v>
      </c>
      <c r="J59" s="769"/>
      <c r="N59" s="448"/>
    </row>
    <row r="60" spans="1:14" x14ac:dyDescent="0.25">
      <c r="A60" s="40" t="str">
        <f ca="1">'Calc - OTHER PERS'!$C$6</f>
        <v>TBD</v>
      </c>
      <c r="B60" s="40" t="str">
        <f ca="1">OFFSET('Calc - OTHER PERS'!$C$7,(ROW()-ROW($A$60))*14,0)</f>
        <v>COE</v>
      </c>
      <c r="C60" s="769">
        <f ca="1">OFFSET('Calc - OTHER PERS'!$N$11,(COLUMN()-3+(ROW()-ROW($A$60))*14),0)</f>
        <v>0</v>
      </c>
      <c r="D60" s="769">
        <f ca="1">OFFSET('Calc - OTHER PERS'!$N$11,(COLUMN()-3+(ROW()-ROW($A$60))*14),0)</f>
        <v>0</v>
      </c>
      <c r="E60" s="769">
        <f ca="1">OFFSET('Calc - OTHER PERS'!$N$11,(COLUMN()-3+(ROW()-ROW($A$60))*14),0)</f>
        <v>0</v>
      </c>
      <c r="F60" s="769">
        <f ca="1">OFFSET('Calc - OTHER PERS'!$N$11,(COLUMN()-3+(ROW()-ROW($A$60))*14),0)</f>
        <v>0</v>
      </c>
      <c r="G60" s="769">
        <f ca="1">OFFSET('Calc - OTHER PERS'!$N$11,(COLUMN()-3+(ROW()-ROW($A$60))*14),0)</f>
        <v>0</v>
      </c>
      <c r="H60" s="769">
        <f ca="1">OFFSET('Calc - OTHER PERS'!$N$11,(COLUMN()-3+(ROW()-ROW($A$60))*14),0)</f>
        <v>0</v>
      </c>
      <c r="I60" s="769">
        <f ca="1">SUM(C60:H60)</f>
        <v>0</v>
      </c>
    </row>
    <row r="61" spans="1:14" x14ac:dyDescent="0.25">
      <c r="A61" s="40">
        <f ca="1">OFFSET('Calc - OTHER PERS'!$C$6,(ROW()-ROW($A$60))*14,0)</f>
        <v>0</v>
      </c>
      <c r="B61" s="40">
        <f ca="1">OFFSET('Calc - OTHER PERS'!$C$7,(ROW()-ROW($A$60))*14,0)</f>
        <v>0</v>
      </c>
      <c r="C61" s="769">
        <f ca="1">OFFSET('Calc - OTHER PERS'!$N$11,(COLUMN()-3+(ROW()-ROW($A$60))*14),0)</f>
        <v>0</v>
      </c>
      <c r="D61" s="769">
        <f ca="1">OFFSET('Calc - OTHER PERS'!$N$11,(COLUMN()-3+(ROW()-ROW($A$60))*14),0)</f>
        <v>0</v>
      </c>
      <c r="E61" s="769">
        <f ca="1">OFFSET('Calc - OTHER PERS'!$N$11,(COLUMN()-3+(ROW()-ROW($A$60))*14),0)</f>
        <v>0</v>
      </c>
      <c r="F61" s="769">
        <f ca="1">OFFSET('Calc - OTHER PERS'!$N$11,(COLUMN()-3+(ROW()-ROW($A$60))*14),0)</f>
        <v>0</v>
      </c>
      <c r="G61" s="769">
        <f ca="1">OFFSET('Calc - OTHER PERS'!$N$11,(COLUMN()-3+(ROW()-ROW($A$60))*14),0)</f>
        <v>0</v>
      </c>
      <c r="H61" s="769">
        <f ca="1">OFFSET('Calc - OTHER PERS'!$N$11,(COLUMN()-3+(ROW()-ROW($A$60))*14),0)</f>
        <v>0</v>
      </c>
      <c r="I61" s="769">
        <f ca="1">SUM(C61:H61)</f>
        <v>0</v>
      </c>
      <c r="L61"/>
    </row>
    <row r="62" spans="1:14" x14ac:dyDescent="0.25">
      <c r="A62" s="40">
        <f ca="1">OFFSET('Calc - OTHER PERS'!$C$6,(ROW()-ROW($A$60))*14,0)</f>
        <v>0</v>
      </c>
      <c r="B62" s="40">
        <f ca="1">OFFSET('Calc - OTHER PERS'!$C$7,(ROW()-ROW($A$60))*14,0)</f>
        <v>0</v>
      </c>
      <c r="C62" s="769">
        <f ca="1">OFFSET('Calc - OTHER PERS'!$N$11,(COLUMN()-3+(ROW()-ROW($A$60))*14),0)</f>
        <v>0</v>
      </c>
      <c r="D62" s="769">
        <f ca="1">OFFSET('Calc - OTHER PERS'!$N$11,(COLUMN()-3+(ROW()-ROW($A$60))*14),0)</f>
        <v>0</v>
      </c>
      <c r="E62" s="769">
        <f ca="1">OFFSET('Calc - OTHER PERS'!$N$11,(COLUMN()-3+(ROW()-ROW($A$60))*14),0)</f>
        <v>0</v>
      </c>
      <c r="F62" s="769">
        <f ca="1">OFFSET('Calc - OTHER PERS'!$N$11,(COLUMN()-3+(ROW()-ROW($A$60))*14),0)</f>
        <v>0</v>
      </c>
      <c r="G62" s="769">
        <f ca="1">OFFSET('Calc - OTHER PERS'!$N$11,(COLUMN()-3+(ROW()-ROW($A$60))*14),0)</f>
        <v>0</v>
      </c>
      <c r="H62" s="769">
        <f ca="1">OFFSET('Calc - OTHER PERS'!$N$11,(COLUMN()-3+(ROW()-ROW($A$60))*14),0)</f>
        <v>0</v>
      </c>
      <c r="I62" s="769">
        <f ca="1">SUM(C62:H62)</f>
        <v>0</v>
      </c>
      <c r="L62"/>
    </row>
    <row r="63" spans="1:14" x14ac:dyDescent="0.25">
      <c r="A63" s="40">
        <f ca="1">OFFSET('Calc - OTHER PERS'!$C$6,(ROW()-ROW($A$60))*14,0)</f>
        <v>0</v>
      </c>
      <c r="B63" s="40">
        <f ca="1">OFFSET('Calc - OTHER PERS'!$C$7,(ROW()-ROW($A$60))*14,0)</f>
        <v>0</v>
      </c>
      <c r="C63" s="769">
        <f ca="1">OFFSET('Calc - OTHER PERS'!$N$11,(COLUMN()-3+(ROW()-ROW($A$60))*14),0)</f>
        <v>0</v>
      </c>
      <c r="D63" s="769">
        <f ca="1">OFFSET('Calc - OTHER PERS'!$N$11,(COLUMN()-3+(ROW()-ROW($A$60))*14),0)</f>
        <v>0</v>
      </c>
      <c r="E63" s="769">
        <f ca="1">OFFSET('Calc - OTHER PERS'!$N$11,(COLUMN()-3+(ROW()-ROW($A$60))*14),0)</f>
        <v>0</v>
      </c>
      <c r="F63" s="769">
        <f ca="1">OFFSET('Calc - OTHER PERS'!$N$11,(COLUMN()-3+(ROW()-ROW($A$60))*14),0)</f>
        <v>0</v>
      </c>
      <c r="G63" s="769">
        <f ca="1">OFFSET('Calc - OTHER PERS'!$N$11,(COLUMN()-3+(ROW()-ROW($A$60))*14),0)</f>
        <v>0</v>
      </c>
      <c r="H63" s="769">
        <f ca="1">OFFSET('Calc - OTHER PERS'!$N$11,(COLUMN()-3+(ROW()-ROW($A$60))*14),0)</f>
        <v>0</v>
      </c>
      <c r="I63" s="769">
        <f ca="1">SUM(C63:H63)</f>
        <v>0</v>
      </c>
      <c r="L63"/>
    </row>
    <row r="64" spans="1:14" x14ac:dyDescent="0.25">
      <c r="A64" s="936"/>
      <c r="B64" s="937" t="s">
        <v>433</v>
      </c>
      <c r="C64" s="938">
        <f ca="1">SUBTOTAL(109,'ORG Cost Share'!$C$60:$C$63)</f>
        <v>0</v>
      </c>
      <c r="D64" s="938">
        <f ca="1">SUBTOTAL(109,'ORG Cost Share'!$D$60:$D$63)</f>
        <v>0</v>
      </c>
      <c r="E64" s="938">
        <f ca="1">SUBTOTAL(109,'ORG Cost Share'!$E$60:$E$63)</f>
        <v>0</v>
      </c>
      <c r="F64" s="938">
        <f ca="1">SUBTOTAL(109,'ORG Cost Share'!$F$60:$F$63)</f>
        <v>0</v>
      </c>
      <c r="G64" s="938">
        <f ca="1">SUBTOTAL(109,'ORG Cost Share'!$G$60:$G$63)</f>
        <v>0</v>
      </c>
      <c r="H64" s="938">
        <f ca="1">SUBTOTAL(109,'ORG Cost Share'!$H$60:$H$63)</f>
        <v>0</v>
      </c>
      <c r="I64" s="939">
        <f ca="1">SUBTOTAL(109,'ORG Cost Share'!$I$60:$I$63)</f>
        <v>0</v>
      </c>
      <c r="L64"/>
    </row>
    <row r="65" spans="1:18" ht="15.75" x14ac:dyDescent="0.25">
      <c r="A65" s="847"/>
      <c r="B65" s="940"/>
      <c r="C65" s="941"/>
      <c r="D65" s="941"/>
      <c r="E65" s="941"/>
      <c r="F65" s="941"/>
      <c r="G65" s="941"/>
      <c r="H65" s="941"/>
      <c r="I65" s="941"/>
      <c r="L65"/>
    </row>
    <row r="66" spans="1:18" x14ac:dyDescent="0.25">
      <c r="B66"/>
    </row>
    <row r="67" spans="1:18" s="946" customFormat="1" ht="18.75" x14ac:dyDescent="0.3">
      <c r="A67"/>
      <c r="B67"/>
      <c r="C67"/>
      <c r="D67"/>
      <c r="E67"/>
      <c r="F67"/>
      <c r="G67"/>
      <c r="H67"/>
      <c r="I67"/>
      <c r="J67"/>
      <c r="K67"/>
      <c r="L67" s="1578" t="s">
        <v>539</v>
      </c>
      <c r="M67"/>
    </row>
    <row r="68" spans="1:18" s="770" customFormat="1" x14ac:dyDescent="0.25">
      <c r="A68"/>
      <c r="B68"/>
      <c r="C68"/>
      <c r="D68"/>
      <c r="E68"/>
      <c r="F68"/>
      <c r="G68"/>
      <c r="H68"/>
      <c r="I68"/>
      <c r="J68"/>
      <c r="K68"/>
    </row>
    <row r="69" spans="1:18" ht="45.75" thickBot="1" x14ac:dyDescent="0.3">
      <c r="B69"/>
      <c r="L69" s="1787" t="s">
        <v>538</v>
      </c>
      <c r="M69" s="1788"/>
      <c r="N69" s="1789"/>
      <c r="O69" s="1789"/>
      <c r="P69" s="1789"/>
      <c r="Q69" s="1789"/>
      <c r="R69" s="1789"/>
    </row>
    <row r="70" spans="1:18" ht="15.75" thickBot="1" x14ac:dyDescent="0.3">
      <c r="L70"/>
    </row>
    <row r="71" spans="1:18" ht="18.75" x14ac:dyDescent="0.3">
      <c r="A71" s="942" t="s">
        <v>434</v>
      </c>
      <c r="B71" s="943"/>
      <c r="C71" s="943"/>
      <c r="D71" s="944" t="str">
        <f ca="1">$D$1</f>
        <v/>
      </c>
      <c r="E71" s="943"/>
      <c r="F71" s="944"/>
      <c r="G71" s="943"/>
      <c r="H71" s="943"/>
      <c r="I71" s="945"/>
    </row>
    <row r="72" spans="1:18" x14ac:dyDescent="0.25">
      <c r="A72" s="947" t="s">
        <v>275</v>
      </c>
      <c r="B72" s="948"/>
      <c r="C72" s="948" t="s">
        <v>435</v>
      </c>
      <c r="D72" s="948"/>
      <c r="E72" s="948"/>
      <c r="F72" s="948" t="s">
        <v>348</v>
      </c>
      <c r="G72" s="948"/>
      <c r="H72" s="948"/>
      <c r="I72" s="949" t="s">
        <v>436</v>
      </c>
    </row>
    <row r="73" spans="1:18" ht="45.75" thickBot="1" x14ac:dyDescent="0.3">
      <c r="A73" s="1787" t="s">
        <v>538</v>
      </c>
      <c r="B73" s="1788"/>
      <c r="C73" s="1789"/>
      <c r="D73" s="1789"/>
      <c r="E73" s="1789"/>
      <c r="F73" s="1789"/>
      <c r="G73" s="1789"/>
      <c r="H73" s="1785"/>
      <c r="I73" s="1786"/>
    </row>
    <row r="74" spans="1:18" x14ac:dyDescent="0.25">
      <c r="A74" s="1784"/>
      <c r="B74"/>
    </row>
    <row r="75" spans="1:18" x14ac:dyDescent="0.25">
      <c r="A75" s="1784"/>
    </row>
  </sheetData>
  <autoFilter ref="A40:I55" xr:uid="{00000000-0009-0000-0000-00000E000000}"/>
  <conditionalFormatting sqref="D13:F13">
    <cfRule type="expression" dxfId="0" priority="1">
      <formula>$B$13&gt;0</formula>
    </cfRule>
  </conditionalFormatting>
  <printOptions horizontalCentered="1"/>
  <pageMargins left="0.5" right="0.25" top="0.5" bottom="0.5" header="0.25" footer="0.25"/>
  <pageSetup scale="88" fitToHeight="0" pageOrder="overThenDown" orientation="portrait" r:id="rId1"/>
  <headerFooter>
    <oddFooter>&amp;CINTERNAL FORM ONLY — The sponsor does not receive a copy of this form.</oddFooter>
  </headerFooter>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theme="5" tint="0.39997558519241921"/>
    <pageSetUpPr fitToPage="1"/>
  </sheetPr>
  <dimension ref="A1:N60"/>
  <sheetViews>
    <sheetView zoomScaleNormal="100" workbookViewId="0"/>
  </sheetViews>
  <sheetFormatPr defaultColWidth="9.140625" defaultRowHeight="15" x14ac:dyDescent="0.25"/>
  <cols>
    <col min="1" max="1" width="16.28515625" customWidth="1"/>
    <col min="2" max="2" width="11.7109375" style="448" customWidth="1"/>
    <col min="3" max="9" width="11.7109375" customWidth="1"/>
    <col min="10" max="10" width="4.5703125" customWidth="1"/>
    <col min="11" max="11" width="8.7109375" customWidth="1"/>
    <col min="12" max="12" width="19.5703125" style="509" bestFit="1" customWidth="1"/>
    <col min="13" max="13" width="24.28515625" bestFit="1" customWidth="1"/>
  </cols>
  <sheetData>
    <row r="1" spans="1:13" s="503" customFormat="1" ht="18.75" x14ac:dyDescent="0.3">
      <c r="A1" s="907" t="s">
        <v>408</v>
      </c>
      <c r="B1" s="908"/>
      <c r="C1" s="908"/>
      <c r="D1" s="909" t="str">
        <f ca="1">$L$2</f>
        <v>OSU Unrecovered F&amp;A</v>
      </c>
      <c r="E1" s="910"/>
      <c r="F1" s="910"/>
      <c r="G1" s="908"/>
      <c r="H1" s="911"/>
      <c r="I1" s="912"/>
      <c r="J1"/>
      <c r="L1" s="1136">
        <v>7</v>
      </c>
      <c r="M1" t="s">
        <v>409</v>
      </c>
    </row>
    <row r="2" spans="1:13" x14ac:dyDescent="0.25">
      <c r="L2" s="509" t="str">
        <f ca="1">OFFSET(Budget!N10,0,(L1-1)*8)</f>
        <v>OSU Unrecovered F&amp;A</v>
      </c>
      <c r="M2" t="s">
        <v>410</v>
      </c>
    </row>
    <row r="3" spans="1:13" s="503" customFormat="1" ht="15.75" x14ac:dyDescent="0.25">
      <c r="A3" s="913" t="s">
        <v>384</v>
      </c>
      <c r="B3" s="914"/>
      <c r="C3" s="892"/>
      <c r="D3" s="892"/>
      <c r="E3" s="892"/>
      <c r="F3" s="892"/>
      <c r="G3" s="892"/>
      <c r="H3" s="892"/>
      <c r="I3" s="892"/>
      <c r="J3"/>
      <c r="L3" s="509">
        <f>((L1-1)*8)-3</f>
        <v>45</v>
      </c>
      <c r="M3" t="s">
        <v>411</v>
      </c>
    </row>
    <row r="4" spans="1:13" s="448" customFormat="1" x14ac:dyDescent="0.25">
      <c r="A4" s="878" t="s">
        <v>79</v>
      </c>
      <c r="B4" s="879" t="str">
        <f ca="1">Budget!$C$1</f>
        <v>Virag Mishra</v>
      </c>
      <c r="D4" s="878" t="s">
        <v>94</v>
      </c>
      <c r="E4" s="880">
        <f>Budget!$C$4</f>
        <v>46478</v>
      </c>
      <c r="F4" s="878" t="s">
        <v>1040</v>
      </c>
      <c r="G4" s="879" t="str">
        <f>Budget!$C$2</f>
        <v>N/A</v>
      </c>
      <c r="J4"/>
      <c r="L4" s="915"/>
    </row>
    <row r="5" spans="1:13" s="448" customFormat="1" x14ac:dyDescent="0.25">
      <c r="A5" s="916" t="s">
        <v>412</v>
      </c>
      <c r="B5" s="917" t="str">
        <f ca="1">$D$1</f>
        <v>OSU Unrecovered F&amp;A</v>
      </c>
      <c r="C5" s="918"/>
      <c r="D5" s="878" t="s">
        <v>95</v>
      </c>
      <c r="E5" s="880">
        <f>Budget!$C$5</f>
        <v>46843</v>
      </c>
      <c r="F5" s="878" t="s">
        <v>386</v>
      </c>
      <c r="G5" s="879" t="str">
        <f>Budget!$C$3</f>
        <v>HCSS</v>
      </c>
      <c r="J5"/>
      <c r="L5" s="878"/>
    </row>
    <row r="6" spans="1:13" s="448" customFormat="1" x14ac:dyDescent="0.25">
      <c r="A6" s="878" t="s">
        <v>387</v>
      </c>
      <c r="B6" s="880">
        <f>Budget!$C$6</f>
        <v>46310</v>
      </c>
      <c r="F6" s="878" t="s">
        <v>388</v>
      </c>
      <c r="G6" s="879" t="str">
        <f>Budget!$C$7</f>
        <v>Robert Kokenyesi</v>
      </c>
      <c r="J6"/>
      <c r="L6" s="878"/>
    </row>
    <row r="7" spans="1:13" x14ac:dyDescent="0.25">
      <c r="C7" s="448"/>
      <c r="D7" s="769"/>
      <c r="E7" s="769"/>
      <c r="F7" s="769"/>
      <c r="G7" s="769"/>
      <c r="H7" s="769"/>
    </row>
    <row r="8" spans="1:13" s="922" customFormat="1" ht="15.75" x14ac:dyDescent="0.25">
      <c r="A8" s="913" t="s">
        <v>413</v>
      </c>
      <c r="B8" s="919"/>
      <c r="C8" s="913"/>
      <c r="D8" s="920" t="str">
        <f ca="1">$D$1</f>
        <v>OSU Unrecovered F&amp;A</v>
      </c>
      <c r="E8" s="913"/>
      <c r="F8" s="920"/>
      <c r="G8" s="913"/>
      <c r="H8" s="913"/>
      <c r="I8" s="921"/>
      <c r="J8"/>
      <c r="M8" s="770"/>
    </row>
    <row r="9" spans="1:13" ht="15.75" x14ac:dyDescent="0.25">
      <c r="A9" s="503" t="s">
        <v>414</v>
      </c>
      <c r="B9" s="923">
        <f ca="1">SUM(B10:B12)</f>
        <v>0</v>
      </c>
      <c r="D9" s="924" t="s">
        <v>415</v>
      </c>
      <c r="E9" s="924"/>
    </row>
    <row r="10" spans="1:13" ht="15.75" x14ac:dyDescent="0.25">
      <c r="A10" s="925" t="s">
        <v>416</v>
      </c>
      <c r="B10" s="926">
        <f ca="1">I22</f>
        <v>0</v>
      </c>
      <c r="D10" s="19"/>
    </row>
    <row r="11" spans="1:13" ht="15.75" x14ac:dyDescent="0.25">
      <c r="A11" s="925" t="s">
        <v>418</v>
      </c>
      <c r="B11" s="926">
        <f ca="1">I30</f>
        <v>0</v>
      </c>
      <c r="L11"/>
    </row>
    <row r="12" spans="1:13" ht="15.75" x14ac:dyDescent="0.25">
      <c r="A12" s="925" t="s">
        <v>419</v>
      </c>
      <c r="B12" s="927">
        <f>I36</f>
        <v>0</v>
      </c>
      <c r="D12" s="19" t="s">
        <v>437</v>
      </c>
    </row>
    <row r="13" spans="1:13" x14ac:dyDescent="0.25">
      <c r="B13"/>
      <c r="L13"/>
    </row>
    <row r="14" spans="1:13" ht="15.75" x14ac:dyDescent="0.25">
      <c r="A14" s="847" t="s">
        <v>439</v>
      </c>
      <c r="B14"/>
      <c r="L14"/>
    </row>
    <row r="15" spans="1:13" ht="15.75" x14ac:dyDescent="0.25">
      <c r="A15" s="847" t="s">
        <v>452</v>
      </c>
      <c r="B15"/>
      <c r="L15"/>
    </row>
    <row r="16" spans="1:13" x14ac:dyDescent="0.25">
      <c r="B16" s="509" t="s">
        <v>451</v>
      </c>
      <c r="C16" s="2368">
        <f>Budget!BJ294</f>
        <v>0</v>
      </c>
      <c r="D16" t="s">
        <v>351</v>
      </c>
      <c r="L16"/>
    </row>
    <row r="17" spans="1:12" x14ac:dyDescent="0.25">
      <c r="B17" s="509" t="s">
        <v>438</v>
      </c>
      <c r="C17" s="2369">
        <f>Budget!$C$294</f>
        <v>0</v>
      </c>
      <c r="D17" t="str">
        <f>Budget!$C$292</f>
        <v>Modified Total Direct Costs (MTDC)</v>
      </c>
      <c r="L17"/>
    </row>
    <row r="18" spans="1:12" x14ac:dyDescent="0.25">
      <c r="L18"/>
    </row>
    <row r="19" spans="1:12" x14ac:dyDescent="0.25">
      <c r="B19"/>
      <c r="L19"/>
    </row>
    <row r="20" spans="1:12" ht="15.75" x14ac:dyDescent="0.25">
      <c r="A20" s="928" t="s">
        <v>421</v>
      </c>
      <c r="B20" s="928"/>
      <c r="C20" s="929" t="s">
        <v>400</v>
      </c>
      <c r="D20" s="929" t="s">
        <v>401</v>
      </c>
      <c r="E20" s="929" t="s">
        <v>402</v>
      </c>
      <c r="F20" s="929" t="s">
        <v>403</v>
      </c>
      <c r="G20" s="929" t="s">
        <v>404</v>
      </c>
      <c r="H20" s="929" t="s">
        <v>405</v>
      </c>
      <c r="I20" s="929" t="s">
        <v>170</v>
      </c>
    </row>
    <row r="21" spans="1:12" x14ac:dyDescent="0.25">
      <c r="A21" s="448" t="s">
        <v>422</v>
      </c>
      <c r="C21" s="884">
        <f ca="1">SUM(OFFSET(Budget!$N$44,0,(COLUMN()+$L$3)),OFFSET(Budget!$N$117,0,(COLUMN()+$L$3)))</f>
        <v>0</v>
      </c>
      <c r="D21" s="884">
        <f ca="1">SUM(OFFSET(Budget!$N$44,0,(COLUMN()+$L$3)),OFFSET(Budget!$N$117,0,(COLUMN()+$L$3)))</f>
        <v>0</v>
      </c>
      <c r="E21" s="884">
        <f ca="1">SUM(OFFSET(Budget!$N$44,0,(COLUMN()+$L$3)),OFFSET(Budget!$N$117,0,(COLUMN()+$L$3)))</f>
        <v>0</v>
      </c>
      <c r="F21" s="884">
        <f ca="1">SUM(OFFSET(Budget!$N$44,0,(COLUMN()+$L$3)),OFFSET(Budget!$N$117,0,(COLUMN()+$L$3)))</f>
        <v>0</v>
      </c>
      <c r="G21" s="884">
        <f ca="1">SUM(OFFSET(Budget!$N$44,0,(COLUMN()+$L$3)),OFFSET(Budget!$N$117,0,(COLUMN()+$L$3)))</f>
        <v>0</v>
      </c>
      <c r="H21" s="884">
        <f ca="1">SUM(OFFSET(Budget!$N$44,0,(COLUMN()+$L$3)),OFFSET(Budget!$N$117,0,(COLUMN()+$L$3)))</f>
        <v>0</v>
      </c>
      <c r="I21" s="899">
        <f ca="1">SUM(C21:H21)</f>
        <v>0</v>
      </c>
    </row>
    <row r="22" spans="1:12" x14ac:dyDescent="0.25">
      <c r="A22" s="930" t="s">
        <v>423</v>
      </c>
      <c r="B22" s="930"/>
      <c r="C22" s="931">
        <f t="shared" ref="C22:I22" ca="1" si="0">SUM(C21)</f>
        <v>0</v>
      </c>
      <c r="D22" s="931">
        <f t="shared" ca="1" si="0"/>
        <v>0</v>
      </c>
      <c r="E22" s="931">
        <f t="shared" ca="1" si="0"/>
        <v>0</v>
      </c>
      <c r="F22" s="931">
        <f t="shared" ca="1" si="0"/>
        <v>0</v>
      </c>
      <c r="G22" s="931">
        <f t="shared" ca="1" si="0"/>
        <v>0</v>
      </c>
      <c r="H22" s="931">
        <f t="shared" ca="1" si="0"/>
        <v>0</v>
      </c>
      <c r="I22" s="932">
        <f t="shared" ca="1" si="0"/>
        <v>0</v>
      </c>
    </row>
    <row r="23" spans="1:12" x14ac:dyDescent="0.25">
      <c r="B23"/>
      <c r="L23"/>
    </row>
    <row r="24" spans="1:12" x14ac:dyDescent="0.25">
      <c r="A24" s="448"/>
      <c r="C24" s="448"/>
      <c r="D24" s="884"/>
      <c r="E24" s="933"/>
      <c r="F24" s="933"/>
      <c r="G24" s="933"/>
      <c r="H24" s="933"/>
      <c r="I24" s="899"/>
      <c r="K24" s="19"/>
    </row>
    <row r="25" spans="1:12" ht="15.75" x14ac:dyDescent="0.25">
      <c r="A25" s="928" t="s">
        <v>424</v>
      </c>
      <c r="B25" s="928"/>
      <c r="C25" s="929" t="s">
        <v>400</v>
      </c>
      <c r="D25" s="929" t="s">
        <v>401</v>
      </c>
      <c r="E25" s="929" t="s">
        <v>402</v>
      </c>
      <c r="F25" s="929" t="s">
        <v>403</v>
      </c>
      <c r="G25" s="929" t="s">
        <v>404</v>
      </c>
      <c r="H25" s="929" t="s">
        <v>405</v>
      </c>
      <c r="I25" s="929" t="s">
        <v>170</v>
      </c>
    </row>
    <row r="26" spans="1:12" x14ac:dyDescent="0.25">
      <c r="A26" s="448" t="s">
        <v>426</v>
      </c>
      <c r="C26" s="884">
        <f ca="1">OFFSET(Budget!$N$156,0,(COLUMN()+$L$3))-C21</f>
        <v>0</v>
      </c>
      <c r="D26" s="884">
        <f ca="1">OFFSET(Budget!$N$156,0,(COLUMN()+$L$3))-D21</f>
        <v>0</v>
      </c>
      <c r="E26" s="884">
        <f ca="1">OFFSET(Budget!$N$156,0,(COLUMN()+$L$3))-E21</f>
        <v>0</v>
      </c>
      <c r="F26" s="884">
        <f ca="1">OFFSET(Budget!$N$156,0,(COLUMN()+$L$3))-F21</f>
        <v>0</v>
      </c>
      <c r="G26" s="884">
        <f ca="1">OFFSET(Budget!$N$156,0,(COLUMN()+$L$3))-G21</f>
        <v>0</v>
      </c>
      <c r="H26" s="884">
        <f ca="1">OFFSET(Budget!$N$156,0,(COLUMN()+$L$3))-H21</f>
        <v>0</v>
      </c>
      <c r="I26" s="899">
        <f ca="1">SUM(C26:H26)</f>
        <v>0</v>
      </c>
    </row>
    <row r="27" spans="1:12" x14ac:dyDescent="0.25">
      <c r="A27" s="448" t="s">
        <v>146</v>
      </c>
      <c r="C27" s="884">
        <f ca="1">OFFSET(Budget!$N$165,0,(COLUMN()+$L$3))</f>
        <v>0</v>
      </c>
      <c r="D27" s="884">
        <f ca="1">OFFSET(Budget!$N$165,0,(COLUMN()+$L$3))</f>
        <v>0</v>
      </c>
      <c r="E27" s="884">
        <f ca="1">OFFSET(Budget!$N$165,0,(COLUMN()+$L$3))</f>
        <v>0</v>
      </c>
      <c r="F27" s="884">
        <f ca="1">OFFSET(Budget!$N$165,0,(COLUMN()+$L$3))</f>
        <v>0</v>
      </c>
      <c r="G27" s="884">
        <f ca="1">OFFSET(Budget!$N$165,0,(COLUMN()+$L$3))</f>
        <v>0</v>
      </c>
      <c r="H27" s="884">
        <f ca="1">OFFSET(Budget!$N$165,0,(COLUMN()+$L$3))</f>
        <v>0</v>
      </c>
      <c r="I27" s="899">
        <f ca="1">SUM(C27:H27)</f>
        <v>0</v>
      </c>
    </row>
    <row r="28" spans="1:12" x14ac:dyDescent="0.25">
      <c r="A28" s="448" t="s">
        <v>427</v>
      </c>
      <c r="C28" s="884">
        <f ca="1">OFFSET(Budget!$N$285,0,(COLUMN()+$L$3))</f>
        <v>0</v>
      </c>
      <c r="D28" s="884">
        <f ca="1">OFFSET(Budget!$N$285,0,(COLUMN()+$L$3))</f>
        <v>0</v>
      </c>
      <c r="E28" s="884">
        <f ca="1">OFFSET(Budget!$N$285,0,(COLUMN()+$L$3))</f>
        <v>0</v>
      </c>
      <c r="F28" s="884">
        <f ca="1">OFFSET(Budget!$N$285,0,(COLUMN()+$L$3))</f>
        <v>0</v>
      </c>
      <c r="G28" s="884">
        <f ca="1">OFFSET(Budget!$N$285,0,(COLUMN()+$L$3))</f>
        <v>0</v>
      </c>
      <c r="H28" s="884">
        <f ca="1">OFFSET(Budget!$N$285,0,(COLUMN()+$L$3))</f>
        <v>0</v>
      </c>
      <c r="I28" s="899">
        <f ca="1">SUM(C28:H28)</f>
        <v>0</v>
      </c>
    </row>
    <row r="29" spans="1:12" x14ac:dyDescent="0.25">
      <c r="A29" s="448" t="s">
        <v>142</v>
      </c>
      <c r="C29" s="884">
        <f ca="1">OFFSET(Budget!$N$288,0,(COLUMN()+$L$3)) - C28</f>
        <v>0</v>
      </c>
      <c r="D29" s="884">
        <f ca="1">OFFSET(Budget!$N$288,0,(COLUMN()+$L$3)) - D28</f>
        <v>0</v>
      </c>
      <c r="E29" s="884">
        <f ca="1">OFFSET(Budget!$N$288,0,(COLUMN()+$L$3)) - E28</f>
        <v>0</v>
      </c>
      <c r="F29" s="884">
        <f ca="1">OFFSET(Budget!$N$288,0,(COLUMN()+$L$3)) - F28</f>
        <v>0</v>
      </c>
      <c r="G29" s="884">
        <f ca="1">OFFSET(Budget!$N$288,0,(COLUMN()+$L$3)) - G28</f>
        <v>0</v>
      </c>
      <c r="H29" s="884">
        <f ca="1">OFFSET(Budget!$N$288,0,(COLUMN()+$L$3)) - H28</f>
        <v>0</v>
      </c>
      <c r="I29" s="899">
        <f ca="1">SUM(C29:H29)</f>
        <v>0</v>
      </c>
    </row>
    <row r="30" spans="1:12" x14ac:dyDescent="0.25">
      <c r="A30" s="930" t="s">
        <v>428</v>
      </c>
      <c r="B30" s="930"/>
      <c r="C30" s="931">
        <f t="shared" ref="C30:I30" ca="1" si="1">SUM(C26:C29)</f>
        <v>0</v>
      </c>
      <c r="D30" s="931">
        <f t="shared" ca="1" si="1"/>
        <v>0</v>
      </c>
      <c r="E30" s="931">
        <f t="shared" ca="1" si="1"/>
        <v>0</v>
      </c>
      <c r="F30" s="931">
        <f t="shared" ca="1" si="1"/>
        <v>0</v>
      </c>
      <c r="G30" s="931">
        <f t="shared" ca="1" si="1"/>
        <v>0</v>
      </c>
      <c r="H30" s="931">
        <f t="shared" ca="1" si="1"/>
        <v>0</v>
      </c>
      <c r="I30" s="932">
        <f t="shared" ca="1" si="1"/>
        <v>0</v>
      </c>
    </row>
    <row r="31" spans="1:12" x14ac:dyDescent="0.25">
      <c r="B31"/>
      <c r="L31"/>
    </row>
    <row r="32" spans="1:12" x14ac:dyDescent="0.25">
      <c r="A32" s="448"/>
      <c r="C32" s="884"/>
      <c r="D32" s="884"/>
      <c r="E32" s="884"/>
      <c r="F32" s="884"/>
      <c r="G32" s="884"/>
      <c r="H32" s="884"/>
      <c r="I32" s="899"/>
    </row>
    <row r="33" spans="1:14" ht="15.75" x14ac:dyDescent="0.25">
      <c r="A33" s="928" t="s">
        <v>359</v>
      </c>
      <c r="B33" s="928"/>
      <c r="C33" s="929" t="s">
        <v>400</v>
      </c>
      <c r="D33" s="929" t="s">
        <v>401</v>
      </c>
      <c r="E33" s="929" t="s">
        <v>402</v>
      </c>
      <c r="F33" s="929" t="s">
        <v>403</v>
      </c>
      <c r="G33" s="929" t="s">
        <v>404</v>
      </c>
      <c r="H33" s="929" t="s">
        <v>405</v>
      </c>
      <c r="I33" s="929" t="s">
        <v>170</v>
      </c>
    </row>
    <row r="34" spans="1:14" s="770" customFormat="1" x14ac:dyDescent="0.25">
      <c r="B34" s="1006" t="str">
        <f>Budget!BI299</f>
        <v>Unrecovered F&amp;A on Cost Share</v>
      </c>
      <c r="C34" s="968">
        <f>Budget!BJ299</f>
        <v>0</v>
      </c>
      <c r="D34" s="968">
        <f>Budget!BK299</f>
        <v>0</v>
      </c>
      <c r="E34" s="968">
        <f>Budget!BL299</f>
        <v>0</v>
      </c>
      <c r="F34" s="968">
        <f>Budget!BM299</f>
        <v>0</v>
      </c>
      <c r="G34" s="968">
        <f>Budget!BN299</f>
        <v>0</v>
      </c>
      <c r="H34" s="968">
        <f>Budget!BO299</f>
        <v>0</v>
      </c>
      <c r="I34" s="953">
        <f>SUM(C34:H34)</f>
        <v>0</v>
      </c>
      <c r="L34" s="671"/>
    </row>
    <row r="35" spans="1:14" s="770" customFormat="1" x14ac:dyDescent="0.25">
      <c r="B35" s="1006" t="str">
        <f>Budget!BI303</f>
        <v>Unrecovered F&amp;A on Sponsor Funds</v>
      </c>
      <c r="C35" s="968">
        <f>Budget!BJ303</f>
        <v>0</v>
      </c>
      <c r="D35" s="968">
        <f>Budget!BK303</f>
        <v>0</v>
      </c>
      <c r="E35" s="968">
        <f>Budget!BL303</f>
        <v>0</v>
      </c>
      <c r="F35" s="968">
        <f>Budget!BM303</f>
        <v>0</v>
      </c>
      <c r="G35" s="968">
        <f>Budget!BN303</f>
        <v>0</v>
      </c>
      <c r="H35" s="968">
        <f>Budget!BO303</f>
        <v>0</v>
      </c>
      <c r="I35" s="953">
        <f>SUM(C35:H35)</f>
        <v>0</v>
      </c>
      <c r="L35" s="671"/>
    </row>
    <row r="36" spans="1:14" x14ac:dyDescent="0.25">
      <c r="A36" s="930"/>
      <c r="B36" s="1007" t="s">
        <v>462</v>
      </c>
      <c r="C36" s="931">
        <f t="shared" ref="C36:H36" si="2">SUM(C34:C35)</f>
        <v>0</v>
      </c>
      <c r="D36" s="931">
        <f t="shared" si="2"/>
        <v>0</v>
      </c>
      <c r="E36" s="931">
        <f t="shared" si="2"/>
        <v>0</v>
      </c>
      <c r="F36" s="931">
        <f t="shared" si="2"/>
        <v>0</v>
      </c>
      <c r="G36" s="931">
        <f t="shared" si="2"/>
        <v>0</v>
      </c>
      <c r="H36" s="931">
        <f t="shared" si="2"/>
        <v>0</v>
      </c>
      <c r="I36" s="932">
        <f>SUM(C36:H36)</f>
        <v>0</v>
      </c>
      <c r="L36"/>
    </row>
    <row r="37" spans="1:14" ht="14.45" customHeight="1" x14ac:dyDescent="0.25">
      <c r="A37" s="969"/>
      <c r="B37" s="969"/>
    </row>
    <row r="38" spans="1:14" x14ac:dyDescent="0.25">
      <c r="A38" s="817"/>
      <c r="B38" s="817"/>
      <c r="C38" s="899"/>
      <c r="D38" s="899"/>
      <c r="E38" s="899"/>
      <c r="F38" s="899"/>
      <c r="G38" s="899"/>
      <c r="H38" s="899"/>
      <c r="I38" s="899"/>
    </row>
    <row r="39" spans="1:14" s="922" customFormat="1" ht="15.75" x14ac:dyDescent="0.25">
      <c r="A39" s="913" t="s">
        <v>431</v>
      </c>
      <c r="B39" s="919"/>
      <c r="C39" s="913"/>
      <c r="D39" s="913"/>
      <c r="E39" s="913"/>
      <c r="F39" s="920" t="str">
        <f ca="1">$D$1</f>
        <v>OSU Unrecovered F&amp;A</v>
      </c>
      <c r="G39" s="913"/>
      <c r="H39" s="913"/>
      <c r="I39" s="921"/>
      <c r="J39"/>
      <c r="L39" s="671"/>
      <c r="M39" s="770"/>
    </row>
    <row r="40" spans="1:14" s="448" customFormat="1" x14ac:dyDescent="0.25">
      <c r="A40" s="879" t="s">
        <v>432</v>
      </c>
      <c r="B40" s="331" t="s">
        <v>339</v>
      </c>
      <c r="C40" s="881" t="s">
        <v>400</v>
      </c>
      <c r="D40" s="881" t="s">
        <v>401</v>
      </c>
      <c r="E40" s="881" t="s">
        <v>402</v>
      </c>
      <c r="F40" s="881" t="s">
        <v>403</v>
      </c>
      <c r="G40" s="881" t="s">
        <v>404</v>
      </c>
      <c r="H40" s="881" t="s">
        <v>405</v>
      </c>
      <c r="I40" s="881" t="s">
        <v>170</v>
      </c>
      <c r="J40"/>
      <c r="L40" s="509"/>
      <c r="M40" s="883"/>
    </row>
    <row r="41" spans="1:14" x14ac:dyDescent="0.25">
      <c r="A41" s="40" t="str">
        <f ca="1">'Calc - SENIOR PERS'!$B$6</f>
        <v>Virag Mishra</v>
      </c>
      <c r="B41" s="40" t="str">
        <f ca="1">OFFSET('Calc - SENIOR PERS'!$B$7,(ROW()-ROW($A$41))*14,0)</f>
        <v>COE</v>
      </c>
      <c r="C41" s="769">
        <f ca="1">OFFSET('Calc - SENIOR PERS'!$V$11,(COLUMN()-3+(ROW()-ROW($A$41))*14),0)</f>
        <v>0</v>
      </c>
      <c r="D41" s="769">
        <f ca="1">OFFSET('Calc - SENIOR PERS'!$V$11,(COLUMN()-3+(ROW()-ROW($A$41))*14),0)</f>
        <v>0</v>
      </c>
      <c r="E41" s="769">
        <f ca="1">OFFSET('Calc - SENIOR PERS'!$V$11,(COLUMN()-3+(ROW()-ROW($A$41))*14),0)</f>
        <v>0</v>
      </c>
      <c r="F41" s="769">
        <f ca="1">OFFSET('Calc - SENIOR PERS'!$V$11,(COLUMN()-3+(ROW()-ROW($A$41))*14),0)</f>
        <v>0</v>
      </c>
      <c r="G41" s="769">
        <f ca="1">OFFSET('Calc - SENIOR PERS'!$V$11,(COLUMN()-3+(ROW()-ROW($A$41))*14),0)</f>
        <v>0</v>
      </c>
      <c r="H41" s="769">
        <f ca="1">OFFSET('Calc - SENIOR PERS'!$V$11,(COLUMN()-3+(ROW()-ROW($A$41))*14),0)</f>
        <v>0</v>
      </c>
      <c r="I41" s="769">
        <f t="shared" ref="I41:I50" ca="1" si="3">SUM(C41:H41)</f>
        <v>0</v>
      </c>
      <c r="J41" s="769"/>
      <c r="N41" s="448"/>
    </row>
    <row r="42" spans="1:14" x14ac:dyDescent="0.25">
      <c r="A42" s="40">
        <f ca="1">OFFSET('Calc - SENIOR PERS'!$B$6,(ROW()-ROW($A$41))*14,0)</f>
        <v>0</v>
      </c>
      <c r="B42" s="40">
        <f ca="1">OFFSET('Calc - SENIOR PERS'!$B$7,(ROW()-ROW($A$41))*14,0)</f>
        <v>0</v>
      </c>
      <c r="C42" s="769">
        <f ca="1">OFFSET('Calc - SENIOR PERS'!$V$11,(COLUMN()-3+(ROW()-ROW($A$41))*14),0)</f>
        <v>0</v>
      </c>
      <c r="D42" s="769">
        <f ca="1">OFFSET('Calc - SENIOR PERS'!$V$11,(COLUMN()-3+(ROW()-ROW($A$41))*14),0)</f>
        <v>0</v>
      </c>
      <c r="E42" s="769">
        <f ca="1">OFFSET('Calc - SENIOR PERS'!$V$11,(COLUMN()-3+(ROW()-ROW($A$41))*14),0)</f>
        <v>0</v>
      </c>
      <c r="F42" s="769">
        <f ca="1">OFFSET('Calc - SENIOR PERS'!$V$11,(COLUMN()-3+(ROW()-ROW($A$41))*14),0)</f>
        <v>0</v>
      </c>
      <c r="G42" s="769">
        <f ca="1">OFFSET('Calc - SENIOR PERS'!$V$11,(COLUMN()-3+(ROW()-ROW($A$41))*14),0)</f>
        <v>0</v>
      </c>
      <c r="H42" s="769">
        <f ca="1">OFFSET('Calc - SENIOR PERS'!$V$11,(COLUMN()-3+(ROW()-ROW($A$41))*14),0)</f>
        <v>0</v>
      </c>
      <c r="I42" s="769">
        <f t="shared" ca="1" si="3"/>
        <v>0</v>
      </c>
      <c r="J42" s="769"/>
      <c r="N42" s="448"/>
    </row>
    <row r="43" spans="1:14" x14ac:dyDescent="0.25">
      <c r="A43" s="40">
        <f ca="1">OFFSET('Calc - SENIOR PERS'!$B$6,(ROW()-ROW($A$41))*14,0)</f>
        <v>0</v>
      </c>
      <c r="B43" s="40">
        <f ca="1">OFFSET('Calc - SENIOR PERS'!$B$7,(ROW()-ROW($A$41))*14,0)</f>
        <v>0</v>
      </c>
      <c r="C43" s="769">
        <f ca="1">OFFSET('Calc - SENIOR PERS'!$V$11,(COLUMN()-3+(ROW()-ROW($A$41))*14),0)</f>
        <v>0</v>
      </c>
      <c r="D43" s="769">
        <f ca="1">OFFSET('Calc - SENIOR PERS'!$V$11,(COLUMN()-3+(ROW()-ROW($A$41))*14),0)</f>
        <v>0</v>
      </c>
      <c r="E43" s="769">
        <f ca="1">OFFSET('Calc - SENIOR PERS'!$V$11,(COLUMN()-3+(ROW()-ROW($A$41))*14),0)</f>
        <v>0</v>
      </c>
      <c r="F43" s="769">
        <f ca="1">OFFSET('Calc - SENIOR PERS'!$V$11,(COLUMN()-3+(ROW()-ROW($A$41))*14),0)</f>
        <v>0</v>
      </c>
      <c r="G43" s="769">
        <f ca="1">OFFSET('Calc - SENIOR PERS'!$V$11,(COLUMN()-3+(ROW()-ROW($A$41))*14),0)</f>
        <v>0</v>
      </c>
      <c r="H43" s="769">
        <f ca="1">OFFSET('Calc - SENIOR PERS'!$V$11,(COLUMN()-3+(ROW()-ROW($A$41))*14),0)</f>
        <v>0</v>
      </c>
      <c r="I43" s="769">
        <f t="shared" ca="1" si="3"/>
        <v>0</v>
      </c>
      <c r="J43" s="769"/>
      <c r="N43" s="448"/>
    </row>
    <row r="44" spans="1:14" x14ac:dyDescent="0.25">
      <c r="A44" s="40">
        <f ca="1">OFFSET('Calc - SENIOR PERS'!$B$6,(ROW()-ROW($A$41))*14,0)</f>
        <v>0</v>
      </c>
      <c r="B44" s="40">
        <f ca="1">OFFSET('Calc - SENIOR PERS'!$B$7,(ROW()-ROW($A$41))*14,0)</f>
        <v>0</v>
      </c>
      <c r="C44" s="769">
        <f ca="1">OFFSET('Calc - SENIOR PERS'!$V$11,(COLUMN()-3+(ROW()-ROW($A$41))*14),0)</f>
        <v>0</v>
      </c>
      <c r="D44" s="769">
        <f ca="1">OFFSET('Calc - SENIOR PERS'!$V$11,(COLUMN()-3+(ROW()-ROW($A$41))*14),0)</f>
        <v>0</v>
      </c>
      <c r="E44" s="769">
        <f ca="1">OFFSET('Calc - SENIOR PERS'!$V$11,(COLUMN()-3+(ROW()-ROW($A$41))*14),0)</f>
        <v>0</v>
      </c>
      <c r="F44" s="769">
        <f ca="1">OFFSET('Calc - SENIOR PERS'!$V$11,(COLUMN()-3+(ROW()-ROW($A$41))*14),0)</f>
        <v>0</v>
      </c>
      <c r="G44" s="769">
        <f ca="1">OFFSET('Calc - SENIOR PERS'!$V$11,(COLUMN()-3+(ROW()-ROW($A$41))*14),0)</f>
        <v>0</v>
      </c>
      <c r="H44" s="769">
        <f ca="1">OFFSET('Calc - SENIOR PERS'!$V$11,(COLUMN()-3+(ROW()-ROW($A$41))*14),0)</f>
        <v>0</v>
      </c>
      <c r="I44" s="769">
        <f t="shared" ca="1" si="3"/>
        <v>0</v>
      </c>
      <c r="J44" s="769"/>
      <c r="N44" s="448"/>
    </row>
    <row r="45" spans="1:14" x14ac:dyDescent="0.25">
      <c r="A45" s="40">
        <f ca="1">OFFSET('Calc - SENIOR PERS'!$B$6,(ROW()-ROW($A$41))*14,0)</f>
        <v>0</v>
      </c>
      <c r="B45" s="40">
        <f ca="1">OFFSET('Calc - SENIOR PERS'!$B$7,(ROW()-ROW($A$41))*14,0)</f>
        <v>0</v>
      </c>
      <c r="C45" s="769">
        <f ca="1">OFFSET('Calc - SENIOR PERS'!$V$11,(COLUMN()-3+(ROW()-ROW($A$41))*14),0)</f>
        <v>0</v>
      </c>
      <c r="D45" s="769">
        <f ca="1">OFFSET('Calc - SENIOR PERS'!$V$11,(COLUMN()-3+(ROW()-ROW($A$41))*14),0)</f>
        <v>0</v>
      </c>
      <c r="E45" s="769">
        <f ca="1">OFFSET('Calc - SENIOR PERS'!$V$11,(COLUMN()-3+(ROW()-ROW($A$41))*14),0)</f>
        <v>0</v>
      </c>
      <c r="F45" s="769">
        <f ca="1">OFFSET('Calc - SENIOR PERS'!$V$11,(COLUMN()-3+(ROW()-ROW($A$41))*14),0)</f>
        <v>0</v>
      </c>
      <c r="G45" s="769">
        <f ca="1">OFFSET('Calc - SENIOR PERS'!$V$11,(COLUMN()-3+(ROW()-ROW($A$41))*14),0)</f>
        <v>0</v>
      </c>
      <c r="H45" s="769">
        <f ca="1">OFFSET('Calc - SENIOR PERS'!$V$11,(COLUMN()-3+(ROW()-ROW($A$41))*14),0)</f>
        <v>0</v>
      </c>
      <c r="I45" s="769">
        <f t="shared" ca="1" si="3"/>
        <v>0</v>
      </c>
      <c r="J45" s="769"/>
      <c r="N45" s="448"/>
    </row>
    <row r="46" spans="1:14" x14ac:dyDescent="0.25">
      <c r="A46" s="40">
        <f ca="1">OFFSET('Calc - SENIOR PERS'!$B$6,(ROW()-ROW($A$41))*14,0)</f>
        <v>0</v>
      </c>
      <c r="B46" s="40">
        <f ca="1">OFFSET('Calc - SENIOR PERS'!$B$7,(ROW()-ROW($A$41))*14,0)</f>
        <v>0</v>
      </c>
      <c r="C46" s="769">
        <f ca="1">OFFSET('Calc - SENIOR PERS'!$V$11,(COLUMN()-3+(ROW()-ROW($A$41))*14),0)</f>
        <v>0</v>
      </c>
      <c r="D46" s="769">
        <f ca="1">OFFSET('Calc - SENIOR PERS'!$V$11,(COLUMN()-3+(ROW()-ROW($A$41))*14),0)</f>
        <v>0</v>
      </c>
      <c r="E46" s="769">
        <f ca="1">OFFSET('Calc - SENIOR PERS'!$V$11,(COLUMN()-3+(ROW()-ROW($A$41))*14),0)</f>
        <v>0</v>
      </c>
      <c r="F46" s="769">
        <f ca="1">OFFSET('Calc - SENIOR PERS'!$V$11,(COLUMN()-3+(ROW()-ROW($A$41))*14),0)</f>
        <v>0</v>
      </c>
      <c r="G46" s="769">
        <f ca="1">OFFSET('Calc - SENIOR PERS'!$V$11,(COLUMN()-3+(ROW()-ROW($A$41))*14),0)</f>
        <v>0</v>
      </c>
      <c r="H46" s="769">
        <f ca="1">OFFSET('Calc - SENIOR PERS'!$V$11,(COLUMN()-3+(ROW()-ROW($A$41))*14),0)</f>
        <v>0</v>
      </c>
      <c r="I46" s="769">
        <f t="shared" ca="1" si="3"/>
        <v>0</v>
      </c>
      <c r="N46" s="448"/>
    </row>
    <row r="47" spans="1:14" x14ac:dyDescent="0.25">
      <c r="A47" s="40">
        <f ca="1">OFFSET('Calc - SENIOR PERS'!$B$6,(ROW()-ROW($A$41))*14,0)</f>
        <v>0</v>
      </c>
      <c r="B47" s="40">
        <f ca="1">OFFSET('Calc - SENIOR PERS'!$B$7,(ROW()-ROW($A$41))*14,0)</f>
        <v>0</v>
      </c>
      <c r="C47" s="769">
        <f ca="1">OFFSET('Calc - SENIOR PERS'!$V$11,(COLUMN()-3+(ROW()-ROW($A$41))*14),0)</f>
        <v>0</v>
      </c>
      <c r="D47" s="769">
        <f ca="1">OFFSET('Calc - SENIOR PERS'!$V$11,(COLUMN()-3+(ROW()-ROW($A$41))*14),0)</f>
        <v>0</v>
      </c>
      <c r="E47" s="769">
        <f ca="1">OFFSET('Calc - SENIOR PERS'!$V$11,(COLUMN()-3+(ROW()-ROW($A$41))*14),0)</f>
        <v>0</v>
      </c>
      <c r="F47" s="769">
        <f ca="1">OFFSET('Calc - SENIOR PERS'!$V$11,(COLUMN()-3+(ROW()-ROW($A$41))*14),0)</f>
        <v>0</v>
      </c>
      <c r="G47" s="769">
        <f ca="1">OFFSET('Calc - SENIOR PERS'!$V$11,(COLUMN()-3+(ROW()-ROW($A$41))*14),0)</f>
        <v>0</v>
      </c>
      <c r="H47" s="769">
        <f ca="1">OFFSET('Calc - SENIOR PERS'!$V$11,(COLUMN()-3+(ROW()-ROW($A$41))*14),0)</f>
        <v>0</v>
      </c>
      <c r="I47" s="769">
        <f t="shared" ca="1" si="3"/>
        <v>0</v>
      </c>
      <c r="J47" s="769"/>
      <c r="N47" s="448"/>
    </row>
    <row r="48" spans="1:14" x14ac:dyDescent="0.25">
      <c r="A48" s="40">
        <f ca="1">OFFSET('Calc - SENIOR PERS'!$B$6,(ROW()-ROW($A$41))*14,0)</f>
        <v>0</v>
      </c>
      <c r="B48" s="40">
        <f ca="1">OFFSET('Calc - SENIOR PERS'!$B$7,(ROW()-ROW($A$41))*14,0)</f>
        <v>0</v>
      </c>
      <c r="C48" s="769">
        <f ca="1">OFFSET('Calc - SENIOR PERS'!$V$11,(COLUMN()-3+(ROW()-ROW($A$41))*14),0)</f>
        <v>0</v>
      </c>
      <c r="D48" s="769">
        <f ca="1">OFFSET('Calc - SENIOR PERS'!$V$11,(COLUMN()-3+(ROW()-ROW($A$41))*14),0)</f>
        <v>0</v>
      </c>
      <c r="E48" s="769">
        <f ca="1">OFFSET('Calc - SENIOR PERS'!$V$11,(COLUMN()-3+(ROW()-ROW($A$41))*14),0)</f>
        <v>0</v>
      </c>
      <c r="F48" s="769">
        <f ca="1">OFFSET('Calc - SENIOR PERS'!$V$11,(COLUMN()-3+(ROW()-ROW($A$41))*14),0)</f>
        <v>0</v>
      </c>
      <c r="G48" s="769">
        <f ca="1">OFFSET('Calc - SENIOR PERS'!$V$11,(COLUMN()-3+(ROW()-ROW($A$41))*14),0)</f>
        <v>0</v>
      </c>
      <c r="H48" s="769">
        <f ca="1">OFFSET('Calc - SENIOR PERS'!$V$11,(COLUMN()-3+(ROW()-ROW($A$41))*14),0)</f>
        <v>0</v>
      </c>
      <c r="I48" s="769">
        <f t="shared" ca="1" si="3"/>
        <v>0</v>
      </c>
      <c r="J48" s="769"/>
      <c r="N48" s="448"/>
    </row>
    <row r="49" spans="1:14" x14ac:dyDescent="0.25">
      <c r="A49" s="40">
        <f ca="1">OFFSET('Calc - SENIOR PERS'!$B$6,(ROW()-ROW($A$41))*14,0)</f>
        <v>0</v>
      </c>
      <c r="B49" s="40">
        <f ca="1">OFFSET('Calc - SENIOR PERS'!$B$7,(ROW()-ROW($A$41))*14,0)</f>
        <v>0</v>
      </c>
      <c r="C49" s="769">
        <f ca="1">OFFSET('Calc - SENIOR PERS'!$V$11,(COLUMN()-3+(ROW()-ROW($A$41))*14),0)</f>
        <v>0</v>
      </c>
      <c r="D49" s="769">
        <f ca="1">OFFSET('Calc - SENIOR PERS'!$V$11,(COLUMN()-3+(ROW()-ROW($A$41))*14),0)</f>
        <v>0</v>
      </c>
      <c r="E49" s="769">
        <f ca="1">OFFSET('Calc - SENIOR PERS'!$V$11,(COLUMN()-3+(ROW()-ROW($A$41))*14),0)</f>
        <v>0</v>
      </c>
      <c r="F49" s="769">
        <f ca="1">OFFSET('Calc - SENIOR PERS'!$V$11,(COLUMN()-3+(ROW()-ROW($A$41))*14),0)</f>
        <v>0</v>
      </c>
      <c r="G49" s="769">
        <f ca="1">OFFSET('Calc - SENIOR PERS'!$V$11,(COLUMN()-3+(ROW()-ROW($A$41))*14),0)</f>
        <v>0</v>
      </c>
      <c r="H49" s="769">
        <f ca="1">OFFSET('Calc - SENIOR PERS'!$V$11,(COLUMN()-3+(ROW()-ROW($A$41))*14),0)</f>
        <v>0</v>
      </c>
      <c r="I49" s="769">
        <f t="shared" ca="1" si="3"/>
        <v>0</v>
      </c>
      <c r="J49" s="769"/>
      <c r="N49" s="448"/>
    </row>
    <row r="50" spans="1:14" x14ac:dyDescent="0.25">
      <c r="A50" s="40">
        <f ca="1">OFFSET('Calc - SENIOR PERS'!$B$6,(ROW()-ROW($A$41))*14,0)</f>
        <v>0</v>
      </c>
      <c r="B50" s="40">
        <f ca="1">OFFSET('Calc - SENIOR PERS'!$B$7,(ROW()-ROW($A$41))*14,0)</f>
        <v>0</v>
      </c>
      <c r="C50" s="769">
        <f ca="1">OFFSET('Calc - SENIOR PERS'!$V$11,(COLUMN()-3+(ROW()-ROW($A$41))*14),0)</f>
        <v>0</v>
      </c>
      <c r="D50" s="769">
        <f ca="1">OFFSET('Calc - SENIOR PERS'!$V$11,(COLUMN()-3+(ROW()-ROW($A$41))*14),0)</f>
        <v>0</v>
      </c>
      <c r="E50" s="769">
        <f ca="1">OFFSET('Calc - SENIOR PERS'!$V$11,(COLUMN()-3+(ROW()-ROW($A$41))*14),0)</f>
        <v>0</v>
      </c>
      <c r="F50" s="769">
        <f ca="1">OFFSET('Calc - SENIOR PERS'!$V$11,(COLUMN()-3+(ROW()-ROW($A$41))*14),0)</f>
        <v>0</v>
      </c>
      <c r="G50" s="769">
        <f ca="1">OFFSET('Calc - SENIOR PERS'!$V$11,(COLUMN()-3+(ROW()-ROW($A$41))*14),0)</f>
        <v>0</v>
      </c>
      <c r="H50" s="769">
        <f ca="1">OFFSET('Calc - SENIOR PERS'!$V$11,(COLUMN()-3+(ROW()-ROW($A$41))*14),0)</f>
        <v>0</v>
      </c>
      <c r="I50" s="769">
        <f t="shared" ca="1" si="3"/>
        <v>0</v>
      </c>
      <c r="N50" s="448"/>
    </row>
    <row r="51" spans="1:14" x14ac:dyDescent="0.25">
      <c r="A51" s="936"/>
      <c r="B51" s="937" t="s">
        <v>433</v>
      </c>
      <c r="C51" s="938">
        <f ca="1">SUBTOTAL(109,'Unrec. F&amp;A Cost Share'!$C$41:$C$50)</f>
        <v>0</v>
      </c>
      <c r="D51" s="938">
        <f ca="1">SUBTOTAL(109,'Unrec. F&amp;A Cost Share'!$D$41:$D$50)</f>
        <v>0</v>
      </c>
      <c r="E51" s="938">
        <f ca="1">SUBTOTAL(109,'Unrec. F&amp;A Cost Share'!$E$41:$E$50)</f>
        <v>0</v>
      </c>
      <c r="F51" s="938">
        <f ca="1">SUBTOTAL(109,'Unrec. F&amp;A Cost Share'!$F$41:$F$50)</f>
        <v>0</v>
      </c>
      <c r="G51" s="938">
        <f ca="1">SUBTOTAL(109,'Unrec. F&amp;A Cost Share'!$G$41:$G$50)</f>
        <v>0</v>
      </c>
      <c r="H51" s="938">
        <f ca="1">SUBTOTAL(109,'Unrec. F&amp;A Cost Share'!$H$41:$H$50)</f>
        <v>0</v>
      </c>
      <c r="I51" s="939">
        <f ca="1">SUBTOTAL(109,'Unrec. F&amp;A Cost Share'!$I$41:$I$50)</f>
        <v>0</v>
      </c>
    </row>
    <row r="52" spans="1:14" x14ac:dyDescent="0.25">
      <c r="B52" s="940"/>
      <c r="C52" s="941"/>
      <c r="D52" s="941"/>
      <c r="E52" s="941"/>
      <c r="F52" s="941"/>
      <c r="G52" s="941"/>
      <c r="H52" s="941"/>
      <c r="I52" s="941"/>
    </row>
    <row r="53" spans="1:14" ht="15.75" x14ac:dyDescent="0.25">
      <c r="A53" s="847"/>
      <c r="B53" s="940"/>
      <c r="C53" s="941"/>
      <c r="D53" s="941"/>
      <c r="E53" s="941"/>
      <c r="F53" s="941"/>
      <c r="G53" s="941"/>
      <c r="H53" s="941"/>
      <c r="I53" s="941"/>
      <c r="L53" s="934" t="s">
        <v>425</v>
      </c>
    </row>
    <row r="54" spans="1:14" x14ac:dyDescent="0.25">
      <c r="B54"/>
      <c r="L54" s="935">
        <f ca="1">OFFSET('Cost Share Agr Form'!$I$18,($L$1-1),0)</f>
        <v>0</v>
      </c>
    </row>
    <row r="55" spans="1:14" x14ac:dyDescent="0.25">
      <c r="B55"/>
      <c r="L55"/>
    </row>
    <row r="56" spans="1:14" ht="15.75" thickBot="1" x14ac:dyDescent="0.3"/>
    <row r="57" spans="1:14" s="946" customFormat="1" ht="18.75" x14ac:dyDescent="0.3">
      <c r="A57" s="942" t="s">
        <v>434</v>
      </c>
      <c r="B57" s="943"/>
      <c r="C57" s="943"/>
      <c r="D57" s="944" t="str">
        <f ca="1">$D$1</f>
        <v>OSU Unrecovered F&amp;A</v>
      </c>
      <c r="E57" s="943"/>
      <c r="F57" s="944"/>
      <c r="G57" s="943"/>
      <c r="H57" s="943"/>
      <c r="I57" s="945"/>
      <c r="J57"/>
      <c r="K57"/>
      <c r="L57"/>
      <c r="M57"/>
    </row>
    <row r="58" spans="1:14" s="770" customFormat="1" x14ac:dyDescent="0.25">
      <c r="A58" s="947" t="s">
        <v>275</v>
      </c>
      <c r="B58" s="948"/>
      <c r="C58" s="948" t="s">
        <v>435</v>
      </c>
      <c r="D58" s="948"/>
      <c r="E58" s="948"/>
      <c r="F58" s="948" t="s">
        <v>348</v>
      </c>
      <c r="G58" s="948"/>
      <c r="H58" s="948"/>
      <c r="I58" s="949" t="s">
        <v>436</v>
      </c>
      <c r="J58"/>
      <c r="K58"/>
    </row>
    <row r="59" spans="1:14" ht="19.5" thickBot="1" x14ac:dyDescent="0.3">
      <c r="A59" s="957" t="s">
        <v>448</v>
      </c>
      <c r="B59" s="950"/>
      <c r="C59" s="967" t="s">
        <v>450</v>
      </c>
      <c r="D59" s="951"/>
      <c r="E59" s="951"/>
      <c r="F59" s="951"/>
      <c r="G59" s="951"/>
      <c r="H59" s="951"/>
      <c r="I59" s="952"/>
      <c r="L59"/>
    </row>
    <row r="60" spans="1:14" x14ac:dyDescent="0.25">
      <c r="B60"/>
      <c r="L60"/>
    </row>
  </sheetData>
  <autoFilter ref="A40:I50" xr:uid="{00000000-0009-0000-0000-00000F000000}"/>
  <printOptions horizontalCentered="1"/>
  <pageMargins left="0.5" right="0.25" top="0.5" bottom="0.5" header="0.25" footer="0.25"/>
  <pageSetup scale="86" fitToHeight="0" pageOrder="overThenDown" orientation="portrait" r:id="rId1"/>
  <headerFooter>
    <oddFooter>&amp;CINTERNAL FORM ONLY — The sponsor does not receive a copy of this form.</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21</vt:i4>
      </vt:variant>
    </vt:vector>
  </HeadingPairs>
  <TitlesOfParts>
    <vt:vector size="44" baseType="lpstr">
      <vt:lpstr>DATA INPUT</vt:lpstr>
      <vt:lpstr>Budget</vt:lpstr>
      <vt:lpstr>Hub data entry</vt:lpstr>
      <vt:lpstr>SUMMARY</vt:lpstr>
      <vt:lpstr>SUMMARY - Industry</vt:lpstr>
      <vt:lpstr>OMI Project Budget</vt:lpstr>
      <vt:lpstr>CyndyNotes</vt:lpstr>
      <vt:lpstr>PI Budgets</vt:lpstr>
      <vt:lpstr>Calc - SENIOR PERS</vt:lpstr>
      <vt:lpstr>Calc - OTHER PERS</vt:lpstr>
      <vt:lpstr>Calc - GRAD ASST</vt:lpstr>
      <vt:lpstr>Calc - TRAVEL</vt:lpstr>
      <vt:lpstr>SF RR Budget - Section A</vt:lpstr>
      <vt:lpstr>SF RR Budget - Section B</vt:lpstr>
      <vt:lpstr>SF RR Budget - Secs. C D E</vt:lpstr>
      <vt:lpstr>SF RR Budget - Secs. F - K</vt:lpstr>
      <vt:lpstr>SF RR Budget - Summary</vt:lpstr>
      <vt:lpstr>Reference Sheet</vt:lpstr>
      <vt:lpstr>Macros</vt:lpstr>
      <vt:lpstr>Cost Share Instr</vt:lpstr>
      <vt:lpstr>Cost Share Agr Form</vt:lpstr>
      <vt:lpstr>ORG Cost Share</vt:lpstr>
      <vt:lpstr>Unrec. F&amp;A Cost Share</vt:lpstr>
      <vt:lpstr>ApptFTE</vt:lpstr>
      <vt:lpstr>ApptMonths</vt:lpstr>
      <vt:lpstr>CostShare</vt:lpstr>
      <vt:lpstr>CSworktag</vt:lpstr>
      <vt:lpstr>Dest</vt:lpstr>
      <vt:lpstr>Destination</vt:lpstr>
      <vt:lpstr>EffortType</vt:lpstr>
      <vt:lpstr>FA_Base</vt:lpstr>
      <vt:lpstr>FA_Rate</vt:lpstr>
      <vt:lpstr>GA_FTE</vt:lpstr>
      <vt:lpstr>GA_Level</vt:lpstr>
      <vt:lpstr>GA_Salary</vt:lpstr>
      <vt:lpstr>GrantCoord</vt:lpstr>
      <vt:lpstr>PoolRates</vt:lpstr>
      <vt:lpstr>PositionClass</vt:lpstr>
      <vt:lpstr>'Cost Share Agr Form'!Print_Area</vt:lpstr>
      <vt:lpstr>'ORG Cost Share'!Print_Area</vt:lpstr>
      <vt:lpstr>'Unrec. F&amp;A Cost Share'!Print_Area</vt:lpstr>
      <vt:lpstr>'Calc - GRAD ASST'!Salary</vt:lpstr>
      <vt:lpstr>SP_Titles</vt:lpstr>
      <vt:lpstr>Unit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COE Budget Template</dc:title>
  <dc:creator>Miles, Michael</dc:creator>
  <cp:lastModifiedBy>Kokenyesi, Robert S</cp:lastModifiedBy>
  <cp:lastPrinted>2022-05-09T20:45:06Z</cp:lastPrinted>
  <dcterms:created xsi:type="dcterms:W3CDTF">2012-12-05T16:52:02Z</dcterms:created>
  <dcterms:modified xsi:type="dcterms:W3CDTF">2026-10-14T22:02:22Z</dcterms:modified>
</cp:coreProperties>
</file>